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20.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47.xml" ContentType="application/vnd.ms-excel.controlproperties+xml"/>
  <Override PartName="/xl/comments3.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3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3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38.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9.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4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omments4.xml" ContentType="application/vnd.openxmlformats-officedocument.spreadsheetml.comments+xml"/>
  <Override PartName="/xl/drawings/drawing51.xml" ContentType="application/vnd.openxmlformats-officedocument.drawing+xml"/>
  <Override PartName="/xl/comments5.xml" ContentType="application/vnd.openxmlformats-officedocument.spreadsheetml.comments+xml"/>
  <Override PartName="/xl/drawings/drawing52.xml" ContentType="application/vnd.openxmlformats-officedocument.drawing+xml"/>
  <Override PartName="/xl/comments6.xml" ContentType="application/vnd.openxmlformats-officedocument.spreadsheetml.comments+xml"/>
  <Override PartName="/xl/drawings/drawing53.xml" ContentType="application/vnd.openxmlformats-officedocument.drawing+xml"/>
  <Override PartName="/xl/comments7.xml" ContentType="application/vnd.openxmlformats-officedocument.spreadsheetml.comments+xml"/>
  <Override PartName="/xl/drawings/drawing54.xml" ContentType="application/vnd.openxmlformats-officedocument.drawing+xml"/>
  <Override PartName="/xl/comments8.xml" ContentType="application/vnd.openxmlformats-officedocument.spreadsheetml.comments+xml"/>
  <Override PartName="/xl/drawings/drawing55.xml" ContentType="application/vnd.openxmlformats-officedocument.drawing+xml"/>
  <Override PartName="/xl/comments9.xml" ContentType="application/vnd.openxmlformats-officedocument.spreadsheetml.comments+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0.xml" ContentType="application/vnd.openxmlformats-officedocument.spreadsheetml.comments+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charts/chart1.xml" ContentType="application/vnd.openxmlformats-officedocument.drawingml.chart+xml"/>
  <Override PartName="/xl/drawings/drawing72.xml" ContentType="application/vnd.openxmlformats-officedocument.drawing+xml"/>
  <Override PartName="/xl/charts/chart2.xml" ContentType="application/vnd.openxmlformats-officedocument.drawingml.chart+xml"/>
  <Override PartName="/xl/drawings/drawing73.xml" ContentType="application/vnd.openxmlformats-officedocument.drawing+xml"/>
  <Override PartName="/xl/charts/chart3.xml" ContentType="application/vnd.openxmlformats-officedocument.drawingml.chart+xml"/>
  <Override PartName="/xl/drawings/drawing74.xml" ContentType="application/vnd.openxmlformats-officedocument.drawingml.chartshapes+xml"/>
  <Override PartName="/xl/comments11.xml" ContentType="application/vnd.openxmlformats-officedocument.spreadsheetml.comments+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ctrlProps/ctrlProp84.xml" ContentType="application/vnd.ms-excel.controlproperties+xml"/>
  <Override PartName="/xl/drawings/drawing78.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79.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8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1.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82.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83.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84.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8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86.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8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8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mc:AlternateContent xmlns:mc="http://schemas.openxmlformats.org/markup-compatibility/2006">
    <mc:Choice Requires="x15">
      <x15ac:absPath xmlns:x15ac="http://schemas.microsoft.com/office/spreadsheetml/2010/11/ac" url="https://d.docs.live.net/80c016c1d4b29a7b/Documents/N à Ordi Dell/DC/Np/Étude/Cours/Outils/"/>
    </mc:Choice>
  </mc:AlternateContent>
  <xr:revisionPtr revIDLastSave="2" documentId="11_45AF167CCA5EBCE16C0545F37E4212D1378A63F9" xr6:coauthVersionLast="47" xr6:coauthVersionMax="47" xr10:uidLastSave="{E0A7F9FD-80D0-44EC-9268-1E8DE114FF3B}"/>
  <bookViews>
    <workbookView xWindow="-110" yWindow="-110" windowWidth="25820" windowHeight="15500" tabRatio="581" firstSheet="18" activeTab="18" xr2:uid="{00000000-000D-0000-FFFF-FFFF00000000}"/>
  </bookViews>
  <sheets>
    <sheet name="ACCUEIL" sheetId="246" state="hidden" r:id="rId1"/>
    <sheet name="MESREVENUS" sheetId="247" state="hidden" r:id="rId2"/>
    <sheet name="IMPRESSION" sheetId="279" state="hidden" r:id="rId3"/>
    <sheet name="COUTDUPROJET" sheetId="254" state="hidden" r:id="rId4"/>
    <sheet name="FABRICATION" sheetId="275" state="hidden" r:id="rId5"/>
    <sheet name="OUTILSDEGESTION" sheetId="258" state="hidden" r:id="rId6"/>
    <sheet name="MESDEPENSES" sheetId="256" state="hidden" r:id="rId7"/>
    <sheet name="COMPLEMENTS" sheetId="277" state="hidden" r:id="rId8"/>
    <sheet name="PLANFINANCIER" sheetId="259" state="hidden" r:id="rId9"/>
    <sheet name="FINANCEMENT" sheetId="260" state="hidden" r:id="rId10"/>
    <sheet name="GRAPHIQUES" sheetId="261" state="hidden" r:id="rId11"/>
    <sheet name="TABLE" sheetId="223" state="hidden" r:id="rId12"/>
    <sheet name="HISTO BILAN" sheetId="224" state="hidden" r:id="rId13"/>
    <sheet name="HISTO RESULTATS" sheetId="225" state="hidden" r:id="rId14"/>
    <sheet name="HISTO RF" sheetId="226" state="hidden" r:id="rId15"/>
    <sheet name="BILAN MENSUEL" sheetId="232" state="hidden" r:id="rId16"/>
    <sheet name="RESULTAT MENSUEL" sheetId="231" state="hidden" r:id="rId17"/>
    <sheet name="CON" sheetId="211" state="hidden" r:id="rId18"/>
    <sheet name="RG" sheetId="35" r:id="rId19"/>
    <sheet name="FDD" sheetId="34" state="hidden" r:id="rId20"/>
    <sheet name="IMMO" sheetId="13" state="hidden" r:id="rId21"/>
    <sheet name="DG" sheetId="38" state="hidden" r:id="rId22"/>
    <sheet name="SUBV" sheetId="30" state="hidden" r:id="rId23"/>
    <sheet name="CF" sheetId="24" state="hidden" r:id="rId24"/>
    <sheet name="V1" sheetId="213" state="hidden" r:id="rId25"/>
    <sheet name="V2" sheetId="214" state="hidden" r:id="rId26"/>
    <sheet name="V3" sheetId="236" state="hidden" r:id="rId27"/>
    <sheet name="V4" sheetId="237" state="hidden" r:id="rId28"/>
    <sheet name="V5" sheetId="238" state="hidden" r:id="rId29"/>
    <sheet name="AE1" sheetId="215" state="hidden" r:id="rId30"/>
    <sheet name="AE2" sheetId="270" state="hidden" r:id="rId31"/>
    <sheet name="AE3" sheetId="271" state="hidden" r:id="rId32"/>
    <sheet name="AE4" sheetId="272" state="hidden" r:id="rId33"/>
    <sheet name="AE5" sheetId="273" state="hidden" r:id="rId34"/>
    <sheet name="A1" sheetId="29" state="hidden" r:id="rId35"/>
    <sheet name="A2" sheetId="216" state="hidden" r:id="rId36"/>
    <sheet name="A3" sheetId="239" state="hidden" r:id="rId37"/>
    <sheet name="A4" sheetId="240" state="hidden" r:id="rId38"/>
    <sheet name="A5" sheetId="241" state="hidden" r:id="rId39"/>
    <sheet name="FD1" sheetId="217" state="hidden" r:id="rId40"/>
    <sheet name="FD2" sheetId="262" state="hidden" r:id="rId41"/>
    <sheet name="FD3" sheetId="263" state="hidden" r:id="rId42"/>
    <sheet name="FD4" sheetId="264" state="hidden" r:id="rId43"/>
    <sheet name="FD5" sheetId="265" state="hidden" r:id="rId44"/>
    <sheet name="FG1" sheetId="218" state="hidden" r:id="rId45"/>
    <sheet name="FG2" sheetId="219" state="hidden" r:id="rId46"/>
    <sheet name="FG3" sheetId="233" state="hidden" r:id="rId47"/>
    <sheet name="FG4" sheetId="234" state="hidden" r:id="rId48"/>
    <sheet name="FG5" sheetId="235" state="hidden" r:id="rId49"/>
    <sheet name="CS" sheetId="212" state="hidden" r:id="rId50"/>
    <sheet name="RH1" sheetId="4" state="hidden" r:id="rId51"/>
    <sheet name="RH2" sheetId="269" state="hidden" r:id="rId52"/>
    <sheet name="RH3" sheetId="268" state="hidden" r:id="rId53"/>
    <sheet name="RH4" sheetId="267" state="hidden" r:id="rId54"/>
    <sheet name="RH5" sheetId="266" state="hidden" r:id="rId55"/>
    <sheet name="BC1" sheetId="14" state="hidden" r:id="rId56"/>
    <sheet name="BC2" sheetId="1" state="hidden" r:id="rId57"/>
    <sheet name="BC3" sheetId="249" state="hidden" r:id="rId58"/>
    <sheet name="BC4" sheetId="252" state="hidden" r:id="rId59"/>
    <sheet name="BC5" sheetId="253" state="hidden" r:id="rId60"/>
    <sheet name="ER" sheetId="2" state="hidden" r:id="rId61"/>
    <sheet name="BILAN" sheetId="3" state="hidden" r:id="rId62"/>
    <sheet name="EE" sheetId="8" state="hidden" r:id="rId63"/>
    <sheet name="NE" sheetId="7" state="hidden" r:id="rId64"/>
    <sheet name="RF" sheetId="32" state="hidden" r:id="rId65"/>
    <sheet name="A" sheetId="31" state="hidden" r:id="rId66"/>
    <sheet name="FGFM1" sheetId="16" state="hidden" r:id="rId67"/>
    <sheet name="FGFM2" sheetId="220" state="hidden" r:id="rId68"/>
    <sheet name="FGFM3" sheetId="276" state="hidden" r:id="rId69"/>
    <sheet name="FGF1,2" sheetId="221" state="hidden" r:id="rId70"/>
    <sheet name="GR" sheetId="37" state="hidden" r:id="rId71"/>
    <sheet name="GPM" sheetId="36" state="hidden" r:id="rId72"/>
    <sheet name="GV" sheetId="33" state="hidden" r:id="rId73"/>
    <sheet name="TE" sheetId="10" state="hidden" r:id="rId74"/>
    <sheet name="TI" sheetId="9" state="hidden" r:id="rId75"/>
    <sheet name="RD" sheetId="244" state="hidden" r:id="rId76"/>
    <sheet name="BP" sheetId="17" state="hidden" r:id="rId77"/>
    <sheet name="ECT1" sheetId="18" state="hidden" r:id="rId78"/>
    <sheet name="ECT2" sheetId="19" state="hidden" r:id="rId79"/>
    <sheet name="EH" sheetId="20" state="hidden" r:id="rId80"/>
    <sheet name="ELT1" sheetId="21" state="hidden" r:id="rId81"/>
    <sheet name="ELT2" sheetId="22" state="hidden" r:id="rId82"/>
    <sheet name="ELT3" sheetId="23" state="hidden" r:id="rId83"/>
    <sheet name="ELT4" sheetId="210" state="hidden" r:id="rId84"/>
    <sheet name="ELT5" sheetId="227" state="hidden" r:id="rId85"/>
    <sheet name="ELT6" sheetId="228" state="hidden" r:id="rId86"/>
    <sheet name="ELT7" sheetId="229" state="hidden" r:id="rId87"/>
    <sheet name="liste feuille" sheetId="274" state="hidden" r:id="rId88"/>
    <sheet name="Feuil1" sheetId="280" state="hidden" r:id="rId89"/>
  </sheets>
  <definedNames>
    <definedName name="_xlnm._FilterDatabase" localSheetId="55" hidden="1">'BC1'!$A$15:$P$148</definedName>
    <definedName name="_xlnm._FilterDatabase" localSheetId="56" hidden="1">'BC2'!$A$15:$O$144</definedName>
    <definedName name="_xlnm._FilterDatabase" localSheetId="57" hidden="1">'BC3'!$A$15:$O$137</definedName>
    <definedName name="_xlnm._FilterDatabase" localSheetId="58" hidden="1">'BC4'!$A$15:$O$136</definedName>
    <definedName name="_xlnm._FilterDatabase" localSheetId="59" hidden="1">'BC5'!$A$15:$O$136</definedName>
    <definedName name="_xlnm._FilterDatabase" localSheetId="61" hidden="1">BILAN!$A$13:$J$77</definedName>
    <definedName name="_xlnm._FilterDatabase" localSheetId="62" hidden="1">EE!$A$16:$H$50</definedName>
    <definedName name="_xlnm._FilterDatabase" localSheetId="60" hidden="1">ER!$B$15:$G$100</definedName>
    <definedName name="_xlnm._FilterDatabase" localSheetId="66" hidden="1">FGFM1!#REF!</definedName>
    <definedName name="_xlnm._FilterDatabase" localSheetId="67" hidden="1">FGFM2!#REF!</definedName>
    <definedName name="_xlnm._FilterDatabase" localSheetId="68" hidden="1">FGFM3!#REF!</definedName>
    <definedName name="_xlnm._FilterDatabase" localSheetId="13" hidden="1">'HISTO RESULTATS'!$B$15:$G$83</definedName>
    <definedName name="_xlnm._FilterDatabase" localSheetId="73" hidden="1">TE!$A$9:$Q$69</definedName>
    <definedName name="_Toc50346235" localSheetId="11">TABLE!#REF!</definedName>
    <definedName name="_Toc50346236" localSheetId="11">TABLE!#REF!</definedName>
    <definedName name="_Toc50346237" localSheetId="11">TABLE!#REF!</definedName>
    <definedName name="_xlnm.Criteria" localSheetId="66">FGFM1!#REF!</definedName>
    <definedName name="_xlnm.Criteria" localSheetId="67">FGFM2!#REF!</definedName>
    <definedName name="_xlnm.Criteria" localSheetId="68">FGFM3!#REF!</definedName>
    <definedName name="Z_30D0538C_360A_4CDF_8D89_584CED1967CC_.wvu.Cols" localSheetId="34" hidden="1">'A1'!$A:$B</definedName>
    <definedName name="Z_30D0538C_360A_4CDF_8D89_584CED1967CC_.wvu.Cols" localSheetId="35" hidden="1">'A2'!$A:$B</definedName>
    <definedName name="Z_30D0538C_360A_4CDF_8D89_584CED1967CC_.wvu.Cols" localSheetId="36" hidden="1">'A3'!$A:$B</definedName>
    <definedName name="Z_30D0538C_360A_4CDF_8D89_584CED1967CC_.wvu.Cols" localSheetId="37" hidden="1">'A4'!$A:$B</definedName>
    <definedName name="Z_30D0538C_360A_4CDF_8D89_584CED1967CC_.wvu.Cols" localSheetId="38" hidden="1">'A5'!$A:$B</definedName>
    <definedName name="Z_30D0538C_360A_4CDF_8D89_584CED1967CC_.wvu.Cols" localSheetId="55" hidden="1">'BC1'!$Q:$S</definedName>
    <definedName name="Z_30D0538C_360A_4CDF_8D89_584CED1967CC_.wvu.Cols" localSheetId="56" hidden="1">'BC2'!$P:$R</definedName>
    <definedName name="Z_30D0538C_360A_4CDF_8D89_584CED1967CC_.wvu.Cols" localSheetId="57" hidden="1">'BC3'!$P:$R</definedName>
    <definedName name="Z_30D0538C_360A_4CDF_8D89_584CED1967CC_.wvu.Cols" localSheetId="58" hidden="1">'BC4'!$P:$R</definedName>
    <definedName name="Z_30D0538C_360A_4CDF_8D89_584CED1967CC_.wvu.Cols" localSheetId="59" hidden="1">'BC5'!$P:$R</definedName>
    <definedName name="Z_30D0538C_360A_4CDF_8D89_584CED1967CC_.wvu.Cols" localSheetId="76" hidden="1">BP!$B:$F,BP!$L:$XFD</definedName>
    <definedName name="Z_30D0538C_360A_4CDF_8D89_584CED1967CC_.wvu.Cols" localSheetId="77" hidden="1">'ECT1'!$B:$K,'ECT1'!$Q:$Q,'ECT1'!$S:$XFD</definedName>
    <definedName name="Z_30D0538C_360A_4CDF_8D89_584CED1967CC_.wvu.Cols" localSheetId="78" hidden="1">'ECT2'!$B:$K,'ECT2'!$Q:$Q,'ECT2'!$S:$XFD</definedName>
    <definedName name="Z_30D0538C_360A_4CDF_8D89_584CED1967CC_.wvu.Cols" localSheetId="79" hidden="1">EH!$S:$XFD</definedName>
    <definedName name="Z_30D0538C_360A_4CDF_8D89_584CED1967CC_.wvu.Cols" localSheetId="80" hidden="1">'ELT1'!$B:$K,'ELT1'!$Q:$Q,'ELT1'!$S:$XFD</definedName>
    <definedName name="Z_30D0538C_360A_4CDF_8D89_584CED1967CC_.wvu.Cols" localSheetId="81" hidden="1">'ELT2'!$B:$K,'ELT2'!$Q:$Q,'ELT2'!$S:$XFD</definedName>
    <definedName name="Z_30D0538C_360A_4CDF_8D89_584CED1967CC_.wvu.Cols" localSheetId="82" hidden="1">'ELT3'!$B:$K,'ELT3'!$Q:$Q,'ELT3'!$S:$XFD</definedName>
    <definedName name="Z_30D0538C_360A_4CDF_8D89_584CED1967CC_.wvu.Cols" localSheetId="83" hidden="1">'ELT4'!$B:$K,'ELT4'!$Q:$Q,'ELT4'!$S:$XFD</definedName>
    <definedName name="Z_30D0538C_360A_4CDF_8D89_584CED1967CC_.wvu.Cols" localSheetId="84" hidden="1">'ELT5'!$B:$K,'ELT5'!$Q:$Q,'ELT5'!$S:$XFD</definedName>
    <definedName name="Z_30D0538C_360A_4CDF_8D89_584CED1967CC_.wvu.Cols" localSheetId="85" hidden="1">'ELT6'!$B:$K,'ELT6'!$Q:$Q,'ELT6'!$S:$XFD</definedName>
    <definedName name="Z_30D0538C_360A_4CDF_8D89_584CED1967CC_.wvu.Cols" localSheetId="86" hidden="1">'ELT7'!$B:$K,'ELT7'!$Q:$Q,'ELT7'!$S:$XFD</definedName>
    <definedName name="Z_30D0538C_360A_4CDF_8D89_584CED1967CC_.wvu.Cols" localSheetId="75" hidden="1">RD!$Q:$XFD</definedName>
    <definedName name="Z_30D0538C_360A_4CDF_8D89_584CED1967CC_.wvu.Cols" localSheetId="18" hidden="1">RG!$I:$I</definedName>
    <definedName name="Z_30D0538C_360A_4CDF_8D89_584CED1967CC_.wvu.Cols" localSheetId="22" hidden="1">SUBV!$M:$Z</definedName>
    <definedName name="Z_30D0538C_360A_4CDF_8D89_584CED1967CC_.wvu.Cols" localSheetId="74" hidden="1">TI!$D:$D,TI!$L:$XFD</definedName>
    <definedName name="Z_30D0538C_360A_4CDF_8D89_584CED1967CC_.wvu.FilterData" localSheetId="55" hidden="1">'BC1'!$A$13:$P$150</definedName>
    <definedName name="Z_30D0538C_360A_4CDF_8D89_584CED1967CC_.wvu.FilterData" localSheetId="56" hidden="1">'BC2'!$A$15:$O$144</definedName>
    <definedName name="Z_30D0538C_360A_4CDF_8D89_584CED1967CC_.wvu.FilterData" localSheetId="57" hidden="1">'BC3'!$A$15:$O$136</definedName>
    <definedName name="Z_30D0538C_360A_4CDF_8D89_584CED1967CC_.wvu.FilterData" localSheetId="58" hidden="1">'BC4'!$A$15:$O$136</definedName>
    <definedName name="Z_30D0538C_360A_4CDF_8D89_584CED1967CC_.wvu.FilterData" localSheetId="59" hidden="1">'BC5'!$A$15:$O$136</definedName>
    <definedName name="Z_30D0538C_360A_4CDF_8D89_584CED1967CC_.wvu.FilterData" localSheetId="61" hidden="1">BILAN!$A$13:$J$77</definedName>
    <definedName name="Z_30D0538C_360A_4CDF_8D89_584CED1967CC_.wvu.FilterData" localSheetId="62" hidden="1">EE!$A$16:$H$50</definedName>
    <definedName name="Z_30D0538C_360A_4CDF_8D89_584CED1967CC_.wvu.FilterData" localSheetId="60" hidden="1">ER!$B$15:$G$100</definedName>
    <definedName name="Z_30D0538C_360A_4CDF_8D89_584CED1967CC_.wvu.FilterData" localSheetId="13" hidden="1">'HISTO RESULTATS'!$B$15:$G$83</definedName>
    <definedName name="Z_30D0538C_360A_4CDF_8D89_584CED1967CC_.wvu.FilterData" localSheetId="73" hidden="1">TE!$A$9:$Q$69</definedName>
    <definedName name="Z_30D0538C_360A_4CDF_8D89_584CED1967CC_.wvu.Rows" localSheetId="34" hidden="1">'A1'!$12:$13,'A1'!$17:$21,'A1'!$27:$27,'A1'!$30:$34,'A1'!$40:$40,'A1'!$43:$47,'A1'!$53:$53,'A1'!$56:$60,'A1'!$66:$66,'A1'!$69:$73,'A1'!$79:$79,'A1'!$82:$86,'A1'!$92:$92</definedName>
    <definedName name="Z_30D0538C_360A_4CDF_8D89_584CED1967CC_.wvu.Rows" localSheetId="35" hidden="1">'A2'!$12:$13,'A2'!$17:$21,'A2'!$27:$27,'A2'!$30:$34,'A2'!$40:$40,'A2'!$43:$47,'A2'!$53:$53,'A2'!$56:$60,'A2'!$66:$66,'A2'!$69:$73,'A2'!$79:$79,'A2'!$82:$86,'A2'!$92:$92</definedName>
    <definedName name="Z_30D0538C_360A_4CDF_8D89_584CED1967CC_.wvu.Rows" localSheetId="36" hidden="1">'A3'!$12:$13,'A3'!$17:$21,'A3'!$27:$27,'A3'!$30:$34,'A3'!$40:$40,'A3'!$43:$47,'A3'!$53:$53,'A3'!$56:$60,'A3'!$66:$66,'A3'!$69:$73,'A3'!$79:$79,'A3'!$82:$86,'A3'!$92:$92</definedName>
    <definedName name="Z_30D0538C_360A_4CDF_8D89_584CED1967CC_.wvu.Rows" localSheetId="37" hidden="1">'A4'!$12:$13,'A4'!$17:$21,'A4'!$27:$27,'A4'!$30:$34,'A4'!$40:$40,'A4'!$43:$47,'A4'!$53:$53,'A4'!$56:$60,'A4'!$66:$66,'A4'!$69:$73,'A4'!$79:$79,'A4'!$82:$86,'A4'!$92:$92</definedName>
    <definedName name="Z_30D0538C_360A_4CDF_8D89_584CED1967CC_.wvu.Rows" localSheetId="38" hidden="1">'A5'!$12:$13,'A5'!$17:$21,'A5'!$27:$27,'A5'!$30:$34,'A5'!$40:$40,'A5'!$43:$47,'A5'!$53:$53,'A5'!$56:$60,'A5'!$66:$66,'A5'!$69:$73,'A5'!$79:$79,'A5'!$82:$86,'A5'!$92:$92</definedName>
    <definedName name="Z_30D0538C_360A_4CDF_8D89_584CED1967CC_.wvu.Rows" localSheetId="55" hidden="1">'BC1'!$152:$152</definedName>
    <definedName name="Z_30D0538C_360A_4CDF_8D89_584CED1967CC_.wvu.Rows" localSheetId="56" hidden="1">'BC2'!$148:$148</definedName>
    <definedName name="Z_30D0538C_360A_4CDF_8D89_584CED1967CC_.wvu.Rows" localSheetId="61" hidden="1">BILAN!$82:$82</definedName>
    <definedName name="Z_30D0538C_360A_4CDF_8D89_584CED1967CC_.wvu.Rows" localSheetId="15" hidden="1">'BILAN MENSUEL'!$77:$77</definedName>
    <definedName name="Z_30D0538C_360A_4CDF_8D89_584CED1967CC_.wvu.Rows" localSheetId="23" hidden="1">CF!$10:$10,CF!$65:$92</definedName>
    <definedName name="Z_30D0538C_360A_4CDF_8D89_584CED1967CC_.wvu.Rows" localSheetId="17" hidden="1">CON!$8:$11,CON!$46:$48,CON!$52:$58</definedName>
    <definedName name="Z_30D0538C_360A_4CDF_8D89_584CED1967CC_.wvu.Rows" localSheetId="83" hidden="1">'ELT4'!$1:$4</definedName>
    <definedName name="Z_30D0538C_360A_4CDF_8D89_584CED1967CC_.wvu.Rows" localSheetId="39" hidden="1">'FD1'!$11:$13</definedName>
    <definedName name="Z_30D0538C_360A_4CDF_8D89_584CED1967CC_.wvu.Rows" localSheetId="40" hidden="1">'FD2'!$12:$13</definedName>
    <definedName name="Z_30D0538C_360A_4CDF_8D89_584CED1967CC_.wvu.Rows" localSheetId="41" hidden="1">'FD3'!$11:$13</definedName>
    <definedName name="Z_30D0538C_360A_4CDF_8D89_584CED1967CC_.wvu.Rows" localSheetId="42" hidden="1">'FD4'!$11:$13</definedName>
    <definedName name="Z_30D0538C_360A_4CDF_8D89_584CED1967CC_.wvu.Rows" localSheetId="43" hidden="1">'FD5'!$11:$13</definedName>
    <definedName name="Z_30D0538C_360A_4CDF_8D89_584CED1967CC_.wvu.Rows" localSheetId="19" hidden="1">FDD!$7:$8</definedName>
    <definedName name="Z_30D0538C_360A_4CDF_8D89_584CED1967CC_.wvu.Rows" localSheetId="66" hidden="1">FGFM1!$62:$136</definedName>
    <definedName name="Z_30D0538C_360A_4CDF_8D89_584CED1967CC_.wvu.Rows" localSheetId="67" hidden="1">FGFM2!$62:$136</definedName>
    <definedName name="Z_30D0538C_360A_4CDF_8D89_584CED1967CC_.wvu.Rows" localSheetId="68" hidden="1">FGFM3!$62:$136</definedName>
    <definedName name="Z_30D0538C_360A_4CDF_8D89_584CED1967CC_.wvu.Rows" localSheetId="12" hidden="1">'HISTO BILAN'!$10:$10,'HISTO BILAN'!$78:$78</definedName>
    <definedName name="Z_30D0538C_360A_4CDF_8D89_584CED1967CC_.wvu.Rows" localSheetId="13" hidden="1">'HISTO RESULTATS'!$9:$9,'HISTO RESULTATS'!$11:$11</definedName>
    <definedName name="Z_30D0538C_360A_4CDF_8D89_584CED1967CC_.wvu.Rows" localSheetId="14" hidden="1">'HISTO RF'!$73:$73</definedName>
    <definedName name="Z_30D0538C_360A_4CDF_8D89_584CED1967CC_.wvu.Rows" localSheetId="64" hidden="1">RF!$93:$93</definedName>
    <definedName name="Z_30D0538C_360A_4CDF_8D89_584CED1967CC_.wvu.Rows" localSheetId="18" hidden="1">RG!$8:$10,RG!$12:$15,RG!$39:$290</definedName>
    <definedName name="Z_30D0538C_360A_4CDF_8D89_584CED1967CC_.wvu.Rows" localSheetId="24" hidden="1">'V1'!$16:$21,'V1'!$29:$34,'V1'!$42:$47,'V1'!$55:$60,'V1'!$68:$73,'V1'!$81:$86</definedName>
    <definedName name="Z_30D0538C_360A_4CDF_8D89_584CED1967CC_.wvu.Rows" localSheetId="25" hidden="1">'V2'!$17:$22,'V2'!$31:$36,'V2'!$45:$50,'V2'!$59:$64,'V2'!$73:$78,'V2'!$87:$92</definedName>
    <definedName name="Z_30D0538C_360A_4CDF_8D89_584CED1967CC_.wvu.Rows" localSheetId="26" hidden="1">'V3'!$17:$22,'V3'!$31:$36,'V3'!$45:$50,'V3'!$59:$64,'V3'!$73:$78,'V3'!$87:$92</definedName>
    <definedName name="Z_30D0538C_360A_4CDF_8D89_584CED1967CC_.wvu.Rows" localSheetId="27" hidden="1">'V4'!$17:$22,'V4'!$31:$36,'V4'!$45:$50,'V4'!$59:$64,'V4'!$73:$78,'V4'!$87:$92</definedName>
    <definedName name="Z_30D0538C_360A_4CDF_8D89_584CED1967CC_.wvu.Rows" localSheetId="28" hidden="1">'V5'!$17:$22,'V5'!$31:$36,'V5'!$45:$50,'V5'!$59:$64,'V5'!$73:$78,'V5'!$87:$92</definedName>
    <definedName name="Z_4F3169C3_3348_49DE_A6DC_8AA4D2A9D7A1_.wvu.Cols" localSheetId="34" hidden="1">'A1'!$A:$B</definedName>
    <definedName name="Z_4F3169C3_3348_49DE_A6DC_8AA4D2A9D7A1_.wvu.Cols" localSheetId="35" hidden="1">'A2'!$A:$B</definedName>
    <definedName name="Z_4F3169C3_3348_49DE_A6DC_8AA4D2A9D7A1_.wvu.Cols" localSheetId="36" hidden="1">'A3'!$A:$B</definedName>
    <definedName name="Z_4F3169C3_3348_49DE_A6DC_8AA4D2A9D7A1_.wvu.Cols" localSheetId="37" hidden="1">'A4'!$A:$B</definedName>
    <definedName name="Z_4F3169C3_3348_49DE_A6DC_8AA4D2A9D7A1_.wvu.Cols" localSheetId="38" hidden="1">'A5'!$A:$B</definedName>
    <definedName name="Z_4F3169C3_3348_49DE_A6DC_8AA4D2A9D7A1_.wvu.Cols" localSheetId="55" hidden="1">'BC1'!$Q:$S</definedName>
    <definedName name="Z_4F3169C3_3348_49DE_A6DC_8AA4D2A9D7A1_.wvu.Cols" localSheetId="56" hidden="1">'BC2'!$P:$R</definedName>
    <definedName name="Z_4F3169C3_3348_49DE_A6DC_8AA4D2A9D7A1_.wvu.Cols" localSheetId="57" hidden="1">'BC3'!$P:$R</definedName>
    <definedName name="Z_4F3169C3_3348_49DE_A6DC_8AA4D2A9D7A1_.wvu.Cols" localSheetId="58" hidden="1">'BC4'!$P:$R</definedName>
    <definedName name="Z_4F3169C3_3348_49DE_A6DC_8AA4D2A9D7A1_.wvu.Cols" localSheetId="59" hidden="1">'BC5'!$P:$R</definedName>
    <definedName name="Z_4F3169C3_3348_49DE_A6DC_8AA4D2A9D7A1_.wvu.Cols" localSheetId="76" hidden="1">BP!$B:$F,BP!$L:$XFD</definedName>
    <definedName name="Z_4F3169C3_3348_49DE_A6DC_8AA4D2A9D7A1_.wvu.Cols" localSheetId="77" hidden="1">'ECT1'!$B:$K,'ECT1'!$Q:$Q,'ECT1'!$S:$XFD</definedName>
    <definedName name="Z_4F3169C3_3348_49DE_A6DC_8AA4D2A9D7A1_.wvu.Cols" localSheetId="78" hidden="1">'ECT2'!$B:$K,'ECT2'!$Q:$Q,'ECT2'!$S:$XFD</definedName>
    <definedName name="Z_4F3169C3_3348_49DE_A6DC_8AA4D2A9D7A1_.wvu.Cols" localSheetId="79" hidden="1">EH!$S:$XFD</definedName>
    <definedName name="Z_4F3169C3_3348_49DE_A6DC_8AA4D2A9D7A1_.wvu.Cols" localSheetId="80" hidden="1">'ELT1'!$B:$K,'ELT1'!$Q:$Q,'ELT1'!$S:$XFD</definedName>
    <definedName name="Z_4F3169C3_3348_49DE_A6DC_8AA4D2A9D7A1_.wvu.Cols" localSheetId="81" hidden="1">'ELT2'!$B:$K,'ELT2'!$Q:$Q,'ELT2'!$S:$XFD</definedName>
    <definedName name="Z_4F3169C3_3348_49DE_A6DC_8AA4D2A9D7A1_.wvu.Cols" localSheetId="82" hidden="1">'ELT3'!$B:$K,'ELT3'!$Q:$Q,'ELT3'!$S:$XFD</definedName>
    <definedName name="Z_4F3169C3_3348_49DE_A6DC_8AA4D2A9D7A1_.wvu.Cols" localSheetId="83" hidden="1">'ELT4'!$B:$K,'ELT4'!$Q:$Q,'ELT4'!$S:$XFD</definedName>
    <definedName name="Z_4F3169C3_3348_49DE_A6DC_8AA4D2A9D7A1_.wvu.Cols" localSheetId="84" hidden="1">'ELT5'!$B:$K,'ELT5'!$Q:$Q,'ELT5'!$S:$XFD</definedName>
    <definedName name="Z_4F3169C3_3348_49DE_A6DC_8AA4D2A9D7A1_.wvu.Cols" localSheetId="85" hidden="1">'ELT6'!$B:$K,'ELT6'!$Q:$Q,'ELT6'!$S:$XFD</definedName>
    <definedName name="Z_4F3169C3_3348_49DE_A6DC_8AA4D2A9D7A1_.wvu.Cols" localSheetId="86" hidden="1">'ELT7'!$B:$K,'ELT7'!$Q:$Q,'ELT7'!$S:$XFD</definedName>
    <definedName name="Z_4F3169C3_3348_49DE_A6DC_8AA4D2A9D7A1_.wvu.Cols" localSheetId="75" hidden="1">RD!$Q:$XFD</definedName>
    <definedName name="Z_4F3169C3_3348_49DE_A6DC_8AA4D2A9D7A1_.wvu.Cols" localSheetId="18" hidden="1">RG!$I:$I</definedName>
    <definedName name="Z_4F3169C3_3348_49DE_A6DC_8AA4D2A9D7A1_.wvu.Cols" localSheetId="22" hidden="1">SUBV!$M:$Z</definedName>
    <definedName name="Z_4F3169C3_3348_49DE_A6DC_8AA4D2A9D7A1_.wvu.Cols" localSheetId="74" hidden="1">TI!$D:$D,TI!$L:$XFD</definedName>
    <definedName name="Z_4F3169C3_3348_49DE_A6DC_8AA4D2A9D7A1_.wvu.FilterData" localSheetId="55" hidden="1">'BC1'!$A$13:$P$150</definedName>
    <definedName name="Z_4F3169C3_3348_49DE_A6DC_8AA4D2A9D7A1_.wvu.FilterData" localSheetId="56" hidden="1">'BC2'!$A$15:$O$144</definedName>
    <definedName name="Z_4F3169C3_3348_49DE_A6DC_8AA4D2A9D7A1_.wvu.FilterData" localSheetId="57" hidden="1">'BC3'!$A$15:$O$136</definedName>
    <definedName name="Z_4F3169C3_3348_49DE_A6DC_8AA4D2A9D7A1_.wvu.FilterData" localSheetId="58" hidden="1">'BC4'!$A$15:$O$136</definedName>
    <definedName name="Z_4F3169C3_3348_49DE_A6DC_8AA4D2A9D7A1_.wvu.FilterData" localSheetId="59" hidden="1">'BC5'!$A$15:$O$136</definedName>
    <definedName name="Z_4F3169C3_3348_49DE_A6DC_8AA4D2A9D7A1_.wvu.FilterData" localSheetId="61" hidden="1">BILAN!$A$13:$J$77</definedName>
    <definedName name="Z_4F3169C3_3348_49DE_A6DC_8AA4D2A9D7A1_.wvu.FilterData" localSheetId="62" hidden="1">EE!$A$16:$H$50</definedName>
    <definedName name="Z_4F3169C3_3348_49DE_A6DC_8AA4D2A9D7A1_.wvu.FilterData" localSheetId="60" hidden="1">ER!$B$15:$G$100</definedName>
    <definedName name="Z_4F3169C3_3348_49DE_A6DC_8AA4D2A9D7A1_.wvu.FilterData" localSheetId="13" hidden="1">'HISTO RESULTATS'!$B$15:$G$83</definedName>
    <definedName name="Z_4F3169C3_3348_49DE_A6DC_8AA4D2A9D7A1_.wvu.FilterData" localSheetId="73" hidden="1">TE!$A$9:$Q$69</definedName>
    <definedName name="Z_4F3169C3_3348_49DE_A6DC_8AA4D2A9D7A1_.wvu.Rows" localSheetId="34" hidden="1">'A1'!$12:$13,'A1'!$17:$21,'A1'!$27:$27,'A1'!$30:$34,'A1'!$40:$40,'A1'!$43:$47,'A1'!$53:$53,'A1'!$56:$60,'A1'!$66:$66,'A1'!$69:$73,'A1'!$79:$79,'A1'!$82:$86,'A1'!$92:$92</definedName>
    <definedName name="Z_4F3169C3_3348_49DE_A6DC_8AA4D2A9D7A1_.wvu.Rows" localSheetId="35" hidden="1">'A2'!$12:$13,'A2'!$17:$21,'A2'!$27:$27,'A2'!$30:$34,'A2'!$40:$40,'A2'!$43:$47,'A2'!$53:$53,'A2'!$56:$60,'A2'!$66:$66,'A2'!$69:$73,'A2'!$79:$79,'A2'!$82:$86,'A2'!$92:$92</definedName>
    <definedName name="Z_4F3169C3_3348_49DE_A6DC_8AA4D2A9D7A1_.wvu.Rows" localSheetId="36" hidden="1">'A3'!$12:$13,'A3'!$17:$21,'A3'!$27:$27,'A3'!$30:$34,'A3'!$40:$40,'A3'!$43:$47,'A3'!$53:$53,'A3'!$56:$60,'A3'!$66:$66,'A3'!$69:$73,'A3'!$79:$79,'A3'!$82:$86,'A3'!$92:$92</definedName>
    <definedName name="Z_4F3169C3_3348_49DE_A6DC_8AA4D2A9D7A1_.wvu.Rows" localSheetId="37" hidden="1">'A4'!$12:$13,'A4'!$17:$21,'A4'!$27:$27,'A4'!$30:$34,'A4'!$40:$40,'A4'!$43:$47,'A4'!$53:$53,'A4'!$56:$60,'A4'!$66:$66,'A4'!$69:$73,'A4'!$79:$79,'A4'!$82:$86,'A4'!$92:$92</definedName>
    <definedName name="Z_4F3169C3_3348_49DE_A6DC_8AA4D2A9D7A1_.wvu.Rows" localSheetId="38" hidden="1">'A5'!$12:$13,'A5'!$17:$21,'A5'!$27:$27,'A5'!$30:$34,'A5'!$40:$40,'A5'!$43:$47,'A5'!$53:$53,'A5'!$56:$60,'A5'!$66:$66,'A5'!$69:$73,'A5'!$79:$79,'A5'!$82:$86,'A5'!$92:$92</definedName>
    <definedName name="Z_4F3169C3_3348_49DE_A6DC_8AA4D2A9D7A1_.wvu.Rows" localSheetId="55" hidden="1">'BC1'!$152:$152</definedName>
    <definedName name="Z_4F3169C3_3348_49DE_A6DC_8AA4D2A9D7A1_.wvu.Rows" localSheetId="56" hidden="1">'BC2'!$148:$148</definedName>
    <definedName name="Z_4F3169C3_3348_49DE_A6DC_8AA4D2A9D7A1_.wvu.Rows" localSheetId="61" hidden="1">BILAN!$82:$82</definedName>
    <definedName name="Z_4F3169C3_3348_49DE_A6DC_8AA4D2A9D7A1_.wvu.Rows" localSheetId="15" hidden="1">'BILAN MENSUEL'!$77:$77</definedName>
    <definedName name="Z_4F3169C3_3348_49DE_A6DC_8AA4D2A9D7A1_.wvu.Rows" localSheetId="23" hidden="1">CF!$10:$10,CF!$65:$92</definedName>
    <definedName name="Z_4F3169C3_3348_49DE_A6DC_8AA4D2A9D7A1_.wvu.Rows" localSheetId="17" hidden="1">CON!$8:$11,CON!$46:$48,CON!$52:$58</definedName>
    <definedName name="Z_4F3169C3_3348_49DE_A6DC_8AA4D2A9D7A1_.wvu.Rows" localSheetId="83" hidden="1">'ELT4'!$1:$4</definedName>
    <definedName name="Z_4F3169C3_3348_49DE_A6DC_8AA4D2A9D7A1_.wvu.Rows" localSheetId="39" hidden="1">'FD1'!$11:$13</definedName>
    <definedName name="Z_4F3169C3_3348_49DE_A6DC_8AA4D2A9D7A1_.wvu.Rows" localSheetId="40" hidden="1">'FD2'!$12:$13</definedName>
    <definedName name="Z_4F3169C3_3348_49DE_A6DC_8AA4D2A9D7A1_.wvu.Rows" localSheetId="41" hidden="1">'FD3'!$11:$13</definedName>
    <definedName name="Z_4F3169C3_3348_49DE_A6DC_8AA4D2A9D7A1_.wvu.Rows" localSheetId="42" hidden="1">'FD4'!$11:$13</definedName>
    <definedName name="Z_4F3169C3_3348_49DE_A6DC_8AA4D2A9D7A1_.wvu.Rows" localSheetId="43" hidden="1">'FD5'!$11:$13</definedName>
    <definedName name="Z_4F3169C3_3348_49DE_A6DC_8AA4D2A9D7A1_.wvu.Rows" localSheetId="19" hidden="1">FDD!$7:$8</definedName>
    <definedName name="Z_4F3169C3_3348_49DE_A6DC_8AA4D2A9D7A1_.wvu.Rows" localSheetId="66" hidden="1">FGFM1!$62:$136</definedName>
    <definedName name="Z_4F3169C3_3348_49DE_A6DC_8AA4D2A9D7A1_.wvu.Rows" localSheetId="67" hidden="1">FGFM2!$62:$136</definedName>
    <definedName name="Z_4F3169C3_3348_49DE_A6DC_8AA4D2A9D7A1_.wvu.Rows" localSheetId="68" hidden="1">FGFM3!$62:$136</definedName>
    <definedName name="Z_4F3169C3_3348_49DE_A6DC_8AA4D2A9D7A1_.wvu.Rows" localSheetId="12" hidden="1">'HISTO BILAN'!$10:$10,'HISTO BILAN'!$78:$78</definedName>
    <definedName name="Z_4F3169C3_3348_49DE_A6DC_8AA4D2A9D7A1_.wvu.Rows" localSheetId="13" hidden="1">'HISTO RESULTATS'!$9:$9,'HISTO RESULTATS'!$11:$11</definedName>
    <definedName name="Z_4F3169C3_3348_49DE_A6DC_8AA4D2A9D7A1_.wvu.Rows" localSheetId="14" hidden="1">'HISTO RF'!$73:$73</definedName>
    <definedName name="Z_4F3169C3_3348_49DE_A6DC_8AA4D2A9D7A1_.wvu.Rows" localSheetId="64" hidden="1">RF!$93:$93</definedName>
    <definedName name="Z_4F3169C3_3348_49DE_A6DC_8AA4D2A9D7A1_.wvu.Rows" localSheetId="18" hidden="1">RG!$8:$10,RG!$12:$15,RG!$39:$290</definedName>
    <definedName name="Z_4F3169C3_3348_49DE_A6DC_8AA4D2A9D7A1_.wvu.Rows" localSheetId="24" hidden="1">'V1'!$16:$21,'V1'!$29:$34,'V1'!$42:$47,'V1'!$55:$60,'V1'!$68:$73,'V1'!$81:$86</definedName>
    <definedName name="Z_4F3169C3_3348_49DE_A6DC_8AA4D2A9D7A1_.wvu.Rows" localSheetId="25" hidden="1">'V2'!$17:$22,'V2'!$31:$36,'V2'!$45:$50,'V2'!$59:$64,'V2'!$73:$78,'V2'!$87:$92</definedName>
    <definedName name="Z_4F3169C3_3348_49DE_A6DC_8AA4D2A9D7A1_.wvu.Rows" localSheetId="26" hidden="1">'V3'!$17:$22,'V3'!$31:$36,'V3'!$45:$50,'V3'!$59:$64,'V3'!$73:$78,'V3'!$87:$92</definedName>
    <definedName name="Z_4F3169C3_3348_49DE_A6DC_8AA4D2A9D7A1_.wvu.Rows" localSheetId="27" hidden="1">'V4'!$17:$22,'V4'!$31:$36,'V4'!$45:$50,'V4'!$59:$64,'V4'!$73:$78,'V4'!$87:$92</definedName>
    <definedName name="Z_4F3169C3_3348_49DE_A6DC_8AA4D2A9D7A1_.wvu.Rows" localSheetId="28" hidden="1">'V5'!$17:$22,'V5'!$31:$36,'V5'!$45:$50,'V5'!$59:$64,'V5'!$73:$78,'V5'!$87:$92</definedName>
  </definedNames>
  <calcPr calcId="191029"/>
  <customWorkbookViews>
    <customWorkbookView name="ACCUEIL" guid="{30D0538C-360A-4CDF-8D89-584CED1967CC}" maximized="1" windowWidth="1356" windowHeight="569" tabRatio="583" activeSheetId="246" showFormulaBar="0"/>
    <customWorkbookView name="MESDEPENSES" guid="{4F3169C3-3348-49DE-A6DC-8AA4D2A9D7A1}" maximized="1" windowWidth="1356" windowHeight="569" tabRatio="583" activeSheetId="256" showFormulaBar="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9" l="1"/>
  <c r="D13" i="9"/>
  <c r="A15" i="9" l="1"/>
  <c r="D14" i="9"/>
  <c r="A16" i="9" l="1"/>
  <c r="A17" i="9" s="1"/>
  <c r="D15" i="9"/>
  <c r="O136" i="249"/>
  <c r="O132" i="249"/>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B17" i="9"/>
  <c r="D17" i="9" s="1"/>
  <c r="B18" i="9" s="1"/>
  <c r="D18" i="9" s="1"/>
  <c r="B19" i="9" s="1"/>
  <c r="D19" i="9" s="1"/>
  <c r="B20" i="9" s="1"/>
  <c r="D20" i="9" s="1"/>
  <c r="B21" i="9" s="1"/>
  <c r="D21" i="9" s="1"/>
  <c r="B22" i="9" s="1"/>
  <c r="D22" i="9" s="1"/>
  <c r="B23" i="9" s="1"/>
  <c r="D23" i="9" s="1"/>
  <c r="B24" i="9" s="1"/>
  <c r="D24" i="9" s="1"/>
  <c r="B25" i="9" s="1"/>
  <c r="D25" i="9" s="1"/>
  <c r="B26" i="9" s="1"/>
  <c r="D26" i="9" s="1"/>
  <c r="B27" i="9" s="1"/>
  <c r="D27" i="9" s="1"/>
  <c r="B28" i="9" s="1"/>
  <c r="D28" i="9" s="1"/>
  <c r="B29" i="9" s="1"/>
  <c r="D29" i="9" s="1"/>
  <c r="B30" i="9" s="1"/>
  <c r="D30" i="9" s="1"/>
  <c r="B31" i="9" s="1"/>
  <c r="D31" i="9" s="1"/>
  <c r="B32" i="9" s="1"/>
  <c r="D32" i="9" s="1"/>
  <c r="B33" i="9" s="1"/>
  <c r="D33" i="9" s="1"/>
  <c r="B34" i="9" s="1"/>
  <c r="D34" i="9" s="1"/>
  <c r="B35" i="9" s="1"/>
  <c r="D35" i="9" s="1"/>
  <c r="B36" i="9" s="1"/>
  <c r="D36" i="9" s="1"/>
  <c r="B37" i="9" s="1"/>
  <c r="D37" i="9" s="1"/>
  <c r="B38" i="9" s="1"/>
  <c r="D38" i="9" s="1"/>
  <c r="B39" i="9" s="1"/>
  <c r="D39" i="9" s="1"/>
  <c r="B40" i="9" s="1"/>
  <c r="D40" i="9" s="1"/>
  <c r="B41" i="9" s="1"/>
  <c r="D41" i="9" s="1"/>
  <c r="B42" i="9" s="1"/>
  <c r="D42" i="9" s="1"/>
  <c r="B43" i="9" s="1"/>
  <c r="D43" i="9" s="1"/>
  <c r="B44" i="9" s="1"/>
  <c r="D44" i="9" s="1"/>
  <c r="B45" i="9" s="1"/>
  <c r="D45" i="9" s="1"/>
  <c r="B46" i="9" s="1"/>
  <c r="D46" i="9" s="1"/>
  <c r="B47" i="9" s="1"/>
  <c r="D47" i="9" s="1"/>
  <c r="B48" i="9" s="1"/>
  <c r="D48" i="9" s="1"/>
  <c r="B49" i="9" s="1"/>
  <c r="D49" i="9" s="1"/>
  <c r="B50" i="9" s="1"/>
  <c r="D50" i="9" s="1"/>
  <c r="B51" i="9" s="1"/>
  <c r="D51" i="9" s="1"/>
  <c r="B52" i="9" s="1"/>
  <c r="D52" i="9" s="1"/>
  <c r="B53" i="9" s="1"/>
  <c r="D53" i="9" s="1"/>
  <c r="B54" i="9" s="1"/>
  <c r="D54" i="9" s="1"/>
  <c r="B55" i="9" s="1"/>
  <c r="D55" i="9" s="1"/>
  <c r="B56" i="9" s="1"/>
  <c r="D56" i="9" s="1"/>
  <c r="B57" i="9" s="1"/>
  <c r="D57" i="9" s="1"/>
  <c r="B58" i="9" s="1"/>
  <c r="D58" i="9" s="1"/>
  <c r="B59" i="9" s="1"/>
  <c r="D59" i="9" s="1"/>
  <c r="B60" i="9" s="1"/>
  <c r="D60" i="9" s="1"/>
  <c r="B61" i="9" s="1"/>
  <c r="D61" i="9" s="1"/>
  <c r="B62" i="9" s="1"/>
  <c r="D62" i="9" s="1"/>
  <c r="B63" i="9" s="1"/>
  <c r="D63" i="9" s="1"/>
  <c r="B64" i="9" s="1"/>
  <c r="D64" i="9" s="1"/>
  <c r="B65" i="9" s="1"/>
  <c r="D65" i="9" s="1"/>
  <c r="B66" i="9" s="1"/>
  <c r="D66" i="9" s="1"/>
  <c r="B67" i="9" s="1"/>
  <c r="D67" i="9" s="1"/>
  <c r="B68" i="9" s="1"/>
  <c r="D68" i="9" s="1"/>
  <c r="B69" i="9" s="1"/>
  <c r="D69" i="9" s="1"/>
  <c r="B70" i="9" s="1"/>
  <c r="D70" i="9" s="1"/>
  <c r="B71" i="9" s="1"/>
  <c r="D71" i="9" s="1"/>
  <c r="B72" i="9" s="1"/>
  <c r="D72" i="9" s="1"/>
  <c r="B73" i="9" s="1"/>
  <c r="D73" i="9" s="1"/>
  <c r="B74" i="9" s="1"/>
  <c r="D74" i="9" s="1"/>
  <c r="B75" i="9" s="1"/>
  <c r="D75" i="9" s="1"/>
  <c r="B76" i="9" s="1"/>
  <c r="D76" i="9" s="1"/>
  <c r="B77" i="9" s="1"/>
  <c r="D77" i="9" s="1"/>
  <c r="B78" i="9" s="1"/>
  <c r="D78" i="9" s="1"/>
  <c r="B79" i="9" s="1"/>
  <c r="D79" i="9" s="1"/>
  <c r="B80" i="9" s="1"/>
  <c r="D80" i="9" s="1"/>
  <c r="B81" i="9" s="1"/>
  <c r="D81" i="9" s="1"/>
  <c r="B82" i="9" s="1"/>
  <c r="D82" i="9" s="1"/>
  <c r="B83" i="9" s="1"/>
  <c r="D83" i="9" s="1"/>
  <c r="B84" i="9" s="1"/>
  <c r="D84" i="9" s="1"/>
  <c r="B85" i="9" s="1"/>
  <c r="D85" i="9" s="1"/>
  <c r="B86" i="9" s="1"/>
  <c r="D86" i="9" s="1"/>
  <c r="B87" i="9" s="1"/>
  <c r="D87" i="9" s="1"/>
  <c r="B88" i="9" s="1"/>
  <c r="D88" i="9" s="1"/>
  <c r="B89" i="9" s="1"/>
  <c r="D89" i="9" s="1"/>
  <c r="B90" i="9" s="1"/>
  <c r="D90" i="9" s="1"/>
  <c r="B91" i="9" s="1"/>
  <c r="D91" i="9" s="1"/>
  <c r="B92" i="9" s="1"/>
  <c r="D92" i="9" s="1"/>
  <c r="B93" i="9" s="1"/>
  <c r="D93" i="9" s="1"/>
  <c r="B94" i="9" s="1"/>
  <c r="D94" i="9" s="1"/>
  <c r="B95" i="9" s="1"/>
  <c r="D95" i="9" s="1"/>
  <c r="B96" i="9" s="1"/>
  <c r="D96" i="9" s="1"/>
  <c r="B97" i="9" s="1"/>
  <c r="D97" i="9" s="1"/>
  <c r="B98" i="9" s="1"/>
  <c r="D98" i="9" s="1"/>
  <c r="B99" i="9" s="1"/>
  <c r="D99" i="9" s="1"/>
  <c r="B100" i="9" s="1"/>
  <c r="D100" i="9" s="1"/>
  <c r="B101" i="9" s="1"/>
  <c r="D101" i="9" s="1"/>
  <c r="B102" i="9" s="1"/>
  <c r="D102" i="9" s="1"/>
  <c r="B103" i="9" s="1"/>
  <c r="D103" i="9" s="1"/>
  <c r="B104" i="9" s="1"/>
  <c r="D104" i="9" s="1"/>
  <c r="B105" i="9" s="1"/>
  <c r="D105" i="9" s="1"/>
  <c r="B106" i="9" s="1"/>
  <c r="D106" i="9" s="1"/>
  <c r="B107" i="9" s="1"/>
  <c r="D107" i="9" s="1"/>
  <c r="B108" i="9" s="1"/>
  <c r="D108" i="9" s="1"/>
  <c r="B109" i="9" s="1"/>
  <c r="D109" i="9" s="1"/>
  <c r="B110" i="9" s="1"/>
  <c r="D110" i="9" s="1"/>
  <c r="B111" i="9" s="1"/>
  <c r="D111" i="9" s="1"/>
  <c r="B16" i="9"/>
  <c r="D16" i="9" s="1"/>
  <c r="O136" i="1"/>
  <c r="O127" i="249"/>
  <c r="O132" i="1"/>
  <c r="O127" i="1" s="1"/>
  <c r="A87" i="32" l="1"/>
  <c r="O267" i="21" l="1"/>
  <c r="O267" i="22"/>
  <c r="O267" i="23"/>
  <c r="O267" i="210"/>
  <c r="O267" i="227"/>
  <c r="O267" i="228"/>
  <c r="O267" i="229"/>
  <c r="O267" i="20"/>
  <c r="B27" i="4" l="1"/>
  <c r="P11" i="244"/>
  <c r="N11" i="244"/>
  <c r="L11" i="244"/>
  <c r="J11" i="244"/>
  <c r="H11" i="244"/>
  <c r="P19" i="244" l="1"/>
  <c r="N19" i="244"/>
  <c r="L19" i="244"/>
  <c r="J19" i="244"/>
  <c r="H19" i="244"/>
  <c r="C29" i="14" l="1"/>
  <c r="AQ237" i="38" l="1"/>
  <c r="AQ235" i="38"/>
  <c r="AQ233" i="38"/>
  <c r="AQ231" i="38"/>
  <c r="AQ229" i="38"/>
  <c r="AQ227" i="38"/>
  <c r="AQ225" i="38"/>
  <c r="AQ223" i="38"/>
  <c r="AQ221" i="38"/>
  <c r="AQ219" i="38"/>
  <c r="AQ217" i="38"/>
  <c r="AQ239" i="38" l="1"/>
  <c r="O22" i="1"/>
  <c r="P140" i="14"/>
  <c r="P136" i="14"/>
  <c r="P130" i="14"/>
  <c r="P131" i="14" s="1"/>
  <c r="D72" i="3" l="1"/>
  <c r="A122" i="1" l="1"/>
  <c r="A62" i="1"/>
  <c r="A54" i="1"/>
  <c r="A37" i="1"/>
  <c r="A28" i="1"/>
  <c r="A27" i="1"/>
  <c r="A23" i="1"/>
  <c r="A22" i="1"/>
  <c r="A21" i="1"/>
  <c r="A20" i="1"/>
  <c r="A19" i="1"/>
  <c r="A18" i="1"/>
  <c r="D28" i="31" l="1"/>
  <c r="O21" i="4"/>
  <c r="O22" i="4" s="1"/>
  <c r="O23" i="4" s="1"/>
  <c r="O24" i="4" s="1"/>
  <c r="O25" i="4" s="1"/>
  <c r="O26" i="4" s="1"/>
  <c r="O27" i="4" s="1"/>
  <c r="O28" i="4" s="1"/>
  <c r="O29" i="4" s="1"/>
  <c r="O30" i="4" s="1"/>
  <c r="G60" i="225"/>
  <c r="E60" i="225"/>
  <c r="C60" i="225"/>
  <c r="A25" i="229" l="1"/>
  <c r="A26" i="229" s="1"/>
  <c r="A27" i="229" s="1"/>
  <c r="A28" i="229" s="1"/>
  <c r="A29" i="229" s="1"/>
  <c r="A30" i="229" s="1"/>
  <c r="A31" i="229" s="1"/>
  <c r="A32" i="229" s="1"/>
  <c r="A33" i="229" s="1"/>
  <c r="A34" i="229" s="1"/>
  <c r="A35" i="229" s="1"/>
  <c r="A36" i="229" s="1"/>
  <c r="A37" i="229" s="1"/>
  <c r="A38" i="229" s="1"/>
  <c r="A39" i="229" s="1"/>
  <c r="A40" i="229" s="1"/>
  <c r="A41" i="229" s="1"/>
  <c r="A42" i="229" s="1"/>
  <c r="A43" i="229" s="1"/>
  <c r="A44" i="229" s="1"/>
  <c r="A45" i="229" s="1"/>
  <c r="A46" i="229" s="1"/>
  <c r="A47" i="229" s="1"/>
  <c r="A48" i="229" s="1"/>
  <c r="A49" i="229" s="1"/>
  <c r="A50" i="229" s="1"/>
  <c r="A51" i="229" s="1"/>
  <c r="A52" i="229" s="1"/>
  <c r="A53" i="229" s="1"/>
  <c r="A54" i="229" s="1"/>
  <c r="A55" i="229" s="1"/>
  <c r="A56" i="229" s="1"/>
  <c r="A57" i="229" s="1"/>
  <c r="A58" i="229" s="1"/>
  <c r="A59" i="229" s="1"/>
  <c r="A60" i="229" s="1"/>
  <c r="A61" i="229" s="1"/>
  <c r="A62" i="229" s="1"/>
  <c r="A63" i="229" s="1"/>
  <c r="A64" i="229" s="1"/>
  <c r="A65" i="229" s="1"/>
  <c r="A66" i="229" s="1"/>
  <c r="A67" i="229" s="1"/>
  <c r="A68" i="229" s="1"/>
  <c r="A69" i="229" s="1"/>
  <c r="A70" i="229" s="1"/>
  <c r="A71" i="229" s="1"/>
  <c r="A72" i="229" s="1"/>
  <c r="A73" i="229" s="1"/>
  <c r="A74" i="229" s="1"/>
  <c r="A75" i="229" s="1"/>
  <c r="A76" i="229" s="1"/>
  <c r="A77" i="229" s="1"/>
  <c r="A78" i="229" s="1"/>
  <c r="A79" i="229" s="1"/>
  <c r="A80" i="229" s="1"/>
  <c r="A81" i="229" s="1"/>
  <c r="A82" i="229" s="1"/>
  <c r="A83" i="229" s="1"/>
  <c r="A84" i="229" s="1"/>
  <c r="A85" i="229" s="1"/>
  <c r="A86" i="229" s="1"/>
  <c r="A87" i="229" s="1"/>
  <c r="A88" i="229" s="1"/>
  <c r="A89" i="229" s="1"/>
  <c r="A90" i="229" s="1"/>
  <c r="A91" i="229" s="1"/>
  <c r="A92" i="229" s="1"/>
  <c r="A93" i="229" s="1"/>
  <c r="A94" i="229" s="1"/>
  <c r="A95" i="229" s="1"/>
  <c r="A96" i="229" s="1"/>
  <c r="A97" i="229" s="1"/>
  <c r="A98" i="229" s="1"/>
  <c r="A99" i="229" s="1"/>
  <c r="A100" i="229" s="1"/>
  <c r="A101" i="229" s="1"/>
  <c r="A102" i="229" s="1"/>
  <c r="A103" i="229" s="1"/>
  <c r="A104" i="229" s="1"/>
  <c r="A105" i="229" s="1"/>
  <c r="A106" i="229" s="1"/>
  <c r="A107" i="229" s="1"/>
  <c r="A108" i="229" s="1"/>
  <c r="A109" i="229" s="1"/>
  <c r="A110" i="229" s="1"/>
  <c r="A111" i="229" s="1"/>
  <c r="A112" i="229" s="1"/>
  <c r="A113" i="229" s="1"/>
  <c r="A114" i="229" s="1"/>
  <c r="A115" i="229" s="1"/>
  <c r="A116" i="229" s="1"/>
  <c r="A117" i="229" s="1"/>
  <c r="A118" i="229" s="1"/>
  <c r="A119" i="229" s="1"/>
  <c r="A120" i="229" s="1"/>
  <c r="A121" i="229" s="1"/>
  <c r="A122" i="229" s="1"/>
  <c r="A123" i="229" s="1"/>
  <c r="A124" i="229" s="1"/>
  <c r="A125" i="229" s="1"/>
  <c r="A126" i="229" s="1"/>
  <c r="A127" i="229" s="1"/>
  <c r="A128" i="229" s="1"/>
  <c r="A129" i="229" s="1"/>
  <c r="A130" i="229" s="1"/>
  <c r="A131" i="229" s="1"/>
  <c r="A132" i="229" s="1"/>
  <c r="A133" i="229" s="1"/>
  <c r="A134" i="229" s="1"/>
  <c r="A135" i="229" s="1"/>
  <c r="A136" i="229" s="1"/>
  <c r="A137" i="229" s="1"/>
  <c r="A138" i="229" s="1"/>
  <c r="A139" i="229" s="1"/>
  <c r="A140" i="229" s="1"/>
  <c r="A141" i="229" s="1"/>
  <c r="A142" i="229" s="1"/>
  <c r="A143" i="229" s="1"/>
  <c r="A144" i="229" s="1"/>
  <c r="A145" i="229" s="1"/>
  <c r="A146" i="229" s="1"/>
  <c r="A147" i="229" s="1"/>
  <c r="A148" i="229" s="1"/>
  <c r="A149" i="229" s="1"/>
  <c r="A150" i="229" s="1"/>
  <c r="A151" i="229" s="1"/>
  <c r="A152" i="229" s="1"/>
  <c r="A153" i="229" s="1"/>
  <c r="A154" i="229" s="1"/>
  <c r="A155" i="229" s="1"/>
  <c r="A156" i="229" s="1"/>
  <c r="A157" i="229" s="1"/>
  <c r="A158" i="229" s="1"/>
  <c r="A159" i="229" s="1"/>
  <c r="A160" i="229" s="1"/>
  <c r="A161" i="229" s="1"/>
  <c r="A162" i="229" s="1"/>
  <c r="A163" i="229" s="1"/>
  <c r="A164" i="229" s="1"/>
  <c r="A165" i="229" s="1"/>
  <c r="A166" i="229" s="1"/>
  <c r="A167" i="229" s="1"/>
  <c r="A168" i="229" s="1"/>
  <c r="A169" i="229" s="1"/>
  <c r="A170" i="229" s="1"/>
  <c r="A171" i="229" s="1"/>
  <c r="A172" i="229" s="1"/>
  <c r="A173" i="229" s="1"/>
  <c r="A174" i="229" s="1"/>
  <c r="A175" i="229" s="1"/>
  <c r="A176" i="229" s="1"/>
  <c r="A177" i="229" s="1"/>
  <c r="A178" i="229" s="1"/>
  <c r="A179" i="229" s="1"/>
  <c r="A180" i="229" s="1"/>
  <c r="A181" i="229" s="1"/>
  <c r="A182" i="229" s="1"/>
  <c r="A183" i="229" s="1"/>
  <c r="A184" i="229" s="1"/>
  <c r="A185" i="229" s="1"/>
  <c r="A186" i="229" s="1"/>
  <c r="A187" i="229" s="1"/>
  <c r="A188" i="229" s="1"/>
  <c r="A189" i="229" s="1"/>
  <c r="A190" i="229" s="1"/>
  <c r="A191" i="229" s="1"/>
  <c r="A192" i="229" s="1"/>
  <c r="A193" i="229" s="1"/>
  <c r="A194" i="229" s="1"/>
  <c r="A195" i="229" s="1"/>
  <c r="A196" i="229" s="1"/>
  <c r="A197" i="229" s="1"/>
  <c r="A198" i="229" s="1"/>
  <c r="A199" i="229" s="1"/>
  <c r="A200" i="229" s="1"/>
  <c r="A201" i="229" s="1"/>
  <c r="A202" i="229" s="1"/>
  <c r="A203" i="229" s="1"/>
  <c r="A204" i="229" s="1"/>
  <c r="A205" i="229" s="1"/>
  <c r="A206" i="229" s="1"/>
  <c r="A207" i="229" s="1"/>
  <c r="A208" i="229" s="1"/>
  <c r="A209" i="229" s="1"/>
  <c r="A210" i="229" s="1"/>
  <c r="A211" i="229" s="1"/>
  <c r="A212" i="229" s="1"/>
  <c r="A213" i="229" s="1"/>
  <c r="A214" i="229" s="1"/>
  <c r="A215" i="229" s="1"/>
  <c r="A216" i="229" s="1"/>
  <c r="A217" i="229" s="1"/>
  <c r="A218" i="229" s="1"/>
  <c r="A219" i="229" s="1"/>
  <c r="A220" i="229" s="1"/>
  <c r="A221" i="229" s="1"/>
  <c r="A222" i="229" s="1"/>
  <c r="A223" i="229" s="1"/>
  <c r="A224" i="229" s="1"/>
  <c r="A225" i="229" s="1"/>
  <c r="A226" i="229" s="1"/>
  <c r="A227" i="229" s="1"/>
  <c r="A228" i="229" s="1"/>
  <c r="A229" i="229" s="1"/>
  <c r="A230" i="229" s="1"/>
  <c r="A231" i="229" s="1"/>
  <c r="A232" i="229" s="1"/>
  <c r="A233" i="229" s="1"/>
  <c r="A234" i="229" s="1"/>
  <c r="A235" i="229" s="1"/>
  <c r="A236" i="229" s="1"/>
  <c r="A237" i="229" s="1"/>
  <c r="A238" i="229" s="1"/>
  <c r="A239" i="229" s="1"/>
  <c r="A240" i="229" s="1"/>
  <c r="A241" i="229" s="1"/>
  <c r="A242" i="229" s="1"/>
  <c r="A243" i="229" s="1"/>
  <c r="A244" i="229" s="1"/>
  <c r="A245" i="229" s="1"/>
  <c r="A246" i="229" s="1"/>
  <c r="A247" i="229" s="1"/>
  <c r="A248" i="229" s="1"/>
  <c r="A249" i="229" s="1"/>
  <c r="A250" i="229" s="1"/>
  <c r="A251" i="229" s="1"/>
  <c r="A252" i="229" s="1"/>
  <c r="A253" i="229" s="1"/>
  <c r="A254" i="229" s="1"/>
  <c r="A255" i="229" s="1"/>
  <c r="A256" i="229" s="1"/>
  <c r="A257" i="229" s="1"/>
  <c r="A258" i="229" s="1"/>
  <c r="A259" i="229" s="1"/>
  <c r="A260" i="229" s="1"/>
  <c r="A261" i="229" s="1"/>
  <c r="A262" i="229" s="1"/>
  <c r="A263" i="229" s="1"/>
  <c r="A264" i="229" s="1"/>
  <c r="A265" i="229" s="1"/>
  <c r="A25" i="228"/>
  <c r="A26" i="228" s="1"/>
  <c r="A27" i="228" s="1"/>
  <c r="A28" i="228" s="1"/>
  <c r="A29" i="228" s="1"/>
  <c r="A30" i="228" s="1"/>
  <c r="A31" i="228" s="1"/>
  <c r="A32" i="228" s="1"/>
  <c r="A33" i="228" s="1"/>
  <c r="A34" i="228" s="1"/>
  <c r="A35" i="228" s="1"/>
  <c r="A36" i="228" s="1"/>
  <c r="A37" i="228" s="1"/>
  <c r="A38" i="228" s="1"/>
  <c r="A39" i="228" s="1"/>
  <c r="A40" i="228" s="1"/>
  <c r="A41" i="228" s="1"/>
  <c r="A42" i="228" s="1"/>
  <c r="A43" i="228" s="1"/>
  <c r="A44" i="228" s="1"/>
  <c r="A45" i="228" s="1"/>
  <c r="A46" i="228" s="1"/>
  <c r="A47" i="228" s="1"/>
  <c r="A48" i="228" s="1"/>
  <c r="A49" i="228" s="1"/>
  <c r="A50" i="228" s="1"/>
  <c r="A51" i="228" s="1"/>
  <c r="A52" i="228" s="1"/>
  <c r="A53" i="228" s="1"/>
  <c r="A54" i="228" s="1"/>
  <c r="A55" i="228" s="1"/>
  <c r="A56" i="228" s="1"/>
  <c r="A57" i="228" s="1"/>
  <c r="A58" i="228" s="1"/>
  <c r="A59" i="228" s="1"/>
  <c r="A60" i="228" s="1"/>
  <c r="A61" i="228" s="1"/>
  <c r="A62" i="228" s="1"/>
  <c r="A63" i="228" s="1"/>
  <c r="A64" i="228" s="1"/>
  <c r="A65" i="228" s="1"/>
  <c r="A66" i="228" s="1"/>
  <c r="A67" i="228" s="1"/>
  <c r="A68" i="228" s="1"/>
  <c r="A69" i="228" s="1"/>
  <c r="A70" i="228" s="1"/>
  <c r="A71" i="228" s="1"/>
  <c r="A72" i="228" s="1"/>
  <c r="A73" i="228" s="1"/>
  <c r="A74" i="228" s="1"/>
  <c r="A75" i="228" s="1"/>
  <c r="A76" i="228" s="1"/>
  <c r="A77" i="228" s="1"/>
  <c r="A78" i="228" s="1"/>
  <c r="A79" i="228" s="1"/>
  <c r="A80" i="228" s="1"/>
  <c r="A81" i="228" s="1"/>
  <c r="A82" i="228" s="1"/>
  <c r="A83" i="228" s="1"/>
  <c r="A84" i="228" s="1"/>
  <c r="A85" i="228" s="1"/>
  <c r="A86" i="228" s="1"/>
  <c r="A87" i="228" s="1"/>
  <c r="A88" i="228" s="1"/>
  <c r="A89" i="228" s="1"/>
  <c r="A90" i="228" s="1"/>
  <c r="A91" i="228" s="1"/>
  <c r="A92" i="228" s="1"/>
  <c r="A93" i="228" s="1"/>
  <c r="A94" i="228" s="1"/>
  <c r="A95" i="228" s="1"/>
  <c r="A96" i="228" s="1"/>
  <c r="A97" i="228" s="1"/>
  <c r="A98" i="228" s="1"/>
  <c r="A99" i="228" s="1"/>
  <c r="A100" i="228" s="1"/>
  <c r="A101" i="228" s="1"/>
  <c r="A102" i="228" s="1"/>
  <c r="A103" i="228" s="1"/>
  <c r="A104" i="228" s="1"/>
  <c r="A105" i="228" s="1"/>
  <c r="A106" i="228" s="1"/>
  <c r="A107" i="228" s="1"/>
  <c r="A108" i="228" s="1"/>
  <c r="A109" i="228" s="1"/>
  <c r="A110" i="228" s="1"/>
  <c r="A111" i="228" s="1"/>
  <c r="A112" i="228" s="1"/>
  <c r="A113" i="228" s="1"/>
  <c r="A114" i="228" s="1"/>
  <c r="A115" i="228" s="1"/>
  <c r="A116" i="228" s="1"/>
  <c r="A117" i="228" s="1"/>
  <c r="A118" i="228" s="1"/>
  <c r="A119" i="228" s="1"/>
  <c r="A120" i="228" s="1"/>
  <c r="A121" i="228" s="1"/>
  <c r="A122" i="228" s="1"/>
  <c r="A123" i="228" s="1"/>
  <c r="A124" i="228" s="1"/>
  <c r="A125" i="228" s="1"/>
  <c r="A126" i="228" s="1"/>
  <c r="A127" i="228" s="1"/>
  <c r="A128" i="228" s="1"/>
  <c r="A129" i="228" s="1"/>
  <c r="A130" i="228" s="1"/>
  <c r="A131" i="228" s="1"/>
  <c r="A132" i="228" s="1"/>
  <c r="A133" i="228" s="1"/>
  <c r="A134" i="228" s="1"/>
  <c r="A135" i="228" s="1"/>
  <c r="A136" i="228" s="1"/>
  <c r="A137" i="228" s="1"/>
  <c r="A138" i="228" s="1"/>
  <c r="A139" i="228" s="1"/>
  <c r="A140" i="228" s="1"/>
  <c r="A141" i="228" s="1"/>
  <c r="A142" i="228" s="1"/>
  <c r="A143" i="228" s="1"/>
  <c r="A144" i="228" s="1"/>
  <c r="A145" i="228" s="1"/>
  <c r="A146" i="228" s="1"/>
  <c r="A147" i="228" s="1"/>
  <c r="A148" i="228" s="1"/>
  <c r="A149" i="228" s="1"/>
  <c r="A150" i="228" s="1"/>
  <c r="A151" i="228" s="1"/>
  <c r="A152" i="228" s="1"/>
  <c r="A153" i="228" s="1"/>
  <c r="A154" i="228" s="1"/>
  <c r="A155" i="228" s="1"/>
  <c r="A156" i="228" s="1"/>
  <c r="A157" i="228" s="1"/>
  <c r="A158" i="228" s="1"/>
  <c r="A159" i="228" s="1"/>
  <c r="A160" i="228" s="1"/>
  <c r="A161" i="228" s="1"/>
  <c r="A162" i="228" s="1"/>
  <c r="A163" i="228" s="1"/>
  <c r="A164" i="228" s="1"/>
  <c r="A165" i="228" s="1"/>
  <c r="A166" i="228" s="1"/>
  <c r="A167" i="228" s="1"/>
  <c r="A168" i="228" s="1"/>
  <c r="A169" i="228" s="1"/>
  <c r="A170" i="228" s="1"/>
  <c r="A171" i="228" s="1"/>
  <c r="A172" i="228" s="1"/>
  <c r="A173" i="228" s="1"/>
  <c r="A174" i="228" s="1"/>
  <c r="A175" i="228" s="1"/>
  <c r="A176" i="228" s="1"/>
  <c r="A177" i="228" s="1"/>
  <c r="A178" i="228" s="1"/>
  <c r="A179" i="228" s="1"/>
  <c r="A180" i="228" s="1"/>
  <c r="A181" i="228" s="1"/>
  <c r="A182" i="228" s="1"/>
  <c r="A183" i="228" s="1"/>
  <c r="A184" i="228" s="1"/>
  <c r="A185" i="228" s="1"/>
  <c r="A186" i="228" s="1"/>
  <c r="A187" i="228" s="1"/>
  <c r="A188" i="228" s="1"/>
  <c r="A189" i="228" s="1"/>
  <c r="A190" i="228" s="1"/>
  <c r="A191" i="228" s="1"/>
  <c r="A192" i="228" s="1"/>
  <c r="A193" i="228" s="1"/>
  <c r="A194" i="228" s="1"/>
  <c r="A195" i="228" s="1"/>
  <c r="A196" i="228" s="1"/>
  <c r="A197" i="228" s="1"/>
  <c r="A198" i="228" s="1"/>
  <c r="A199" i="228" s="1"/>
  <c r="A200" i="228" s="1"/>
  <c r="A201" i="228" s="1"/>
  <c r="A202" i="228" s="1"/>
  <c r="A203" i="228" s="1"/>
  <c r="A204" i="228" s="1"/>
  <c r="A205" i="228" s="1"/>
  <c r="A206" i="228" s="1"/>
  <c r="A207" i="228" s="1"/>
  <c r="A208" i="228" s="1"/>
  <c r="A209" i="228" s="1"/>
  <c r="A210" i="228" s="1"/>
  <c r="A211" i="228" s="1"/>
  <c r="A212" i="228" s="1"/>
  <c r="A213" i="228" s="1"/>
  <c r="A214" i="228" s="1"/>
  <c r="A215" i="228" s="1"/>
  <c r="A216" i="228" s="1"/>
  <c r="A217" i="228" s="1"/>
  <c r="A218" i="228" s="1"/>
  <c r="A219" i="228" s="1"/>
  <c r="A220" i="228" s="1"/>
  <c r="A221" i="228" s="1"/>
  <c r="A222" i="228" s="1"/>
  <c r="A223" i="228" s="1"/>
  <c r="A224" i="228" s="1"/>
  <c r="A225" i="228" s="1"/>
  <c r="A226" i="228" s="1"/>
  <c r="A227" i="228" s="1"/>
  <c r="A228" i="228" s="1"/>
  <c r="A229" i="228" s="1"/>
  <c r="A230" i="228" s="1"/>
  <c r="A231" i="228" s="1"/>
  <c r="A232" i="228" s="1"/>
  <c r="A233" i="228" s="1"/>
  <c r="A234" i="228" s="1"/>
  <c r="A235" i="228" s="1"/>
  <c r="A236" i="228" s="1"/>
  <c r="A237" i="228" s="1"/>
  <c r="A238" i="228" s="1"/>
  <c r="A239" i="228" s="1"/>
  <c r="A240" i="228" s="1"/>
  <c r="A241" i="228" s="1"/>
  <c r="A242" i="228" s="1"/>
  <c r="A243" i="228" s="1"/>
  <c r="A244" i="228" s="1"/>
  <c r="A245" i="228" s="1"/>
  <c r="A246" i="228" s="1"/>
  <c r="A247" i="228" s="1"/>
  <c r="A248" i="228" s="1"/>
  <c r="A249" i="228" s="1"/>
  <c r="A250" i="228" s="1"/>
  <c r="A251" i="228" s="1"/>
  <c r="A252" i="228" s="1"/>
  <c r="A253" i="228" s="1"/>
  <c r="A254" i="228" s="1"/>
  <c r="A255" i="228" s="1"/>
  <c r="A256" i="228" s="1"/>
  <c r="A257" i="228" s="1"/>
  <c r="A258" i="228" s="1"/>
  <c r="A259" i="228" s="1"/>
  <c r="A260" i="228" s="1"/>
  <c r="A261" i="228" s="1"/>
  <c r="A262" i="228" s="1"/>
  <c r="A263" i="228" s="1"/>
  <c r="A264" i="228" s="1"/>
  <c r="A265" i="228" s="1"/>
  <c r="A25" i="227"/>
  <c r="A26" i="227" s="1"/>
  <c r="A27" i="227" s="1"/>
  <c r="A28" i="227" s="1"/>
  <c r="A29" i="227" s="1"/>
  <c r="A30" i="227" s="1"/>
  <c r="A31" i="227" s="1"/>
  <c r="A32" i="227" s="1"/>
  <c r="A33" i="227" s="1"/>
  <c r="A34" i="227" s="1"/>
  <c r="A35" i="227" s="1"/>
  <c r="A36" i="227" s="1"/>
  <c r="A37" i="227" s="1"/>
  <c r="A38" i="227" s="1"/>
  <c r="A39" i="227" s="1"/>
  <c r="A40" i="227" s="1"/>
  <c r="A41" i="227" s="1"/>
  <c r="A42" i="227" s="1"/>
  <c r="A43" i="227" s="1"/>
  <c r="A44" i="227" s="1"/>
  <c r="A45" i="227" s="1"/>
  <c r="A46" i="227" s="1"/>
  <c r="A47" i="227" s="1"/>
  <c r="A48" i="227" s="1"/>
  <c r="A49" i="227" s="1"/>
  <c r="A50" i="227" s="1"/>
  <c r="A51" i="227" s="1"/>
  <c r="A52" i="227" s="1"/>
  <c r="A53" i="227" s="1"/>
  <c r="A54" i="227" s="1"/>
  <c r="A55" i="227" s="1"/>
  <c r="A56" i="227" s="1"/>
  <c r="A57" i="227" s="1"/>
  <c r="A58" i="227" s="1"/>
  <c r="A59" i="227" s="1"/>
  <c r="A60" i="227" s="1"/>
  <c r="A61" i="227" s="1"/>
  <c r="A62" i="227" s="1"/>
  <c r="A63" i="227" s="1"/>
  <c r="A64" i="227" s="1"/>
  <c r="A65" i="227" s="1"/>
  <c r="A66" i="227" s="1"/>
  <c r="A67" i="227" s="1"/>
  <c r="A68" i="227" s="1"/>
  <c r="A69" i="227" s="1"/>
  <c r="A70" i="227" s="1"/>
  <c r="A71" i="227" s="1"/>
  <c r="A72" i="227" s="1"/>
  <c r="A73" i="227" s="1"/>
  <c r="A74" i="227" s="1"/>
  <c r="A75" i="227" s="1"/>
  <c r="A76" i="227" s="1"/>
  <c r="A77" i="227" s="1"/>
  <c r="A78" i="227" s="1"/>
  <c r="A79" i="227" s="1"/>
  <c r="A80" i="227" s="1"/>
  <c r="A81" i="227" s="1"/>
  <c r="A82" i="227" s="1"/>
  <c r="A83" i="227" s="1"/>
  <c r="A84" i="227" s="1"/>
  <c r="A85" i="227" s="1"/>
  <c r="A86" i="227" s="1"/>
  <c r="A87" i="227" s="1"/>
  <c r="A88" i="227" s="1"/>
  <c r="A89" i="227" s="1"/>
  <c r="A90" i="227" s="1"/>
  <c r="A91" i="227" s="1"/>
  <c r="A92" i="227" s="1"/>
  <c r="A93" i="227" s="1"/>
  <c r="A94" i="227" s="1"/>
  <c r="A95" i="227" s="1"/>
  <c r="A96" i="227" s="1"/>
  <c r="A97" i="227" s="1"/>
  <c r="A98" i="227" s="1"/>
  <c r="A99" i="227" s="1"/>
  <c r="A100" i="227" s="1"/>
  <c r="A101" i="227" s="1"/>
  <c r="A102" i="227" s="1"/>
  <c r="A103" i="227" s="1"/>
  <c r="A104" i="227" s="1"/>
  <c r="A105" i="227" s="1"/>
  <c r="A106" i="227" s="1"/>
  <c r="A107" i="227" s="1"/>
  <c r="A108" i="227" s="1"/>
  <c r="A109" i="227" s="1"/>
  <c r="A110" i="227" s="1"/>
  <c r="A111" i="227" s="1"/>
  <c r="A112" i="227" s="1"/>
  <c r="A113" i="227" s="1"/>
  <c r="A114" i="227" s="1"/>
  <c r="A115" i="227" s="1"/>
  <c r="A116" i="227" s="1"/>
  <c r="A117" i="227" s="1"/>
  <c r="A118" i="227" s="1"/>
  <c r="A119" i="227" s="1"/>
  <c r="A120" i="227" s="1"/>
  <c r="A121" i="227" s="1"/>
  <c r="A122" i="227" s="1"/>
  <c r="A123" i="227" s="1"/>
  <c r="A124" i="227" s="1"/>
  <c r="A125" i="227" s="1"/>
  <c r="A126" i="227" s="1"/>
  <c r="A127" i="227" s="1"/>
  <c r="A128" i="227" s="1"/>
  <c r="A129" i="227" s="1"/>
  <c r="A130" i="227" s="1"/>
  <c r="A131" i="227" s="1"/>
  <c r="A132" i="227" s="1"/>
  <c r="A133" i="227" s="1"/>
  <c r="A134" i="227" s="1"/>
  <c r="A135" i="227" s="1"/>
  <c r="A136" i="227" s="1"/>
  <c r="A137" i="227" s="1"/>
  <c r="A138" i="227" s="1"/>
  <c r="A139" i="227" s="1"/>
  <c r="A140" i="227" s="1"/>
  <c r="A141" i="227" s="1"/>
  <c r="A142" i="227" s="1"/>
  <c r="A143" i="227" s="1"/>
  <c r="A144" i="227" s="1"/>
  <c r="A145" i="227" s="1"/>
  <c r="A146" i="227" s="1"/>
  <c r="A147" i="227" s="1"/>
  <c r="A148" i="227" s="1"/>
  <c r="A149" i="227" s="1"/>
  <c r="A150" i="227" s="1"/>
  <c r="A151" i="227" s="1"/>
  <c r="A152" i="227" s="1"/>
  <c r="A153" i="227" s="1"/>
  <c r="A154" i="227" s="1"/>
  <c r="A155" i="227" s="1"/>
  <c r="A156" i="227" s="1"/>
  <c r="A157" i="227" s="1"/>
  <c r="A158" i="227" s="1"/>
  <c r="A159" i="227" s="1"/>
  <c r="A160" i="227" s="1"/>
  <c r="A161" i="227" s="1"/>
  <c r="A162" i="227" s="1"/>
  <c r="A163" i="227" s="1"/>
  <c r="A164" i="227" s="1"/>
  <c r="A165" i="227" s="1"/>
  <c r="A166" i="227" s="1"/>
  <c r="A167" i="227" s="1"/>
  <c r="A168" i="227" s="1"/>
  <c r="A169" i="227" s="1"/>
  <c r="A170" i="227" s="1"/>
  <c r="A171" i="227" s="1"/>
  <c r="A172" i="227" s="1"/>
  <c r="A173" i="227" s="1"/>
  <c r="A174" i="227" s="1"/>
  <c r="A175" i="227" s="1"/>
  <c r="A176" i="227" s="1"/>
  <c r="A177" i="227" s="1"/>
  <c r="A178" i="227" s="1"/>
  <c r="A179" i="227" s="1"/>
  <c r="A180" i="227" s="1"/>
  <c r="A181" i="227" s="1"/>
  <c r="A182" i="227" s="1"/>
  <c r="A183" i="227" s="1"/>
  <c r="A184" i="227" s="1"/>
  <c r="A185" i="227" s="1"/>
  <c r="A186" i="227" s="1"/>
  <c r="A187" i="227" s="1"/>
  <c r="A188" i="227" s="1"/>
  <c r="A189" i="227" s="1"/>
  <c r="A190" i="227" s="1"/>
  <c r="A191" i="227" s="1"/>
  <c r="A192" i="227" s="1"/>
  <c r="A193" i="227" s="1"/>
  <c r="A194" i="227" s="1"/>
  <c r="A195" i="227" s="1"/>
  <c r="A196" i="227" s="1"/>
  <c r="A197" i="227" s="1"/>
  <c r="A198" i="227" s="1"/>
  <c r="A199" i="227" s="1"/>
  <c r="A200" i="227" s="1"/>
  <c r="A201" i="227" s="1"/>
  <c r="A202" i="227" s="1"/>
  <c r="A203" i="227" s="1"/>
  <c r="A204" i="227" s="1"/>
  <c r="A205" i="227" s="1"/>
  <c r="A206" i="227" s="1"/>
  <c r="A207" i="227" s="1"/>
  <c r="A208" i="227" s="1"/>
  <c r="A209" i="227" s="1"/>
  <c r="A210" i="227" s="1"/>
  <c r="A211" i="227" s="1"/>
  <c r="A212" i="227" s="1"/>
  <c r="A213" i="227" s="1"/>
  <c r="A214" i="227" s="1"/>
  <c r="A215" i="227" s="1"/>
  <c r="A216" i="227" s="1"/>
  <c r="A217" i="227" s="1"/>
  <c r="A218" i="227" s="1"/>
  <c r="A219" i="227" s="1"/>
  <c r="A220" i="227" s="1"/>
  <c r="A221" i="227" s="1"/>
  <c r="A222" i="227" s="1"/>
  <c r="A223" i="227" s="1"/>
  <c r="A224" i="227" s="1"/>
  <c r="A225" i="227" s="1"/>
  <c r="A226" i="227" s="1"/>
  <c r="A227" i="227" s="1"/>
  <c r="A228" i="227" s="1"/>
  <c r="A229" i="227" s="1"/>
  <c r="A230" i="227" s="1"/>
  <c r="A231" i="227" s="1"/>
  <c r="A232" i="227" s="1"/>
  <c r="A233" i="227" s="1"/>
  <c r="A234" i="227" s="1"/>
  <c r="A235" i="227" s="1"/>
  <c r="A236" i="227" s="1"/>
  <c r="A237" i="227" s="1"/>
  <c r="A238" i="227" s="1"/>
  <c r="A239" i="227" s="1"/>
  <c r="A240" i="227" s="1"/>
  <c r="A241" i="227" s="1"/>
  <c r="A242" i="227" s="1"/>
  <c r="A243" i="227" s="1"/>
  <c r="A244" i="227" s="1"/>
  <c r="A245" i="227" s="1"/>
  <c r="A246" i="227" s="1"/>
  <c r="A247" i="227" s="1"/>
  <c r="A248" i="227" s="1"/>
  <c r="A249" i="227" s="1"/>
  <c r="A250" i="227" s="1"/>
  <c r="A251" i="227" s="1"/>
  <c r="A252" i="227" s="1"/>
  <c r="A253" i="227" s="1"/>
  <c r="A254" i="227" s="1"/>
  <c r="A255" i="227" s="1"/>
  <c r="A256" i="227" s="1"/>
  <c r="A257" i="227" s="1"/>
  <c r="A258" i="227" s="1"/>
  <c r="A259" i="227" s="1"/>
  <c r="A260" i="227" s="1"/>
  <c r="A261" i="227" s="1"/>
  <c r="A262" i="227" s="1"/>
  <c r="A263" i="227" s="1"/>
  <c r="A264" i="227" s="1"/>
  <c r="A265" i="227" s="1"/>
  <c r="A25" i="210"/>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25" i="23"/>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5" i="22"/>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5" i="2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5" i="20"/>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5" i="19"/>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25" i="18"/>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24" i="17"/>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D28" i="38"/>
  <c r="O131" i="249" s="1"/>
  <c r="D27" i="38"/>
  <c r="C135" i="14" s="1"/>
  <c r="O131" i="1" l="1"/>
  <c r="D131" i="253"/>
  <c r="H131" i="252"/>
  <c r="H131" i="249"/>
  <c r="H131" i="1"/>
  <c r="E135" i="14"/>
  <c r="E131" i="253"/>
  <c r="M131" i="253"/>
  <c r="I131" i="252"/>
  <c r="E131" i="249"/>
  <c r="M131" i="249"/>
  <c r="I131" i="1"/>
  <c r="F135" i="14"/>
  <c r="N135" i="14"/>
  <c r="J131" i="253"/>
  <c r="F131" i="252"/>
  <c r="N131" i="252"/>
  <c r="J131" i="249"/>
  <c r="F131" i="1"/>
  <c r="N131" i="1"/>
  <c r="K135" i="14"/>
  <c r="G131" i="253"/>
  <c r="K131" i="253"/>
  <c r="C131" i="253"/>
  <c r="G131" i="252"/>
  <c r="K131" i="252"/>
  <c r="C131" i="252"/>
  <c r="G131" i="249"/>
  <c r="K131" i="249"/>
  <c r="C131" i="249"/>
  <c r="G131" i="1"/>
  <c r="K131" i="1"/>
  <c r="C131" i="1"/>
  <c r="H135" i="14"/>
  <c r="L135" i="14"/>
  <c r="D135" i="14"/>
  <c r="H131" i="253"/>
  <c r="L131" i="253"/>
  <c r="D131" i="252"/>
  <c r="L131" i="252"/>
  <c r="D131" i="249"/>
  <c r="L131" i="249"/>
  <c r="D131" i="1"/>
  <c r="L131" i="1"/>
  <c r="I135" i="14"/>
  <c r="M135" i="14"/>
  <c r="I131" i="253"/>
  <c r="E131" i="252"/>
  <c r="M131" i="252"/>
  <c r="I131" i="249"/>
  <c r="E131" i="1"/>
  <c r="M131" i="1"/>
  <c r="J135" i="14"/>
  <c r="F131" i="253"/>
  <c r="N131" i="253"/>
  <c r="J131" i="252"/>
  <c r="F131" i="249"/>
  <c r="N131" i="249"/>
  <c r="J131" i="1"/>
  <c r="G135" i="14"/>
  <c r="O135" i="14"/>
  <c r="A146" i="210"/>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A215" i="210" s="1"/>
  <c r="A216" i="210" s="1"/>
  <c r="A217" i="210" s="1"/>
  <c r="A218" i="210" s="1"/>
  <c r="A219" i="210" s="1"/>
  <c r="A220" i="210" s="1"/>
  <c r="A221" i="210" s="1"/>
  <c r="A222" i="210" s="1"/>
  <c r="A223" i="210" s="1"/>
  <c r="A224" i="210" s="1"/>
  <c r="A225" i="210" s="1"/>
  <c r="A226" i="210" s="1"/>
  <c r="A227" i="210" s="1"/>
  <c r="A228" i="210" s="1"/>
  <c r="A229" i="210" s="1"/>
  <c r="A230" i="210" s="1"/>
  <c r="A231" i="210" s="1"/>
  <c r="A232" i="210" s="1"/>
  <c r="A233" i="210" s="1"/>
  <c r="A234" i="210" s="1"/>
  <c r="A235" i="210" s="1"/>
  <c r="A236" i="210" s="1"/>
  <c r="A237" i="210" s="1"/>
  <c r="A238" i="210" s="1"/>
  <c r="A239" i="210" s="1"/>
  <c r="A240" i="210" s="1"/>
  <c r="A241" i="210" s="1"/>
  <c r="A242" i="210" s="1"/>
  <c r="A243" i="210" s="1"/>
  <c r="A244" i="210" s="1"/>
  <c r="A245" i="210" s="1"/>
  <c r="A246" i="210" s="1"/>
  <c r="A247" i="210" s="1"/>
  <c r="A248" i="210" s="1"/>
  <c r="A249" i="210" s="1"/>
  <c r="A250" i="210" s="1"/>
  <c r="A251" i="210" s="1"/>
  <c r="A252" i="210" s="1"/>
  <c r="A253" i="210" s="1"/>
  <c r="A254" i="210" s="1"/>
  <c r="A255" i="210" s="1"/>
  <c r="A256" i="210" s="1"/>
  <c r="A257" i="210" s="1"/>
  <c r="A258" i="210" s="1"/>
  <c r="A259" i="210" s="1"/>
  <c r="A260" i="210" s="1"/>
  <c r="A261" i="210" s="1"/>
  <c r="A262" i="210" s="1"/>
  <c r="A263" i="210" s="1"/>
  <c r="A264" i="210" s="1"/>
  <c r="A265" i="210" s="1"/>
  <c r="E93" i="29"/>
  <c r="E217" i="38" l="1"/>
  <c r="Q217" i="38"/>
  <c r="AC217" i="38"/>
  <c r="AO217" i="38"/>
  <c r="BA217" i="38"/>
  <c r="BM217" i="38"/>
  <c r="BY217" i="38"/>
  <c r="CK217" i="38"/>
  <c r="CW217" i="38"/>
  <c r="DI217" i="38"/>
  <c r="DU217" i="38"/>
  <c r="F217" i="38"/>
  <c r="R217" i="38"/>
  <c r="AD217" i="38"/>
  <c r="AP217" i="38"/>
  <c r="BB217" i="38"/>
  <c r="BN217" i="38"/>
  <c r="BZ217" i="38"/>
  <c r="CL217" i="38"/>
  <c r="CX217" i="38"/>
  <c r="DJ217" i="38"/>
  <c r="DV217" i="38"/>
  <c r="G217" i="38"/>
  <c r="S217" i="38"/>
  <c r="AE217" i="38"/>
  <c r="AR217" i="38"/>
  <c r="BC217" i="38"/>
  <c r="BO217" i="38"/>
  <c r="CA217" i="38"/>
  <c r="CM217" i="38"/>
  <c r="CY217" i="38"/>
  <c r="DK217" i="38"/>
  <c r="DW217" i="38"/>
  <c r="H217" i="38"/>
  <c r="T217" i="38"/>
  <c r="AF217" i="38"/>
  <c r="BD217" i="38"/>
  <c r="BP217" i="38"/>
  <c r="CB217" i="38"/>
  <c r="CN217" i="38"/>
  <c r="CZ217" i="38"/>
  <c r="DL217" i="38"/>
  <c r="DX217" i="38"/>
  <c r="I217" i="38"/>
  <c r="U217" i="38"/>
  <c r="AG217" i="38"/>
  <c r="AS217" i="38"/>
  <c r="BE217" i="38"/>
  <c r="BQ217" i="38"/>
  <c r="CC217" i="38"/>
  <c r="CO217" i="38"/>
  <c r="DA217" i="38"/>
  <c r="DM217" i="38"/>
  <c r="DY217" i="38"/>
  <c r="J217" i="38"/>
  <c r="V217" i="38"/>
  <c r="AH217" i="38"/>
  <c r="AT217" i="38"/>
  <c r="BF217" i="38"/>
  <c r="BR217" i="38"/>
  <c r="CD217" i="38"/>
  <c r="CP217" i="38"/>
  <c r="DB217" i="38"/>
  <c r="DN217" i="38"/>
  <c r="DZ217" i="38"/>
  <c r="K217" i="38"/>
  <c r="W217" i="38"/>
  <c r="AI217" i="38"/>
  <c r="AU217" i="38"/>
  <c r="BG217" i="38"/>
  <c r="BS217" i="38"/>
  <c r="CE217" i="38"/>
  <c r="CQ217" i="38"/>
  <c r="DC217" i="38"/>
  <c r="DO217" i="38"/>
  <c r="EA217" i="38"/>
  <c r="L217" i="38"/>
  <c r="X217" i="38"/>
  <c r="AJ217" i="38"/>
  <c r="AV217" i="38"/>
  <c r="BH217" i="38"/>
  <c r="BT217" i="38"/>
  <c r="CF217" i="38"/>
  <c r="CR217" i="38"/>
  <c r="DD217" i="38"/>
  <c r="DP217" i="38"/>
  <c r="EB217" i="38"/>
  <c r="M217" i="38"/>
  <c r="Y217" i="38"/>
  <c r="AK217" i="38"/>
  <c r="AW217" i="38"/>
  <c r="BI217" i="38"/>
  <c r="BU217" i="38"/>
  <c r="CG217" i="38"/>
  <c r="CS217" i="38"/>
  <c r="DE217" i="38"/>
  <c r="DQ217" i="38"/>
  <c r="EC217" i="38"/>
  <c r="O217" i="38"/>
  <c r="AA217" i="38"/>
  <c r="AM217" i="38"/>
  <c r="AY217" i="38"/>
  <c r="BK217" i="38"/>
  <c r="BW217" i="38"/>
  <c r="CI217" i="38"/>
  <c r="CU217" i="38"/>
  <c r="DG217" i="38"/>
  <c r="DS217" i="38"/>
  <c r="EE217" i="38"/>
  <c r="D217" i="38"/>
  <c r="P217" i="38"/>
  <c r="AB217" i="38"/>
  <c r="AN217" i="38"/>
  <c r="AZ217" i="38"/>
  <c r="BL217" i="38"/>
  <c r="BX217" i="38"/>
  <c r="CJ217" i="38"/>
  <c r="CV217" i="38"/>
  <c r="DH217" i="38"/>
  <c r="DT217" i="38"/>
  <c r="N217" i="38"/>
  <c r="Z217" i="38"/>
  <c r="AL217" i="38"/>
  <c r="AX217" i="38"/>
  <c r="BJ217" i="38"/>
  <c r="BV217" i="38"/>
  <c r="CH217" i="38"/>
  <c r="CT217" i="38"/>
  <c r="DF217" i="38"/>
  <c r="DR217" i="38"/>
  <c r="ED217" i="38"/>
  <c r="Q128" i="253"/>
  <c r="R128" i="253"/>
  <c r="O227" i="38"/>
  <c r="AA227" i="38"/>
  <c r="AM227" i="38"/>
  <c r="AY227" i="38"/>
  <c r="BK227" i="38"/>
  <c r="BW227" i="38"/>
  <c r="CI227" i="38"/>
  <c r="CU227" i="38"/>
  <c r="DG227" i="38"/>
  <c r="DS227" i="38"/>
  <c r="EE227" i="38"/>
  <c r="N227" i="38"/>
  <c r="Z227" i="38"/>
  <c r="AL227" i="38"/>
  <c r="AX227" i="38"/>
  <c r="BJ227" i="38"/>
  <c r="BV227" i="38"/>
  <c r="CH227" i="38"/>
  <c r="CT227" i="38"/>
  <c r="DF227" i="38"/>
  <c r="DR227" i="38"/>
  <c r="ED227" i="38"/>
  <c r="M227" i="38"/>
  <c r="Y227" i="38"/>
  <c r="AK227" i="38"/>
  <c r="AW227" i="38"/>
  <c r="BI227" i="38"/>
  <c r="BU227" i="38"/>
  <c r="CG227" i="38"/>
  <c r="CS227" i="38"/>
  <c r="DE227" i="38"/>
  <c r="DQ227" i="38"/>
  <c r="EC227" i="38"/>
  <c r="A122" i="253"/>
  <c r="C122" i="253"/>
  <c r="D122" i="253"/>
  <c r="F122" i="253"/>
  <c r="G122" i="253"/>
  <c r="H122" i="253"/>
  <c r="I122" i="253"/>
  <c r="J122" i="253"/>
  <c r="K122" i="253"/>
  <c r="L122" i="253"/>
  <c r="M122" i="253"/>
  <c r="N122" i="253"/>
  <c r="A122" i="252"/>
  <c r="C122" i="252"/>
  <c r="D122" i="252"/>
  <c r="F122" i="252"/>
  <c r="G122" i="252"/>
  <c r="H122" i="252"/>
  <c r="I122" i="252"/>
  <c r="J122" i="252"/>
  <c r="K122" i="252"/>
  <c r="L122" i="252"/>
  <c r="M122" i="252"/>
  <c r="N122" i="252"/>
  <c r="A122" i="249"/>
  <c r="C122" i="249"/>
  <c r="D122" i="249"/>
  <c r="F122" i="249"/>
  <c r="G122" i="249"/>
  <c r="H122" i="249"/>
  <c r="I122" i="249"/>
  <c r="J122" i="249"/>
  <c r="K122" i="249"/>
  <c r="L122" i="249"/>
  <c r="M122" i="249"/>
  <c r="N122" i="249"/>
  <c r="C122" i="1"/>
  <c r="D122" i="1"/>
  <c r="I227" i="38"/>
  <c r="U227" i="38"/>
  <c r="AG227" i="38"/>
  <c r="AS227" i="38"/>
  <c r="BE227" i="38"/>
  <c r="BQ227" i="38"/>
  <c r="CC227" i="38"/>
  <c r="CO227" i="38"/>
  <c r="DA227" i="38"/>
  <c r="DM227" i="38"/>
  <c r="DY227" i="38"/>
  <c r="F122" i="1"/>
  <c r="G122" i="1"/>
  <c r="J227" i="38"/>
  <c r="V227" i="38"/>
  <c r="AH227" i="38"/>
  <c r="AT227" i="38"/>
  <c r="BF227" i="38"/>
  <c r="BR227" i="38"/>
  <c r="CD227" i="38"/>
  <c r="CP227" i="38"/>
  <c r="DB227" i="38"/>
  <c r="DN227" i="38"/>
  <c r="DZ227" i="38"/>
  <c r="I122" i="1"/>
  <c r="J122" i="1"/>
  <c r="K227" i="38"/>
  <c r="W227" i="38"/>
  <c r="AI227" i="38"/>
  <c r="AU227" i="38"/>
  <c r="BG227" i="38"/>
  <c r="BS227" i="38"/>
  <c r="CE227" i="38"/>
  <c r="CQ227" i="38"/>
  <c r="DC227" i="38"/>
  <c r="DO227" i="38"/>
  <c r="EA227" i="38"/>
  <c r="L122" i="1"/>
  <c r="M122" i="1"/>
  <c r="L227" i="38"/>
  <c r="X227" i="38"/>
  <c r="AJ227" i="38"/>
  <c r="AV227" i="38"/>
  <c r="BH227" i="38"/>
  <c r="BT227" i="38"/>
  <c r="CF227" i="38"/>
  <c r="CR227" i="38"/>
  <c r="DD227" i="38"/>
  <c r="DP227" i="38"/>
  <c r="EB227" i="38"/>
  <c r="F25" i="214"/>
  <c r="F25" i="236" s="1"/>
  <c r="F25" i="237" s="1"/>
  <c r="F39" i="214"/>
  <c r="F39" i="236" s="1"/>
  <c r="F39" i="237" s="1"/>
  <c r="F39" i="238" s="1"/>
  <c r="F53" i="214"/>
  <c r="F53" i="236" s="1"/>
  <c r="F53" i="237" s="1"/>
  <c r="F53" i="238" s="1"/>
  <c r="F67" i="214"/>
  <c r="F67" i="236" s="1"/>
  <c r="F67" i="237" s="1"/>
  <c r="F67" i="238" s="1"/>
  <c r="F81" i="214"/>
  <c r="F81" i="236" s="1"/>
  <c r="F81" i="237" s="1"/>
  <c r="F81" i="238" s="1"/>
  <c r="F95" i="214"/>
  <c r="F95" i="236" s="1"/>
  <c r="F95" i="237" s="1"/>
  <c r="F95" i="238" s="1"/>
  <c r="E18" i="241"/>
  <c r="E19" i="241"/>
  <c r="E20" i="241"/>
  <c r="E31" i="241"/>
  <c r="E32" i="241"/>
  <c r="E33" i="241"/>
  <c r="E44" i="241"/>
  <c r="E45" i="241"/>
  <c r="E46" i="241"/>
  <c r="E57" i="241"/>
  <c r="E58" i="241"/>
  <c r="E59" i="241"/>
  <c r="E70" i="241"/>
  <c r="E71" i="241"/>
  <c r="E72" i="241"/>
  <c r="E83" i="241"/>
  <c r="E84" i="241"/>
  <c r="E85" i="241"/>
  <c r="F18" i="241"/>
  <c r="F19" i="241"/>
  <c r="F20" i="241"/>
  <c r="F31" i="241"/>
  <c r="F32" i="241"/>
  <c r="F33" i="241"/>
  <c r="F44" i="241"/>
  <c r="F45" i="241"/>
  <c r="F46" i="241"/>
  <c r="F57" i="241"/>
  <c r="F58" i="241"/>
  <c r="F59" i="241"/>
  <c r="F70" i="241"/>
  <c r="F71" i="241"/>
  <c r="F72" i="241"/>
  <c r="F83" i="241"/>
  <c r="F84" i="241"/>
  <c r="F85" i="241"/>
  <c r="G19" i="241"/>
  <c r="G18" i="241"/>
  <c r="G20" i="241"/>
  <c r="G32" i="241"/>
  <c r="G31" i="241"/>
  <c r="G33" i="241"/>
  <c r="G45" i="241"/>
  <c r="G44" i="241"/>
  <c r="G46" i="241"/>
  <c r="G58" i="241"/>
  <c r="G57" i="241"/>
  <c r="G59" i="241"/>
  <c r="G71" i="241"/>
  <c r="G70" i="241"/>
  <c r="G72" i="241"/>
  <c r="G84" i="241"/>
  <c r="G83" i="241"/>
  <c r="G85" i="241"/>
  <c r="H20" i="241"/>
  <c r="H18" i="241"/>
  <c r="H19" i="241"/>
  <c r="H33" i="241"/>
  <c r="H31" i="241"/>
  <c r="H32" i="241"/>
  <c r="H46" i="241"/>
  <c r="H44" i="241"/>
  <c r="H45" i="241"/>
  <c r="H59" i="241"/>
  <c r="H57" i="241"/>
  <c r="H58" i="241"/>
  <c r="H72" i="241"/>
  <c r="H70" i="241"/>
  <c r="H71" i="241"/>
  <c r="H85" i="241"/>
  <c r="H83" i="241"/>
  <c r="H84" i="241"/>
  <c r="I83" i="241"/>
  <c r="I84" i="241"/>
  <c r="I85" i="241"/>
  <c r="I70" i="241"/>
  <c r="I71" i="241"/>
  <c r="I72" i="241"/>
  <c r="I57" i="241"/>
  <c r="I58" i="241"/>
  <c r="I59" i="241"/>
  <c r="I44" i="241"/>
  <c r="I45" i="241"/>
  <c r="I46" i="241"/>
  <c r="I31" i="241"/>
  <c r="I32" i="241"/>
  <c r="I33" i="241"/>
  <c r="I18" i="241"/>
  <c r="I19" i="241"/>
  <c r="I20" i="241"/>
  <c r="J83" i="241"/>
  <c r="J84" i="241"/>
  <c r="J85" i="241"/>
  <c r="J70" i="241"/>
  <c r="J71" i="241"/>
  <c r="J72" i="241"/>
  <c r="J57" i="241"/>
  <c r="J58" i="241"/>
  <c r="J59" i="241"/>
  <c r="J44" i="241"/>
  <c r="J45" i="241"/>
  <c r="J46" i="241"/>
  <c r="J31" i="241"/>
  <c r="J32" i="241"/>
  <c r="J33" i="241"/>
  <c r="J18" i="241"/>
  <c r="J19" i="241"/>
  <c r="J20" i="241"/>
  <c r="K83" i="241"/>
  <c r="K84" i="241"/>
  <c r="K85" i="241"/>
  <c r="K70" i="241"/>
  <c r="K71" i="241"/>
  <c r="K72" i="241"/>
  <c r="K57" i="241"/>
  <c r="K58" i="241"/>
  <c r="K59" i="241"/>
  <c r="K44" i="241"/>
  <c r="K45" i="241"/>
  <c r="K46" i="241"/>
  <c r="K31" i="241"/>
  <c r="K32" i="241"/>
  <c r="K33" i="241"/>
  <c r="K18" i="241"/>
  <c r="K19" i="241"/>
  <c r="K20" i="241"/>
  <c r="L83" i="241"/>
  <c r="L84" i="241"/>
  <c r="L85" i="241"/>
  <c r="L70" i="241"/>
  <c r="L71" i="241"/>
  <c r="L72" i="241"/>
  <c r="L57" i="241"/>
  <c r="L58" i="241"/>
  <c r="L59" i="241"/>
  <c r="L44" i="241"/>
  <c r="L45" i="241"/>
  <c r="L46" i="241"/>
  <c r="L31" i="241"/>
  <c r="L32" i="241"/>
  <c r="L33" i="241"/>
  <c r="L18" i="241"/>
  <c r="L19" i="241"/>
  <c r="L20" i="241"/>
  <c r="M83" i="241"/>
  <c r="M84" i="241"/>
  <c r="M85" i="241"/>
  <c r="M70" i="241"/>
  <c r="M71" i="241"/>
  <c r="M72" i="241"/>
  <c r="M57" i="241"/>
  <c r="M58" i="241"/>
  <c r="M59" i="241"/>
  <c r="M44" i="241"/>
  <c r="M45" i="241"/>
  <c r="M46" i="241"/>
  <c r="M31" i="241"/>
  <c r="M32" i="241"/>
  <c r="M33" i="241"/>
  <c r="M18" i="241"/>
  <c r="M19" i="241"/>
  <c r="M20" i="241"/>
  <c r="N83" i="241"/>
  <c r="N84" i="241"/>
  <c r="N85" i="241"/>
  <c r="N70" i="241"/>
  <c r="N71" i="241"/>
  <c r="N72" i="241"/>
  <c r="N57" i="241"/>
  <c r="N58" i="241"/>
  <c r="N59" i="241"/>
  <c r="N44" i="241"/>
  <c r="N45" i="241"/>
  <c r="N46" i="241"/>
  <c r="N31" i="241"/>
  <c r="N32" i="241"/>
  <c r="N33" i="241"/>
  <c r="N18" i="241"/>
  <c r="N19" i="241"/>
  <c r="N20" i="241"/>
  <c r="O83" i="241"/>
  <c r="O84" i="241"/>
  <c r="O85" i="241"/>
  <c r="O70" i="241"/>
  <c r="O71" i="241"/>
  <c r="O72" i="241"/>
  <c r="O57" i="241"/>
  <c r="O58" i="241"/>
  <c r="O59" i="241"/>
  <c r="O44" i="241"/>
  <c r="O45" i="241"/>
  <c r="O46" i="241"/>
  <c r="O31" i="241"/>
  <c r="O32" i="241"/>
  <c r="O33" i="241"/>
  <c r="O18" i="241"/>
  <c r="O19" i="241"/>
  <c r="O20" i="241"/>
  <c r="P83" i="241"/>
  <c r="P84" i="241"/>
  <c r="P85" i="241"/>
  <c r="P70" i="241"/>
  <c r="P71" i="241"/>
  <c r="P72" i="241"/>
  <c r="P57" i="241"/>
  <c r="P58" i="241"/>
  <c r="P59" i="241"/>
  <c r="P44" i="241"/>
  <c r="P45" i="241"/>
  <c r="P46" i="241"/>
  <c r="P31" i="241"/>
  <c r="P32" i="241"/>
  <c r="P33" i="241"/>
  <c r="P18" i="241"/>
  <c r="P19" i="241"/>
  <c r="P20" i="241"/>
  <c r="G25" i="213"/>
  <c r="G16" i="213" s="1"/>
  <c r="G21" i="213" s="1"/>
  <c r="G38" i="213"/>
  <c r="G29" i="213" s="1"/>
  <c r="G34" i="213" s="1"/>
  <c r="G51" i="213"/>
  <c r="E50" i="29" s="1"/>
  <c r="G64" i="213"/>
  <c r="I57" i="213" s="1"/>
  <c r="G77" i="213"/>
  <c r="G68" i="213" s="1"/>
  <c r="G73" i="213" s="1"/>
  <c r="G90" i="213"/>
  <c r="J84" i="213" s="1"/>
  <c r="A14" i="218"/>
  <c r="A39" i="14" s="1"/>
  <c r="A38" i="1" s="1"/>
  <c r="AS165" i="38"/>
  <c r="A41" i="7" s="1"/>
  <c r="AS166" i="38"/>
  <c r="F34" i="7" s="1"/>
  <c r="AS167" i="38"/>
  <c r="AS168" i="38"/>
  <c r="F36" i="7" s="1"/>
  <c r="AS169" i="38"/>
  <c r="F37" i="7" s="1"/>
  <c r="AS170" i="38"/>
  <c r="F38" i="7" s="1"/>
  <c r="AS171" i="38"/>
  <c r="F39" i="7" s="1"/>
  <c r="AS172" i="38"/>
  <c r="F40" i="7" s="1"/>
  <c r="AS173" i="38"/>
  <c r="F41" i="7" s="1"/>
  <c r="A18" i="218"/>
  <c r="A35" i="220" s="1"/>
  <c r="A26" i="218"/>
  <c r="A164" i="38" s="1"/>
  <c r="J156" i="38" s="1"/>
  <c r="A30" i="218"/>
  <c r="A166" i="38" s="1"/>
  <c r="L156" i="38" s="1"/>
  <c r="A32" i="218"/>
  <c r="A167" i="38" s="1"/>
  <c r="M156" i="38" s="1"/>
  <c r="G23" i="9"/>
  <c r="L23" i="9" s="1"/>
  <c r="G25" i="9"/>
  <c r="B29" i="38" s="1"/>
  <c r="A30" i="263" s="1"/>
  <c r="G27" i="9"/>
  <c r="L27" i="9" s="1"/>
  <c r="G29" i="9"/>
  <c r="L29" i="9" s="1"/>
  <c r="G31" i="9"/>
  <c r="G33" i="9"/>
  <c r="L33" i="9" s="1"/>
  <c r="D227" i="38"/>
  <c r="P227" i="38"/>
  <c r="AB227" i="38"/>
  <c r="AN227" i="38"/>
  <c r="AZ227" i="38"/>
  <c r="BL227" i="38"/>
  <c r="BX227" i="38"/>
  <c r="CJ227" i="38"/>
  <c r="CV227" i="38"/>
  <c r="DH227" i="38"/>
  <c r="DT227" i="38"/>
  <c r="H69" i="213"/>
  <c r="F31" i="29"/>
  <c r="F44" i="29"/>
  <c r="F57" i="29"/>
  <c r="F70" i="29"/>
  <c r="F83" i="29"/>
  <c r="I70" i="213"/>
  <c r="G19" i="29"/>
  <c r="G32" i="29"/>
  <c r="G45" i="29"/>
  <c r="G58" i="29"/>
  <c r="G71" i="29"/>
  <c r="G84" i="29"/>
  <c r="E227" i="38"/>
  <c r="Q227" i="38"/>
  <c r="AC227" i="38"/>
  <c r="AO227" i="38"/>
  <c r="BA227" i="38"/>
  <c r="BM227" i="38"/>
  <c r="BY227" i="38"/>
  <c r="CK227" i="38"/>
  <c r="CW227" i="38"/>
  <c r="DI227" i="38"/>
  <c r="DU227" i="38"/>
  <c r="J58" i="213"/>
  <c r="J71" i="213"/>
  <c r="H20" i="29"/>
  <c r="H33" i="29"/>
  <c r="H46" i="29"/>
  <c r="H59" i="29"/>
  <c r="H72" i="29"/>
  <c r="H85" i="29"/>
  <c r="F227" i="38"/>
  <c r="R227" i="38"/>
  <c r="AD227" i="38"/>
  <c r="AP227" i="38"/>
  <c r="BB227" i="38"/>
  <c r="BN227" i="38"/>
  <c r="BZ227" i="38"/>
  <c r="CL227" i="38"/>
  <c r="CX227" i="38"/>
  <c r="DJ227" i="38"/>
  <c r="DV227" i="38"/>
  <c r="G227" i="38"/>
  <c r="S227" i="38"/>
  <c r="AE227" i="38"/>
  <c r="AR227" i="38"/>
  <c r="BC227" i="38"/>
  <c r="BO227" i="38"/>
  <c r="CA227" i="38"/>
  <c r="CM227" i="38"/>
  <c r="CY227" i="38"/>
  <c r="DK227" i="38"/>
  <c r="DW227" i="38"/>
  <c r="H227" i="38"/>
  <c r="T227" i="38"/>
  <c r="AF227" i="38"/>
  <c r="BD227" i="38"/>
  <c r="BP227" i="38"/>
  <c r="CB227" i="38"/>
  <c r="CN227" i="38"/>
  <c r="CZ227" i="38"/>
  <c r="DL227" i="38"/>
  <c r="DX227" i="38"/>
  <c r="C21" i="1"/>
  <c r="D21" i="1"/>
  <c r="D23" i="1"/>
  <c r="F18" i="216"/>
  <c r="F31" i="216"/>
  <c r="F44" i="216"/>
  <c r="F57" i="216"/>
  <c r="F70" i="216"/>
  <c r="F83" i="216"/>
  <c r="E23" i="1"/>
  <c r="G19" i="216"/>
  <c r="G18" i="216"/>
  <c r="G32" i="216"/>
  <c r="G31" i="216"/>
  <c r="G45" i="216"/>
  <c r="G44" i="216"/>
  <c r="G58" i="216"/>
  <c r="G57" i="216"/>
  <c r="G71" i="216"/>
  <c r="G70" i="216"/>
  <c r="G84" i="216"/>
  <c r="G83" i="216"/>
  <c r="F21" i="1"/>
  <c r="F23" i="1"/>
  <c r="H20" i="216"/>
  <c r="H18" i="216"/>
  <c r="H19" i="216"/>
  <c r="H33" i="216"/>
  <c r="H31" i="216"/>
  <c r="H32" i="216"/>
  <c r="H46" i="216"/>
  <c r="H44" i="216"/>
  <c r="H45" i="216"/>
  <c r="H59" i="216"/>
  <c r="H57" i="216"/>
  <c r="H58" i="216"/>
  <c r="H72" i="216"/>
  <c r="H70" i="216"/>
  <c r="H71" i="216"/>
  <c r="H85" i="216"/>
  <c r="H83" i="216"/>
  <c r="H84" i="216"/>
  <c r="I83" i="216"/>
  <c r="I84" i="216"/>
  <c r="I85" i="216"/>
  <c r="I70" i="216"/>
  <c r="I71" i="216"/>
  <c r="I72" i="216"/>
  <c r="I57" i="216"/>
  <c r="I58" i="216"/>
  <c r="I59" i="216"/>
  <c r="I44" i="216"/>
  <c r="I45" i="216"/>
  <c r="I46" i="216"/>
  <c r="I31" i="216"/>
  <c r="I32" i="216"/>
  <c r="I33" i="216"/>
  <c r="I18" i="216"/>
  <c r="I19" i="216"/>
  <c r="I20" i="216"/>
  <c r="G21" i="1"/>
  <c r="G23" i="1"/>
  <c r="J83" i="216"/>
  <c r="J84" i="216"/>
  <c r="J85" i="216"/>
  <c r="J70" i="216"/>
  <c r="J71" i="216"/>
  <c r="J72" i="216"/>
  <c r="J57" i="216"/>
  <c r="J58" i="216"/>
  <c r="J59" i="216"/>
  <c r="J44" i="216"/>
  <c r="J45" i="216"/>
  <c r="J46" i="216"/>
  <c r="J31" i="216"/>
  <c r="J32" i="216"/>
  <c r="J33" i="216"/>
  <c r="J18" i="216"/>
  <c r="J19" i="216"/>
  <c r="J20" i="216"/>
  <c r="H23" i="1"/>
  <c r="K83" i="216"/>
  <c r="K84" i="216"/>
  <c r="K85" i="216"/>
  <c r="K70" i="216"/>
  <c r="K71" i="216"/>
  <c r="K72" i="216"/>
  <c r="K57" i="216"/>
  <c r="K58" i="216"/>
  <c r="K59" i="216"/>
  <c r="K44" i="216"/>
  <c r="K45" i="216"/>
  <c r="K46" i="216"/>
  <c r="K31" i="216"/>
  <c r="K32" i="216"/>
  <c r="K33" i="216"/>
  <c r="K18" i="216"/>
  <c r="K19" i="216"/>
  <c r="K20" i="216"/>
  <c r="I21" i="1"/>
  <c r="I23" i="1"/>
  <c r="L83" i="216"/>
  <c r="L84" i="216"/>
  <c r="L85" i="216"/>
  <c r="L70" i="216"/>
  <c r="L71" i="216"/>
  <c r="L72" i="216"/>
  <c r="L57" i="216"/>
  <c r="L58" i="216"/>
  <c r="L59" i="216"/>
  <c r="L44" i="216"/>
  <c r="L45" i="216"/>
  <c r="L46" i="216"/>
  <c r="L31" i="216"/>
  <c r="L32" i="216"/>
  <c r="L33" i="216"/>
  <c r="L18" i="216"/>
  <c r="L19" i="216"/>
  <c r="L20" i="216"/>
  <c r="J21" i="1"/>
  <c r="J23" i="1"/>
  <c r="M83" i="216"/>
  <c r="M84" i="216"/>
  <c r="M85" i="216"/>
  <c r="M70" i="216"/>
  <c r="M71" i="216"/>
  <c r="M72" i="216"/>
  <c r="M57" i="216"/>
  <c r="M58" i="216"/>
  <c r="M59" i="216"/>
  <c r="M44" i="216"/>
  <c r="M45" i="216"/>
  <c r="M46" i="216"/>
  <c r="M31" i="216"/>
  <c r="M32" i="216"/>
  <c r="M33" i="216"/>
  <c r="M18" i="216"/>
  <c r="M19" i="216"/>
  <c r="M20" i="216"/>
  <c r="K23" i="1"/>
  <c r="N83" i="216"/>
  <c r="N84" i="216"/>
  <c r="N85" i="216"/>
  <c r="N70" i="216"/>
  <c r="N71" i="216"/>
  <c r="N72" i="216"/>
  <c r="N57" i="216"/>
  <c r="N58" i="216"/>
  <c r="N59" i="216"/>
  <c r="N44" i="216"/>
  <c r="N45" i="216"/>
  <c r="N46" i="216"/>
  <c r="N31" i="216"/>
  <c r="N32" i="216"/>
  <c r="N33" i="216"/>
  <c r="N18" i="216"/>
  <c r="N19" i="216"/>
  <c r="N20" i="216"/>
  <c r="L21" i="1"/>
  <c r="L23" i="1"/>
  <c r="O83" i="216"/>
  <c r="O84" i="216"/>
  <c r="O85" i="216"/>
  <c r="O70" i="216"/>
  <c r="O71" i="216"/>
  <c r="O72" i="216"/>
  <c r="O57" i="216"/>
  <c r="O58" i="216"/>
  <c r="O59" i="216"/>
  <c r="O44" i="216"/>
  <c r="O45" i="216"/>
  <c r="O46" i="216"/>
  <c r="O31" i="216"/>
  <c r="O32" i="216"/>
  <c r="O33" i="216"/>
  <c r="O18" i="216"/>
  <c r="O19" i="216"/>
  <c r="O20" i="216"/>
  <c r="M21" i="1"/>
  <c r="M23" i="1"/>
  <c r="P83" i="216"/>
  <c r="P84" i="216"/>
  <c r="P85" i="216"/>
  <c r="P70" i="216"/>
  <c r="P71" i="216"/>
  <c r="P72" i="216"/>
  <c r="P57" i="216"/>
  <c r="P58" i="216"/>
  <c r="P59" i="216"/>
  <c r="P44" i="216"/>
  <c r="P45" i="216"/>
  <c r="P46" i="216"/>
  <c r="P31" i="216"/>
  <c r="P32" i="216"/>
  <c r="P33" i="216"/>
  <c r="P18" i="216"/>
  <c r="P19" i="216"/>
  <c r="P20" i="216"/>
  <c r="N23" i="1"/>
  <c r="E18" i="239"/>
  <c r="E19" i="239"/>
  <c r="E20" i="239"/>
  <c r="E31" i="239"/>
  <c r="E32" i="239"/>
  <c r="E33" i="239"/>
  <c r="E44" i="239"/>
  <c r="E45" i="239"/>
  <c r="E46" i="239"/>
  <c r="E57" i="239"/>
  <c r="E58" i="239"/>
  <c r="E59" i="239"/>
  <c r="E70" i="239"/>
  <c r="E71" i="239"/>
  <c r="E72" i="239"/>
  <c r="E83" i="239"/>
  <c r="E84" i="239"/>
  <c r="E85" i="239"/>
  <c r="D21" i="249"/>
  <c r="D23" i="249"/>
  <c r="F18" i="239"/>
  <c r="F19" i="239"/>
  <c r="F20" i="239"/>
  <c r="F31" i="239"/>
  <c r="F32" i="239"/>
  <c r="F33" i="239"/>
  <c r="F44" i="239"/>
  <c r="F45" i="239"/>
  <c r="F46" i="239"/>
  <c r="F57" i="239"/>
  <c r="F58" i="239"/>
  <c r="F59" i="239"/>
  <c r="F70" i="239"/>
  <c r="F71" i="239"/>
  <c r="F72" i="239"/>
  <c r="F83" i="239"/>
  <c r="F84" i="239"/>
  <c r="F85" i="239"/>
  <c r="E21" i="249"/>
  <c r="E23" i="249"/>
  <c r="G19" i="239"/>
  <c r="G18" i="239"/>
  <c r="G20" i="239"/>
  <c r="G32" i="239"/>
  <c r="G31" i="239"/>
  <c r="G33" i="239"/>
  <c r="G45" i="239"/>
  <c r="G44" i="239"/>
  <c r="G46" i="239"/>
  <c r="G58" i="239"/>
  <c r="G57" i="239"/>
  <c r="G59" i="239"/>
  <c r="G71" i="239"/>
  <c r="G70" i="239"/>
  <c r="G72" i="239"/>
  <c r="G84" i="239"/>
  <c r="G83" i="239"/>
  <c r="G85" i="239"/>
  <c r="F21" i="249"/>
  <c r="F23" i="249"/>
  <c r="H20" i="239"/>
  <c r="H18" i="239"/>
  <c r="H19" i="239"/>
  <c r="H33" i="239"/>
  <c r="H31" i="239"/>
  <c r="H32" i="239"/>
  <c r="H46" i="239"/>
  <c r="H44" i="239"/>
  <c r="H45" i="239"/>
  <c r="H59" i="239"/>
  <c r="H57" i="239"/>
  <c r="H58" i="239"/>
  <c r="H72" i="239"/>
  <c r="H70" i="239"/>
  <c r="H71" i="239"/>
  <c r="H85" i="239"/>
  <c r="H83" i="239"/>
  <c r="H84" i="239"/>
  <c r="I83" i="239"/>
  <c r="I84" i="239"/>
  <c r="I85" i="239"/>
  <c r="I70" i="239"/>
  <c r="I71" i="239"/>
  <c r="I72" i="239"/>
  <c r="I57" i="239"/>
  <c r="I58" i="239"/>
  <c r="I59" i="239"/>
  <c r="I44" i="239"/>
  <c r="I45" i="239"/>
  <c r="I46" i="239"/>
  <c r="I31" i="239"/>
  <c r="I32" i="239"/>
  <c r="I33" i="239"/>
  <c r="I18" i="239"/>
  <c r="I19" i="239"/>
  <c r="I20" i="239"/>
  <c r="G21" i="249"/>
  <c r="G23" i="249"/>
  <c r="J83" i="239"/>
  <c r="J84" i="239"/>
  <c r="J85" i="239"/>
  <c r="J70" i="239"/>
  <c r="J71" i="239"/>
  <c r="J72" i="239"/>
  <c r="J57" i="239"/>
  <c r="J58" i="239"/>
  <c r="J59" i="239"/>
  <c r="J44" i="239"/>
  <c r="J45" i="239"/>
  <c r="J46" i="239"/>
  <c r="J31" i="239"/>
  <c r="J32" i="239"/>
  <c r="J33" i="239"/>
  <c r="J18" i="239"/>
  <c r="J19" i="239"/>
  <c r="J20" i="239"/>
  <c r="H21" i="249"/>
  <c r="H23" i="249"/>
  <c r="K83" i="239"/>
  <c r="K84" i="239"/>
  <c r="K85" i="239"/>
  <c r="K70" i="239"/>
  <c r="K71" i="239"/>
  <c r="K72" i="239"/>
  <c r="K57" i="239"/>
  <c r="K58" i="239"/>
  <c r="K59" i="239"/>
  <c r="K44" i="239"/>
  <c r="K45" i="239"/>
  <c r="K46" i="239"/>
  <c r="K31" i="239"/>
  <c r="K32" i="239"/>
  <c r="K33" i="239"/>
  <c r="K18" i="239"/>
  <c r="K19" i="239"/>
  <c r="K20" i="239"/>
  <c r="I21" i="249"/>
  <c r="I23" i="249"/>
  <c r="L83" i="239"/>
  <c r="L84" i="239"/>
  <c r="L85" i="239"/>
  <c r="L70" i="239"/>
  <c r="L71" i="239"/>
  <c r="L72" i="239"/>
  <c r="L57" i="239"/>
  <c r="L58" i="239"/>
  <c r="L59" i="239"/>
  <c r="L44" i="239"/>
  <c r="L45" i="239"/>
  <c r="L46" i="239"/>
  <c r="L31" i="239"/>
  <c r="L32" i="239"/>
  <c r="L33" i="239"/>
  <c r="L18" i="239"/>
  <c r="L19" i="239"/>
  <c r="L20" i="239"/>
  <c r="J21" i="249"/>
  <c r="J23" i="249"/>
  <c r="M83" i="239"/>
  <c r="M84" i="239"/>
  <c r="M85" i="239"/>
  <c r="M70" i="239"/>
  <c r="M71" i="239"/>
  <c r="M72" i="239"/>
  <c r="M57" i="239"/>
  <c r="M58" i="239"/>
  <c r="M59" i="239"/>
  <c r="M44" i="239"/>
  <c r="M45" i="239"/>
  <c r="M46" i="239"/>
  <c r="M31" i="239"/>
  <c r="M32" i="239"/>
  <c r="M33" i="239"/>
  <c r="M18" i="239"/>
  <c r="M19" i="239"/>
  <c r="M20" i="239"/>
  <c r="K21" i="249"/>
  <c r="K23" i="249"/>
  <c r="N83" i="239"/>
  <c r="N84" i="239"/>
  <c r="N85" i="239"/>
  <c r="N70" i="239"/>
  <c r="N71" i="239"/>
  <c r="N72" i="239"/>
  <c r="N57" i="239"/>
  <c r="N58" i="239"/>
  <c r="N59" i="239"/>
  <c r="N44" i="239"/>
  <c r="N45" i="239"/>
  <c r="N46" i="239"/>
  <c r="N31" i="239"/>
  <c r="N32" i="239"/>
  <c r="N33" i="239"/>
  <c r="N18" i="239"/>
  <c r="N19" i="239"/>
  <c r="N20" i="239"/>
  <c r="L21" i="249"/>
  <c r="L23" i="249"/>
  <c r="O83" i="239"/>
  <c r="O84" i="239"/>
  <c r="O85" i="239"/>
  <c r="O70" i="239"/>
  <c r="O71" i="239"/>
  <c r="O72" i="239"/>
  <c r="O57" i="239"/>
  <c r="O58" i="239"/>
  <c r="O59" i="239"/>
  <c r="O44" i="239"/>
  <c r="O45" i="239"/>
  <c r="O46" i="239"/>
  <c r="O31" i="239"/>
  <c r="O32" i="239"/>
  <c r="O33" i="239"/>
  <c r="O18" i="239"/>
  <c r="O19" i="239"/>
  <c r="O20" i="239"/>
  <c r="M21" i="249"/>
  <c r="M23" i="249"/>
  <c r="P83" i="239"/>
  <c r="P84" i="239"/>
  <c r="P85" i="239"/>
  <c r="P70" i="239"/>
  <c r="P71" i="239"/>
  <c r="P72" i="239"/>
  <c r="P57" i="239"/>
  <c r="P58" i="239"/>
  <c r="P59" i="239"/>
  <c r="P44" i="239"/>
  <c r="P45" i="239"/>
  <c r="P46" i="239"/>
  <c r="P31" i="239"/>
  <c r="P32" i="239"/>
  <c r="P33" i="239"/>
  <c r="P18" i="239"/>
  <c r="P19" i="239"/>
  <c r="P20" i="239"/>
  <c r="N21" i="249"/>
  <c r="N23" i="249"/>
  <c r="E18" i="240"/>
  <c r="E19" i="240"/>
  <c r="E20" i="240"/>
  <c r="E31" i="240"/>
  <c r="E32" i="240"/>
  <c r="E33" i="240"/>
  <c r="E44" i="240"/>
  <c r="E45" i="240"/>
  <c r="E46" i="240"/>
  <c r="E57" i="240"/>
  <c r="E58" i="240"/>
  <c r="E59" i="240"/>
  <c r="E70" i="240"/>
  <c r="E71" i="240"/>
  <c r="E72" i="240"/>
  <c r="E83" i="240"/>
  <c r="E84" i="240"/>
  <c r="E85" i="240"/>
  <c r="D21" i="252"/>
  <c r="D23" i="252"/>
  <c r="F18" i="240"/>
  <c r="F19" i="240"/>
  <c r="F20" i="240"/>
  <c r="F31" i="240"/>
  <c r="F32" i="240"/>
  <c r="F33" i="240"/>
  <c r="F44" i="240"/>
  <c r="F45" i="240"/>
  <c r="F46" i="240"/>
  <c r="F57" i="240"/>
  <c r="F58" i="240"/>
  <c r="F59" i="240"/>
  <c r="F70" i="240"/>
  <c r="F71" i="240"/>
  <c r="F72" i="240"/>
  <c r="F83" i="240"/>
  <c r="F84" i="240"/>
  <c r="F85" i="240"/>
  <c r="E21" i="252"/>
  <c r="E23" i="252"/>
  <c r="G19" i="240"/>
  <c r="G18" i="240"/>
  <c r="G20" i="240"/>
  <c r="G32" i="240"/>
  <c r="G31" i="240"/>
  <c r="G33" i="240"/>
  <c r="G45" i="240"/>
  <c r="G44" i="240"/>
  <c r="G46" i="240"/>
  <c r="G58" i="240"/>
  <c r="G57" i="240"/>
  <c r="G59" i="240"/>
  <c r="G71" i="240"/>
  <c r="G70" i="240"/>
  <c r="G72" i="240"/>
  <c r="G84" i="240"/>
  <c r="G83" i="240"/>
  <c r="G85" i="240"/>
  <c r="F21" i="252"/>
  <c r="F23" i="252"/>
  <c r="H20" i="240"/>
  <c r="H18" i="240"/>
  <c r="H19" i="240"/>
  <c r="H33" i="240"/>
  <c r="H31" i="240"/>
  <c r="H32" i="240"/>
  <c r="H46" i="240"/>
  <c r="H44" i="240"/>
  <c r="H45" i="240"/>
  <c r="H59" i="240"/>
  <c r="H57" i="240"/>
  <c r="H58" i="240"/>
  <c r="H72" i="240"/>
  <c r="H70" i="240"/>
  <c r="H71" i="240"/>
  <c r="H85" i="240"/>
  <c r="H83" i="240"/>
  <c r="H84" i="240"/>
  <c r="I83" i="240"/>
  <c r="I84" i="240"/>
  <c r="I85" i="240"/>
  <c r="I70" i="240"/>
  <c r="I71" i="240"/>
  <c r="I72" i="240"/>
  <c r="I57" i="240"/>
  <c r="I58" i="240"/>
  <c r="I59" i="240"/>
  <c r="I44" i="240"/>
  <c r="I45" i="240"/>
  <c r="I46" i="240"/>
  <c r="I31" i="240"/>
  <c r="I32" i="240"/>
  <c r="I33" i="240"/>
  <c r="I18" i="240"/>
  <c r="I19" i="240"/>
  <c r="I20" i="240"/>
  <c r="G21" i="252"/>
  <c r="G23" i="252"/>
  <c r="J83" i="240"/>
  <c r="J84" i="240"/>
  <c r="J85" i="240"/>
  <c r="J70" i="240"/>
  <c r="J71" i="240"/>
  <c r="J72" i="240"/>
  <c r="J57" i="240"/>
  <c r="J58" i="240"/>
  <c r="J59" i="240"/>
  <c r="J44" i="240"/>
  <c r="J45" i="240"/>
  <c r="J46" i="240"/>
  <c r="J31" i="240"/>
  <c r="J32" i="240"/>
  <c r="J33" i="240"/>
  <c r="J18" i="240"/>
  <c r="J19" i="240"/>
  <c r="J20" i="240"/>
  <c r="H21" i="252"/>
  <c r="H23" i="252"/>
  <c r="K83" i="240"/>
  <c r="K84" i="240"/>
  <c r="K85" i="240"/>
  <c r="K70" i="240"/>
  <c r="K71" i="240"/>
  <c r="K72" i="240"/>
  <c r="K57" i="240"/>
  <c r="K58" i="240"/>
  <c r="K59" i="240"/>
  <c r="K44" i="240"/>
  <c r="K45" i="240"/>
  <c r="K46" i="240"/>
  <c r="K31" i="240"/>
  <c r="K32" i="240"/>
  <c r="K33" i="240"/>
  <c r="K18" i="240"/>
  <c r="K19" i="240"/>
  <c r="K20" i="240"/>
  <c r="I21" i="252"/>
  <c r="I23" i="252"/>
  <c r="L83" i="240"/>
  <c r="L84" i="240"/>
  <c r="L85" i="240"/>
  <c r="L70" i="240"/>
  <c r="L71" i="240"/>
  <c r="L72" i="240"/>
  <c r="L57" i="240"/>
  <c r="L58" i="240"/>
  <c r="L59" i="240"/>
  <c r="L44" i="240"/>
  <c r="L45" i="240"/>
  <c r="L46" i="240"/>
  <c r="L31" i="240"/>
  <c r="L32" i="240"/>
  <c r="L33" i="240"/>
  <c r="L18" i="240"/>
  <c r="L19" i="240"/>
  <c r="L20" i="240"/>
  <c r="J21" i="252"/>
  <c r="J23" i="252"/>
  <c r="M83" i="240"/>
  <c r="M84" i="240"/>
  <c r="M85" i="240"/>
  <c r="M70" i="240"/>
  <c r="M71" i="240"/>
  <c r="M72" i="240"/>
  <c r="M57" i="240"/>
  <c r="M58" i="240"/>
  <c r="M59" i="240"/>
  <c r="M44" i="240"/>
  <c r="M45" i="240"/>
  <c r="M46" i="240"/>
  <c r="M31" i="240"/>
  <c r="M32" i="240"/>
  <c r="M33" i="240"/>
  <c r="M18" i="240"/>
  <c r="M19" i="240"/>
  <c r="M20" i="240"/>
  <c r="K21" i="252"/>
  <c r="K23" i="252"/>
  <c r="N83" i="240"/>
  <c r="N84" i="240"/>
  <c r="N85" i="240"/>
  <c r="N70" i="240"/>
  <c r="N71" i="240"/>
  <c r="N72" i="240"/>
  <c r="N57" i="240"/>
  <c r="N58" i="240"/>
  <c r="N59" i="240"/>
  <c r="N44" i="240"/>
  <c r="N45" i="240"/>
  <c r="N46" i="240"/>
  <c r="N31" i="240"/>
  <c r="N32" i="240"/>
  <c r="N33" i="240"/>
  <c r="N18" i="240"/>
  <c r="N19" i="240"/>
  <c r="N20" i="240"/>
  <c r="L21" i="252"/>
  <c r="L23" i="252"/>
  <c r="O83" i="240"/>
  <c r="O84" i="240"/>
  <c r="O85" i="240"/>
  <c r="O70" i="240"/>
  <c r="O71" i="240"/>
  <c r="O72" i="240"/>
  <c r="O57" i="240"/>
  <c r="O58" i="240"/>
  <c r="O59" i="240"/>
  <c r="O44" i="240"/>
  <c r="O45" i="240"/>
  <c r="O46" i="240"/>
  <c r="O31" i="240"/>
  <c r="O32" i="240"/>
  <c r="O33" i="240"/>
  <c r="O18" i="240"/>
  <c r="O19" i="240"/>
  <c r="O20" i="240"/>
  <c r="M21" i="252"/>
  <c r="M23" i="252"/>
  <c r="P83" i="240"/>
  <c r="P84" i="240"/>
  <c r="P85" i="240"/>
  <c r="P70" i="240"/>
  <c r="P71" i="240"/>
  <c r="P72" i="240"/>
  <c r="P57" i="240"/>
  <c r="P58" i="240"/>
  <c r="P59" i="240"/>
  <c r="P44" i="240"/>
  <c r="P45" i="240"/>
  <c r="P46" i="240"/>
  <c r="P31" i="240"/>
  <c r="P32" i="240"/>
  <c r="P33" i="240"/>
  <c r="P18" i="240"/>
  <c r="P19" i="240"/>
  <c r="P20" i="240"/>
  <c r="N21" i="252"/>
  <c r="N23" i="252"/>
  <c r="O22" i="252"/>
  <c r="D21" i="253"/>
  <c r="D23" i="253"/>
  <c r="E21" i="253"/>
  <c r="E23" i="253"/>
  <c r="F21" i="253"/>
  <c r="F23" i="253"/>
  <c r="G21" i="253"/>
  <c r="G23" i="253"/>
  <c r="H21" i="253"/>
  <c r="H23" i="253"/>
  <c r="I21" i="253"/>
  <c r="I23" i="253"/>
  <c r="J21" i="253"/>
  <c r="J23" i="253"/>
  <c r="K21" i="253"/>
  <c r="K23" i="253"/>
  <c r="L21" i="253"/>
  <c r="L23" i="253"/>
  <c r="M21" i="253"/>
  <c r="M23" i="253"/>
  <c r="A15" i="213"/>
  <c r="C16" i="29" s="1"/>
  <c r="C16" i="216" s="1"/>
  <c r="C87" i="14"/>
  <c r="AL173" i="38"/>
  <c r="AM173" i="38"/>
  <c r="AN173" i="38"/>
  <c r="AO173" i="38"/>
  <c r="AP173" i="38"/>
  <c r="C15" i="14"/>
  <c r="D31" i="14"/>
  <c r="C13" i="10"/>
  <c r="D13" i="10"/>
  <c r="C14" i="10"/>
  <c r="D14" i="10"/>
  <c r="H14" i="10" s="1"/>
  <c r="C15" i="10"/>
  <c r="D15" i="10"/>
  <c r="E15" i="10" s="1"/>
  <c r="C16" i="10"/>
  <c r="D16" i="10"/>
  <c r="E16" i="10" s="1"/>
  <c r="C17" i="10"/>
  <c r="D17" i="10"/>
  <c r="E17" i="10" s="1"/>
  <c r="C18" i="10"/>
  <c r="D18" i="10"/>
  <c r="F18" i="10" s="1"/>
  <c r="E18" i="10"/>
  <c r="C11" i="10"/>
  <c r="N130" i="10" s="1"/>
  <c r="N131" i="10" s="1"/>
  <c r="D11" i="10"/>
  <c r="N11" i="10" s="1"/>
  <c r="E11" i="10"/>
  <c r="C12" i="10"/>
  <c r="D12" i="10"/>
  <c r="L12" i="10" s="1"/>
  <c r="E12" i="10"/>
  <c r="C21" i="10"/>
  <c r="D21" i="10"/>
  <c r="O21" i="10" s="1"/>
  <c r="C22" i="10"/>
  <c r="D22" i="10"/>
  <c r="K22" i="10" s="1"/>
  <c r="C19" i="10"/>
  <c r="D19" i="10"/>
  <c r="K19" i="10" s="1"/>
  <c r="E19" i="10"/>
  <c r="C20" i="10"/>
  <c r="D20" i="10"/>
  <c r="E20" i="10" s="1"/>
  <c r="D22" i="14"/>
  <c r="P22" i="14" s="1"/>
  <c r="H25" i="213"/>
  <c r="H16" i="213" s="1"/>
  <c r="F11" i="10"/>
  <c r="B129" i="10"/>
  <c r="B133" i="10" s="1"/>
  <c r="B131" i="10"/>
  <c r="B135" i="10" s="1"/>
  <c r="F19" i="10"/>
  <c r="G83" i="29"/>
  <c r="G70" i="29"/>
  <c r="G57" i="29"/>
  <c r="G44" i="29"/>
  <c r="G31" i="29"/>
  <c r="I25" i="213"/>
  <c r="I16" i="213" s="1"/>
  <c r="G16" i="10"/>
  <c r="G17" i="10"/>
  <c r="G11" i="10"/>
  <c r="G12" i="10"/>
  <c r="H83" i="29"/>
  <c r="H84" i="29"/>
  <c r="H70" i="29"/>
  <c r="H71" i="29"/>
  <c r="H57" i="29"/>
  <c r="H58" i="29"/>
  <c r="H44" i="29"/>
  <c r="H45" i="29"/>
  <c r="H31" i="29"/>
  <c r="H32" i="29"/>
  <c r="H19" i="29"/>
  <c r="J25" i="213"/>
  <c r="H13" i="10"/>
  <c r="H11" i="10"/>
  <c r="H21" i="10"/>
  <c r="I83" i="29"/>
  <c r="I84" i="29"/>
  <c r="I85" i="29"/>
  <c r="I70" i="29"/>
  <c r="I71" i="29"/>
  <c r="I72" i="29"/>
  <c r="I57" i="29"/>
  <c r="I58" i="29"/>
  <c r="I59" i="29"/>
  <c r="I44" i="29"/>
  <c r="I45" i="29"/>
  <c r="I46" i="29"/>
  <c r="I31" i="29"/>
  <c r="I32" i="29"/>
  <c r="I33" i="29"/>
  <c r="I19" i="29"/>
  <c r="I20" i="29"/>
  <c r="K25" i="213"/>
  <c r="I24" i="29" s="1"/>
  <c r="I13" i="10"/>
  <c r="I14" i="10"/>
  <c r="I16" i="10"/>
  <c r="I11" i="10"/>
  <c r="J83" i="29"/>
  <c r="J84" i="29"/>
  <c r="J85" i="29"/>
  <c r="J70" i="29"/>
  <c r="J71" i="29"/>
  <c r="J72" i="29"/>
  <c r="J57" i="29"/>
  <c r="J58" i="29"/>
  <c r="J59" i="29"/>
  <c r="J44" i="29"/>
  <c r="J45" i="29"/>
  <c r="J46" i="29"/>
  <c r="J31" i="29"/>
  <c r="J32" i="29"/>
  <c r="J33" i="29"/>
  <c r="J19" i="29"/>
  <c r="J20" i="29"/>
  <c r="L25" i="213"/>
  <c r="J13" i="10"/>
  <c r="J11" i="10"/>
  <c r="J12" i="10"/>
  <c r="J22" i="10"/>
  <c r="K83" i="29"/>
  <c r="K84" i="29"/>
  <c r="K85" i="29"/>
  <c r="K70" i="29"/>
  <c r="K71" i="29"/>
  <c r="K72" i="29"/>
  <c r="K57" i="29"/>
  <c r="K58" i="29"/>
  <c r="K59" i="29"/>
  <c r="K44" i="29"/>
  <c r="K45" i="29"/>
  <c r="K46" i="29"/>
  <c r="K31" i="29"/>
  <c r="K32" i="29"/>
  <c r="K33" i="29"/>
  <c r="K19" i="29"/>
  <c r="K20" i="29"/>
  <c r="M25" i="213"/>
  <c r="K13" i="10"/>
  <c r="K14" i="10"/>
  <c r="K16" i="10"/>
  <c r="K17" i="10"/>
  <c r="K11" i="10"/>
  <c r="K12" i="10"/>
  <c r="L83" i="29"/>
  <c r="L84" i="29"/>
  <c r="L85" i="29"/>
  <c r="L70" i="29"/>
  <c r="L71" i="29"/>
  <c r="L72" i="29"/>
  <c r="L57" i="29"/>
  <c r="L58" i="29"/>
  <c r="L59" i="29"/>
  <c r="L44" i="29"/>
  <c r="L45" i="29"/>
  <c r="L46" i="29"/>
  <c r="L31" i="29"/>
  <c r="L32" i="29"/>
  <c r="L33" i="29"/>
  <c r="L19" i="29"/>
  <c r="L20" i="29"/>
  <c r="N25" i="213"/>
  <c r="O17" i="213" s="1"/>
  <c r="L13" i="10"/>
  <c r="L14" i="10"/>
  <c r="L16" i="10"/>
  <c r="L17" i="10"/>
  <c r="L11" i="10"/>
  <c r="L19" i="10"/>
  <c r="M83" i="29"/>
  <c r="M84" i="29"/>
  <c r="M85" i="29"/>
  <c r="M70" i="29"/>
  <c r="M71" i="29"/>
  <c r="M72" i="29"/>
  <c r="M57" i="29"/>
  <c r="M58" i="29"/>
  <c r="M59" i="29"/>
  <c r="M44" i="29"/>
  <c r="M45" i="29"/>
  <c r="M46" i="29"/>
  <c r="M31" i="29"/>
  <c r="M32" i="29"/>
  <c r="M33" i="29"/>
  <c r="M19" i="29"/>
  <c r="M20" i="29"/>
  <c r="O25" i="213"/>
  <c r="O16" i="213" s="1"/>
  <c r="M13" i="10"/>
  <c r="M14" i="10"/>
  <c r="M11" i="10"/>
  <c r="N83" i="29"/>
  <c r="N84" i="29"/>
  <c r="N85" i="29"/>
  <c r="N70" i="29"/>
  <c r="N71" i="29"/>
  <c r="N72" i="29"/>
  <c r="N57" i="29"/>
  <c r="N58" i="29"/>
  <c r="N59" i="29"/>
  <c r="N44" i="29"/>
  <c r="N45" i="29"/>
  <c r="N46" i="29"/>
  <c r="N31" i="29"/>
  <c r="N32" i="29"/>
  <c r="N33" i="29"/>
  <c r="N17" i="29"/>
  <c r="N19" i="29"/>
  <c r="N20" i="29"/>
  <c r="P25" i="213"/>
  <c r="P16" i="213" s="1"/>
  <c r="N13" i="10"/>
  <c r="N14" i="10"/>
  <c r="N17" i="10"/>
  <c r="N21" i="10"/>
  <c r="O83" i="29"/>
  <c r="O84" i="29"/>
  <c r="O85" i="29"/>
  <c r="O70" i="29"/>
  <c r="O71" i="29"/>
  <c r="O72" i="29"/>
  <c r="O57" i="29"/>
  <c r="O58" i="29"/>
  <c r="O59" i="29"/>
  <c r="O44" i="29"/>
  <c r="O45" i="29"/>
  <c r="O46" i="29"/>
  <c r="O31" i="29"/>
  <c r="O32" i="29"/>
  <c r="O33" i="29"/>
  <c r="O19" i="29"/>
  <c r="O20" i="29"/>
  <c r="Q25" i="213"/>
  <c r="O13" i="10"/>
  <c r="O14" i="10"/>
  <c r="O16" i="10"/>
  <c r="O11" i="10"/>
  <c r="O20" i="10"/>
  <c r="P83" i="29"/>
  <c r="P84" i="29"/>
  <c r="P85" i="29"/>
  <c r="P70" i="29"/>
  <c r="P71" i="29"/>
  <c r="P72" i="29"/>
  <c r="P57" i="29"/>
  <c r="P58" i="29"/>
  <c r="P59" i="29"/>
  <c r="P44" i="29"/>
  <c r="P45" i="29"/>
  <c r="P46" i="29"/>
  <c r="P31" i="29"/>
  <c r="P32" i="29"/>
  <c r="P33" i="29"/>
  <c r="P19" i="29"/>
  <c r="P20" i="29"/>
  <c r="R25" i="213"/>
  <c r="P13" i="10"/>
  <c r="P14" i="10"/>
  <c r="P11" i="10"/>
  <c r="P12" i="10"/>
  <c r="P19" i="10"/>
  <c r="E83" i="216"/>
  <c r="E84" i="216"/>
  <c r="E85" i="216"/>
  <c r="E70" i="216"/>
  <c r="E71" i="216"/>
  <c r="E72" i="216"/>
  <c r="E57" i="216"/>
  <c r="E58" i="216"/>
  <c r="E59" i="216"/>
  <c r="E44" i="216"/>
  <c r="E45" i="216"/>
  <c r="E46" i="216"/>
  <c r="E31" i="216"/>
  <c r="E32" i="216"/>
  <c r="E33" i="216"/>
  <c r="E19" i="216"/>
  <c r="E20" i="216"/>
  <c r="F84" i="216"/>
  <c r="F85" i="216"/>
  <c r="F71" i="216"/>
  <c r="F72" i="216"/>
  <c r="F58" i="216"/>
  <c r="F59" i="216"/>
  <c r="F45" i="216"/>
  <c r="F46" i="216"/>
  <c r="F32" i="216"/>
  <c r="F33" i="216"/>
  <c r="F19" i="216"/>
  <c r="F20" i="216"/>
  <c r="G85" i="216"/>
  <c r="G72" i="216"/>
  <c r="G59" i="216"/>
  <c r="G46" i="216"/>
  <c r="G33" i="216"/>
  <c r="G20" i="216"/>
  <c r="O22" i="269"/>
  <c r="C33" i="10" s="1"/>
  <c r="Z22" i="269"/>
  <c r="Y22" i="269"/>
  <c r="D33" i="10" s="1"/>
  <c r="C22" i="269"/>
  <c r="C22" i="268" s="1"/>
  <c r="C22" i="267" s="1"/>
  <c r="C22" i="266" s="1"/>
  <c r="O23" i="269"/>
  <c r="Z23" i="269"/>
  <c r="Y23" i="269"/>
  <c r="Y23" i="268" s="1"/>
  <c r="D53" i="10" s="1"/>
  <c r="C23" i="269"/>
  <c r="O24" i="269"/>
  <c r="C35" i="10" s="1"/>
  <c r="Z24" i="269"/>
  <c r="Y24" i="269"/>
  <c r="D35" i="10" s="1"/>
  <c r="C24" i="269"/>
  <c r="C24" i="268" s="1"/>
  <c r="C24" i="267" s="1"/>
  <c r="C24" i="266" s="1"/>
  <c r="O25" i="269"/>
  <c r="C36" i="10" s="1"/>
  <c r="Z25" i="269"/>
  <c r="P36" i="10" s="1"/>
  <c r="Y25" i="269"/>
  <c r="D36" i="10" s="1"/>
  <c r="C25" i="269"/>
  <c r="O26" i="269"/>
  <c r="C37" i="10" s="1"/>
  <c r="Z26" i="269"/>
  <c r="I37" i="10" s="1"/>
  <c r="Y26" i="269"/>
  <c r="D37" i="10" s="1"/>
  <c r="C26" i="269"/>
  <c r="O27" i="269"/>
  <c r="Z27" i="269"/>
  <c r="Y27" i="269"/>
  <c r="D38" i="10" s="1"/>
  <c r="C27" i="269"/>
  <c r="O20" i="269"/>
  <c r="Z20" i="269"/>
  <c r="G31" i="10" s="1"/>
  <c r="O15" i="269"/>
  <c r="Y20" i="269"/>
  <c r="D31" i="10" s="1"/>
  <c r="C20" i="269"/>
  <c r="O21" i="269"/>
  <c r="C32" i="10"/>
  <c r="Z21" i="269"/>
  <c r="Y21" i="269"/>
  <c r="Y21" i="268" s="1"/>
  <c r="C21" i="269"/>
  <c r="C21" i="268" s="1"/>
  <c r="C21" i="267" s="1"/>
  <c r="C21" i="266" s="1"/>
  <c r="O30" i="269"/>
  <c r="C41" i="10" s="1"/>
  <c r="Z30" i="269"/>
  <c r="Y30" i="269"/>
  <c r="D41" i="10"/>
  <c r="K41" i="10" s="1"/>
  <c r="C30" i="269"/>
  <c r="C30" i="268" s="1"/>
  <c r="C30" i="267" s="1"/>
  <c r="C30" i="266" s="1"/>
  <c r="O31" i="269"/>
  <c r="C42" i="10" s="1"/>
  <c r="Z31" i="269"/>
  <c r="Z31" i="268" s="1"/>
  <c r="Y31" i="269"/>
  <c r="D42" i="10" s="1"/>
  <c r="C31" i="269"/>
  <c r="O28" i="269"/>
  <c r="C39" i="10" s="1"/>
  <c r="Z28" i="269"/>
  <c r="Z28" i="268" s="1"/>
  <c r="Z28" i="267" s="1"/>
  <c r="Z28" i="266" s="1"/>
  <c r="Y28" i="269"/>
  <c r="Y28" i="268" s="1"/>
  <c r="C28" i="269"/>
  <c r="C28" i="268" s="1"/>
  <c r="C28" i="267" s="1"/>
  <c r="C28" i="266" s="1"/>
  <c r="O29" i="269"/>
  <c r="C40" i="10" s="1"/>
  <c r="Z29" i="269"/>
  <c r="Y29" i="269"/>
  <c r="D40" i="10" s="1"/>
  <c r="C29" i="269"/>
  <c r="F19" i="214"/>
  <c r="F20" i="214"/>
  <c r="Q38" i="29"/>
  <c r="G25" i="214"/>
  <c r="D22" i="269"/>
  <c r="D22" i="268" s="1"/>
  <c r="D22" i="267" s="1"/>
  <c r="D22" i="266" s="1"/>
  <c r="D23" i="269"/>
  <c r="D24" i="269"/>
  <c r="D25" i="269"/>
  <c r="D25" i="268" s="1"/>
  <c r="D25" i="267" s="1"/>
  <c r="D25" i="266" s="1"/>
  <c r="D26" i="269"/>
  <c r="D26" i="268" s="1"/>
  <c r="D27" i="269"/>
  <c r="D27" i="268" s="1"/>
  <c r="D27" i="267" s="1"/>
  <c r="D20" i="269"/>
  <c r="D20" i="268" s="1"/>
  <c r="D20" i="267" s="1"/>
  <c r="D20" i="266" s="1"/>
  <c r="D21" i="269"/>
  <c r="D21" i="268" s="1"/>
  <c r="D21" i="267" s="1"/>
  <c r="D21" i="266" s="1"/>
  <c r="P18" i="269"/>
  <c r="Q18" i="269"/>
  <c r="Q18" i="268" s="1"/>
  <c r="R18" i="269"/>
  <c r="S18" i="269"/>
  <c r="T18" i="269"/>
  <c r="U18" i="269"/>
  <c r="U18" i="268" s="1"/>
  <c r="V18" i="269"/>
  <c r="D30" i="269"/>
  <c r="D31" i="269"/>
  <c r="D31" i="268" s="1"/>
  <c r="D31" i="267" s="1"/>
  <c r="D31" i="266" s="1"/>
  <c r="D28" i="269"/>
  <c r="D29" i="269"/>
  <c r="D29" i="268" s="1"/>
  <c r="D29" i="267" s="1"/>
  <c r="D29" i="266" s="1"/>
  <c r="H25" i="214"/>
  <c r="H25" i="236" s="1"/>
  <c r="E22" i="269"/>
  <c r="E22" i="268" s="1"/>
  <c r="E22" i="267" s="1"/>
  <c r="E22" i="266" s="1"/>
  <c r="E23" i="269"/>
  <c r="E23" i="268" s="1"/>
  <c r="E23" i="267" s="1"/>
  <c r="E23" i="266" s="1"/>
  <c r="E24" i="269"/>
  <c r="E24" i="268" s="1"/>
  <c r="E24" i="267" s="1"/>
  <c r="E24" i="266" s="1"/>
  <c r="E25" i="269"/>
  <c r="E25" i="268" s="1"/>
  <c r="E25" i="267" s="1"/>
  <c r="E25" i="266" s="1"/>
  <c r="E26" i="269"/>
  <c r="E27" i="269"/>
  <c r="E27" i="268" s="1"/>
  <c r="E27" i="267" s="1"/>
  <c r="E27" i="266" s="1"/>
  <c r="E20" i="269"/>
  <c r="E20" i="268" s="1"/>
  <c r="E20" i="267" s="1"/>
  <c r="E20" i="266" s="1"/>
  <c r="E21" i="269"/>
  <c r="E21" i="268" s="1"/>
  <c r="E21" i="267" s="1"/>
  <c r="E21" i="266" s="1"/>
  <c r="E30" i="269"/>
  <c r="E30" i="268" s="1"/>
  <c r="E30" i="267" s="1"/>
  <c r="E30" i="266" s="1"/>
  <c r="E31" i="269"/>
  <c r="E28" i="269"/>
  <c r="E29" i="269"/>
  <c r="I25" i="214"/>
  <c r="I25" i="236" s="1"/>
  <c r="F22" i="269"/>
  <c r="F23" i="269"/>
  <c r="F24" i="269"/>
  <c r="F25" i="269"/>
  <c r="F26" i="269"/>
  <c r="F27" i="269"/>
  <c r="F20" i="269"/>
  <c r="F21" i="269"/>
  <c r="F30" i="269"/>
  <c r="F31" i="269"/>
  <c r="F28" i="269"/>
  <c r="F29" i="269"/>
  <c r="J25" i="214"/>
  <c r="J25" i="236" s="1"/>
  <c r="G22" i="269"/>
  <c r="G22" i="268" s="1"/>
  <c r="G22" i="267" s="1"/>
  <c r="G22" i="266" s="1"/>
  <c r="G23" i="269"/>
  <c r="G23" i="268" s="1"/>
  <c r="G23" i="267" s="1"/>
  <c r="G23" i="266" s="1"/>
  <c r="G24" i="269"/>
  <c r="G24" i="268" s="1"/>
  <c r="G24" i="267" s="1"/>
  <c r="G24" i="266" s="1"/>
  <c r="G25" i="269"/>
  <c r="G25" i="268" s="1"/>
  <c r="G25" i="267" s="1"/>
  <c r="G25" i="266" s="1"/>
  <c r="G26" i="269"/>
  <c r="G26" i="268" s="1"/>
  <c r="G26" i="267" s="1"/>
  <c r="G26" i="266" s="1"/>
  <c r="G27" i="269"/>
  <c r="G27" i="268" s="1"/>
  <c r="G27" i="267" s="1"/>
  <c r="G27" i="266" s="1"/>
  <c r="G20" i="269"/>
  <c r="G20" i="268" s="1"/>
  <c r="G20" i="267" s="1"/>
  <c r="G20" i="266" s="1"/>
  <c r="G21" i="269"/>
  <c r="G30" i="269"/>
  <c r="G30" i="268" s="1"/>
  <c r="G30" i="267" s="1"/>
  <c r="G30" i="266" s="1"/>
  <c r="G31" i="269"/>
  <c r="G31" i="268" s="1"/>
  <c r="G31" i="267" s="1"/>
  <c r="G31" i="266" s="1"/>
  <c r="G28" i="269"/>
  <c r="G29" i="269"/>
  <c r="K25" i="214"/>
  <c r="H22" i="269"/>
  <c r="H23" i="269"/>
  <c r="H23" i="268" s="1"/>
  <c r="H23" i="267" s="1"/>
  <c r="H23" i="266" s="1"/>
  <c r="H24" i="269"/>
  <c r="H24" i="268" s="1"/>
  <c r="H24" i="267" s="1"/>
  <c r="H24" i="266" s="1"/>
  <c r="H25" i="269"/>
  <c r="H25" i="268" s="1"/>
  <c r="H25" i="267" s="1"/>
  <c r="H25" i="266" s="1"/>
  <c r="H26" i="269"/>
  <c r="H27" i="269"/>
  <c r="H27" i="268" s="1"/>
  <c r="H27" i="267" s="1"/>
  <c r="H20" i="269"/>
  <c r="H20" i="268" s="1"/>
  <c r="H20" i="267" s="1"/>
  <c r="H20" i="266" s="1"/>
  <c r="H21" i="269"/>
  <c r="H30" i="269"/>
  <c r="H30" i="268" s="1"/>
  <c r="H30" i="267" s="1"/>
  <c r="H30" i="266" s="1"/>
  <c r="H31" i="269"/>
  <c r="H28" i="269"/>
  <c r="H28" i="268" s="1"/>
  <c r="H28" i="267" s="1"/>
  <c r="H28" i="266" s="1"/>
  <c r="H29" i="269"/>
  <c r="L25" i="214"/>
  <c r="L25" i="236" s="1"/>
  <c r="I22" i="269"/>
  <c r="I23" i="269"/>
  <c r="I24" i="269"/>
  <c r="I25" i="269"/>
  <c r="I26" i="269"/>
  <c r="I26" i="268" s="1"/>
  <c r="I26" i="267" s="1"/>
  <c r="I26" i="266" s="1"/>
  <c r="I27" i="269"/>
  <c r="I27" i="268" s="1"/>
  <c r="I20" i="269"/>
  <c r="I20" i="268" s="1"/>
  <c r="I20" i="267" s="1"/>
  <c r="I20" i="266" s="1"/>
  <c r="I21" i="269"/>
  <c r="I30" i="269"/>
  <c r="I30" i="268" s="1"/>
  <c r="I31" i="269"/>
  <c r="I31" i="268" s="1"/>
  <c r="I31" i="267" s="1"/>
  <c r="I31" i="266" s="1"/>
  <c r="I28" i="269"/>
  <c r="I29" i="269"/>
  <c r="M25" i="214"/>
  <c r="J22" i="269"/>
  <c r="J23" i="269"/>
  <c r="J23" i="268" s="1"/>
  <c r="J24" i="269"/>
  <c r="J24" i="268" s="1"/>
  <c r="J25" i="269"/>
  <c r="J25" i="268" s="1"/>
  <c r="J26" i="269"/>
  <c r="J27" i="269"/>
  <c r="J20" i="269"/>
  <c r="J21" i="269"/>
  <c r="J30" i="269"/>
  <c r="J30" i="268" s="1"/>
  <c r="J30" i="267" s="1"/>
  <c r="J30" i="266" s="1"/>
  <c r="J31" i="269"/>
  <c r="J28" i="269"/>
  <c r="J29" i="269"/>
  <c r="J29" i="268" s="1"/>
  <c r="J29" i="267" s="1"/>
  <c r="J29" i="266" s="1"/>
  <c r="N25" i="214"/>
  <c r="N25" i="236" s="1"/>
  <c r="K22" i="269"/>
  <c r="K22" i="268" s="1"/>
  <c r="K23" i="269"/>
  <c r="K23" i="268" s="1"/>
  <c r="K24" i="269"/>
  <c r="K25" i="269"/>
  <c r="K25" i="268" s="1"/>
  <c r="K26" i="269"/>
  <c r="K27" i="269"/>
  <c r="K27" i="268" s="1"/>
  <c r="K27" i="267" s="1"/>
  <c r="K20" i="269"/>
  <c r="K21" i="269"/>
  <c r="K30" i="269"/>
  <c r="K30" i="268" s="1"/>
  <c r="K30" i="267" s="1"/>
  <c r="K30" i="266" s="1"/>
  <c r="K31" i="269"/>
  <c r="K28" i="269"/>
  <c r="K28" i="268" s="1"/>
  <c r="K28" i="267" s="1"/>
  <c r="K28" i="266" s="1"/>
  <c r="K29" i="269"/>
  <c r="K29" i="268" s="1"/>
  <c r="K29" i="267" s="1"/>
  <c r="K29" i="266" s="1"/>
  <c r="O25" i="214"/>
  <c r="O25" i="236" s="1"/>
  <c r="O25" i="237" s="1"/>
  <c r="O25" i="238" s="1"/>
  <c r="L22" i="269"/>
  <c r="L22" i="268" s="1"/>
  <c r="L22" i="267" s="1"/>
  <c r="L22" i="266" s="1"/>
  <c r="L23" i="269"/>
  <c r="L23" i="268" s="1"/>
  <c r="L23" i="267" s="1"/>
  <c r="L23" i="266" s="1"/>
  <c r="L24" i="269"/>
  <c r="L24" i="268" s="1"/>
  <c r="L24" i="267" s="1"/>
  <c r="L24" i="266" s="1"/>
  <c r="L25" i="269"/>
  <c r="L25" i="268" s="1"/>
  <c r="L26" i="269"/>
  <c r="L27" i="269"/>
  <c r="L27" i="268" s="1"/>
  <c r="N57" i="10" s="1"/>
  <c r="L20" i="269"/>
  <c r="L20" i="268" s="1"/>
  <c r="L20" i="267" s="1"/>
  <c r="L20" i="266" s="1"/>
  <c r="L21" i="269"/>
  <c r="L21" i="268" s="1"/>
  <c r="L21" i="267" s="1"/>
  <c r="L21" i="266" s="1"/>
  <c r="L30" i="269"/>
  <c r="L30" i="268" s="1"/>
  <c r="L30" i="267" s="1"/>
  <c r="L30" i="266" s="1"/>
  <c r="L31" i="269"/>
  <c r="L31" i="268" s="1"/>
  <c r="L28" i="269"/>
  <c r="L28" i="268" s="1"/>
  <c r="L28" i="267" s="1"/>
  <c r="L28" i="266" s="1"/>
  <c r="L29" i="269"/>
  <c r="P25" i="214"/>
  <c r="P25" i="236" s="1"/>
  <c r="M22" i="269"/>
  <c r="M23" i="269"/>
  <c r="M23" i="268" s="1"/>
  <c r="M23" i="267" s="1"/>
  <c r="M23" i="266" s="1"/>
  <c r="M24" i="269"/>
  <c r="M24" i="268" s="1"/>
  <c r="M25" i="269"/>
  <c r="M25" i="268" s="1"/>
  <c r="M26" i="269"/>
  <c r="M26" i="268" s="1"/>
  <c r="M27" i="269"/>
  <c r="M20" i="269"/>
  <c r="M21" i="269"/>
  <c r="M30" i="269"/>
  <c r="M31" i="269"/>
  <c r="M31" i="268" s="1"/>
  <c r="M28" i="269"/>
  <c r="M29" i="269"/>
  <c r="M29" i="268" s="1"/>
  <c r="Q25" i="214"/>
  <c r="N22" i="269"/>
  <c r="N22" i="268" s="1"/>
  <c r="N22" i="267" s="1"/>
  <c r="N22" i="266" s="1"/>
  <c r="N23" i="269"/>
  <c r="N23" i="268" s="1"/>
  <c r="N23" i="267" s="1"/>
  <c r="N24" i="269"/>
  <c r="N25" i="269"/>
  <c r="N25" i="268" s="1"/>
  <c r="N25" i="267" s="1"/>
  <c r="N25" i="266" s="1"/>
  <c r="N26" i="269"/>
  <c r="N26" i="268" s="1"/>
  <c r="N26" i="267" s="1"/>
  <c r="N26" i="266" s="1"/>
  <c r="N27" i="269"/>
  <c r="N20" i="269"/>
  <c r="N21" i="269"/>
  <c r="N21" i="268" s="1"/>
  <c r="N21" i="267" s="1"/>
  <c r="N21" i="266" s="1"/>
  <c r="N30" i="269"/>
  <c r="N30" i="268" s="1"/>
  <c r="N30" i="267" s="1"/>
  <c r="N30" i="266" s="1"/>
  <c r="N31" i="269"/>
  <c r="N31" i="268" s="1"/>
  <c r="N31" i="267" s="1"/>
  <c r="N31" i="266" s="1"/>
  <c r="N28" i="269"/>
  <c r="N28" i="268" s="1"/>
  <c r="N28" i="267" s="1"/>
  <c r="N29" i="269"/>
  <c r="N29" i="268" s="1"/>
  <c r="N29" i="267" s="1"/>
  <c r="AA22" i="269"/>
  <c r="AA22" i="268" s="1"/>
  <c r="AA22" i="267" s="1"/>
  <c r="AA22" i="266" s="1"/>
  <c r="Z22" i="268"/>
  <c r="Z22" i="267" s="1"/>
  <c r="Y22" i="268"/>
  <c r="D52" i="10" s="1"/>
  <c r="AA23" i="269"/>
  <c r="C23" i="268"/>
  <c r="AA24" i="269"/>
  <c r="AA24" i="268" s="1"/>
  <c r="AA24" i="267" s="1"/>
  <c r="AA24" i="266" s="1"/>
  <c r="Z24" i="268"/>
  <c r="AA25" i="269"/>
  <c r="C25" i="268"/>
  <c r="C25" i="267" s="1"/>
  <c r="C25" i="266" s="1"/>
  <c r="AA26" i="269"/>
  <c r="O26" i="268" s="1"/>
  <c r="C56" i="10" s="1"/>
  <c r="Y26" i="268"/>
  <c r="Y26" i="267" s="1"/>
  <c r="Y26" i="266" s="1"/>
  <c r="D106" i="10" s="1"/>
  <c r="C26" i="268"/>
  <c r="C26" i="267" s="1"/>
  <c r="C26" i="266" s="1"/>
  <c r="AA27" i="269"/>
  <c r="Z27" i="268"/>
  <c r="Z27" i="267" s="1"/>
  <c r="Y27" i="268"/>
  <c r="D57" i="10" s="1"/>
  <c r="C27" i="268"/>
  <c r="C27" i="267" s="1"/>
  <c r="C27" i="266" s="1"/>
  <c r="AA20" i="269"/>
  <c r="AA20" i="268" s="1"/>
  <c r="AA20" i="267" s="1"/>
  <c r="O15" i="268"/>
  <c r="C20" i="268"/>
  <c r="C20" i="267" s="1"/>
  <c r="C20" i="266" s="1"/>
  <c r="AA21" i="269"/>
  <c r="O21" i="268" s="1"/>
  <c r="AA30" i="269"/>
  <c r="O30" i="268" s="1"/>
  <c r="Z30" i="268"/>
  <c r="Z30" i="267" s="1"/>
  <c r="Y30" i="268"/>
  <c r="AA31" i="269"/>
  <c r="AA31" i="268" s="1"/>
  <c r="AA31" i="267" s="1"/>
  <c r="AA31" i="266" s="1"/>
  <c r="C31" i="268"/>
  <c r="AA28" i="269"/>
  <c r="AA29" i="269"/>
  <c r="AA29" i="268" s="1"/>
  <c r="AA29" i="267" s="1"/>
  <c r="AA29" i="266" s="1"/>
  <c r="Z29" i="268"/>
  <c r="Z29" i="267" s="1"/>
  <c r="Y29" i="268"/>
  <c r="D59" i="10" s="1"/>
  <c r="C29" i="268"/>
  <c r="C29" i="267" s="1"/>
  <c r="D23" i="268"/>
  <c r="D24" i="268"/>
  <c r="D24" i="267" s="1"/>
  <c r="D24" i="266" s="1"/>
  <c r="R18" i="268"/>
  <c r="S18" i="268"/>
  <c r="T18" i="268"/>
  <c r="V18" i="268"/>
  <c r="V18" i="267" s="1"/>
  <c r="V18" i="266" s="1"/>
  <c r="D28" i="268"/>
  <c r="D28" i="267" s="1"/>
  <c r="D28" i="266" s="1"/>
  <c r="E26" i="268"/>
  <c r="E31" i="268"/>
  <c r="E31" i="267" s="1"/>
  <c r="E31" i="266" s="1"/>
  <c r="E28" i="268"/>
  <c r="E28" i="267" s="1"/>
  <c r="E28" i="266" s="1"/>
  <c r="E29" i="268"/>
  <c r="E29" i="267" s="1"/>
  <c r="E29" i="266" s="1"/>
  <c r="F22" i="268"/>
  <c r="F22" i="267" s="1"/>
  <c r="F22" i="266" s="1"/>
  <c r="F23" i="268"/>
  <c r="F23" i="267" s="1"/>
  <c r="F23" i="266" s="1"/>
  <c r="F24" i="268"/>
  <c r="F24" i="267" s="1"/>
  <c r="F24" i="266" s="1"/>
  <c r="F27" i="268"/>
  <c r="F27" i="267" s="1"/>
  <c r="F27" i="266" s="1"/>
  <c r="F21" i="268"/>
  <c r="F21" i="267" s="1"/>
  <c r="F21" i="266" s="1"/>
  <c r="F30" i="268"/>
  <c r="F30" i="267" s="1"/>
  <c r="F30" i="266" s="1"/>
  <c r="F31" i="268"/>
  <c r="F31" i="267" s="1"/>
  <c r="F31" i="266" s="1"/>
  <c r="F28" i="268"/>
  <c r="F28" i="267" s="1"/>
  <c r="F28" i="266" s="1"/>
  <c r="G21" i="268"/>
  <c r="G28" i="268"/>
  <c r="G29" i="268"/>
  <c r="H22" i="268"/>
  <c r="H22" i="267" s="1"/>
  <c r="H22" i="266" s="1"/>
  <c r="H26" i="268"/>
  <c r="H26" i="267" s="1"/>
  <c r="H26" i="266" s="1"/>
  <c r="H21" i="268"/>
  <c r="H21" i="267" s="1"/>
  <c r="H21" i="266" s="1"/>
  <c r="H31" i="268"/>
  <c r="H31" i="267" s="1"/>
  <c r="H31" i="266" s="1"/>
  <c r="I22" i="268"/>
  <c r="I23" i="268"/>
  <c r="I23" i="267" s="1"/>
  <c r="I23" i="266" s="1"/>
  <c r="I24" i="268"/>
  <c r="I25" i="268"/>
  <c r="I25" i="267" s="1"/>
  <c r="I25" i="266" s="1"/>
  <c r="I21" i="268"/>
  <c r="I29" i="268"/>
  <c r="I29" i="267" s="1"/>
  <c r="I29" i="266" s="1"/>
  <c r="J22" i="268"/>
  <c r="J26" i="268"/>
  <c r="J26" i="267" s="1"/>
  <c r="J26" i="266" s="1"/>
  <c r="J27" i="268"/>
  <c r="J20" i="268"/>
  <c r="J20" i="267" s="1"/>
  <c r="J20" i="266" s="1"/>
  <c r="J21" i="268"/>
  <c r="J21" i="267" s="1"/>
  <c r="J21" i="266" s="1"/>
  <c r="J31" i="268"/>
  <c r="J28" i="268"/>
  <c r="K24" i="268"/>
  <c r="K31" i="268"/>
  <c r="L26" i="268"/>
  <c r="L29" i="268"/>
  <c r="L29" i="267" s="1"/>
  <c r="M22" i="268"/>
  <c r="M27" i="268"/>
  <c r="M27" i="267" s="1"/>
  <c r="M27" i="266" s="1"/>
  <c r="M20" i="268"/>
  <c r="M20" i="267" s="1"/>
  <c r="M20" i="266" s="1"/>
  <c r="M21" i="268"/>
  <c r="M21" i="267" s="1"/>
  <c r="M21" i="266" s="1"/>
  <c r="M30" i="268"/>
  <c r="M30" i="267" s="1"/>
  <c r="M30" i="266" s="1"/>
  <c r="M28" i="268"/>
  <c r="M28" i="267" s="1"/>
  <c r="M28" i="266" s="1"/>
  <c r="N24" i="268"/>
  <c r="N24" i="267" s="1"/>
  <c r="N24" i="266" s="1"/>
  <c r="N27" i="268"/>
  <c r="N27" i="267" s="1"/>
  <c r="N20" i="268"/>
  <c r="N20" i="267" s="1"/>
  <c r="N20" i="266" s="1"/>
  <c r="Y22" i="267"/>
  <c r="D77" i="10" s="1"/>
  <c r="AA23" i="268"/>
  <c r="AA23" i="267" s="1"/>
  <c r="C23" i="267"/>
  <c r="C23" i="266" s="1"/>
  <c r="AA25" i="268"/>
  <c r="AA25" i="267" s="1"/>
  <c r="AA26" i="268"/>
  <c r="AA27" i="268"/>
  <c r="AA27" i="267" s="1"/>
  <c r="Y27" i="267"/>
  <c r="D82" i="10" s="1"/>
  <c r="C31" i="267"/>
  <c r="C31" i="266" s="1"/>
  <c r="D23" i="267"/>
  <c r="D23" i="266" s="1"/>
  <c r="D26" i="267"/>
  <c r="R18" i="267"/>
  <c r="R18" i="266" s="1"/>
  <c r="S18" i="267"/>
  <c r="S18" i="266" s="1"/>
  <c r="T18" i="267"/>
  <c r="T18" i="266" s="1"/>
  <c r="E26" i="267"/>
  <c r="E26" i="266" s="1"/>
  <c r="G21" i="267"/>
  <c r="G21" i="266" s="1"/>
  <c r="G28" i="267"/>
  <c r="G28" i="266" s="1"/>
  <c r="G29" i="267"/>
  <c r="I22" i="267"/>
  <c r="I22" i="266" s="1"/>
  <c r="I24" i="267"/>
  <c r="I21" i="267"/>
  <c r="I21" i="266" s="1"/>
  <c r="I30" i="267"/>
  <c r="I30" i="266" s="1"/>
  <c r="J23" i="267"/>
  <c r="J23" i="266" s="1"/>
  <c r="J24" i="267"/>
  <c r="J24" i="266" s="1"/>
  <c r="J25" i="267"/>
  <c r="J25" i="266" s="1"/>
  <c r="J28" i="267"/>
  <c r="J28" i="266" s="1"/>
  <c r="L31" i="267"/>
  <c r="L31" i="266" s="1"/>
  <c r="M24" i="267"/>
  <c r="M24" i="266" s="1"/>
  <c r="M29" i="267"/>
  <c r="M29" i="266" s="1"/>
  <c r="AA26" i="267"/>
  <c r="C29" i="266"/>
  <c r="D26" i="266"/>
  <c r="D27" i="266"/>
  <c r="G29" i="266"/>
  <c r="H27" i="266"/>
  <c r="I24" i="266"/>
  <c r="L29" i="266"/>
  <c r="N21" i="253"/>
  <c r="N23" i="253"/>
  <c r="A191" i="38"/>
  <c r="AS162" i="38" s="1"/>
  <c r="A38" i="7" s="1"/>
  <c r="D26" i="273"/>
  <c r="C23" i="253" s="1"/>
  <c r="D26" i="272"/>
  <c r="C23" i="252" s="1"/>
  <c r="D26" i="271"/>
  <c r="C23" i="249" s="1"/>
  <c r="D26" i="270"/>
  <c r="C23" i="1" s="1"/>
  <c r="H267" i="229"/>
  <c r="H266" i="229"/>
  <c r="L265" i="229"/>
  <c r="J265" i="229"/>
  <c r="L264" i="229"/>
  <c r="J264" i="229"/>
  <c r="L263" i="229"/>
  <c r="J263" i="229"/>
  <c r="L262" i="229"/>
  <c r="J262" i="229"/>
  <c r="L261" i="229"/>
  <c r="J261" i="229"/>
  <c r="L260" i="229"/>
  <c r="J260" i="229"/>
  <c r="L259" i="229"/>
  <c r="J259" i="229"/>
  <c r="L258" i="229"/>
  <c r="J258" i="229"/>
  <c r="L257" i="229"/>
  <c r="J257" i="229"/>
  <c r="L256" i="229"/>
  <c r="J256" i="229"/>
  <c r="L255" i="229"/>
  <c r="J255" i="229"/>
  <c r="L254" i="229"/>
  <c r="J254" i="229"/>
  <c r="L253" i="229"/>
  <c r="J253" i="229"/>
  <c r="L252" i="229"/>
  <c r="J252" i="229"/>
  <c r="L251" i="229"/>
  <c r="J251" i="229"/>
  <c r="L250" i="229"/>
  <c r="J250" i="229"/>
  <c r="L249" i="229"/>
  <c r="J249" i="229"/>
  <c r="L248" i="229"/>
  <c r="J248" i="229"/>
  <c r="L247" i="229"/>
  <c r="J247" i="229"/>
  <c r="L246" i="229"/>
  <c r="J246" i="229"/>
  <c r="L245" i="229"/>
  <c r="J245" i="229"/>
  <c r="L244" i="229"/>
  <c r="J244" i="229"/>
  <c r="L243" i="229"/>
  <c r="J243" i="229"/>
  <c r="L242" i="229"/>
  <c r="J242" i="229"/>
  <c r="L241" i="229"/>
  <c r="J241" i="229"/>
  <c r="L240" i="229"/>
  <c r="J240" i="229"/>
  <c r="L239" i="229"/>
  <c r="J239" i="229"/>
  <c r="L238" i="229"/>
  <c r="J238" i="229"/>
  <c r="L237" i="229"/>
  <c r="J237" i="229"/>
  <c r="L236" i="229"/>
  <c r="J236" i="229"/>
  <c r="L235" i="229"/>
  <c r="J235" i="229"/>
  <c r="L234" i="229"/>
  <c r="J234" i="229"/>
  <c r="L233" i="229"/>
  <c r="J233" i="229"/>
  <c r="L232" i="229"/>
  <c r="J232" i="229"/>
  <c r="L231" i="229"/>
  <c r="J231" i="229"/>
  <c r="L230" i="229"/>
  <c r="J230" i="229"/>
  <c r="L229" i="229"/>
  <c r="J229" i="229"/>
  <c r="L228" i="229"/>
  <c r="J228" i="229"/>
  <c r="L227" i="229"/>
  <c r="J227" i="229"/>
  <c r="L226" i="229"/>
  <c r="J226" i="229"/>
  <c r="L225" i="229"/>
  <c r="J225" i="229"/>
  <c r="L224" i="229"/>
  <c r="J224" i="229"/>
  <c r="L223" i="229"/>
  <c r="J223" i="229"/>
  <c r="L222" i="229"/>
  <c r="J222" i="229"/>
  <c r="L221" i="229"/>
  <c r="J221" i="229"/>
  <c r="L220" i="229"/>
  <c r="J220" i="229"/>
  <c r="L219" i="229"/>
  <c r="J219" i="229"/>
  <c r="L218" i="229"/>
  <c r="J218" i="229"/>
  <c r="L217" i="229"/>
  <c r="J217" i="229"/>
  <c r="L216" i="229"/>
  <c r="J216" i="229"/>
  <c r="L215" i="229"/>
  <c r="J215" i="229"/>
  <c r="L214" i="229"/>
  <c r="J214" i="229"/>
  <c r="L213" i="229"/>
  <c r="J213" i="229"/>
  <c r="L212" i="229"/>
  <c r="J212" i="229"/>
  <c r="L211" i="229"/>
  <c r="J211" i="229"/>
  <c r="L210" i="229"/>
  <c r="J210" i="229"/>
  <c r="L209" i="229"/>
  <c r="J209" i="229"/>
  <c r="L208" i="229"/>
  <c r="J208" i="229"/>
  <c r="L207" i="229"/>
  <c r="J207" i="229"/>
  <c r="L206" i="229"/>
  <c r="J206" i="229"/>
  <c r="L205" i="229"/>
  <c r="J205" i="229"/>
  <c r="L204" i="229"/>
  <c r="J204" i="229"/>
  <c r="L203" i="229"/>
  <c r="J203" i="229"/>
  <c r="L202" i="229"/>
  <c r="J202" i="229"/>
  <c r="L201" i="229"/>
  <c r="J201" i="229"/>
  <c r="L200" i="229"/>
  <c r="J200" i="229"/>
  <c r="L199" i="229"/>
  <c r="J199" i="229"/>
  <c r="L198" i="229"/>
  <c r="J198" i="229"/>
  <c r="L197" i="229"/>
  <c r="J197" i="229"/>
  <c r="L196" i="229"/>
  <c r="J196" i="229"/>
  <c r="L195" i="229"/>
  <c r="J195" i="229"/>
  <c r="L194" i="229"/>
  <c r="J194" i="229"/>
  <c r="L193" i="229"/>
  <c r="J193" i="229"/>
  <c r="L192" i="229"/>
  <c r="J192" i="229"/>
  <c r="L191" i="229"/>
  <c r="J191" i="229"/>
  <c r="L190" i="229"/>
  <c r="J190" i="229"/>
  <c r="L189" i="229"/>
  <c r="J189" i="229"/>
  <c r="L188" i="229"/>
  <c r="J188" i="229"/>
  <c r="L187" i="229"/>
  <c r="J187" i="229"/>
  <c r="L186" i="229"/>
  <c r="J186" i="229"/>
  <c r="L185" i="229"/>
  <c r="J185" i="229"/>
  <c r="L184" i="229"/>
  <c r="J184" i="229"/>
  <c r="L183" i="229"/>
  <c r="J183" i="229"/>
  <c r="L182" i="229"/>
  <c r="J182" i="229"/>
  <c r="L181" i="229"/>
  <c r="J181" i="229"/>
  <c r="L180" i="229"/>
  <c r="J180" i="229"/>
  <c r="L179" i="229"/>
  <c r="J179" i="229"/>
  <c r="L178" i="229"/>
  <c r="J178" i="229"/>
  <c r="L177" i="229"/>
  <c r="J177" i="229"/>
  <c r="L176" i="229"/>
  <c r="J176" i="229"/>
  <c r="L175" i="229"/>
  <c r="J175" i="229"/>
  <c r="L174" i="229"/>
  <c r="J174" i="229"/>
  <c r="L173" i="229"/>
  <c r="J173" i="229"/>
  <c r="L172" i="229"/>
  <c r="J172" i="229"/>
  <c r="L171" i="229"/>
  <c r="J171" i="229"/>
  <c r="L170" i="229"/>
  <c r="J170" i="229"/>
  <c r="L169" i="229"/>
  <c r="J169" i="229"/>
  <c r="L168" i="229"/>
  <c r="J168" i="229"/>
  <c r="L167" i="229"/>
  <c r="J167" i="229"/>
  <c r="L166" i="229"/>
  <c r="J166" i="229"/>
  <c r="L165" i="229"/>
  <c r="J165" i="229"/>
  <c r="L164" i="229"/>
  <c r="J164" i="229"/>
  <c r="L163" i="229"/>
  <c r="J163" i="229"/>
  <c r="L162" i="229"/>
  <c r="J162" i="229"/>
  <c r="L161" i="229"/>
  <c r="J161" i="229"/>
  <c r="L160" i="229"/>
  <c r="J160" i="229"/>
  <c r="L159" i="229"/>
  <c r="J159" i="229"/>
  <c r="L158" i="229"/>
  <c r="J158" i="229"/>
  <c r="L157" i="229"/>
  <c r="J157" i="229"/>
  <c r="L156" i="229"/>
  <c r="J156" i="229"/>
  <c r="L155" i="229"/>
  <c r="J155" i="229"/>
  <c r="L154" i="229"/>
  <c r="J154" i="229"/>
  <c r="L153" i="229"/>
  <c r="J153" i="229"/>
  <c r="L152" i="229"/>
  <c r="J152" i="229"/>
  <c r="L151" i="229"/>
  <c r="J151" i="229"/>
  <c r="L150" i="229"/>
  <c r="J150" i="229"/>
  <c r="L149" i="229"/>
  <c r="J149" i="229"/>
  <c r="L148" i="229"/>
  <c r="J148" i="229"/>
  <c r="L147" i="229"/>
  <c r="J147" i="229"/>
  <c r="L146" i="229"/>
  <c r="J146" i="229"/>
  <c r="L145" i="229"/>
  <c r="J145" i="229"/>
  <c r="L144" i="229"/>
  <c r="J144" i="229"/>
  <c r="L143" i="229"/>
  <c r="J143" i="229"/>
  <c r="L142" i="229"/>
  <c r="J142" i="229"/>
  <c r="L141" i="229"/>
  <c r="J141" i="229"/>
  <c r="L140" i="229"/>
  <c r="J140" i="229"/>
  <c r="L139" i="229"/>
  <c r="J139" i="229"/>
  <c r="L138" i="229"/>
  <c r="J138" i="229"/>
  <c r="L137" i="229"/>
  <c r="J137" i="229"/>
  <c r="L136" i="229"/>
  <c r="J136" i="229"/>
  <c r="L135" i="229"/>
  <c r="J135" i="229"/>
  <c r="L134" i="229"/>
  <c r="J134" i="229"/>
  <c r="L133" i="229"/>
  <c r="J133" i="229"/>
  <c r="L132" i="229"/>
  <c r="J132" i="229"/>
  <c r="L131" i="229"/>
  <c r="J131" i="229"/>
  <c r="L130" i="229"/>
  <c r="J130" i="229"/>
  <c r="L129" i="229"/>
  <c r="J129" i="229"/>
  <c r="L128" i="229"/>
  <c r="J128" i="229"/>
  <c r="L127" i="229"/>
  <c r="J127" i="229"/>
  <c r="L126" i="229"/>
  <c r="J126" i="229"/>
  <c r="L125" i="229"/>
  <c r="J125" i="229"/>
  <c r="L124" i="229"/>
  <c r="J124" i="229"/>
  <c r="L123" i="229"/>
  <c r="J123" i="229"/>
  <c r="L122" i="229"/>
  <c r="J122" i="229"/>
  <c r="L121" i="229"/>
  <c r="J121" i="229"/>
  <c r="L120" i="229"/>
  <c r="J120" i="229"/>
  <c r="L119" i="229"/>
  <c r="J119" i="229"/>
  <c r="L118" i="229"/>
  <c r="J118" i="229"/>
  <c r="L117" i="229"/>
  <c r="J117" i="229"/>
  <c r="L116" i="229"/>
  <c r="J116" i="229"/>
  <c r="L115" i="229"/>
  <c r="J115" i="229"/>
  <c r="L114" i="229"/>
  <c r="J114" i="229"/>
  <c r="L113" i="229"/>
  <c r="J113" i="229"/>
  <c r="L112" i="229"/>
  <c r="J112" i="229"/>
  <c r="L111" i="229"/>
  <c r="J111" i="229"/>
  <c r="L110" i="229"/>
  <c r="J110" i="229"/>
  <c r="L109" i="229"/>
  <c r="J109" i="229"/>
  <c r="L108" i="229"/>
  <c r="J108" i="229"/>
  <c r="L107" i="229"/>
  <c r="J107" i="229"/>
  <c r="L106" i="229"/>
  <c r="J106" i="229"/>
  <c r="L105" i="229"/>
  <c r="J105" i="229"/>
  <c r="L104" i="229"/>
  <c r="J104" i="229"/>
  <c r="L103" i="229"/>
  <c r="J103" i="229"/>
  <c r="L102" i="229"/>
  <c r="J102" i="229"/>
  <c r="L101" i="229"/>
  <c r="J101" i="229"/>
  <c r="L100" i="229"/>
  <c r="J100" i="229"/>
  <c r="L99" i="229"/>
  <c r="J99" i="229"/>
  <c r="L98" i="229"/>
  <c r="J98" i="229"/>
  <c r="L97" i="229"/>
  <c r="J97" i="229"/>
  <c r="L96" i="229"/>
  <c r="J96" i="229"/>
  <c r="L95" i="229"/>
  <c r="J95" i="229"/>
  <c r="L94" i="229"/>
  <c r="J94" i="229"/>
  <c r="L93" i="229"/>
  <c r="J93" i="229"/>
  <c r="L92" i="229"/>
  <c r="J92" i="229"/>
  <c r="L91" i="229"/>
  <c r="J91" i="229"/>
  <c r="L90" i="229"/>
  <c r="J90" i="229"/>
  <c r="L89" i="229"/>
  <c r="J89" i="229"/>
  <c r="L88" i="229"/>
  <c r="J88" i="229"/>
  <c r="L87" i="229"/>
  <c r="J87" i="229"/>
  <c r="L86" i="229"/>
  <c r="J86" i="229"/>
  <c r="L85" i="229"/>
  <c r="J85" i="229"/>
  <c r="L84" i="229"/>
  <c r="J84" i="229"/>
  <c r="L83" i="229"/>
  <c r="J83" i="229"/>
  <c r="L82" i="229"/>
  <c r="J82" i="229"/>
  <c r="L81" i="229"/>
  <c r="J81" i="229"/>
  <c r="L80" i="229"/>
  <c r="J80" i="229"/>
  <c r="L79" i="229"/>
  <c r="J79" i="229"/>
  <c r="L78" i="229"/>
  <c r="J78" i="229"/>
  <c r="L77" i="229"/>
  <c r="J77" i="229"/>
  <c r="L76" i="229"/>
  <c r="J76" i="229"/>
  <c r="L75" i="229"/>
  <c r="J75" i="229"/>
  <c r="L74" i="229"/>
  <c r="J74" i="229"/>
  <c r="L73" i="229"/>
  <c r="F241" i="229" s="1"/>
  <c r="J73" i="229"/>
  <c r="F73" i="229"/>
  <c r="L72" i="229"/>
  <c r="F72" i="229" s="1"/>
  <c r="J72" i="229"/>
  <c r="L71" i="229"/>
  <c r="F71" i="229" s="1"/>
  <c r="J71" i="229"/>
  <c r="L70" i="229"/>
  <c r="F70" i="229" s="1"/>
  <c r="J70" i="229"/>
  <c r="L69" i="229"/>
  <c r="F69" i="229" s="1"/>
  <c r="J69" i="229"/>
  <c r="L68" i="229"/>
  <c r="F68" i="229" s="1"/>
  <c r="J68" i="229"/>
  <c r="L67" i="229"/>
  <c r="F67" i="229" s="1"/>
  <c r="J67" i="229"/>
  <c r="L66" i="229"/>
  <c r="F66" i="229" s="1"/>
  <c r="J66" i="229"/>
  <c r="L65" i="229"/>
  <c r="J65" i="229"/>
  <c r="F65" i="229"/>
  <c r="L64" i="229"/>
  <c r="F64" i="229" s="1"/>
  <c r="J64" i="229"/>
  <c r="L63" i="229"/>
  <c r="J63" i="229"/>
  <c r="B63" i="229" s="1"/>
  <c r="E63" i="229" s="1"/>
  <c r="G63" i="229" s="1"/>
  <c r="F63" i="229"/>
  <c r="L62" i="229"/>
  <c r="F62" i="229" s="1"/>
  <c r="J62" i="229"/>
  <c r="L61" i="229"/>
  <c r="J61" i="229"/>
  <c r="F61" i="229"/>
  <c r="L60" i="229"/>
  <c r="F60" i="229" s="1"/>
  <c r="J60" i="229"/>
  <c r="L59" i="229"/>
  <c r="F59" i="229" s="1"/>
  <c r="J59" i="229"/>
  <c r="L58" i="229"/>
  <c r="F58" i="229" s="1"/>
  <c r="J58" i="229"/>
  <c r="L57" i="229"/>
  <c r="J57" i="229"/>
  <c r="F57" i="229"/>
  <c r="L56" i="229"/>
  <c r="F56" i="229" s="1"/>
  <c r="J56" i="229"/>
  <c r="L55" i="229"/>
  <c r="F55" i="229" s="1"/>
  <c r="J55" i="229"/>
  <c r="L54" i="229"/>
  <c r="F54" i="229" s="1"/>
  <c r="J54" i="229"/>
  <c r="L53" i="229"/>
  <c r="F53" i="229" s="1"/>
  <c r="J53" i="229"/>
  <c r="L52" i="229"/>
  <c r="F52" i="229" s="1"/>
  <c r="J52" i="229"/>
  <c r="L51" i="229"/>
  <c r="F51" i="229" s="1"/>
  <c r="J51" i="229"/>
  <c r="L50" i="229"/>
  <c r="F50" i="229" s="1"/>
  <c r="J50" i="229"/>
  <c r="L49" i="229"/>
  <c r="F49" i="229" s="1"/>
  <c r="J49" i="229"/>
  <c r="L48" i="229"/>
  <c r="F48" i="229" s="1"/>
  <c r="J48" i="229"/>
  <c r="L47" i="229"/>
  <c r="F47" i="229" s="1"/>
  <c r="J47" i="229"/>
  <c r="L46" i="229"/>
  <c r="F46" i="229" s="1"/>
  <c r="J46" i="229"/>
  <c r="L45" i="229"/>
  <c r="F45" i="229" s="1"/>
  <c r="J45" i="229"/>
  <c r="L44" i="229"/>
  <c r="F44" i="229" s="1"/>
  <c r="J44" i="229"/>
  <c r="L43" i="229"/>
  <c r="F43" i="229" s="1"/>
  <c r="J43" i="229"/>
  <c r="L42" i="229"/>
  <c r="F42" i="229" s="1"/>
  <c r="J42" i="229"/>
  <c r="L41" i="229"/>
  <c r="F41" i="229" s="1"/>
  <c r="J41" i="229"/>
  <c r="L40" i="229"/>
  <c r="F40" i="229" s="1"/>
  <c r="J40" i="229"/>
  <c r="L39" i="229"/>
  <c r="F39" i="229" s="1"/>
  <c r="J39" i="229"/>
  <c r="L38" i="229"/>
  <c r="F38" i="229" s="1"/>
  <c r="J38" i="229"/>
  <c r="L37" i="229"/>
  <c r="F37" i="229" s="1"/>
  <c r="J37" i="229"/>
  <c r="L36" i="229"/>
  <c r="F36" i="229" s="1"/>
  <c r="J36" i="229"/>
  <c r="L35" i="229"/>
  <c r="F35" i="229" s="1"/>
  <c r="J35" i="229"/>
  <c r="L34" i="229"/>
  <c r="F34" i="229" s="1"/>
  <c r="J34" i="229"/>
  <c r="L33" i="229"/>
  <c r="F33" i="229" s="1"/>
  <c r="J33" i="229"/>
  <c r="L32" i="229"/>
  <c r="F32" i="229" s="1"/>
  <c r="J32" i="229"/>
  <c r="L31" i="229"/>
  <c r="F31" i="229" s="1"/>
  <c r="J31" i="229"/>
  <c r="L30" i="229"/>
  <c r="F30" i="229" s="1"/>
  <c r="J30" i="229"/>
  <c r="L29" i="229"/>
  <c r="F29" i="229" s="1"/>
  <c r="J29" i="229"/>
  <c r="B29" i="229" s="1"/>
  <c r="E29" i="229" s="1"/>
  <c r="G29" i="229" s="1"/>
  <c r="L28" i="229"/>
  <c r="F28" i="229" s="1"/>
  <c r="J28" i="229"/>
  <c r="L27" i="229"/>
  <c r="F27" i="229" s="1"/>
  <c r="J27" i="229"/>
  <c r="D27" i="229"/>
  <c r="D28" i="229" s="1"/>
  <c r="D29" i="229" s="1"/>
  <c r="D30" i="229" s="1"/>
  <c r="D31" i="229" s="1"/>
  <c r="D32" i="229" s="1"/>
  <c r="D33" i="229" s="1"/>
  <c r="D34" i="229" s="1"/>
  <c r="D35" i="229" s="1"/>
  <c r="D36" i="229" s="1"/>
  <c r="D37" i="229" s="1"/>
  <c r="D38" i="229" s="1"/>
  <c r="D39" i="229" s="1"/>
  <c r="D40" i="229" s="1"/>
  <c r="D41" i="229" s="1"/>
  <c r="D42" i="229" s="1"/>
  <c r="D43" i="229" s="1"/>
  <c r="D44" i="229" s="1"/>
  <c r="D45" i="229" s="1"/>
  <c r="D46" i="229" s="1"/>
  <c r="D47" i="229" s="1"/>
  <c r="D48" i="229" s="1"/>
  <c r="D49" i="229" s="1"/>
  <c r="D50" i="229" s="1"/>
  <c r="D51" i="229" s="1"/>
  <c r="D52" i="229" s="1"/>
  <c r="D53" i="229" s="1"/>
  <c r="D54" i="229" s="1"/>
  <c r="D55" i="229" s="1"/>
  <c r="D56" i="229" s="1"/>
  <c r="D57" i="229" s="1"/>
  <c r="D58" i="229" s="1"/>
  <c r="D59" i="229" s="1"/>
  <c r="D60" i="229" s="1"/>
  <c r="D61" i="229" s="1"/>
  <c r="D62" i="229" s="1"/>
  <c r="D63" i="229" s="1"/>
  <c r="D64" i="229" s="1"/>
  <c r="D65" i="229" s="1"/>
  <c r="D66" i="229" s="1"/>
  <c r="D67" i="229" s="1"/>
  <c r="D68" i="229" s="1"/>
  <c r="D69" i="229" s="1"/>
  <c r="D70" i="229" s="1"/>
  <c r="D71" i="229" s="1"/>
  <c r="D72" i="229" s="1"/>
  <c r="D73" i="229" s="1"/>
  <c r="L26" i="229"/>
  <c r="F26" i="229" s="1"/>
  <c r="K26" i="229"/>
  <c r="K27" i="229" s="1"/>
  <c r="K28" i="229" s="1"/>
  <c r="K29" i="229" s="1"/>
  <c r="K30" i="229" s="1"/>
  <c r="K31" i="229" s="1"/>
  <c r="K32" i="229" s="1"/>
  <c r="K33" i="229" s="1"/>
  <c r="K34" i="229" s="1"/>
  <c r="K35" i="229" s="1"/>
  <c r="K36" i="229" s="1"/>
  <c r="K37" i="229" s="1"/>
  <c r="K38" i="229" s="1"/>
  <c r="K39" i="229" s="1"/>
  <c r="K40" i="229" s="1"/>
  <c r="K41" i="229" s="1"/>
  <c r="K42" i="229" s="1"/>
  <c r="K43" i="229" s="1"/>
  <c r="K44" i="229" s="1"/>
  <c r="K45" i="229" s="1"/>
  <c r="K46" i="229" s="1"/>
  <c r="K47" i="229" s="1"/>
  <c r="K48" i="229" s="1"/>
  <c r="K49" i="229" s="1"/>
  <c r="K50" i="229" s="1"/>
  <c r="K51" i="229" s="1"/>
  <c r="K52" i="229" s="1"/>
  <c r="K53" i="229" s="1"/>
  <c r="K54" i="229" s="1"/>
  <c r="K55" i="229" s="1"/>
  <c r="K56" i="229" s="1"/>
  <c r="K57" i="229" s="1"/>
  <c r="K58" i="229" s="1"/>
  <c r="K59" i="229" s="1"/>
  <c r="K60" i="229" s="1"/>
  <c r="K61" i="229" s="1"/>
  <c r="K62" i="229" s="1"/>
  <c r="K63" i="229" s="1"/>
  <c r="K64" i="229" s="1"/>
  <c r="K65" i="229" s="1"/>
  <c r="K66" i="229" s="1"/>
  <c r="K67" i="229" s="1"/>
  <c r="K68" i="229" s="1"/>
  <c r="K69" i="229" s="1"/>
  <c r="K70" i="229" s="1"/>
  <c r="K71" i="229" s="1"/>
  <c r="K72" i="229" s="1"/>
  <c r="K73" i="229" s="1"/>
  <c r="K74" i="229" s="1"/>
  <c r="K75" i="229" s="1"/>
  <c r="K76" i="229" s="1"/>
  <c r="K77" i="229" s="1"/>
  <c r="K78" i="229" s="1"/>
  <c r="K79" i="229" s="1"/>
  <c r="K80" i="229" s="1"/>
  <c r="K81" i="229" s="1"/>
  <c r="K82" i="229" s="1"/>
  <c r="K83" i="229" s="1"/>
  <c r="K84" i="229" s="1"/>
  <c r="K85" i="229" s="1"/>
  <c r="K86" i="229" s="1"/>
  <c r="K87" i="229" s="1"/>
  <c r="K88" i="229" s="1"/>
  <c r="K89" i="229" s="1"/>
  <c r="K90" i="229" s="1"/>
  <c r="K91" i="229" s="1"/>
  <c r="K92" i="229" s="1"/>
  <c r="K93" i="229" s="1"/>
  <c r="K94" i="229" s="1"/>
  <c r="K95" i="229" s="1"/>
  <c r="K96" i="229" s="1"/>
  <c r="K97" i="229" s="1"/>
  <c r="K98" i="229" s="1"/>
  <c r="K99" i="229" s="1"/>
  <c r="K100" i="229" s="1"/>
  <c r="K101" i="229" s="1"/>
  <c r="K102" i="229" s="1"/>
  <c r="K103" i="229" s="1"/>
  <c r="K104" i="229" s="1"/>
  <c r="K105" i="229" s="1"/>
  <c r="K106" i="229" s="1"/>
  <c r="K107" i="229" s="1"/>
  <c r="K108" i="229" s="1"/>
  <c r="K109" i="229" s="1"/>
  <c r="K110" i="229" s="1"/>
  <c r="K111" i="229" s="1"/>
  <c r="K112" i="229" s="1"/>
  <c r="K113" i="229" s="1"/>
  <c r="K114" i="229" s="1"/>
  <c r="K115" i="229" s="1"/>
  <c r="K116" i="229" s="1"/>
  <c r="K117" i="229" s="1"/>
  <c r="K118" i="229" s="1"/>
  <c r="K119" i="229" s="1"/>
  <c r="K120" i="229" s="1"/>
  <c r="K121" i="229" s="1"/>
  <c r="K122" i="229" s="1"/>
  <c r="K123" i="229" s="1"/>
  <c r="K124" i="229" s="1"/>
  <c r="K125" i="229" s="1"/>
  <c r="K126" i="229" s="1"/>
  <c r="K127" i="229" s="1"/>
  <c r="K128" i="229" s="1"/>
  <c r="K129" i="229" s="1"/>
  <c r="K130" i="229" s="1"/>
  <c r="K131" i="229" s="1"/>
  <c r="K132" i="229" s="1"/>
  <c r="K133" i="229" s="1"/>
  <c r="K134" i="229" s="1"/>
  <c r="K135" i="229" s="1"/>
  <c r="K136" i="229" s="1"/>
  <c r="K137" i="229" s="1"/>
  <c r="K138" i="229" s="1"/>
  <c r="K139" i="229" s="1"/>
  <c r="K140" i="229" s="1"/>
  <c r="K141" i="229" s="1"/>
  <c r="K142" i="229" s="1"/>
  <c r="K143" i="229" s="1"/>
  <c r="K144" i="229" s="1"/>
  <c r="K145" i="229" s="1"/>
  <c r="K146" i="229" s="1"/>
  <c r="K147" i="229" s="1"/>
  <c r="K148" i="229" s="1"/>
  <c r="K149" i="229" s="1"/>
  <c r="K150" i="229" s="1"/>
  <c r="K151" i="229" s="1"/>
  <c r="K152" i="229" s="1"/>
  <c r="K153" i="229" s="1"/>
  <c r="K154" i="229" s="1"/>
  <c r="K155" i="229" s="1"/>
  <c r="K156" i="229" s="1"/>
  <c r="K157" i="229" s="1"/>
  <c r="K158" i="229" s="1"/>
  <c r="K159" i="229" s="1"/>
  <c r="K160" i="229" s="1"/>
  <c r="K161" i="229" s="1"/>
  <c r="K162" i="229" s="1"/>
  <c r="K163" i="229" s="1"/>
  <c r="K164" i="229" s="1"/>
  <c r="K165" i="229" s="1"/>
  <c r="K166" i="229" s="1"/>
  <c r="K167" i="229" s="1"/>
  <c r="K168" i="229" s="1"/>
  <c r="K169" i="229" s="1"/>
  <c r="K170" i="229" s="1"/>
  <c r="K171" i="229" s="1"/>
  <c r="K172" i="229" s="1"/>
  <c r="K173" i="229" s="1"/>
  <c r="K174" i="229" s="1"/>
  <c r="K175" i="229" s="1"/>
  <c r="K176" i="229" s="1"/>
  <c r="K177" i="229" s="1"/>
  <c r="K178" i="229" s="1"/>
  <c r="K179" i="229" s="1"/>
  <c r="K180" i="229" s="1"/>
  <c r="K181" i="229" s="1"/>
  <c r="K182" i="229" s="1"/>
  <c r="K183" i="229" s="1"/>
  <c r="K184" i="229" s="1"/>
  <c r="K185" i="229" s="1"/>
  <c r="K186" i="229" s="1"/>
  <c r="K187" i="229" s="1"/>
  <c r="K188" i="229" s="1"/>
  <c r="K189" i="229" s="1"/>
  <c r="K190" i="229" s="1"/>
  <c r="K191" i="229" s="1"/>
  <c r="K192" i="229" s="1"/>
  <c r="K193" i="229" s="1"/>
  <c r="K194" i="229" s="1"/>
  <c r="K195" i="229" s="1"/>
  <c r="K196" i="229" s="1"/>
  <c r="K197" i="229" s="1"/>
  <c r="K198" i="229" s="1"/>
  <c r="K199" i="229" s="1"/>
  <c r="K200" i="229" s="1"/>
  <c r="K201" i="229" s="1"/>
  <c r="K202" i="229" s="1"/>
  <c r="K203" i="229" s="1"/>
  <c r="K204" i="229" s="1"/>
  <c r="K205" i="229" s="1"/>
  <c r="K206" i="229" s="1"/>
  <c r="K207" i="229" s="1"/>
  <c r="K208" i="229" s="1"/>
  <c r="K209" i="229" s="1"/>
  <c r="K210" i="229" s="1"/>
  <c r="K211" i="229" s="1"/>
  <c r="K212" i="229" s="1"/>
  <c r="K213" i="229" s="1"/>
  <c r="K214" i="229" s="1"/>
  <c r="K215" i="229" s="1"/>
  <c r="K216" i="229" s="1"/>
  <c r="K217" i="229" s="1"/>
  <c r="K218" i="229" s="1"/>
  <c r="K219" i="229" s="1"/>
  <c r="K220" i="229" s="1"/>
  <c r="K221" i="229" s="1"/>
  <c r="K222" i="229" s="1"/>
  <c r="K223" i="229" s="1"/>
  <c r="K224" i="229" s="1"/>
  <c r="K225" i="229" s="1"/>
  <c r="K226" i="229" s="1"/>
  <c r="K227" i="229" s="1"/>
  <c r="K228" i="229" s="1"/>
  <c r="K229" i="229" s="1"/>
  <c r="K230" i="229" s="1"/>
  <c r="K231" i="229" s="1"/>
  <c r="K232" i="229" s="1"/>
  <c r="K233" i="229" s="1"/>
  <c r="K234" i="229" s="1"/>
  <c r="K235" i="229" s="1"/>
  <c r="K236" i="229" s="1"/>
  <c r="K237" i="229" s="1"/>
  <c r="K238" i="229" s="1"/>
  <c r="K239" i="229" s="1"/>
  <c r="K240" i="229" s="1"/>
  <c r="K241" i="229" s="1"/>
  <c r="K242" i="229" s="1"/>
  <c r="K243" i="229" s="1"/>
  <c r="K244" i="229" s="1"/>
  <c r="K245" i="229" s="1"/>
  <c r="K246" i="229" s="1"/>
  <c r="K247" i="229" s="1"/>
  <c r="K248" i="229" s="1"/>
  <c r="K249" i="229" s="1"/>
  <c r="K250" i="229" s="1"/>
  <c r="K251" i="229" s="1"/>
  <c r="K252" i="229" s="1"/>
  <c r="K253" i="229" s="1"/>
  <c r="K254" i="229" s="1"/>
  <c r="K255" i="229" s="1"/>
  <c r="K256" i="229" s="1"/>
  <c r="K257" i="229" s="1"/>
  <c r="K258" i="229" s="1"/>
  <c r="K259" i="229" s="1"/>
  <c r="K260" i="229" s="1"/>
  <c r="K261" i="229" s="1"/>
  <c r="K262" i="229" s="1"/>
  <c r="K263" i="229" s="1"/>
  <c r="K264" i="229" s="1"/>
  <c r="K265" i="229" s="1"/>
  <c r="J26" i="229"/>
  <c r="A8" i="229"/>
  <c r="H267" i="228"/>
  <c r="H266" i="228"/>
  <c r="L265" i="228"/>
  <c r="J265" i="228"/>
  <c r="L264" i="228"/>
  <c r="J264" i="228"/>
  <c r="L263" i="228"/>
  <c r="J263" i="228"/>
  <c r="L262" i="228"/>
  <c r="J262" i="228"/>
  <c r="L261" i="228"/>
  <c r="J261" i="228"/>
  <c r="L260" i="228"/>
  <c r="J260" i="228"/>
  <c r="L259" i="228"/>
  <c r="J259" i="228"/>
  <c r="L258" i="228"/>
  <c r="J258" i="228"/>
  <c r="L257" i="228"/>
  <c r="J257" i="228"/>
  <c r="L256" i="228"/>
  <c r="J256" i="228"/>
  <c r="L255" i="228"/>
  <c r="J255" i="228"/>
  <c r="L254" i="228"/>
  <c r="J254" i="228"/>
  <c r="L253" i="228"/>
  <c r="J253" i="228"/>
  <c r="L252" i="228"/>
  <c r="J252" i="228"/>
  <c r="L251" i="228"/>
  <c r="J251" i="228"/>
  <c r="L250" i="228"/>
  <c r="J250" i="228"/>
  <c r="L249" i="228"/>
  <c r="J249" i="228"/>
  <c r="L248" i="228"/>
  <c r="J248" i="228"/>
  <c r="L247" i="228"/>
  <c r="J247" i="228"/>
  <c r="L246" i="228"/>
  <c r="J246" i="228"/>
  <c r="L245" i="228"/>
  <c r="J245" i="228"/>
  <c r="L244" i="228"/>
  <c r="J244" i="228"/>
  <c r="L243" i="228"/>
  <c r="J243" i="228"/>
  <c r="L242" i="228"/>
  <c r="J242" i="228"/>
  <c r="L241" i="228"/>
  <c r="J241" i="228"/>
  <c r="L240" i="228"/>
  <c r="J240" i="228"/>
  <c r="L239" i="228"/>
  <c r="J239" i="228"/>
  <c r="L238" i="228"/>
  <c r="J238" i="228"/>
  <c r="L237" i="228"/>
  <c r="J237" i="228"/>
  <c r="L236" i="228"/>
  <c r="J236" i="228"/>
  <c r="L235" i="228"/>
  <c r="J235" i="228"/>
  <c r="L234" i="228"/>
  <c r="J234" i="228"/>
  <c r="L233" i="228"/>
  <c r="J233" i="228"/>
  <c r="L232" i="228"/>
  <c r="J232" i="228"/>
  <c r="L231" i="228"/>
  <c r="J231" i="228"/>
  <c r="L230" i="228"/>
  <c r="J230" i="228"/>
  <c r="L229" i="228"/>
  <c r="J229" i="228"/>
  <c r="L228" i="228"/>
  <c r="J228" i="228"/>
  <c r="L227" i="228"/>
  <c r="J227" i="228"/>
  <c r="L226" i="228"/>
  <c r="J226" i="228"/>
  <c r="L225" i="228"/>
  <c r="J225" i="228"/>
  <c r="L224" i="228"/>
  <c r="J224" i="228"/>
  <c r="L223" i="228"/>
  <c r="J223" i="228"/>
  <c r="L222" i="228"/>
  <c r="J222" i="228"/>
  <c r="L221" i="228"/>
  <c r="J221" i="228"/>
  <c r="L220" i="228"/>
  <c r="J220" i="228"/>
  <c r="L219" i="228"/>
  <c r="J219" i="228"/>
  <c r="L218" i="228"/>
  <c r="J218" i="228"/>
  <c r="L217" i="228"/>
  <c r="J217" i="228"/>
  <c r="L216" i="228"/>
  <c r="J216" i="228"/>
  <c r="L215" i="228"/>
  <c r="J215" i="228"/>
  <c r="L214" i="228"/>
  <c r="J214" i="228"/>
  <c r="L213" i="228"/>
  <c r="J213" i="228"/>
  <c r="L212" i="228"/>
  <c r="J212" i="228"/>
  <c r="L211" i="228"/>
  <c r="J211" i="228"/>
  <c r="L210" i="228"/>
  <c r="J210" i="228"/>
  <c r="L209" i="228"/>
  <c r="J209" i="228"/>
  <c r="L208" i="228"/>
  <c r="J208" i="228"/>
  <c r="L207" i="228"/>
  <c r="J207" i="228"/>
  <c r="L206" i="228"/>
  <c r="J206" i="228"/>
  <c r="L205" i="228"/>
  <c r="J205" i="228"/>
  <c r="L204" i="228"/>
  <c r="J204" i="228"/>
  <c r="L203" i="228"/>
  <c r="J203" i="228"/>
  <c r="L202" i="228"/>
  <c r="J202" i="228"/>
  <c r="L201" i="228"/>
  <c r="J201" i="228"/>
  <c r="L200" i="228"/>
  <c r="J200" i="228"/>
  <c r="L199" i="228"/>
  <c r="J199" i="228"/>
  <c r="L198" i="228"/>
  <c r="J198" i="228"/>
  <c r="L197" i="228"/>
  <c r="J197" i="228"/>
  <c r="L196" i="228"/>
  <c r="J196" i="228"/>
  <c r="L195" i="228"/>
  <c r="J195" i="228"/>
  <c r="L194" i="228"/>
  <c r="J194" i="228"/>
  <c r="L193" i="228"/>
  <c r="J193" i="228"/>
  <c r="L192" i="228"/>
  <c r="J192" i="228"/>
  <c r="L191" i="228"/>
  <c r="J191" i="228"/>
  <c r="L190" i="228"/>
  <c r="J190" i="228"/>
  <c r="L189" i="228"/>
  <c r="J189" i="228"/>
  <c r="L188" i="228"/>
  <c r="J188" i="228"/>
  <c r="L187" i="228"/>
  <c r="J187" i="228"/>
  <c r="L186" i="228"/>
  <c r="J186" i="228"/>
  <c r="L185" i="228"/>
  <c r="J185" i="228"/>
  <c r="L184" i="228"/>
  <c r="J184" i="228"/>
  <c r="L183" i="228"/>
  <c r="J183" i="228"/>
  <c r="L182" i="228"/>
  <c r="J182" i="228"/>
  <c r="L181" i="228"/>
  <c r="J181" i="228"/>
  <c r="L180" i="228"/>
  <c r="J180" i="228"/>
  <c r="L179" i="228"/>
  <c r="J179" i="228"/>
  <c r="L178" i="228"/>
  <c r="J178" i="228"/>
  <c r="L177" i="228"/>
  <c r="J177" i="228"/>
  <c r="L176" i="228"/>
  <c r="J176" i="228"/>
  <c r="L175" i="228"/>
  <c r="J175" i="228"/>
  <c r="L174" i="228"/>
  <c r="J174" i="228"/>
  <c r="L173" i="228"/>
  <c r="J173" i="228"/>
  <c r="L172" i="228"/>
  <c r="J172" i="228"/>
  <c r="L171" i="228"/>
  <c r="J171" i="228"/>
  <c r="L170" i="228"/>
  <c r="J170" i="228"/>
  <c r="L169" i="228"/>
  <c r="J169" i="228"/>
  <c r="L168" i="228"/>
  <c r="J168" i="228"/>
  <c r="L167" i="228"/>
  <c r="J167" i="228"/>
  <c r="L166" i="228"/>
  <c r="J166" i="228"/>
  <c r="L165" i="228"/>
  <c r="J165" i="228"/>
  <c r="L164" i="228"/>
  <c r="J164" i="228"/>
  <c r="L163" i="228"/>
  <c r="J163" i="228"/>
  <c r="L162" i="228"/>
  <c r="J162" i="228"/>
  <c r="L161" i="228"/>
  <c r="J161" i="228"/>
  <c r="L160" i="228"/>
  <c r="J160" i="228"/>
  <c r="L159" i="228"/>
  <c r="J159" i="228"/>
  <c r="L158" i="228"/>
  <c r="J158" i="228"/>
  <c r="L157" i="228"/>
  <c r="J157" i="228"/>
  <c r="L156" i="228"/>
  <c r="J156" i="228"/>
  <c r="L155" i="228"/>
  <c r="J155" i="228"/>
  <c r="L154" i="228"/>
  <c r="J154" i="228"/>
  <c r="L153" i="228"/>
  <c r="J153" i="228"/>
  <c r="L152" i="228"/>
  <c r="J152" i="228"/>
  <c r="L151" i="228"/>
  <c r="J151" i="228"/>
  <c r="L150" i="228"/>
  <c r="J150" i="228"/>
  <c r="L149" i="228"/>
  <c r="J149" i="228"/>
  <c r="L148" i="228"/>
  <c r="J148" i="228"/>
  <c r="L147" i="228"/>
  <c r="J147" i="228"/>
  <c r="L146" i="228"/>
  <c r="J146" i="228"/>
  <c r="L145" i="228"/>
  <c r="J145" i="228"/>
  <c r="L144" i="228"/>
  <c r="J144" i="228"/>
  <c r="L143" i="228"/>
  <c r="J143" i="228"/>
  <c r="L142" i="228"/>
  <c r="J142" i="228"/>
  <c r="L141" i="228"/>
  <c r="J141" i="228"/>
  <c r="L140" i="228"/>
  <c r="J140" i="228"/>
  <c r="L139" i="228"/>
  <c r="J139" i="228"/>
  <c r="L138" i="228"/>
  <c r="J138" i="228"/>
  <c r="L137" i="228"/>
  <c r="J137" i="228"/>
  <c r="L136" i="228"/>
  <c r="J136" i="228"/>
  <c r="L135" i="228"/>
  <c r="J135" i="228"/>
  <c r="L134" i="228"/>
  <c r="J134" i="228"/>
  <c r="L133" i="228"/>
  <c r="J133" i="228"/>
  <c r="L132" i="228"/>
  <c r="J132" i="228"/>
  <c r="L131" i="228"/>
  <c r="J131" i="228"/>
  <c r="L130" i="228"/>
  <c r="J130" i="228"/>
  <c r="L129" i="228"/>
  <c r="J129" i="228"/>
  <c r="L128" i="228"/>
  <c r="J128" i="228"/>
  <c r="L127" i="228"/>
  <c r="J127" i="228"/>
  <c r="L126" i="228"/>
  <c r="J126" i="228"/>
  <c r="L125" i="228"/>
  <c r="J125" i="228"/>
  <c r="L124" i="228"/>
  <c r="J124" i="228"/>
  <c r="L123" i="228"/>
  <c r="J123" i="228"/>
  <c r="L122" i="228"/>
  <c r="J122" i="228"/>
  <c r="L121" i="228"/>
  <c r="J121" i="228"/>
  <c r="L120" i="228"/>
  <c r="J120" i="228"/>
  <c r="L119" i="228"/>
  <c r="J119" i="228"/>
  <c r="L118" i="228"/>
  <c r="J118" i="228"/>
  <c r="L117" i="228"/>
  <c r="J117" i="228"/>
  <c r="L116" i="228"/>
  <c r="J116" i="228"/>
  <c r="L115" i="228"/>
  <c r="J115" i="228"/>
  <c r="L114" i="228"/>
  <c r="J114" i="228"/>
  <c r="L113" i="228"/>
  <c r="J113" i="228"/>
  <c r="L112" i="228"/>
  <c r="J112" i="228"/>
  <c r="L111" i="228"/>
  <c r="J111" i="228"/>
  <c r="L110" i="228"/>
  <c r="J110" i="228"/>
  <c r="L109" i="228"/>
  <c r="J109" i="228"/>
  <c r="L108" i="228"/>
  <c r="J108" i="228"/>
  <c r="L107" i="228"/>
  <c r="J107" i="228"/>
  <c r="L106" i="228"/>
  <c r="J106" i="228"/>
  <c r="L105" i="228"/>
  <c r="J105" i="228"/>
  <c r="L104" i="228"/>
  <c r="J104" i="228"/>
  <c r="L103" i="228"/>
  <c r="J103" i="228"/>
  <c r="L102" i="228"/>
  <c r="J102" i="228"/>
  <c r="L101" i="228"/>
  <c r="J101" i="228"/>
  <c r="L100" i="228"/>
  <c r="J100" i="228"/>
  <c r="L99" i="228"/>
  <c r="J99" i="228"/>
  <c r="L98" i="228"/>
  <c r="J98" i="228"/>
  <c r="L97" i="228"/>
  <c r="J97" i="228"/>
  <c r="L96" i="228"/>
  <c r="J96" i="228"/>
  <c r="L95" i="228"/>
  <c r="J95" i="228"/>
  <c r="L94" i="228"/>
  <c r="J94" i="228"/>
  <c r="L93" i="228"/>
  <c r="J93" i="228"/>
  <c r="L92" i="228"/>
  <c r="J92" i="228"/>
  <c r="L91" i="228"/>
  <c r="J91" i="228"/>
  <c r="L90" i="228"/>
  <c r="J90" i="228"/>
  <c r="L89" i="228"/>
  <c r="J89" i="228"/>
  <c r="L88" i="228"/>
  <c r="J88" i="228"/>
  <c r="L87" i="228"/>
  <c r="J87" i="228"/>
  <c r="L86" i="228"/>
  <c r="J86" i="228"/>
  <c r="L85" i="228"/>
  <c r="J85" i="228"/>
  <c r="L84" i="228"/>
  <c r="J84" i="228"/>
  <c r="L83" i="228"/>
  <c r="J83" i="228"/>
  <c r="L82" i="228"/>
  <c r="J82" i="228"/>
  <c r="L81" i="228"/>
  <c r="J81" i="228"/>
  <c r="L80" i="228"/>
  <c r="J80" i="228"/>
  <c r="L79" i="228"/>
  <c r="J79" i="228"/>
  <c r="L78" i="228"/>
  <c r="J78" i="228"/>
  <c r="L77" i="228"/>
  <c r="J77" i="228"/>
  <c r="L76" i="228"/>
  <c r="J76" i="228"/>
  <c r="L75" i="228"/>
  <c r="J75" i="228"/>
  <c r="L74" i="228"/>
  <c r="J74" i="228"/>
  <c r="L73" i="228"/>
  <c r="J73" i="228"/>
  <c r="L72" i="228"/>
  <c r="F72" i="228" s="1"/>
  <c r="J72" i="228"/>
  <c r="L71" i="228"/>
  <c r="J71" i="228"/>
  <c r="F71" i="228"/>
  <c r="L70" i="228"/>
  <c r="F70" i="228" s="1"/>
  <c r="J70" i="228"/>
  <c r="L69" i="228"/>
  <c r="F69" i="228" s="1"/>
  <c r="J69" i="228"/>
  <c r="L68" i="228"/>
  <c r="F68" i="228" s="1"/>
  <c r="J68" i="228"/>
  <c r="L67" i="228"/>
  <c r="F67" i="228" s="1"/>
  <c r="J67" i="228"/>
  <c r="L66" i="228"/>
  <c r="F66" i="228" s="1"/>
  <c r="J66" i="228"/>
  <c r="L65" i="228"/>
  <c r="F65" i="228" s="1"/>
  <c r="J65" i="228"/>
  <c r="L64" i="228"/>
  <c r="J64" i="228"/>
  <c r="F64" i="228"/>
  <c r="B64" i="228"/>
  <c r="E64" i="228" s="1"/>
  <c r="G64" i="228" s="1"/>
  <c r="L63" i="228"/>
  <c r="J63" i="228"/>
  <c r="F63" i="228"/>
  <c r="L62" i="228"/>
  <c r="F62" i="228" s="1"/>
  <c r="J62" i="228"/>
  <c r="L61" i="228"/>
  <c r="F61" i="228" s="1"/>
  <c r="J61" i="228"/>
  <c r="L60" i="228"/>
  <c r="J60" i="228"/>
  <c r="F60" i="228"/>
  <c r="L59" i="228"/>
  <c r="F59" i="228" s="1"/>
  <c r="J59" i="228"/>
  <c r="L58" i="228"/>
  <c r="F58" i="228" s="1"/>
  <c r="J58" i="228"/>
  <c r="L57" i="228"/>
  <c r="J57" i="228"/>
  <c r="F57" i="228"/>
  <c r="L56" i="228"/>
  <c r="F56" i="228" s="1"/>
  <c r="J56" i="228"/>
  <c r="L55" i="228"/>
  <c r="F55" i="228" s="1"/>
  <c r="J55" i="228"/>
  <c r="L54" i="228"/>
  <c r="F54" i="228" s="1"/>
  <c r="J54" i="228"/>
  <c r="L53" i="228"/>
  <c r="F53" i="228" s="1"/>
  <c r="J53" i="228"/>
  <c r="L52" i="228"/>
  <c r="F52" i="228" s="1"/>
  <c r="J52" i="228"/>
  <c r="L51" i="228"/>
  <c r="F51" i="228" s="1"/>
  <c r="J51" i="228"/>
  <c r="L50" i="228"/>
  <c r="F50" i="228" s="1"/>
  <c r="J50" i="228"/>
  <c r="L49" i="228"/>
  <c r="F49" i="228" s="1"/>
  <c r="J49" i="228"/>
  <c r="L48" i="228"/>
  <c r="F48" i="228" s="1"/>
  <c r="J48" i="228"/>
  <c r="L47" i="228"/>
  <c r="F47" i="228" s="1"/>
  <c r="J47" i="228"/>
  <c r="L46" i="228"/>
  <c r="F46" i="228" s="1"/>
  <c r="J46" i="228"/>
  <c r="L45" i="228"/>
  <c r="F45" i="228" s="1"/>
  <c r="J45" i="228"/>
  <c r="L44" i="228"/>
  <c r="F44" i="228" s="1"/>
  <c r="J44" i="228"/>
  <c r="L43" i="228"/>
  <c r="F43" i="228" s="1"/>
  <c r="J43" i="228"/>
  <c r="L42" i="228"/>
  <c r="F42" i="228" s="1"/>
  <c r="J42" i="228"/>
  <c r="L41" i="228"/>
  <c r="F41" i="228" s="1"/>
  <c r="J41" i="228"/>
  <c r="L40" i="228"/>
  <c r="F40" i="228" s="1"/>
  <c r="J40" i="228"/>
  <c r="L39" i="228"/>
  <c r="F39" i="228" s="1"/>
  <c r="J39" i="228"/>
  <c r="L38" i="228"/>
  <c r="F38" i="228" s="1"/>
  <c r="J38" i="228"/>
  <c r="L37" i="228"/>
  <c r="F37" i="228" s="1"/>
  <c r="J37" i="228"/>
  <c r="L36" i="228"/>
  <c r="F36" i="228" s="1"/>
  <c r="J36" i="228"/>
  <c r="L35" i="228"/>
  <c r="F35" i="228" s="1"/>
  <c r="J35" i="228"/>
  <c r="L34" i="228"/>
  <c r="J34" i="228"/>
  <c r="F34" i="228"/>
  <c r="L33" i="228"/>
  <c r="F33" i="228" s="1"/>
  <c r="J33" i="228"/>
  <c r="L32" i="228"/>
  <c r="F32" i="228" s="1"/>
  <c r="J32" i="228"/>
  <c r="L31" i="228"/>
  <c r="F31" i="228" s="1"/>
  <c r="J31" i="228"/>
  <c r="L30" i="228"/>
  <c r="F30" i="228" s="1"/>
  <c r="J30" i="228"/>
  <c r="L29" i="228"/>
  <c r="F29" i="228" s="1"/>
  <c r="J29" i="228"/>
  <c r="L28" i="228"/>
  <c r="F28" i="228" s="1"/>
  <c r="J28" i="228"/>
  <c r="L27" i="228"/>
  <c r="F27" i="228" s="1"/>
  <c r="J27" i="228"/>
  <c r="D27" i="228"/>
  <c r="D28" i="228" s="1"/>
  <c r="D29" i="228" s="1"/>
  <c r="D30" i="228" s="1"/>
  <c r="D31" i="228" s="1"/>
  <c r="D32" i="228" s="1"/>
  <c r="D33" i="228" s="1"/>
  <c r="D34" i="228" s="1"/>
  <c r="D35" i="228" s="1"/>
  <c r="D36" i="228" s="1"/>
  <c r="D37" i="228" s="1"/>
  <c r="D38" i="228" s="1"/>
  <c r="D39" i="228" s="1"/>
  <c r="D40" i="228" s="1"/>
  <c r="D41" i="228" s="1"/>
  <c r="D42" i="228" s="1"/>
  <c r="D43" i="228" s="1"/>
  <c r="D44" i="228" s="1"/>
  <c r="D45" i="228" s="1"/>
  <c r="D46" i="228" s="1"/>
  <c r="D47" i="228" s="1"/>
  <c r="D48" i="228" s="1"/>
  <c r="D49" i="228" s="1"/>
  <c r="D50" i="228" s="1"/>
  <c r="D51" i="228" s="1"/>
  <c r="D52" i="228" s="1"/>
  <c r="D53" i="228" s="1"/>
  <c r="D54" i="228" s="1"/>
  <c r="D55" i="228" s="1"/>
  <c r="D56" i="228" s="1"/>
  <c r="D57" i="228" s="1"/>
  <c r="D58" i="228" s="1"/>
  <c r="D59" i="228" s="1"/>
  <c r="D60" i="228" s="1"/>
  <c r="D61" i="228" s="1"/>
  <c r="D62" i="228" s="1"/>
  <c r="D63" i="228" s="1"/>
  <c r="D64" i="228" s="1"/>
  <c r="D65" i="228" s="1"/>
  <c r="D66" i="228" s="1"/>
  <c r="D67" i="228" s="1"/>
  <c r="D68" i="228" s="1"/>
  <c r="D69" i="228" s="1"/>
  <c r="D70" i="228" s="1"/>
  <c r="D71" i="228" s="1"/>
  <c r="D72" i="228" s="1"/>
  <c r="D73" i="228" s="1"/>
  <c r="B27" i="228"/>
  <c r="E27" i="228" s="1"/>
  <c r="G27" i="228" s="1"/>
  <c r="L26" i="228"/>
  <c r="F26" i="228" s="1"/>
  <c r="K26" i="228"/>
  <c r="K27" i="228" s="1"/>
  <c r="K28" i="228" s="1"/>
  <c r="K29" i="228" s="1"/>
  <c r="K30" i="228" s="1"/>
  <c r="K31" i="228" s="1"/>
  <c r="K32" i="228" s="1"/>
  <c r="K33" i="228" s="1"/>
  <c r="K34" i="228" s="1"/>
  <c r="K35" i="228" s="1"/>
  <c r="K36" i="228" s="1"/>
  <c r="K37" i="228" s="1"/>
  <c r="K38" i="228" s="1"/>
  <c r="K39" i="228" s="1"/>
  <c r="K40" i="228" s="1"/>
  <c r="K41" i="228" s="1"/>
  <c r="K42" i="228" s="1"/>
  <c r="K43" i="228" s="1"/>
  <c r="K44" i="228" s="1"/>
  <c r="K45" i="228" s="1"/>
  <c r="K46" i="228" s="1"/>
  <c r="K47" i="228" s="1"/>
  <c r="K48" i="228" s="1"/>
  <c r="K49" i="228" s="1"/>
  <c r="K50" i="228" s="1"/>
  <c r="K51" i="228" s="1"/>
  <c r="K52" i="228" s="1"/>
  <c r="K53" i="228" s="1"/>
  <c r="K54" i="228" s="1"/>
  <c r="K55" i="228" s="1"/>
  <c r="K56" i="228" s="1"/>
  <c r="K57" i="228" s="1"/>
  <c r="K58" i="228" s="1"/>
  <c r="K59" i="228" s="1"/>
  <c r="K60" i="228" s="1"/>
  <c r="K61" i="228" s="1"/>
  <c r="K62" i="228" s="1"/>
  <c r="K63" i="228" s="1"/>
  <c r="K64" i="228" s="1"/>
  <c r="K65" i="228" s="1"/>
  <c r="K66" i="228" s="1"/>
  <c r="K67" i="228" s="1"/>
  <c r="K68" i="228" s="1"/>
  <c r="K69" i="228" s="1"/>
  <c r="K70" i="228" s="1"/>
  <c r="K71" i="228" s="1"/>
  <c r="K72" i="228" s="1"/>
  <c r="K73" i="228" s="1"/>
  <c r="K74" i="228" s="1"/>
  <c r="K75" i="228" s="1"/>
  <c r="K76" i="228" s="1"/>
  <c r="K77" i="228" s="1"/>
  <c r="K78" i="228" s="1"/>
  <c r="K79" i="228" s="1"/>
  <c r="K80" i="228" s="1"/>
  <c r="K81" i="228" s="1"/>
  <c r="K82" i="228" s="1"/>
  <c r="K83" i="228" s="1"/>
  <c r="K84" i="228" s="1"/>
  <c r="K85" i="228" s="1"/>
  <c r="K86" i="228" s="1"/>
  <c r="K87" i="228" s="1"/>
  <c r="K88" i="228" s="1"/>
  <c r="K89" i="228" s="1"/>
  <c r="K90" i="228" s="1"/>
  <c r="K91" i="228" s="1"/>
  <c r="K92" i="228" s="1"/>
  <c r="K93" i="228" s="1"/>
  <c r="K94" i="228" s="1"/>
  <c r="K95" i="228" s="1"/>
  <c r="K96" i="228" s="1"/>
  <c r="K97" i="228" s="1"/>
  <c r="K98" i="228" s="1"/>
  <c r="K99" i="228" s="1"/>
  <c r="K100" i="228" s="1"/>
  <c r="K101" i="228" s="1"/>
  <c r="K102" i="228" s="1"/>
  <c r="K103" i="228" s="1"/>
  <c r="K104" i="228" s="1"/>
  <c r="K105" i="228" s="1"/>
  <c r="K106" i="228" s="1"/>
  <c r="K107" i="228" s="1"/>
  <c r="K108" i="228" s="1"/>
  <c r="K109" i="228" s="1"/>
  <c r="K110" i="228" s="1"/>
  <c r="K111" i="228" s="1"/>
  <c r="K112" i="228" s="1"/>
  <c r="K113" i="228" s="1"/>
  <c r="K114" i="228" s="1"/>
  <c r="K115" i="228" s="1"/>
  <c r="K116" i="228" s="1"/>
  <c r="K117" i="228" s="1"/>
  <c r="K118" i="228" s="1"/>
  <c r="K119" i="228" s="1"/>
  <c r="K120" i="228" s="1"/>
  <c r="K121" i="228" s="1"/>
  <c r="K122" i="228" s="1"/>
  <c r="K123" i="228" s="1"/>
  <c r="K124" i="228" s="1"/>
  <c r="K125" i="228" s="1"/>
  <c r="K126" i="228" s="1"/>
  <c r="K127" i="228" s="1"/>
  <c r="K128" i="228" s="1"/>
  <c r="K129" i="228" s="1"/>
  <c r="K130" i="228" s="1"/>
  <c r="K131" i="228" s="1"/>
  <c r="K132" i="228" s="1"/>
  <c r="K133" i="228" s="1"/>
  <c r="K134" i="228" s="1"/>
  <c r="K135" i="228" s="1"/>
  <c r="K136" i="228" s="1"/>
  <c r="K137" i="228" s="1"/>
  <c r="K138" i="228" s="1"/>
  <c r="K139" i="228" s="1"/>
  <c r="K140" i="228" s="1"/>
  <c r="K141" i="228" s="1"/>
  <c r="K142" i="228" s="1"/>
  <c r="K143" i="228" s="1"/>
  <c r="K144" i="228" s="1"/>
  <c r="K145" i="228" s="1"/>
  <c r="K146" i="228" s="1"/>
  <c r="K147" i="228" s="1"/>
  <c r="K148" i="228" s="1"/>
  <c r="K149" i="228" s="1"/>
  <c r="K150" i="228" s="1"/>
  <c r="K151" i="228" s="1"/>
  <c r="K152" i="228" s="1"/>
  <c r="K153" i="228" s="1"/>
  <c r="K154" i="228" s="1"/>
  <c r="K155" i="228" s="1"/>
  <c r="K156" i="228" s="1"/>
  <c r="K157" i="228" s="1"/>
  <c r="K158" i="228" s="1"/>
  <c r="K159" i="228" s="1"/>
  <c r="K160" i="228" s="1"/>
  <c r="K161" i="228" s="1"/>
  <c r="K162" i="228" s="1"/>
  <c r="K163" i="228" s="1"/>
  <c r="K164" i="228" s="1"/>
  <c r="K165" i="228" s="1"/>
  <c r="K166" i="228" s="1"/>
  <c r="K167" i="228" s="1"/>
  <c r="K168" i="228" s="1"/>
  <c r="K169" i="228" s="1"/>
  <c r="K170" i="228" s="1"/>
  <c r="K171" i="228" s="1"/>
  <c r="K172" i="228" s="1"/>
  <c r="K173" i="228" s="1"/>
  <c r="K174" i="228" s="1"/>
  <c r="K175" i="228" s="1"/>
  <c r="K176" i="228" s="1"/>
  <c r="K177" i="228" s="1"/>
  <c r="K178" i="228" s="1"/>
  <c r="K179" i="228" s="1"/>
  <c r="K180" i="228" s="1"/>
  <c r="K181" i="228" s="1"/>
  <c r="K182" i="228" s="1"/>
  <c r="K183" i="228" s="1"/>
  <c r="K184" i="228" s="1"/>
  <c r="K185" i="228" s="1"/>
  <c r="K186" i="228" s="1"/>
  <c r="K187" i="228" s="1"/>
  <c r="K188" i="228" s="1"/>
  <c r="K189" i="228" s="1"/>
  <c r="K190" i="228" s="1"/>
  <c r="K191" i="228" s="1"/>
  <c r="K192" i="228" s="1"/>
  <c r="K193" i="228" s="1"/>
  <c r="K194" i="228" s="1"/>
  <c r="K195" i="228" s="1"/>
  <c r="K196" i="228" s="1"/>
  <c r="K197" i="228" s="1"/>
  <c r="K198" i="228" s="1"/>
  <c r="K199" i="228" s="1"/>
  <c r="K200" i="228" s="1"/>
  <c r="K201" i="228" s="1"/>
  <c r="K202" i="228" s="1"/>
  <c r="K203" i="228" s="1"/>
  <c r="K204" i="228" s="1"/>
  <c r="K205" i="228" s="1"/>
  <c r="K206" i="228" s="1"/>
  <c r="K207" i="228" s="1"/>
  <c r="K208" i="228" s="1"/>
  <c r="K209" i="228" s="1"/>
  <c r="K210" i="228" s="1"/>
  <c r="K211" i="228" s="1"/>
  <c r="K212" i="228" s="1"/>
  <c r="K213" i="228" s="1"/>
  <c r="K214" i="228" s="1"/>
  <c r="K215" i="228" s="1"/>
  <c r="K216" i="228" s="1"/>
  <c r="K217" i="228" s="1"/>
  <c r="K218" i="228" s="1"/>
  <c r="K219" i="228" s="1"/>
  <c r="K220" i="228" s="1"/>
  <c r="K221" i="228" s="1"/>
  <c r="K222" i="228" s="1"/>
  <c r="K223" i="228" s="1"/>
  <c r="K224" i="228" s="1"/>
  <c r="K225" i="228" s="1"/>
  <c r="K226" i="228" s="1"/>
  <c r="K227" i="228" s="1"/>
  <c r="K228" i="228" s="1"/>
  <c r="K229" i="228" s="1"/>
  <c r="K230" i="228" s="1"/>
  <c r="K231" i="228" s="1"/>
  <c r="K232" i="228" s="1"/>
  <c r="K233" i="228" s="1"/>
  <c r="K234" i="228" s="1"/>
  <c r="K235" i="228" s="1"/>
  <c r="K236" i="228" s="1"/>
  <c r="K237" i="228" s="1"/>
  <c r="K238" i="228" s="1"/>
  <c r="K239" i="228" s="1"/>
  <c r="K240" i="228" s="1"/>
  <c r="K241" i="228" s="1"/>
  <c r="K242" i="228" s="1"/>
  <c r="K243" i="228" s="1"/>
  <c r="K244" i="228" s="1"/>
  <c r="K245" i="228" s="1"/>
  <c r="K246" i="228" s="1"/>
  <c r="K247" i="228" s="1"/>
  <c r="K248" i="228" s="1"/>
  <c r="K249" i="228" s="1"/>
  <c r="K250" i="228" s="1"/>
  <c r="K251" i="228" s="1"/>
  <c r="K252" i="228" s="1"/>
  <c r="K253" i="228" s="1"/>
  <c r="K254" i="228" s="1"/>
  <c r="K255" i="228" s="1"/>
  <c r="K256" i="228" s="1"/>
  <c r="K257" i="228" s="1"/>
  <c r="K258" i="228" s="1"/>
  <c r="K259" i="228" s="1"/>
  <c r="K260" i="228" s="1"/>
  <c r="K261" i="228" s="1"/>
  <c r="K262" i="228" s="1"/>
  <c r="K263" i="228" s="1"/>
  <c r="K264" i="228" s="1"/>
  <c r="K265" i="228" s="1"/>
  <c r="J26" i="228"/>
  <c r="A8" i="228"/>
  <c r="H267" i="227"/>
  <c r="H266" i="227"/>
  <c r="L265" i="227"/>
  <c r="J265" i="227"/>
  <c r="L264" i="227"/>
  <c r="J264" i="227"/>
  <c r="L263" i="227"/>
  <c r="J263" i="227"/>
  <c r="L262" i="227"/>
  <c r="J262" i="227"/>
  <c r="L261" i="227"/>
  <c r="J261" i="227"/>
  <c r="L260" i="227"/>
  <c r="J260" i="227"/>
  <c r="L259" i="227"/>
  <c r="J259" i="227"/>
  <c r="L258" i="227"/>
  <c r="J258" i="227"/>
  <c r="L257" i="227"/>
  <c r="J257" i="227"/>
  <c r="L256" i="227"/>
  <c r="J256" i="227"/>
  <c r="L255" i="227"/>
  <c r="J255" i="227"/>
  <c r="L254" i="227"/>
  <c r="J254" i="227"/>
  <c r="L253" i="227"/>
  <c r="J253" i="227"/>
  <c r="L252" i="227"/>
  <c r="J252" i="227"/>
  <c r="L251" i="227"/>
  <c r="J251" i="227"/>
  <c r="L250" i="227"/>
  <c r="J250" i="227"/>
  <c r="L249" i="227"/>
  <c r="J249" i="227"/>
  <c r="L248" i="227"/>
  <c r="J248" i="227"/>
  <c r="L247" i="227"/>
  <c r="J247" i="227"/>
  <c r="L246" i="227"/>
  <c r="J246" i="227"/>
  <c r="L245" i="227"/>
  <c r="J245" i="227"/>
  <c r="L244" i="227"/>
  <c r="J244" i="227"/>
  <c r="L243" i="227"/>
  <c r="J243" i="227"/>
  <c r="L242" i="227"/>
  <c r="J242" i="227"/>
  <c r="L241" i="227"/>
  <c r="J241" i="227"/>
  <c r="L240" i="227"/>
  <c r="J240" i="227"/>
  <c r="L239" i="227"/>
  <c r="J239" i="227"/>
  <c r="L238" i="227"/>
  <c r="J238" i="227"/>
  <c r="L237" i="227"/>
  <c r="J237" i="227"/>
  <c r="L236" i="227"/>
  <c r="J236" i="227"/>
  <c r="L235" i="227"/>
  <c r="J235" i="227"/>
  <c r="L234" i="227"/>
  <c r="J234" i="227"/>
  <c r="L233" i="227"/>
  <c r="J233" i="227"/>
  <c r="L232" i="227"/>
  <c r="J232" i="227"/>
  <c r="L231" i="227"/>
  <c r="J231" i="227"/>
  <c r="L230" i="227"/>
  <c r="J230" i="227"/>
  <c r="L229" i="227"/>
  <c r="J229" i="227"/>
  <c r="L228" i="227"/>
  <c r="J228" i="227"/>
  <c r="L227" i="227"/>
  <c r="J227" i="227"/>
  <c r="L226" i="227"/>
  <c r="J226" i="227"/>
  <c r="L225" i="227"/>
  <c r="J225" i="227"/>
  <c r="L224" i="227"/>
  <c r="J224" i="227"/>
  <c r="L223" i="227"/>
  <c r="J223" i="227"/>
  <c r="L222" i="227"/>
  <c r="J222" i="227"/>
  <c r="L221" i="227"/>
  <c r="J221" i="227"/>
  <c r="L220" i="227"/>
  <c r="J220" i="227"/>
  <c r="L219" i="227"/>
  <c r="J219" i="227"/>
  <c r="L218" i="227"/>
  <c r="J218" i="227"/>
  <c r="L217" i="227"/>
  <c r="J217" i="227"/>
  <c r="L216" i="227"/>
  <c r="J216" i="227"/>
  <c r="L215" i="227"/>
  <c r="J215" i="227"/>
  <c r="L214" i="227"/>
  <c r="J214" i="227"/>
  <c r="L213" i="227"/>
  <c r="J213" i="227"/>
  <c r="L212" i="227"/>
  <c r="J212" i="227"/>
  <c r="L211" i="227"/>
  <c r="J211" i="227"/>
  <c r="L210" i="227"/>
  <c r="J210" i="227"/>
  <c r="L209" i="227"/>
  <c r="J209" i="227"/>
  <c r="L208" i="227"/>
  <c r="J208" i="227"/>
  <c r="L207" i="227"/>
  <c r="J207" i="227"/>
  <c r="L206" i="227"/>
  <c r="J206" i="227"/>
  <c r="L205" i="227"/>
  <c r="J205" i="227"/>
  <c r="L204" i="227"/>
  <c r="J204" i="227"/>
  <c r="L203" i="227"/>
  <c r="J203" i="227"/>
  <c r="L202" i="227"/>
  <c r="J202" i="227"/>
  <c r="L201" i="227"/>
  <c r="J201" i="227"/>
  <c r="L200" i="227"/>
  <c r="J200" i="227"/>
  <c r="L199" i="227"/>
  <c r="J199" i="227"/>
  <c r="L198" i="227"/>
  <c r="J198" i="227"/>
  <c r="L197" i="227"/>
  <c r="J197" i="227"/>
  <c r="L196" i="227"/>
  <c r="J196" i="227"/>
  <c r="L195" i="227"/>
  <c r="J195" i="227"/>
  <c r="L194" i="227"/>
  <c r="J194" i="227"/>
  <c r="L193" i="227"/>
  <c r="J193" i="227"/>
  <c r="L192" i="227"/>
  <c r="J192" i="227"/>
  <c r="L191" i="227"/>
  <c r="J191" i="227"/>
  <c r="L190" i="227"/>
  <c r="J190" i="227"/>
  <c r="L189" i="227"/>
  <c r="J189" i="227"/>
  <c r="L188" i="227"/>
  <c r="J188" i="227"/>
  <c r="L187" i="227"/>
  <c r="J187" i="227"/>
  <c r="L186" i="227"/>
  <c r="J186" i="227"/>
  <c r="L185" i="227"/>
  <c r="J185" i="227"/>
  <c r="L184" i="227"/>
  <c r="J184" i="227"/>
  <c r="L183" i="227"/>
  <c r="J183" i="227"/>
  <c r="L182" i="227"/>
  <c r="J182" i="227"/>
  <c r="L181" i="227"/>
  <c r="J181" i="227"/>
  <c r="L180" i="227"/>
  <c r="J180" i="227"/>
  <c r="L179" i="227"/>
  <c r="J179" i="227"/>
  <c r="L178" i="227"/>
  <c r="J178" i="227"/>
  <c r="L177" i="227"/>
  <c r="J177" i="227"/>
  <c r="L176" i="227"/>
  <c r="J176" i="227"/>
  <c r="L175" i="227"/>
  <c r="J175" i="227"/>
  <c r="L174" i="227"/>
  <c r="J174" i="227"/>
  <c r="L173" i="227"/>
  <c r="J173" i="227"/>
  <c r="L172" i="227"/>
  <c r="J172" i="227"/>
  <c r="L171" i="227"/>
  <c r="J171" i="227"/>
  <c r="L170" i="227"/>
  <c r="J170" i="227"/>
  <c r="L169" i="227"/>
  <c r="J169" i="227"/>
  <c r="L168" i="227"/>
  <c r="J168" i="227"/>
  <c r="L167" i="227"/>
  <c r="J167" i="227"/>
  <c r="L166" i="227"/>
  <c r="J166" i="227"/>
  <c r="L165" i="227"/>
  <c r="J165" i="227"/>
  <c r="L164" i="227"/>
  <c r="J164" i="227"/>
  <c r="L163" i="227"/>
  <c r="J163" i="227"/>
  <c r="L162" i="227"/>
  <c r="J162" i="227"/>
  <c r="L161" i="227"/>
  <c r="J161" i="227"/>
  <c r="L160" i="227"/>
  <c r="J160" i="227"/>
  <c r="L159" i="227"/>
  <c r="J159" i="227"/>
  <c r="L158" i="227"/>
  <c r="J158" i="227"/>
  <c r="L157" i="227"/>
  <c r="J157" i="227"/>
  <c r="L156" i="227"/>
  <c r="J156" i="227"/>
  <c r="L155" i="227"/>
  <c r="J155" i="227"/>
  <c r="L154" i="227"/>
  <c r="J154" i="227"/>
  <c r="L153" i="227"/>
  <c r="J153" i="227"/>
  <c r="L152" i="227"/>
  <c r="J152" i="227"/>
  <c r="L151" i="227"/>
  <c r="J151" i="227"/>
  <c r="L150" i="227"/>
  <c r="J150" i="227"/>
  <c r="L149" i="227"/>
  <c r="J149" i="227"/>
  <c r="L148" i="227"/>
  <c r="J148" i="227"/>
  <c r="L147" i="227"/>
  <c r="J147" i="227"/>
  <c r="L146" i="227"/>
  <c r="J146" i="227"/>
  <c r="L145" i="227"/>
  <c r="J145" i="227"/>
  <c r="L144" i="227"/>
  <c r="J144" i="227"/>
  <c r="L143" i="227"/>
  <c r="J143" i="227"/>
  <c r="L142" i="227"/>
  <c r="J142" i="227"/>
  <c r="L141" i="227"/>
  <c r="J141" i="227"/>
  <c r="L140" i="227"/>
  <c r="J140" i="227"/>
  <c r="L139" i="227"/>
  <c r="J139" i="227"/>
  <c r="L138" i="227"/>
  <c r="J138" i="227"/>
  <c r="L137" i="227"/>
  <c r="J137" i="227"/>
  <c r="L136" i="227"/>
  <c r="J136" i="227"/>
  <c r="L135" i="227"/>
  <c r="J135" i="227"/>
  <c r="L134" i="227"/>
  <c r="J134" i="227"/>
  <c r="L133" i="227"/>
  <c r="J133" i="227"/>
  <c r="L132" i="227"/>
  <c r="J132" i="227"/>
  <c r="L131" i="227"/>
  <c r="J131" i="227"/>
  <c r="L130" i="227"/>
  <c r="J130" i="227"/>
  <c r="L129" i="227"/>
  <c r="J129" i="227"/>
  <c r="L128" i="227"/>
  <c r="J128" i="227"/>
  <c r="L127" i="227"/>
  <c r="J127" i="227"/>
  <c r="L126" i="227"/>
  <c r="J126" i="227"/>
  <c r="L125" i="227"/>
  <c r="J125" i="227"/>
  <c r="L124" i="227"/>
  <c r="J124" i="227"/>
  <c r="L123" i="227"/>
  <c r="J123" i="227"/>
  <c r="L122" i="227"/>
  <c r="J122" i="227"/>
  <c r="L121" i="227"/>
  <c r="J121" i="227"/>
  <c r="L120" i="227"/>
  <c r="J120" i="227"/>
  <c r="L119" i="227"/>
  <c r="J119" i="227"/>
  <c r="L118" i="227"/>
  <c r="J118" i="227"/>
  <c r="L117" i="227"/>
  <c r="J117" i="227"/>
  <c r="L116" i="227"/>
  <c r="J116" i="227"/>
  <c r="L115" i="227"/>
  <c r="J115" i="227"/>
  <c r="L114" i="227"/>
  <c r="J114" i="227"/>
  <c r="L113" i="227"/>
  <c r="J113" i="227"/>
  <c r="L112" i="227"/>
  <c r="J112" i="227"/>
  <c r="L111" i="227"/>
  <c r="J111" i="227"/>
  <c r="L110" i="227"/>
  <c r="J110" i="227"/>
  <c r="L109" i="227"/>
  <c r="J109" i="227"/>
  <c r="L108" i="227"/>
  <c r="J108" i="227"/>
  <c r="L107" i="227"/>
  <c r="J107" i="227"/>
  <c r="L106" i="227"/>
  <c r="J106" i="227"/>
  <c r="L105" i="227"/>
  <c r="J105" i="227"/>
  <c r="L104" i="227"/>
  <c r="J104" i="227"/>
  <c r="L103" i="227"/>
  <c r="J103" i="227"/>
  <c r="L102" i="227"/>
  <c r="J102" i="227"/>
  <c r="L101" i="227"/>
  <c r="J101" i="227"/>
  <c r="L100" i="227"/>
  <c r="J100" i="227"/>
  <c r="L99" i="227"/>
  <c r="J99" i="227"/>
  <c r="L98" i="227"/>
  <c r="J98" i="227"/>
  <c r="L97" i="227"/>
  <c r="J97" i="227"/>
  <c r="L96" i="227"/>
  <c r="J96" i="227"/>
  <c r="L95" i="227"/>
  <c r="J95" i="227"/>
  <c r="L94" i="227"/>
  <c r="J94" i="227"/>
  <c r="L93" i="227"/>
  <c r="J93" i="227"/>
  <c r="L92" i="227"/>
  <c r="J92" i="227"/>
  <c r="L91" i="227"/>
  <c r="J91" i="227"/>
  <c r="L90" i="227"/>
  <c r="J90" i="227"/>
  <c r="L89" i="227"/>
  <c r="J89" i="227"/>
  <c r="L88" i="227"/>
  <c r="J88" i="227"/>
  <c r="L87" i="227"/>
  <c r="J87" i="227"/>
  <c r="L86" i="227"/>
  <c r="J86" i="227"/>
  <c r="L85" i="227"/>
  <c r="J85" i="227"/>
  <c r="L84" i="227"/>
  <c r="J84" i="227"/>
  <c r="L83" i="227"/>
  <c r="J83" i="227"/>
  <c r="L82" i="227"/>
  <c r="J82" i="227"/>
  <c r="L81" i="227"/>
  <c r="J81" i="227"/>
  <c r="L80" i="227"/>
  <c r="J80" i="227"/>
  <c r="L79" i="227"/>
  <c r="J79" i="227"/>
  <c r="L78" i="227"/>
  <c r="J78" i="227"/>
  <c r="L77" i="227"/>
  <c r="J77" i="227"/>
  <c r="L76" i="227"/>
  <c r="J76" i="227"/>
  <c r="L75" i="227"/>
  <c r="J75" i="227"/>
  <c r="L74" i="227"/>
  <c r="J74" i="227"/>
  <c r="L73" i="227"/>
  <c r="F260" i="227" s="1"/>
  <c r="J73" i="227"/>
  <c r="L72" i="227"/>
  <c r="F72" i="227" s="1"/>
  <c r="J72" i="227"/>
  <c r="L71" i="227"/>
  <c r="J71" i="227"/>
  <c r="F71" i="227"/>
  <c r="L70" i="227"/>
  <c r="F70" i="227" s="1"/>
  <c r="J70" i="227"/>
  <c r="L69" i="227"/>
  <c r="F69" i="227" s="1"/>
  <c r="J69" i="227"/>
  <c r="L68" i="227"/>
  <c r="F68" i="227" s="1"/>
  <c r="J68" i="227"/>
  <c r="L67" i="227"/>
  <c r="F67" i="227" s="1"/>
  <c r="J67" i="227"/>
  <c r="L66" i="227"/>
  <c r="F66" i="227" s="1"/>
  <c r="J66" i="227"/>
  <c r="L65" i="227"/>
  <c r="F65" i="227" s="1"/>
  <c r="J65" i="227"/>
  <c r="L64" i="227"/>
  <c r="F64" i="227" s="1"/>
  <c r="J64" i="227"/>
  <c r="L63" i="227"/>
  <c r="F63" i="227" s="1"/>
  <c r="J63" i="227"/>
  <c r="L62" i="227"/>
  <c r="F62" i="227" s="1"/>
  <c r="J62" i="227"/>
  <c r="L61" i="227"/>
  <c r="F61" i="227" s="1"/>
  <c r="J61" i="227"/>
  <c r="L60" i="227"/>
  <c r="F60" i="227" s="1"/>
  <c r="J60" i="227"/>
  <c r="L59" i="227"/>
  <c r="F59" i="227" s="1"/>
  <c r="J59" i="227"/>
  <c r="L58" i="227"/>
  <c r="F58" i="227" s="1"/>
  <c r="J58" i="227"/>
  <c r="L57" i="227"/>
  <c r="F57" i="227" s="1"/>
  <c r="J57" i="227"/>
  <c r="L56" i="227"/>
  <c r="J56" i="227"/>
  <c r="F56" i="227"/>
  <c r="L55" i="227"/>
  <c r="F55" i="227" s="1"/>
  <c r="J55" i="227"/>
  <c r="L54" i="227"/>
  <c r="F54" i="227" s="1"/>
  <c r="J54" i="227"/>
  <c r="L53" i="227"/>
  <c r="F53" i="227" s="1"/>
  <c r="J53" i="227"/>
  <c r="L52" i="227"/>
  <c r="F52" i="227" s="1"/>
  <c r="J52" i="227"/>
  <c r="L51" i="227"/>
  <c r="J51" i="227"/>
  <c r="F51" i="227"/>
  <c r="L50" i="227"/>
  <c r="F50" i="227" s="1"/>
  <c r="J50" i="227"/>
  <c r="L49" i="227"/>
  <c r="F49" i="227" s="1"/>
  <c r="J49" i="227"/>
  <c r="L48" i="227"/>
  <c r="F48" i="227" s="1"/>
  <c r="J48" i="227"/>
  <c r="L47" i="227"/>
  <c r="F47" i="227" s="1"/>
  <c r="J47" i="227"/>
  <c r="L46" i="227"/>
  <c r="F46" i="227" s="1"/>
  <c r="J46" i="227"/>
  <c r="L45" i="227"/>
  <c r="J45" i="227"/>
  <c r="F45" i="227"/>
  <c r="L44" i="227"/>
  <c r="J44" i="227"/>
  <c r="B44" i="227" s="1"/>
  <c r="E44" i="227" s="1"/>
  <c r="G44" i="227" s="1"/>
  <c r="F44" i="227"/>
  <c r="L43" i="227"/>
  <c r="J43" i="227"/>
  <c r="F43" i="227"/>
  <c r="L42" i="227"/>
  <c r="F42" i="227" s="1"/>
  <c r="J42" i="227"/>
  <c r="L41" i="227"/>
  <c r="F41" i="227" s="1"/>
  <c r="J41" i="227"/>
  <c r="L40" i="227"/>
  <c r="F40" i="227" s="1"/>
  <c r="J40" i="227"/>
  <c r="L39" i="227"/>
  <c r="F39" i="227" s="1"/>
  <c r="J39" i="227"/>
  <c r="B39" i="227"/>
  <c r="E39" i="227" s="1"/>
  <c r="G39" i="227" s="1"/>
  <c r="L38" i="227"/>
  <c r="F38" i="227" s="1"/>
  <c r="J38" i="227"/>
  <c r="L37" i="227"/>
  <c r="F37" i="227" s="1"/>
  <c r="J37" i="227"/>
  <c r="L36" i="227"/>
  <c r="F36" i="227" s="1"/>
  <c r="J36" i="227"/>
  <c r="L35" i="227"/>
  <c r="F35" i="227" s="1"/>
  <c r="J35" i="227"/>
  <c r="L34" i="227"/>
  <c r="F34" i="227" s="1"/>
  <c r="J34" i="227"/>
  <c r="L33" i="227"/>
  <c r="F33" i="227" s="1"/>
  <c r="J33" i="227"/>
  <c r="L32" i="227"/>
  <c r="F32" i="227" s="1"/>
  <c r="J32" i="227"/>
  <c r="L31" i="227"/>
  <c r="F31" i="227" s="1"/>
  <c r="J31" i="227"/>
  <c r="L30" i="227"/>
  <c r="F30" i="227" s="1"/>
  <c r="J30" i="227"/>
  <c r="L29" i="227"/>
  <c r="F29" i="227" s="1"/>
  <c r="J29" i="227"/>
  <c r="L28" i="227"/>
  <c r="F28" i="227" s="1"/>
  <c r="J28" i="227"/>
  <c r="L27" i="227"/>
  <c r="F27" i="227" s="1"/>
  <c r="J27" i="227"/>
  <c r="D27" i="227"/>
  <c r="D28" i="227" s="1"/>
  <c r="D29" i="227" s="1"/>
  <c r="D30" i="227" s="1"/>
  <c r="D31" i="227" s="1"/>
  <c r="D32" i="227" s="1"/>
  <c r="D33" i="227" s="1"/>
  <c r="D34" i="227" s="1"/>
  <c r="D35" i="227" s="1"/>
  <c r="D36" i="227" s="1"/>
  <c r="D37" i="227" s="1"/>
  <c r="D38" i="227" s="1"/>
  <c r="D39" i="227" s="1"/>
  <c r="D40" i="227" s="1"/>
  <c r="D41" i="227" s="1"/>
  <c r="D42" i="227" s="1"/>
  <c r="D43" i="227" s="1"/>
  <c r="D44" i="227" s="1"/>
  <c r="D45" i="227" s="1"/>
  <c r="D46" i="227" s="1"/>
  <c r="D47" i="227" s="1"/>
  <c r="D48" i="227" s="1"/>
  <c r="D49" i="227" s="1"/>
  <c r="D50" i="227" s="1"/>
  <c r="D51" i="227" s="1"/>
  <c r="D52" i="227" s="1"/>
  <c r="D53" i="227" s="1"/>
  <c r="D54" i="227" s="1"/>
  <c r="D55" i="227" s="1"/>
  <c r="D56" i="227" s="1"/>
  <c r="D57" i="227" s="1"/>
  <c r="D58" i="227" s="1"/>
  <c r="D59" i="227" s="1"/>
  <c r="D60" i="227" s="1"/>
  <c r="D61" i="227" s="1"/>
  <c r="D62" i="227" s="1"/>
  <c r="D63" i="227" s="1"/>
  <c r="D64" i="227" s="1"/>
  <c r="D65" i="227" s="1"/>
  <c r="D66" i="227" s="1"/>
  <c r="D67" i="227" s="1"/>
  <c r="D68" i="227" s="1"/>
  <c r="D69" i="227" s="1"/>
  <c r="D70" i="227" s="1"/>
  <c r="D71" i="227" s="1"/>
  <c r="D72" i="227" s="1"/>
  <c r="D73" i="227" s="1"/>
  <c r="L26" i="227"/>
  <c r="F26" i="227" s="1"/>
  <c r="K26" i="227"/>
  <c r="K27" i="227" s="1"/>
  <c r="K28" i="227" s="1"/>
  <c r="K29" i="227" s="1"/>
  <c r="K30" i="227" s="1"/>
  <c r="K31" i="227" s="1"/>
  <c r="K32" i="227" s="1"/>
  <c r="K33" i="227" s="1"/>
  <c r="K34" i="227" s="1"/>
  <c r="K35" i="227" s="1"/>
  <c r="K36" i="227" s="1"/>
  <c r="K37" i="227" s="1"/>
  <c r="K38" i="227" s="1"/>
  <c r="K39" i="227" s="1"/>
  <c r="K40" i="227" s="1"/>
  <c r="K41" i="227" s="1"/>
  <c r="K42" i="227" s="1"/>
  <c r="K43" i="227" s="1"/>
  <c r="K44" i="227" s="1"/>
  <c r="K45" i="227" s="1"/>
  <c r="K46" i="227" s="1"/>
  <c r="K47" i="227" s="1"/>
  <c r="K48" i="227" s="1"/>
  <c r="K49" i="227" s="1"/>
  <c r="K50" i="227" s="1"/>
  <c r="K51" i="227" s="1"/>
  <c r="K52" i="227" s="1"/>
  <c r="K53" i="227" s="1"/>
  <c r="K54" i="227" s="1"/>
  <c r="K55" i="227" s="1"/>
  <c r="K56" i="227" s="1"/>
  <c r="K57" i="227" s="1"/>
  <c r="K58" i="227" s="1"/>
  <c r="K59" i="227" s="1"/>
  <c r="K60" i="227" s="1"/>
  <c r="K61" i="227" s="1"/>
  <c r="K62" i="227" s="1"/>
  <c r="K63" i="227" s="1"/>
  <c r="K64" i="227" s="1"/>
  <c r="K65" i="227" s="1"/>
  <c r="K66" i="227" s="1"/>
  <c r="K67" i="227" s="1"/>
  <c r="K68" i="227" s="1"/>
  <c r="K69" i="227" s="1"/>
  <c r="K70" i="227" s="1"/>
  <c r="K71" i="227" s="1"/>
  <c r="K72" i="227" s="1"/>
  <c r="K73" i="227" s="1"/>
  <c r="K74" i="227" s="1"/>
  <c r="K75" i="227" s="1"/>
  <c r="K76" i="227" s="1"/>
  <c r="K77" i="227" s="1"/>
  <c r="K78" i="227" s="1"/>
  <c r="K79" i="227" s="1"/>
  <c r="K80" i="227" s="1"/>
  <c r="K81" i="227" s="1"/>
  <c r="K82" i="227" s="1"/>
  <c r="K83" i="227" s="1"/>
  <c r="K84" i="227" s="1"/>
  <c r="K85" i="227" s="1"/>
  <c r="K86" i="227" s="1"/>
  <c r="K87" i="227" s="1"/>
  <c r="K88" i="227" s="1"/>
  <c r="K89" i="227" s="1"/>
  <c r="K90" i="227" s="1"/>
  <c r="K91" i="227" s="1"/>
  <c r="K92" i="227" s="1"/>
  <c r="K93" i="227" s="1"/>
  <c r="K94" i="227" s="1"/>
  <c r="K95" i="227" s="1"/>
  <c r="K96" i="227" s="1"/>
  <c r="K97" i="227" s="1"/>
  <c r="K98" i="227" s="1"/>
  <c r="K99" i="227" s="1"/>
  <c r="K100" i="227" s="1"/>
  <c r="K101" i="227" s="1"/>
  <c r="K102" i="227" s="1"/>
  <c r="K103" i="227" s="1"/>
  <c r="K104" i="227" s="1"/>
  <c r="K105" i="227" s="1"/>
  <c r="K106" i="227" s="1"/>
  <c r="K107" i="227" s="1"/>
  <c r="K108" i="227" s="1"/>
  <c r="K109" i="227" s="1"/>
  <c r="K110" i="227" s="1"/>
  <c r="K111" i="227" s="1"/>
  <c r="K112" i="227" s="1"/>
  <c r="K113" i="227" s="1"/>
  <c r="K114" i="227" s="1"/>
  <c r="K115" i="227" s="1"/>
  <c r="K116" i="227" s="1"/>
  <c r="K117" i="227" s="1"/>
  <c r="K118" i="227" s="1"/>
  <c r="K119" i="227" s="1"/>
  <c r="K120" i="227" s="1"/>
  <c r="K121" i="227" s="1"/>
  <c r="K122" i="227" s="1"/>
  <c r="K123" i="227" s="1"/>
  <c r="K124" i="227" s="1"/>
  <c r="K125" i="227" s="1"/>
  <c r="K126" i="227" s="1"/>
  <c r="K127" i="227" s="1"/>
  <c r="K128" i="227" s="1"/>
  <c r="K129" i="227" s="1"/>
  <c r="K130" i="227" s="1"/>
  <c r="K131" i="227" s="1"/>
  <c r="K132" i="227" s="1"/>
  <c r="K133" i="227" s="1"/>
  <c r="K134" i="227" s="1"/>
  <c r="K135" i="227" s="1"/>
  <c r="K136" i="227" s="1"/>
  <c r="K137" i="227" s="1"/>
  <c r="K138" i="227" s="1"/>
  <c r="K139" i="227" s="1"/>
  <c r="K140" i="227" s="1"/>
  <c r="K141" i="227" s="1"/>
  <c r="K142" i="227" s="1"/>
  <c r="K143" i="227" s="1"/>
  <c r="K144" i="227" s="1"/>
  <c r="K145" i="227" s="1"/>
  <c r="K146" i="227" s="1"/>
  <c r="K147" i="227" s="1"/>
  <c r="K148" i="227" s="1"/>
  <c r="K149" i="227" s="1"/>
  <c r="K150" i="227" s="1"/>
  <c r="K151" i="227" s="1"/>
  <c r="K152" i="227" s="1"/>
  <c r="K153" i="227" s="1"/>
  <c r="K154" i="227" s="1"/>
  <c r="K155" i="227" s="1"/>
  <c r="K156" i="227" s="1"/>
  <c r="K157" i="227" s="1"/>
  <c r="K158" i="227" s="1"/>
  <c r="K159" i="227" s="1"/>
  <c r="K160" i="227" s="1"/>
  <c r="K161" i="227" s="1"/>
  <c r="K162" i="227" s="1"/>
  <c r="K163" i="227" s="1"/>
  <c r="K164" i="227" s="1"/>
  <c r="K165" i="227" s="1"/>
  <c r="K166" i="227" s="1"/>
  <c r="K167" i="227" s="1"/>
  <c r="K168" i="227" s="1"/>
  <c r="K169" i="227" s="1"/>
  <c r="K170" i="227" s="1"/>
  <c r="K171" i="227" s="1"/>
  <c r="K172" i="227" s="1"/>
  <c r="K173" i="227" s="1"/>
  <c r="K174" i="227" s="1"/>
  <c r="K175" i="227" s="1"/>
  <c r="K176" i="227" s="1"/>
  <c r="K177" i="227" s="1"/>
  <c r="K178" i="227" s="1"/>
  <c r="K179" i="227" s="1"/>
  <c r="K180" i="227" s="1"/>
  <c r="K181" i="227" s="1"/>
  <c r="K182" i="227" s="1"/>
  <c r="K183" i="227" s="1"/>
  <c r="K184" i="227" s="1"/>
  <c r="K185" i="227" s="1"/>
  <c r="K186" i="227" s="1"/>
  <c r="K187" i="227" s="1"/>
  <c r="K188" i="227" s="1"/>
  <c r="K189" i="227" s="1"/>
  <c r="K190" i="227" s="1"/>
  <c r="K191" i="227" s="1"/>
  <c r="K192" i="227" s="1"/>
  <c r="K193" i="227" s="1"/>
  <c r="K194" i="227" s="1"/>
  <c r="K195" i="227" s="1"/>
  <c r="K196" i="227" s="1"/>
  <c r="K197" i="227" s="1"/>
  <c r="K198" i="227" s="1"/>
  <c r="K199" i="227" s="1"/>
  <c r="K200" i="227" s="1"/>
  <c r="K201" i="227" s="1"/>
  <c r="K202" i="227" s="1"/>
  <c r="K203" i="227" s="1"/>
  <c r="K204" i="227" s="1"/>
  <c r="K205" i="227" s="1"/>
  <c r="K206" i="227" s="1"/>
  <c r="K207" i="227" s="1"/>
  <c r="K208" i="227" s="1"/>
  <c r="K209" i="227" s="1"/>
  <c r="K210" i="227" s="1"/>
  <c r="K211" i="227" s="1"/>
  <c r="K212" i="227" s="1"/>
  <c r="K213" i="227" s="1"/>
  <c r="K214" i="227" s="1"/>
  <c r="K215" i="227" s="1"/>
  <c r="K216" i="227" s="1"/>
  <c r="K217" i="227" s="1"/>
  <c r="K218" i="227" s="1"/>
  <c r="K219" i="227" s="1"/>
  <c r="K220" i="227" s="1"/>
  <c r="K221" i="227" s="1"/>
  <c r="K222" i="227" s="1"/>
  <c r="K223" i="227" s="1"/>
  <c r="K224" i="227" s="1"/>
  <c r="K225" i="227" s="1"/>
  <c r="K226" i="227" s="1"/>
  <c r="K227" i="227" s="1"/>
  <c r="K228" i="227" s="1"/>
  <c r="K229" i="227" s="1"/>
  <c r="K230" i="227" s="1"/>
  <c r="K231" i="227" s="1"/>
  <c r="K232" i="227" s="1"/>
  <c r="K233" i="227" s="1"/>
  <c r="K234" i="227" s="1"/>
  <c r="K235" i="227" s="1"/>
  <c r="K236" i="227" s="1"/>
  <c r="K237" i="227" s="1"/>
  <c r="K238" i="227" s="1"/>
  <c r="K239" i="227" s="1"/>
  <c r="K240" i="227" s="1"/>
  <c r="K241" i="227" s="1"/>
  <c r="K242" i="227" s="1"/>
  <c r="K243" i="227" s="1"/>
  <c r="K244" i="227" s="1"/>
  <c r="K245" i="227" s="1"/>
  <c r="K246" i="227" s="1"/>
  <c r="K247" i="227" s="1"/>
  <c r="K248" i="227" s="1"/>
  <c r="K249" i="227" s="1"/>
  <c r="K250" i="227" s="1"/>
  <c r="K251" i="227" s="1"/>
  <c r="K252" i="227" s="1"/>
  <c r="K253" i="227" s="1"/>
  <c r="K254" i="227" s="1"/>
  <c r="K255" i="227" s="1"/>
  <c r="K256" i="227" s="1"/>
  <c r="K257" i="227" s="1"/>
  <c r="K258" i="227" s="1"/>
  <c r="K259" i="227" s="1"/>
  <c r="K260" i="227" s="1"/>
  <c r="K261" i="227" s="1"/>
  <c r="K262" i="227" s="1"/>
  <c r="K263" i="227" s="1"/>
  <c r="K264" i="227" s="1"/>
  <c r="K265" i="227" s="1"/>
  <c r="J26" i="227"/>
  <c r="A8" i="227"/>
  <c r="H267" i="210"/>
  <c r="H266" i="210"/>
  <c r="L265" i="210"/>
  <c r="J265" i="210"/>
  <c r="L264" i="210"/>
  <c r="J264" i="210"/>
  <c r="L263" i="210"/>
  <c r="J263" i="210"/>
  <c r="L262" i="210"/>
  <c r="J262" i="210"/>
  <c r="L261" i="210"/>
  <c r="J261" i="210"/>
  <c r="L260" i="210"/>
  <c r="J260" i="210"/>
  <c r="L259" i="210"/>
  <c r="J259" i="210"/>
  <c r="L258" i="210"/>
  <c r="J258" i="210"/>
  <c r="L257" i="210"/>
  <c r="J257" i="210"/>
  <c r="L256" i="210"/>
  <c r="J256" i="210"/>
  <c r="L255" i="210"/>
  <c r="J255" i="210"/>
  <c r="L254" i="210"/>
  <c r="J254" i="210"/>
  <c r="L253" i="210"/>
  <c r="J253" i="210"/>
  <c r="L252" i="210"/>
  <c r="J252" i="210"/>
  <c r="L251" i="210"/>
  <c r="J251" i="210"/>
  <c r="L250" i="210"/>
  <c r="J250" i="210"/>
  <c r="L249" i="210"/>
  <c r="J249" i="210"/>
  <c r="F249" i="210"/>
  <c r="L248" i="210"/>
  <c r="J248" i="210"/>
  <c r="L247" i="210"/>
  <c r="J247" i="210"/>
  <c r="L246" i="210"/>
  <c r="J246" i="210"/>
  <c r="L245" i="210"/>
  <c r="J245" i="210"/>
  <c r="L244" i="210"/>
  <c r="J244" i="210"/>
  <c r="L243" i="210"/>
  <c r="J243" i="210"/>
  <c r="L242" i="210"/>
  <c r="J242" i="210"/>
  <c r="L241" i="210"/>
  <c r="J241" i="210"/>
  <c r="L240" i="210"/>
  <c r="J240" i="210"/>
  <c r="L239" i="210"/>
  <c r="J239" i="210"/>
  <c r="L238" i="210"/>
  <c r="J238" i="210"/>
  <c r="L237" i="210"/>
  <c r="J237" i="210"/>
  <c r="L236" i="210"/>
  <c r="J236" i="210"/>
  <c r="L235" i="210"/>
  <c r="J235" i="210"/>
  <c r="L234" i="210"/>
  <c r="J234" i="210"/>
  <c r="L233" i="210"/>
  <c r="J233" i="210"/>
  <c r="L232" i="210"/>
  <c r="J232" i="210"/>
  <c r="L231" i="210"/>
  <c r="J231" i="210"/>
  <c r="L230" i="210"/>
  <c r="J230" i="210"/>
  <c r="L229" i="210"/>
  <c r="J229" i="210"/>
  <c r="L228" i="210"/>
  <c r="J228" i="210"/>
  <c r="L227" i="210"/>
  <c r="J227" i="210"/>
  <c r="L226" i="210"/>
  <c r="J226" i="210"/>
  <c r="L225" i="210"/>
  <c r="J225" i="210"/>
  <c r="L224" i="210"/>
  <c r="J224" i="210"/>
  <c r="L223" i="210"/>
  <c r="J223" i="210"/>
  <c r="L222" i="210"/>
  <c r="J222" i="210"/>
  <c r="L221" i="210"/>
  <c r="J221" i="210"/>
  <c r="L220" i="210"/>
  <c r="J220" i="210"/>
  <c r="L219" i="210"/>
  <c r="J219" i="210"/>
  <c r="L218" i="210"/>
  <c r="J218" i="210"/>
  <c r="L217" i="210"/>
  <c r="J217" i="210"/>
  <c r="L216" i="210"/>
  <c r="J216" i="210"/>
  <c r="L215" i="210"/>
  <c r="J215" i="210"/>
  <c r="L214" i="210"/>
  <c r="J214" i="210"/>
  <c r="L213" i="210"/>
  <c r="J213" i="210"/>
  <c r="L212" i="210"/>
  <c r="J212" i="210"/>
  <c r="L211" i="210"/>
  <c r="J211" i="210"/>
  <c r="L210" i="210"/>
  <c r="J210" i="210"/>
  <c r="L209" i="210"/>
  <c r="J209" i="210"/>
  <c r="L208" i="210"/>
  <c r="J208" i="210"/>
  <c r="L207" i="210"/>
  <c r="J207" i="210"/>
  <c r="L206" i="210"/>
  <c r="J206" i="210"/>
  <c r="L205" i="210"/>
  <c r="J205" i="210"/>
  <c r="L204" i="210"/>
  <c r="J204" i="210"/>
  <c r="L203" i="210"/>
  <c r="J203" i="210"/>
  <c r="L202" i="210"/>
  <c r="J202" i="210"/>
  <c r="L201" i="210"/>
  <c r="J201" i="210"/>
  <c r="L200" i="210"/>
  <c r="J200" i="210"/>
  <c r="L199" i="210"/>
  <c r="J199" i="210"/>
  <c r="L198" i="210"/>
  <c r="J198" i="210"/>
  <c r="L197" i="210"/>
  <c r="J197" i="210"/>
  <c r="L196" i="210"/>
  <c r="J196" i="210"/>
  <c r="L195" i="210"/>
  <c r="J195" i="210"/>
  <c r="L194" i="210"/>
  <c r="J194" i="210"/>
  <c r="L193" i="210"/>
  <c r="J193" i="210"/>
  <c r="L192" i="210"/>
  <c r="J192" i="210"/>
  <c r="L191" i="210"/>
  <c r="J191" i="210"/>
  <c r="L190" i="210"/>
  <c r="J190" i="210"/>
  <c r="L189" i="210"/>
  <c r="J189" i="210"/>
  <c r="L188" i="210"/>
  <c r="J188" i="210"/>
  <c r="L187" i="210"/>
  <c r="J187" i="210"/>
  <c r="L186" i="210"/>
  <c r="J186" i="210"/>
  <c r="L185" i="210"/>
  <c r="J185" i="210"/>
  <c r="L184" i="210"/>
  <c r="J184" i="210"/>
  <c r="L183" i="210"/>
  <c r="J183" i="210"/>
  <c r="L182" i="210"/>
  <c r="J182" i="210"/>
  <c r="L181" i="210"/>
  <c r="J181" i="210"/>
  <c r="L180" i="210"/>
  <c r="J180" i="210"/>
  <c r="L179" i="210"/>
  <c r="J179" i="210"/>
  <c r="L178" i="210"/>
  <c r="J178" i="210"/>
  <c r="L177" i="210"/>
  <c r="J177" i="210"/>
  <c r="L176" i="210"/>
  <c r="J176" i="210"/>
  <c r="L175" i="210"/>
  <c r="J175" i="210"/>
  <c r="L174" i="210"/>
  <c r="J174" i="210"/>
  <c r="L173" i="210"/>
  <c r="J173" i="210"/>
  <c r="L172" i="210"/>
  <c r="J172" i="210"/>
  <c r="L171" i="210"/>
  <c r="J171" i="210"/>
  <c r="L170" i="210"/>
  <c r="J170" i="210"/>
  <c r="L169" i="210"/>
  <c r="J169" i="210"/>
  <c r="F169" i="210"/>
  <c r="L168" i="210"/>
  <c r="J168" i="210"/>
  <c r="L167" i="210"/>
  <c r="J167" i="210"/>
  <c r="L166" i="210"/>
  <c r="J166" i="210"/>
  <c r="L165" i="210"/>
  <c r="J165" i="210"/>
  <c r="L164" i="210"/>
  <c r="J164" i="210"/>
  <c r="L163" i="210"/>
  <c r="J163" i="210"/>
  <c r="L162" i="210"/>
  <c r="J162" i="210"/>
  <c r="L161" i="210"/>
  <c r="J161" i="210"/>
  <c r="L160" i="210"/>
  <c r="J160" i="210"/>
  <c r="L159" i="210"/>
  <c r="J159" i="210"/>
  <c r="L158" i="210"/>
  <c r="J158" i="210"/>
  <c r="L157" i="210"/>
  <c r="J157" i="210"/>
  <c r="L156" i="210"/>
  <c r="J156" i="210"/>
  <c r="L155" i="210"/>
  <c r="J155" i="210"/>
  <c r="L154" i="210"/>
  <c r="J154" i="210"/>
  <c r="F154" i="210"/>
  <c r="L153" i="210"/>
  <c r="J153" i="210"/>
  <c r="L152" i="210"/>
  <c r="J152" i="210"/>
  <c r="L151" i="210"/>
  <c r="J151" i="210"/>
  <c r="L150" i="210"/>
  <c r="J150" i="210"/>
  <c r="L149" i="210"/>
  <c r="J149" i="210"/>
  <c r="L148" i="210"/>
  <c r="J148" i="210"/>
  <c r="L147" i="210"/>
  <c r="J147" i="210"/>
  <c r="L146" i="210"/>
  <c r="J146" i="210"/>
  <c r="L145" i="210"/>
  <c r="J145" i="210"/>
  <c r="L144" i="210"/>
  <c r="J144" i="210"/>
  <c r="L143" i="210"/>
  <c r="J143" i="210"/>
  <c r="L142" i="210"/>
  <c r="J142" i="210"/>
  <c r="L141" i="210"/>
  <c r="J141" i="210"/>
  <c r="L140" i="210"/>
  <c r="J140" i="210"/>
  <c r="L139" i="210"/>
  <c r="J139" i="210"/>
  <c r="L138" i="210"/>
  <c r="J138" i="210"/>
  <c r="L137" i="210"/>
  <c r="J137" i="210"/>
  <c r="L136" i="210"/>
  <c r="J136" i="210"/>
  <c r="L135" i="210"/>
  <c r="J135" i="210"/>
  <c r="L134" i="210"/>
  <c r="J134" i="210"/>
  <c r="L133" i="210"/>
  <c r="J133" i="210"/>
  <c r="L132" i="210"/>
  <c r="J132" i="210"/>
  <c r="L131" i="210"/>
  <c r="J131" i="210"/>
  <c r="L130" i="210"/>
  <c r="J130" i="210"/>
  <c r="L129" i="210"/>
  <c r="J129" i="210"/>
  <c r="L128" i="210"/>
  <c r="J128" i="210"/>
  <c r="L127" i="210"/>
  <c r="J127" i="210"/>
  <c r="L126" i="210"/>
  <c r="J126" i="210"/>
  <c r="L125" i="210"/>
  <c r="J125" i="210"/>
  <c r="L124" i="210"/>
  <c r="J124" i="210"/>
  <c r="L123" i="210"/>
  <c r="J123" i="210"/>
  <c r="L122" i="210"/>
  <c r="J122" i="210"/>
  <c r="L121" i="210"/>
  <c r="J121" i="210"/>
  <c r="L120" i="210"/>
  <c r="J120" i="210"/>
  <c r="L119" i="210"/>
  <c r="J119" i="210"/>
  <c r="L118" i="210"/>
  <c r="J118" i="210"/>
  <c r="L117" i="210"/>
  <c r="J117" i="210"/>
  <c r="L116" i="210"/>
  <c r="J116" i="210"/>
  <c r="L115" i="210"/>
  <c r="J115" i="210"/>
  <c r="B115" i="210"/>
  <c r="E115" i="210" s="1"/>
  <c r="G115" i="210" s="1"/>
  <c r="L114" i="210"/>
  <c r="J114" i="210"/>
  <c r="L113" i="210"/>
  <c r="J113" i="210"/>
  <c r="L112" i="210"/>
  <c r="J112" i="210"/>
  <c r="B112" i="210"/>
  <c r="E112" i="210" s="1"/>
  <c r="G112" i="210" s="1"/>
  <c r="L111" i="210"/>
  <c r="J111" i="210"/>
  <c r="L110" i="210"/>
  <c r="J110" i="210"/>
  <c r="L109" i="210"/>
  <c r="J109" i="210"/>
  <c r="L108" i="210"/>
  <c r="J108" i="210"/>
  <c r="L107" i="210"/>
  <c r="J107" i="210"/>
  <c r="L106" i="210"/>
  <c r="J106" i="210"/>
  <c r="L105" i="210"/>
  <c r="J105" i="210"/>
  <c r="L104" i="210"/>
  <c r="J104" i="210"/>
  <c r="B104" i="210"/>
  <c r="E104" i="210" s="1"/>
  <c r="G104" i="210" s="1"/>
  <c r="L103" i="210"/>
  <c r="J103" i="210"/>
  <c r="L102" i="210"/>
  <c r="J102" i="210"/>
  <c r="L101" i="210"/>
  <c r="J101" i="210"/>
  <c r="L100" i="210"/>
  <c r="J100" i="210"/>
  <c r="L99" i="210"/>
  <c r="J99" i="210"/>
  <c r="L98" i="210"/>
  <c r="J98" i="210"/>
  <c r="L97" i="210"/>
  <c r="J97" i="210"/>
  <c r="L96" i="210"/>
  <c r="J96" i="210"/>
  <c r="L95" i="210"/>
  <c r="J95" i="210"/>
  <c r="L94" i="210"/>
  <c r="J94" i="210"/>
  <c r="F94" i="210"/>
  <c r="L93" i="210"/>
  <c r="J93" i="210"/>
  <c r="L92" i="210"/>
  <c r="J92" i="210"/>
  <c r="L91" i="210"/>
  <c r="J91" i="210"/>
  <c r="L90" i="210"/>
  <c r="J90" i="210"/>
  <c r="L89" i="210"/>
  <c r="J89" i="210"/>
  <c r="L88" i="210"/>
  <c r="J88" i="210"/>
  <c r="L87" i="210"/>
  <c r="J87" i="210"/>
  <c r="L86" i="210"/>
  <c r="J86" i="210"/>
  <c r="L85" i="210"/>
  <c r="J85" i="210"/>
  <c r="L84" i="210"/>
  <c r="J84" i="210"/>
  <c r="L83" i="210"/>
  <c r="J83" i="210"/>
  <c r="L82" i="210"/>
  <c r="J82" i="210"/>
  <c r="L81" i="210"/>
  <c r="J81" i="210"/>
  <c r="L80" i="210"/>
  <c r="J80" i="210"/>
  <c r="L79" i="210"/>
  <c r="J79" i="210"/>
  <c r="L78" i="210"/>
  <c r="J78" i="210"/>
  <c r="L77" i="210"/>
  <c r="J77" i="210"/>
  <c r="F77" i="210"/>
  <c r="L76" i="210"/>
  <c r="J76" i="210"/>
  <c r="L75" i="210"/>
  <c r="J75" i="210"/>
  <c r="F75" i="210"/>
  <c r="L74" i="210"/>
  <c r="J74" i="210"/>
  <c r="L73" i="210"/>
  <c r="F209" i="210" s="1"/>
  <c r="J73" i="210"/>
  <c r="B110" i="210" s="1"/>
  <c r="E110" i="210" s="1"/>
  <c r="G110" i="210" s="1"/>
  <c r="F73" i="210"/>
  <c r="L72" i="210"/>
  <c r="F72" i="210" s="1"/>
  <c r="J72" i="210"/>
  <c r="L71" i="210"/>
  <c r="F71" i="210" s="1"/>
  <c r="J71" i="210"/>
  <c r="L70" i="210"/>
  <c r="F70" i="210" s="1"/>
  <c r="J70" i="210"/>
  <c r="L69" i="210"/>
  <c r="F69" i="210" s="1"/>
  <c r="J69" i="210"/>
  <c r="L68" i="210"/>
  <c r="F68" i="210" s="1"/>
  <c r="J68" i="210"/>
  <c r="L67" i="210"/>
  <c r="F67" i="210" s="1"/>
  <c r="J67" i="210"/>
  <c r="L66" i="210"/>
  <c r="F66" i="210" s="1"/>
  <c r="J66" i="210"/>
  <c r="L65" i="210"/>
  <c r="F65" i="210" s="1"/>
  <c r="J65" i="210"/>
  <c r="L64" i="210"/>
  <c r="F64" i="210" s="1"/>
  <c r="J64" i="210"/>
  <c r="L63" i="210"/>
  <c r="F63" i="210" s="1"/>
  <c r="J63" i="210"/>
  <c r="L62" i="210"/>
  <c r="F62" i="210" s="1"/>
  <c r="J62" i="210"/>
  <c r="B62" i="210" s="1"/>
  <c r="E62" i="210" s="1"/>
  <c r="G62" i="210" s="1"/>
  <c r="L61" i="210"/>
  <c r="F61" i="210" s="1"/>
  <c r="J61" i="210"/>
  <c r="L60" i="210"/>
  <c r="F60" i="210" s="1"/>
  <c r="J60" i="210"/>
  <c r="L59" i="210"/>
  <c r="F59" i="210" s="1"/>
  <c r="J59" i="210"/>
  <c r="L58" i="210"/>
  <c r="F58" i="210" s="1"/>
  <c r="J58" i="210"/>
  <c r="L57" i="210"/>
  <c r="F57" i="210" s="1"/>
  <c r="J57" i="210"/>
  <c r="L56" i="210"/>
  <c r="F56" i="210" s="1"/>
  <c r="J56" i="210"/>
  <c r="L55" i="210"/>
  <c r="F55" i="210" s="1"/>
  <c r="J55" i="210"/>
  <c r="L54" i="210"/>
  <c r="F54" i="210" s="1"/>
  <c r="J54" i="210"/>
  <c r="L53" i="210"/>
  <c r="F53" i="210" s="1"/>
  <c r="J53" i="210"/>
  <c r="L52" i="210"/>
  <c r="F52" i="210" s="1"/>
  <c r="J52" i="210"/>
  <c r="L51" i="210"/>
  <c r="F51" i="210" s="1"/>
  <c r="J51" i="210"/>
  <c r="L50" i="210"/>
  <c r="F50" i="210" s="1"/>
  <c r="J50" i="210"/>
  <c r="L49" i="210"/>
  <c r="F49" i="210" s="1"/>
  <c r="J49" i="210"/>
  <c r="L48" i="210"/>
  <c r="F48" i="210" s="1"/>
  <c r="J48" i="210"/>
  <c r="L47" i="210"/>
  <c r="J47" i="210"/>
  <c r="F47" i="210"/>
  <c r="L46" i="210"/>
  <c r="F46" i="210" s="1"/>
  <c r="J46" i="210"/>
  <c r="L45" i="210"/>
  <c r="J45" i="210"/>
  <c r="F45" i="210"/>
  <c r="L44" i="210"/>
  <c r="J44" i="210"/>
  <c r="F44" i="210"/>
  <c r="L43" i="210"/>
  <c r="F43" i="210" s="1"/>
  <c r="J43" i="210"/>
  <c r="L42" i="210"/>
  <c r="J42" i="210"/>
  <c r="F42" i="210"/>
  <c r="L41" i="210"/>
  <c r="F41" i="210" s="1"/>
  <c r="J41" i="210"/>
  <c r="L40" i="210"/>
  <c r="F40" i="210" s="1"/>
  <c r="J40" i="210"/>
  <c r="L39" i="210"/>
  <c r="J39" i="210"/>
  <c r="F39" i="210"/>
  <c r="L38" i="210"/>
  <c r="F38" i="210" s="1"/>
  <c r="J38" i="210"/>
  <c r="L37" i="210"/>
  <c r="F37" i="210" s="1"/>
  <c r="J37" i="210"/>
  <c r="L36" i="210"/>
  <c r="F36" i="210" s="1"/>
  <c r="J36" i="210"/>
  <c r="L35" i="210"/>
  <c r="F35" i="210" s="1"/>
  <c r="J35" i="210"/>
  <c r="L34" i="210"/>
  <c r="J34" i="210"/>
  <c r="F34" i="210"/>
  <c r="L33" i="210"/>
  <c r="F33" i="210" s="1"/>
  <c r="J33" i="210"/>
  <c r="L32" i="210"/>
  <c r="F32" i="210" s="1"/>
  <c r="J32" i="210"/>
  <c r="L31" i="210"/>
  <c r="J31" i="210"/>
  <c r="F31" i="210"/>
  <c r="L30" i="210"/>
  <c r="F30" i="210" s="1"/>
  <c r="J30" i="210"/>
  <c r="L29" i="210"/>
  <c r="F29" i="210" s="1"/>
  <c r="J29" i="210"/>
  <c r="B29" i="210" s="1"/>
  <c r="E29" i="210" s="1"/>
  <c r="G29" i="210" s="1"/>
  <c r="L28" i="210"/>
  <c r="F28" i="210" s="1"/>
  <c r="J28" i="210"/>
  <c r="L27" i="210"/>
  <c r="F27" i="210" s="1"/>
  <c r="J27" i="210"/>
  <c r="D27" i="210"/>
  <c r="D28" i="210" s="1"/>
  <c r="D29" i="210" s="1"/>
  <c r="D30" i="210" s="1"/>
  <c r="D31" i="210" s="1"/>
  <c r="D32" i="210" s="1"/>
  <c r="D33" i="210" s="1"/>
  <c r="D34" i="210" s="1"/>
  <c r="D35" i="210" s="1"/>
  <c r="D36" i="210" s="1"/>
  <c r="D37" i="210" s="1"/>
  <c r="D38" i="210" s="1"/>
  <c r="D39" i="210" s="1"/>
  <c r="D40" i="210" s="1"/>
  <c r="D41" i="210" s="1"/>
  <c r="D42" i="210" s="1"/>
  <c r="D43" i="210" s="1"/>
  <c r="D44" i="210" s="1"/>
  <c r="D45" i="210" s="1"/>
  <c r="D46" i="210" s="1"/>
  <c r="D47" i="210" s="1"/>
  <c r="D48" i="210" s="1"/>
  <c r="D49" i="210" s="1"/>
  <c r="D50" i="210" s="1"/>
  <c r="D51" i="210" s="1"/>
  <c r="D52" i="210" s="1"/>
  <c r="D53" i="210" s="1"/>
  <c r="D54" i="210" s="1"/>
  <c r="D55" i="210" s="1"/>
  <c r="D56" i="210" s="1"/>
  <c r="D57" i="210" s="1"/>
  <c r="D58" i="210" s="1"/>
  <c r="D59" i="210" s="1"/>
  <c r="D60" i="210" s="1"/>
  <c r="D61" i="210" s="1"/>
  <c r="D62" i="210" s="1"/>
  <c r="D63" i="210" s="1"/>
  <c r="D64" i="210" s="1"/>
  <c r="D65" i="210" s="1"/>
  <c r="D66" i="210" s="1"/>
  <c r="D67" i="210" s="1"/>
  <c r="D68" i="210" s="1"/>
  <c r="D69" i="210" s="1"/>
  <c r="D70" i="210" s="1"/>
  <c r="D71" i="210" s="1"/>
  <c r="D72" i="210" s="1"/>
  <c r="D73" i="210" s="1"/>
  <c r="L26" i="210"/>
  <c r="F26" i="210" s="1"/>
  <c r="K26" i="210"/>
  <c r="K27" i="210" s="1"/>
  <c r="K28" i="210" s="1"/>
  <c r="K29" i="210" s="1"/>
  <c r="K30" i="210" s="1"/>
  <c r="K31" i="210" s="1"/>
  <c r="K32" i="210" s="1"/>
  <c r="K33" i="210" s="1"/>
  <c r="K34" i="210" s="1"/>
  <c r="K35" i="210" s="1"/>
  <c r="K36" i="210" s="1"/>
  <c r="K37" i="210" s="1"/>
  <c r="K38" i="210" s="1"/>
  <c r="K39" i="210" s="1"/>
  <c r="K40" i="210" s="1"/>
  <c r="K41" i="210" s="1"/>
  <c r="K42" i="210" s="1"/>
  <c r="K43" i="210" s="1"/>
  <c r="K44" i="210" s="1"/>
  <c r="K45" i="210" s="1"/>
  <c r="K46" i="210" s="1"/>
  <c r="K47" i="210" s="1"/>
  <c r="K48" i="210" s="1"/>
  <c r="K49" i="210" s="1"/>
  <c r="K50" i="210" s="1"/>
  <c r="K51" i="210" s="1"/>
  <c r="K52" i="210" s="1"/>
  <c r="K53" i="210" s="1"/>
  <c r="K54" i="210" s="1"/>
  <c r="K55" i="210" s="1"/>
  <c r="K56" i="210" s="1"/>
  <c r="K57" i="210" s="1"/>
  <c r="K58" i="210" s="1"/>
  <c r="K59" i="210" s="1"/>
  <c r="K60" i="210" s="1"/>
  <c r="K61" i="210" s="1"/>
  <c r="K62" i="210" s="1"/>
  <c r="K63" i="210" s="1"/>
  <c r="K64" i="210" s="1"/>
  <c r="K65" i="210" s="1"/>
  <c r="K66" i="210" s="1"/>
  <c r="K67" i="210" s="1"/>
  <c r="K68" i="210" s="1"/>
  <c r="K69" i="210" s="1"/>
  <c r="K70" i="210" s="1"/>
  <c r="K71" i="210" s="1"/>
  <c r="K72" i="210" s="1"/>
  <c r="K73" i="210" s="1"/>
  <c r="K74" i="210" s="1"/>
  <c r="K75" i="210" s="1"/>
  <c r="K76" i="210" s="1"/>
  <c r="K77" i="210" s="1"/>
  <c r="K78" i="210" s="1"/>
  <c r="K79" i="210" s="1"/>
  <c r="K80" i="210" s="1"/>
  <c r="K81" i="210" s="1"/>
  <c r="K82" i="210" s="1"/>
  <c r="K83" i="210" s="1"/>
  <c r="K84" i="210" s="1"/>
  <c r="K85" i="210" s="1"/>
  <c r="K86" i="210" s="1"/>
  <c r="K87" i="210" s="1"/>
  <c r="K88" i="210" s="1"/>
  <c r="K89" i="210" s="1"/>
  <c r="K90" i="210" s="1"/>
  <c r="K91" i="210" s="1"/>
  <c r="K92" i="210" s="1"/>
  <c r="K93" i="210" s="1"/>
  <c r="K94" i="210" s="1"/>
  <c r="K95" i="210" s="1"/>
  <c r="K96" i="210" s="1"/>
  <c r="K97" i="210" s="1"/>
  <c r="K98" i="210" s="1"/>
  <c r="K99" i="210" s="1"/>
  <c r="K100" i="210" s="1"/>
  <c r="K101" i="210" s="1"/>
  <c r="K102" i="210" s="1"/>
  <c r="K103" i="210" s="1"/>
  <c r="K104" i="210" s="1"/>
  <c r="K105" i="210" s="1"/>
  <c r="K106" i="210" s="1"/>
  <c r="K107" i="210" s="1"/>
  <c r="K108" i="210" s="1"/>
  <c r="K109" i="210" s="1"/>
  <c r="K110" i="210" s="1"/>
  <c r="K111" i="210" s="1"/>
  <c r="K112" i="210" s="1"/>
  <c r="K113" i="210" s="1"/>
  <c r="K114" i="210" s="1"/>
  <c r="K115" i="210" s="1"/>
  <c r="K116" i="210" s="1"/>
  <c r="K117" i="210" s="1"/>
  <c r="K118" i="210" s="1"/>
  <c r="K119" i="210" s="1"/>
  <c r="K120" i="210" s="1"/>
  <c r="K121" i="210" s="1"/>
  <c r="K122" i="210" s="1"/>
  <c r="K123" i="210" s="1"/>
  <c r="K124" i="210" s="1"/>
  <c r="K125" i="210" s="1"/>
  <c r="K126" i="210" s="1"/>
  <c r="K127" i="210" s="1"/>
  <c r="K128" i="210" s="1"/>
  <c r="K129" i="210" s="1"/>
  <c r="K130" i="210" s="1"/>
  <c r="K131" i="210" s="1"/>
  <c r="K132" i="210" s="1"/>
  <c r="K133" i="210" s="1"/>
  <c r="K134" i="210" s="1"/>
  <c r="K135" i="210" s="1"/>
  <c r="K136" i="210" s="1"/>
  <c r="K137" i="210" s="1"/>
  <c r="K138" i="210" s="1"/>
  <c r="K139" i="210" s="1"/>
  <c r="K140" i="210" s="1"/>
  <c r="K141" i="210" s="1"/>
  <c r="K142" i="210" s="1"/>
  <c r="K143" i="210" s="1"/>
  <c r="K144" i="210" s="1"/>
  <c r="K145" i="210" s="1"/>
  <c r="K146" i="210" s="1"/>
  <c r="K147" i="210" s="1"/>
  <c r="K148" i="210" s="1"/>
  <c r="K149" i="210" s="1"/>
  <c r="K150" i="210" s="1"/>
  <c r="K151" i="210" s="1"/>
  <c r="K152" i="210" s="1"/>
  <c r="K153" i="210" s="1"/>
  <c r="K154" i="210" s="1"/>
  <c r="K155" i="210" s="1"/>
  <c r="K156" i="210" s="1"/>
  <c r="K157" i="210" s="1"/>
  <c r="K158" i="210" s="1"/>
  <c r="K159" i="210" s="1"/>
  <c r="K160" i="210" s="1"/>
  <c r="K161" i="210" s="1"/>
  <c r="K162" i="210" s="1"/>
  <c r="K163" i="210" s="1"/>
  <c r="K164" i="210" s="1"/>
  <c r="K165" i="210" s="1"/>
  <c r="K166" i="210" s="1"/>
  <c r="K167" i="210" s="1"/>
  <c r="K168" i="210" s="1"/>
  <c r="K169" i="210" s="1"/>
  <c r="K170" i="210" s="1"/>
  <c r="K171" i="210" s="1"/>
  <c r="K172" i="210" s="1"/>
  <c r="K173" i="210" s="1"/>
  <c r="K174" i="210" s="1"/>
  <c r="K175" i="210" s="1"/>
  <c r="K176" i="210" s="1"/>
  <c r="K177" i="210" s="1"/>
  <c r="K178" i="210" s="1"/>
  <c r="K179" i="210" s="1"/>
  <c r="K180" i="210" s="1"/>
  <c r="K181" i="210" s="1"/>
  <c r="K182" i="210" s="1"/>
  <c r="K183" i="210" s="1"/>
  <c r="K184" i="210" s="1"/>
  <c r="K185" i="210" s="1"/>
  <c r="K186" i="210" s="1"/>
  <c r="K187" i="210" s="1"/>
  <c r="K188" i="210" s="1"/>
  <c r="K189" i="210" s="1"/>
  <c r="K190" i="210" s="1"/>
  <c r="K191" i="210" s="1"/>
  <c r="K192" i="210" s="1"/>
  <c r="K193" i="210" s="1"/>
  <c r="K194" i="210" s="1"/>
  <c r="K195" i="210" s="1"/>
  <c r="K196" i="210" s="1"/>
  <c r="K197" i="210" s="1"/>
  <c r="K198" i="210" s="1"/>
  <c r="K199" i="210" s="1"/>
  <c r="K200" i="210" s="1"/>
  <c r="K201" i="210" s="1"/>
  <c r="K202" i="210" s="1"/>
  <c r="K203" i="210" s="1"/>
  <c r="K204" i="210" s="1"/>
  <c r="K205" i="210" s="1"/>
  <c r="K206" i="210" s="1"/>
  <c r="K207" i="210" s="1"/>
  <c r="K208" i="210" s="1"/>
  <c r="K209" i="210" s="1"/>
  <c r="K210" i="210" s="1"/>
  <c r="K211" i="210" s="1"/>
  <c r="K212" i="210" s="1"/>
  <c r="K213" i="210" s="1"/>
  <c r="K214" i="210" s="1"/>
  <c r="K215" i="210" s="1"/>
  <c r="K216" i="210" s="1"/>
  <c r="K217" i="210" s="1"/>
  <c r="K218" i="210" s="1"/>
  <c r="K219" i="210" s="1"/>
  <c r="K220" i="210" s="1"/>
  <c r="K221" i="210" s="1"/>
  <c r="K222" i="210" s="1"/>
  <c r="K223" i="210" s="1"/>
  <c r="K224" i="210" s="1"/>
  <c r="K225" i="210" s="1"/>
  <c r="K226" i="210" s="1"/>
  <c r="K227" i="210" s="1"/>
  <c r="K228" i="210" s="1"/>
  <c r="K229" i="210" s="1"/>
  <c r="K230" i="210" s="1"/>
  <c r="K231" i="210" s="1"/>
  <c r="K232" i="210" s="1"/>
  <c r="K233" i="210" s="1"/>
  <c r="K234" i="210" s="1"/>
  <c r="K235" i="210" s="1"/>
  <c r="K236" i="210" s="1"/>
  <c r="K237" i="210" s="1"/>
  <c r="K238" i="210" s="1"/>
  <c r="K239" i="210" s="1"/>
  <c r="K240" i="210" s="1"/>
  <c r="K241" i="210" s="1"/>
  <c r="K242" i="210" s="1"/>
  <c r="K243" i="210" s="1"/>
  <c r="K244" i="210" s="1"/>
  <c r="K245" i="210" s="1"/>
  <c r="K246" i="210" s="1"/>
  <c r="K247" i="210" s="1"/>
  <c r="K248" i="210" s="1"/>
  <c r="K249" i="210" s="1"/>
  <c r="K250" i="210" s="1"/>
  <c r="K251" i="210" s="1"/>
  <c r="K252" i="210" s="1"/>
  <c r="K253" i="210" s="1"/>
  <c r="K254" i="210" s="1"/>
  <c r="K255" i="210" s="1"/>
  <c r="K256" i="210" s="1"/>
  <c r="K257" i="210" s="1"/>
  <c r="K258" i="210" s="1"/>
  <c r="K259" i="210" s="1"/>
  <c r="K260" i="210" s="1"/>
  <c r="K261" i="210" s="1"/>
  <c r="K262" i="210" s="1"/>
  <c r="K263" i="210" s="1"/>
  <c r="K264" i="210" s="1"/>
  <c r="K265" i="210" s="1"/>
  <c r="J26" i="210"/>
  <c r="A8" i="210"/>
  <c r="H267" i="23"/>
  <c r="H266" i="23"/>
  <c r="L265" i="23"/>
  <c r="J265" i="23"/>
  <c r="L264" i="23"/>
  <c r="J264" i="23"/>
  <c r="L263" i="23"/>
  <c r="J263" i="23"/>
  <c r="L262" i="23"/>
  <c r="J262" i="23"/>
  <c r="L261" i="23"/>
  <c r="J261" i="23"/>
  <c r="L260" i="23"/>
  <c r="J260" i="23"/>
  <c r="L259" i="23"/>
  <c r="J259" i="23"/>
  <c r="L258" i="23"/>
  <c r="J258" i="23"/>
  <c r="L257" i="23"/>
  <c r="J257" i="23"/>
  <c r="L256" i="23"/>
  <c r="J256" i="23"/>
  <c r="L255" i="23"/>
  <c r="J255" i="23"/>
  <c r="L254" i="23"/>
  <c r="J254" i="23"/>
  <c r="L253" i="23"/>
  <c r="J253" i="23"/>
  <c r="L252" i="23"/>
  <c r="J252" i="23"/>
  <c r="L251" i="23"/>
  <c r="J251" i="23"/>
  <c r="L250" i="23"/>
  <c r="J250" i="23"/>
  <c r="L249" i="23"/>
  <c r="J249" i="23"/>
  <c r="L248" i="23"/>
  <c r="J248" i="23"/>
  <c r="L247" i="23"/>
  <c r="J247" i="23"/>
  <c r="L246" i="23"/>
  <c r="J246" i="23"/>
  <c r="L245" i="23"/>
  <c r="J245" i="23"/>
  <c r="L244" i="23"/>
  <c r="J244" i="23"/>
  <c r="L243" i="23"/>
  <c r="J243" i="23"/>
  <c r="L242" i="23"/>
  <c r="J242" i="23"/>
  <c r="L241" i="23"/>
  <c r="J241" i="23"/>
  <c r="L240" i="23"/>
  <c r="J240" i="23"/>
  <c r="L239" i="23"/>
  <c r="J239" i="23"/>
  <c r="L238" i="23"/>
  <c r="J238" i="23"/>
  <c r="L237" i="23"/>
  <c r="J237" i="23"/>
  <c r="L236" i="23"/>
  <c r="J236" i="23"/>
  <c r="L235" i="23"/>
  <c r="J235" i="23"/>
  <c r="L234" i="23"/>
  <c r="J234" i="23"/>
  <c r="L233" i="23"/>
  <c r="J233" i="23"/>
  <c r="L232" i="23"/>
  <c r="J232" i="23"/>
  <c r="L231" i="23"/>
  <c r="J231" i="23"/>
  <c r="L230" i="23"/>
  <c r="J230" i="23"/>
  <c r="L229" i="23"/>
  <c r="J229" i="23"/>
  <c r="L228" i="23"/>
  <c r="J228" i="23"/>
  <c r="L227" i="23"/>
  <c r="J227" i="23"/>
  <c r="L226" i="23"/>
  <c r="J226" i="23"/>
  <c r="L225" i="23"/>
  <c r="J225" i="23"/>
  <c r="L224" i="23"/>
  <c r="J224" i="23"/>
  <c r="L223" i="23"/>
  <c r="J223" i="23"/>
  <c r="L222" i="23"/>
  <c r="J222" i="23"/>
  <c r="L221" i="23"/>
  <c r="J221" i="23"/>
  <c r="L220" i="23"/>
  <c r="J220" i="23"/>
  <c r="L219" i="23"/>
  <c r="J219" i="23"/>
  <c r="L218" i="23"/>
  <c r="J218" i="23"/>
  <c r="L217" i="23"/>
  <c r="J217" i="23"/>
  <c r="L216" i="23"/>
  <c r="J216" i="23"/>
  <c r="L215" i="23"/>
  <c r="J215" i="23"/>
  <c r="L214" i="23"/>
  <c r="J214" i="23"/>
  <c r="L213" i="23"/>
  <c r="J213" i="23"/>
  <c r="L212" i="23"/>
  <c r="J212" i="23"/>
  <c r="L211" i="23"/>
  <c r="J211" i="23"/>
  <c r="L210" i="23"/>
  <c r="J210" i="23"/>
  <c r="L209" i="23"/>
  <c r="J209" i="23"/>
  <c r="L208" i="23"/>
  <c r="J208" i="23"/>
  <c r="L207" i="23"/>
  <c r="J207" i="23"/>
  <c r="L206" i="23"/>
  <c r="J206" i="23"/>
  <c r="L205" i="23"/>
  <c r="J205" i="23"/>
  <c r="L204" i="23"/>
  <c r="J204" i="23"/>
  <c r="L203" i="23"/>
  <c r="J203" i="23"/>
  <c r="L202" i="23"/>
  <c r="J202" i="23"/>
  <c r="L201" i="23"/>
  <c r="J201" i="23"/>
  <c r="L200" i="23"/>
  <c r="J200" i="23"/>
  <c r="L199" i="23"/>
  <c r="J199" i="23"/>
  <c r="L198" i="23"/>
  <c r="J198" i="23"/>
  <c r="L197" i="23"/>
  <c r="J197" i="23"/>
  <c r="L196" i="23"/>
  <c r="J196" i="23"/>
  <c r="L195" i="23"/>
  <c r="J195" i="23"/>
  <c r="L194" i="23"/>
  <c r="J194" i="23"/>
  <c r="L193" i="23"/>
  <c r="J193" i="23"/>
  <c r="L192" i="23"/>
  <c r="J192" i="23"/>
  <c r="L191" i="23"/>
  <c r="J191" i="23"/>
  <c r="L190" i="23"/>
  <c r="J190" i="23"/>
  <c r="L189" i="23"/>
  <c r="J189" i="23"/>
  <c r="L188" i="23"/>
  <c r="J188" i="23"/>
  <c r="L187" i="23"/>
  <c r="J187" i="23"/>
  <c r="L186" i="23"/>
  <c r="J186" i="23"/>
  <c r="L185" i="23"/>
  <c r="J185" i="23"/>
  <c r="L184" i="23"/>
  <c r="J184" i="23"/>
  <c r="L183" i="23"/>
  <c r="J183" i="23"/>
  <c r="L182" i="23"/>
  <c r="J182" i="23"/>
  <c r="L181" i="23"/>
  <c r="J181" i="23"/>
  <c r="L180" i="23"/>
  <c r="J180" i="23"/>
  <c r="L179" i="23"/>
  <c r="J179" i="23"/>
  <c r="L178" i="23"/>
  <c r="J178" i="23"/>
  <c r="L177" i="23"/>
  <c r="J177" i="23"/>
  <c r="L176" i="23"/>
  <c r="J176" i="23"/>
  <c r="L175" i="23"/>
  <c r="J175" i="23"/>
  <c r="L174" i="23"/>
  <c r="J174" i="23"/>
  <c r="L173" i="23"/>
  <c r="J173" i="23"/>
  <c r="L172" i="23"/>
  <c r="J172" i="23"/>
  <c r="L171" i="23"/>
  <c r="J171" i="23"/>
  <c r="L170" i="23"/>
  <c r="J170" i="23"/>
  <c r="L169" i="23"/>
  <c r="J169" i="23"/>
  <c r="L168" i="23"/>
  <c r="J168" i="23"/>
  <c r="L167" i="23"/>
  <c r="J167" i="23"/>
  <c r="L166" i="23"/>
  <c r="J166" i="23"/>
  <c r="L165" i="23"/>
  <c r="J165" i="23"/>
  <c r="L164" i="23"/>
  <c r="J164" i="23"/>
  <c r="L163" i="23"/>
  <c r="J163" i="23"/>
  <c r="L162" i="23"/>
  <c r="J162" i="23"/>
  <c r="L161" i="23"/>
  <c r="J161" i="23"/>
  <c r="L160" i="23"/>
  <c r="J160" i="23"/>
  <c r="L159" i="23"/>
  <c r="J159" i="23"/>
  <c r="L158" i="23"/>
  <c r="J158" i="23"/>
  <c r="L157" i="23"/>
  <c r="J157" i="23"/>
  <c r="L156" i="23"/>
  <c r="J156" i="23"/>
  <c r="L155" i="23"/>
  <c r="J155" i="23"/>
  <c r="L154" i="23"/>
  <c r="J154" i="23"/>
  <c r="L153" i="23"/>
  <c r="J153" i="23"/>
  <c r="L152" i="23"/>
  <c r="J152" i="23"/>
  <c r="L151" i="23"/>
  <c r="J151" i="23"/>
  <c r="L150" i="23"/>
  <c r="J150" i="23"/>
  <c r="L149" i="23"/>
  <c r="J149" i="23"/>
  <c r="L148" i="23"/>
  <c r="J148"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100" i="23"/>
  <c r="J100" i="23"/>
  <c r="L99" i="23"/>
  <c r="J99"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F250" i="23" s="1"/>
  <c r="J73" i="23"/>
  <c r="B102" i="23" s="1"/>
  <c r="E102" i="23" s="1"/>
  <c r="G102" i="23" s="1"/>
  <c r="L72" i="23"/>
  <c r="F72" i="23" s="1"/>
  <c r="J72" i="23"/>
  <c r="L71" i="23"/>
  <c r="F71" i="23" s="1"/>
  <c r="J71" i="23"/>
  <c r="L70" i="23"/>
  <c r="F70" i="23" s="1"/>
  <c r="J70" i="23"/>
  <c r="L69" i="23"/>
  <c r="F69" i="23" s="1"/>
  <c r="J69" i="23"/>
  <c r="L68" i="23"/>
  <c r="F68" i="23" s="1"/>
  <c r="J68" i="23"/>
  <c r="L67" i="23"/>
  <c r="F67" i="23" s="1"/>
  <c r="J67" i="23"/>
  <c r="L66" i="23"/>
  <c r="F66" i="23" s="1"/>
  <c r="J66" i="23"/>
  <c r="L65" i="23"/>
  <c r="F65" i="23" s="1"/>
  <c r="J65" i="23"/>
  <c r="L64" i="23"/>
  <c r="F64" i="23" s="1"/>
  <c r="J64" i="23"/>
  <c r="L63" i="23"/>
  <c r="F63" i="23" s="1"/>
  <c r="J63" i="23"/>
  <c r="L62" i="23"/>
  <c r="F62" i="23" s="1"/>
  <c r="J62" i="23"/>
  <c r="B62" i="23"/>
  <c r="E62" i="23" s="1"/>
  <c r="G62" i="23" s="1"/>
  <c r="L61" i="23"/>
  <c r="F61" i="23" s="1"/>
  <c r="J61" i="23"/>
  <c r="L60" i="23"/>
  <c r="F60" i="23" s="1"/>
  <c r="J60" i="23"/>
  <c r="L59" i="23"/>
  <c r="F59" i="23" s="1"/>
  <c r="J59" i="23"/>
  <c r="L58" i="23"/>
  <c r="F58" i="23" s="1"/>
  <c r="J58" i="23"/>
  <c r="L57" i="23"/>
  <c r="F57" i="23" s="1"/>
  <c r="J57" i="23"/>
  <c r="L56" i="23"/>
  <c r="F56" i="23" s="1"/>
  <c r="J56" i="23"/>
  <c r="L55" i="23"/>
  <c r="F55" i="23" s="1"/>
  <c r="J55" i="23"/>
  <c r="L54" i="23"/>
  <c r="F54" i="23" s="1"/>
  <c r="J54" i="23"/>
  <c r="L53" i="23"/>
  <c r="F53" i="23" s="1"/>
  <c r="J53" i="23"/>
  <c r="L52" i="23"/>
  <c r="F52" i="23" s="1"/>
  <c r="J52" i="23"/>
  <c r="L51" i="23"/>
  <c r="F51" i="23" s="1"/>
  <c r="J51" i="23"/>
  <c r="L50" i="23"/>
  <c r="F50" i="23" s="1"/>
  <c r="J50" i="23"/>
  <c r="L49" i="23"/>
  <c r="J49" i="23"/>
  <c r="B49" i="23" s="1"/>
  <c r="E49" i="23" s="1"/>
  <c r="G49" i="23" s="1"/>
  <c r="F49" i="23"/>
  <c r="L48" i="23"/>
  <c r="F48" i="23" s="1"/>
  <c r="J48" i="23"/>
  <c r="L47" i="23"/>
  <c r="F47" i="23" s="1"/>
  <c r="J47" i="23"/>
  <c r="L46" i="23"/>
  <c r="F46" i="23" s="1"/>
  <c r="J46" i="23"/>
  <c r="L45" i="23"/>
  <c r="F45" i="23" s="1"/>
  <c r="J45" i="23"/>
  <c r="L44" i="23"/>
  <c r="F44" i="23" s="1"/>
  <c r="J44" i="23"/>
  <c r="L43" i="23"/>
  <c r="F43" i="23" s="1"/>
  <c r="J43" i="23"/>
  <c r="L42" i="23"/>
  <c r="F42" i="23" s="1"/>
  <c r="J42" i="23"/>
  <c r="L41" i="23"/>
  <c r="J41" i="23"/>
  <c r="B41" i="23" s="1"/>
  <c r="E41" i="23" s="1"/>
  <c r="G41" i="23" s="1"/>
  <c r="F41" i="23"/>
  <c r="L40" i="23"/>
  <c r="F40" i="23" s="1"/>
  <c r="J40" i="23"/>
  <c r="L39" i="23"/>
  <c r="F39" i="23" s="1"/>
  <c r="J39" i="23"/>
  <c r="L38" i="23"/>
  <c r="F38" i="23" s="1"/>
  <c r="J38" i="23"/>
  <c r="L37" i="23"/>
  <c r="F37" i="23" s="1"/>
  <c r="J37" i="23"/>
  <c r="L36" i="23"/>
  <c r="F36" i="23" s="1"/>
  <c r="J36" i="23"/>
  <c r="L35" i="23"/>
  <c r="F35" i="23" s="1"/>
  <c r="J35" i="23"/>
  <c r="L34" i="23"/>
  <c r="F34" i="23" s="1"/>
  <c r="J34" i="23"/>
  <c r="L33" i="23"/>
  <c r="F33" i="23" s="1"/>
  <c r="J33" i="23"/>
  <c r="L32" i="23"/>
  <c r="F32" i="23" s="1"/>
  <c r="J32" i="23"/>
  <c r="L31" i="23"/>
  <c r="F31" i="23" s="1"/>
  <c r="J31" i="23"/>
  <c r="L30" i="23"/>
  <c r="F30" i="23" s="1"/>
  <c r="J30" i="23"/>
  <c r="L29" i="23"/>
  <c r="F29" i="23" s="1"/>
  <c r="J29" i="23"/>
  <c r="L28" i="23"/>
  <c r="F28" i="23" s="1"/>
  <c r="J28" i="23"/>
  <c r="L27" i="23"/>
  <c r="F27" i="23" s="1"/>
  <c r="J27" i="23"/>
  <c r="D27" i="23"/>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D56" i="23" s="1"/>
  <c r="D57" i="23" s="1"/>
  <c r="D58" i="23" s="1"/>
  <c r="D59" i="23" s="1"/>
  <c r="D60" i="23" s="1"/>
  <c r="D61" i="23" s="1"/>
  <c r="D62" i="23" s="1"/>
  <c r="D63" i="23" s="1"/>
  <c r="D64" i="23" s="1"/>
  <c r="D65" i="23" s="1"/>
  <c r="D66" i="23" s="1"/>
  <c r="D67" i="23" s="1"/>
  <c r="D68" i="23" s="1"/>
  <c r="D69" i="23" s="1"/>
  <c r="D70" i="23" s="1"/>
  <c r="D71" i="23" s="1"/>
  <c r="D72" i="23" s="1"/>
  <c r="D73" i="23" s="1"/>
  <c r="L26" i="23"/>
  <c r="F26" i="23" s="1"/>
  <c r="K26" i="23"/>
  <c r="K27" i="23" s="1"/>
  <c r="K28" i="23" s="1"/>
  <c r="K29" i="23" s="1"/>
  <c r="K30" i="23" s="1"/>
  <c r="K31" i="23" s="1"/>
  <c r="K32" i="23" s="1"/>
  <c r="K33" i="23" s="1"/>
  <c r="K34" i="23" s="1"/>
  <c r="K35" i="23" s="1"/>
  <c r="K36" i="23" s="1"/>
  <c r="K37" i="23" s="1"/>
  <c r="K38" i="23" s="1"/>
  <c r="K39" i="23" s="1"/>
  <c r="K40" i="23" s="1"/>
  <c r="K41" i="23" s="1"/>
  <c r="K42" i="23" s="1"/>
  <c r="K43" i="23" s="1"/>
  <c r="K44" i="23" s="1"/>
  <c r="K45" i="23" s="1"/>
  <c r="K46" i="23" s="1"/>
  <c r="K47" i="23" s="1"/>
  <c r="K48" i="23" s="1"/>
  <c r="K49" i="23" s="1"/>
  <c r="K50" i="23" s="1"/>
  <c r="K51" i="23" s="1"/>
  <c r="K52" i="23" s="1"/>
  <c r="K53" i="23" s="1"/>
  <c r="K54" i="23" s="1"/>
  <c r="K55" i="23" s="1"/>
  <c r="K56" i="23" s="1"/>
  <c r="K57" i="23" s="1"/>
  <c r="K58" i="23" s="1"/>
  <c r="K59" i="23" s="1"/>
  <c r="K60" i="23" s="1"/>
  <c r="K61" i="23" s="1"/>
  <c r="K62" i="23" s="1"/>
  <c r="K63" i="23" s="1"/>
  <c r="K64" i="23" s="1"/>
  <c r="K65" i="23" s="1"/>
  <c r="K66" i="23" s="1"/>
  <c r="K67" i="23" s="1"/>
  <c r="K68" i="23" s="1"/>
  <c r="K69" i="23" s="1"/>
  <c r="K70" i="23" s="1"/>
  <c r="K71" i="23" s="1"/>
  <c r="K72" i="23" s="1"/>
  <c r="K73" i="23" s="1"/>
  <c r="K74" i="23" s="1"/>
  <c r="K75" i="23" s="1"/>
  <c r="K76" i="23" s="1"/>
  <c r="K77" i="23" s="1"/>
  <c r="K78" i="23" s="1"/>
  <c r="K79" i="23" s="1"/>
  <c r="K80" i="23" s="1"/>
  <c r="K81" i="23" s="1"/>
  <c r="K82" i="23" s="1"/>
  <c r="K83" i="23" s="1"/>
  <c r="K84" i="23" s="1"/>
  <c r="K85" i="23" s="1"/>
  <c r="K86" i="23" s="1"/>
  <c r="K87" i="23" s="1"/>
  <c r="K88" i="23" s="1"/>
  <c r="K89" i="23" s="1"/>
  <c r="K90" i="23" s="1"/>
  <c r="K91" i="23" s="1"/>
  <c r="K92" i="23" s="1"/>
  <c r="K93" i="23" s="1"/>
  <c r="K94" i="23" s="1"/>
  <c r="K95" i="23" s="1"/>
  <c r="K96" i="23" s="1"/>
  <c r="K97" i="23" s="1"/>
  <c r="K98" i="23" s="1"/>
  <c r="K99" i="23" s="1"/>
  <c r="K100" i="23" s="1"/>
  <c r="K101" i="23" s="1"/>
  <c r="K102" i="23" s="1"/>
  <c r="K103" i="23" s="1"/>
  <c r="K104" i="23" s="1"/>
  <c r="K105" i="23" s="1"/>
  <c r="K106" i="23" s="1"/>
  <c r="K107" i="23" s="1"/>
  <c r="K108" i="23" s="1"/>
  <c r="K109" i="23" s="1"/>
  <c r="K110" i="23" s="1"/>
  <c r="K111" i="23" s="1"/>
  <c r="K112" i="23" s="1"/>
  <c r="K113" i="23" s="1"/>
  <c r="K114" i="23" s="1"/>
  <c r="K115" i="23" s="1"/>
  <c r="K116" i="23" s="1"/>
  <c r="K117" i="23" s="1"/>
  <c r="K118" i="23" s="1"/>
  <c r="K119" i="23" s="1"/>
  <c r="K120" i="23" s="1"/>
  <c r="K121" i="23" s="1"/>
  <c r="K122" i="23" s="1"/>
  <c r="K123" i="23" s="1"/>
  <c r="K124" i="23" s="1"/>
  <c r="K125" i="23" s="1"/>
  <c r="K126" i="23" s="1"/>
  <c r="K127" i="23" s="1"/>
  <c r="K128" i="23" s="1"/>
  <c r="K129" i="23" s="1"/>
  <c r="K130" i="23" s="1"/>
  <c r="K131" i="23" s="1"/>
  <c r="K132" i="23" s="1"/>
  <c r="K133" i="23" s="1"/>
  <c r="K134" i="23" s="1"/>
  <c r="K135" i="23" s="1"/>
  <c r="K136" i="23" s="1"/>
  <c r="K137" i="23" s="1"/>
  <c r="K138" i="23" s="1"/>
  <c r="K139" i="23" s="1"/>
  <c r="K140" i="23" s="1"/>
  <c r="K141" i="23" s="1"/>
  <c r="K142" i="23" s="1"/>
  <c r="K143" i="23" s="1"/>
  <c r="K144" i="23" s="1"/>
  <c r="K145" i="23" s="1"/>
  <c r="K146" i="23" s="1"/>
  <c r="K147" i="23" s="1"/>
  <c r="K148" i="23" s="1"/>
  <c r="K149" i="23" s="1"/>
  <c r="K150" i="23" s="1"/>
  <c r="K151" i="23" s="1"/>
  <c r="K152" i="23" s="1"/>
  <c r="K153" i="23" s="1"/>
  <c r="K154" i="23" s="1"/>
  <c r="K155" i="23" s="1"/>
  <c r="K156" i="23" s="1"/>
  <c r="K157" i="23" s="1"/>
  <c r="K158" i="23" s="1"/>
  <c r="K159" i="23" s="1"/>
  <c r="K160" i="23" s="1"/>
  <c r="K161" i="23" s="1"/>
  <c r="K162" i="23" s="1"/>
  <c r="K163" i="23" s="1"/>
  <c r="K164" i="23" s="1"/>
  <c r="K165" i="23" s="1"/>
  <c r="K166" i="23" s="1"/>
  <c r="K167" i="23" s="1"/>
  <c r="K168" i="23" s="1"/>
  <c r="K169" i="23" s="1"/>
  <c r="K170" i="23" s="1"/>
  <c r="K171" i="23" s="1"/>
  <c r="K172" i="23" s="1"/>
  <c r="K173" i="23" s="1"/>
  <c r="K174" i="23" s="1"/>
  <c r="K175" i="23" s="1"/>
  <c r="K176" i="23" s="1"/>
  <c r="K177" i="23" s="1"/>
  <c r="K178" i="23" s="1"/>
  <c r="K179" i="23" s="1"/>
  <c r="K180" i="23" s="1"/>
  <c r="K181" i="23" s="1"/>
  <c r="K182" i="23" s="1"/>
  <c r="K183" i="23" s="1"/>
  <c r="K184" i="23" s="1"/>
  <c r="K185" i="23" s="1"/>
  <c r="K186" i="23" s="1"/>
  <c r="K187" i="23" s="1"/>
  <c r="K188" i="23" s="1"/>
  <c r="K189" i="23" s="1"/>
  <c r="K190" i="23" s="1"/>
  <c r="K191" i="23" s="1"/>
  <c r="K192" i="23" s="1"/>
  <c r="K193" i="23" s="1"/>
  <c r="K194" i="23" s="1"/>
  <c r="K195" i="23" s="1"/>
  <c r="K196" i="23" s="1"/>
  <c r="K197" i="23" s="1"/>
  <c r="K198" i="23" s="1"/>
  <c r="K199" i="23" s="1"/>
  <c r="K200" i="23" s="1"/>
  <c r="K201" i="23" s="1"/>
  <c r="K202" i="23" s="1"/>
  <c r="K203" i="23" s="1"/>
  <c r="K204" i="23" s="1"/>
  <c r="K205" i="23" s="1"/>
  <c r="K206" i="23" s="1"/>
  <c r="K207" i="23" s="1"/>
  <c r="K208" i="23" s="1"/>
  <c r="K209" i="23" s="1"/>
  <c r="K210" i="23" s="1"/>
  <c r="K211" i="23" s="1"/>
  <c r="K212" i="23" s="1"/>
  <c r="K213" i="23" s="1"/>
  <c r="K214" i="23" s="1"/>
  <c r="K215" i="23" s="1"/>
  <c r="K216" i="23" s="1"/>
  <c r="K217" i="23" s="1"/>
  <c r="K218" i="23" s="1"/>
  <c r="K219" i="23" s="1"/>
  <c r="K220" i="23" s="1"/>
  <c r="K221" i="23" s="1"/>
  <c r="K222" i="23" s="1"/>
  <c r="K223" i="23" s="1"/>
  <c r="K224" i="23" s="1"/>
  <c r="K225" i="23" s="1"/>
  <c r="K226" i="23" s="1"/>
  <c r="K227" i="23" s="1"/>
  <c r="K228" i="23" s="1"/>
  <c r="K229" i="23" s="1"/>
  <c r="K230" i="23" s="1"/>
  <c r="K231" i="23" s="1"/>
  <c r="K232" i="23" s="1"/>
  <c r="K233" i="23" s="1"/>
  <c r="K234" i="23" s="1"/>
  <c r="K235" i="23" s="1"/>
  <c r="K236" i="23" s="1"/>
  <c r="K237" i="23" s="1"/>
  <c r="K238" i="23" s="1"/>
  <c r="K239" i="23" s="1"/>
  <c r="K240" i="23" s="1"/>
  <c r="K241" i="23" s="1"/>
  <c r="K242" i="23" s="1"/>
  <c r="K243" i="23" s="1"/>
  <c r="K244" i="23" s="1"/>
  <c r="K245" i="23" s="1"/>
  <c r="K246" i="23" s="1"/>
  <c r="K247" i="23" s="1"/>
  <c r="K248" i="23" s="1"/>
  <c r="K249" i="23" s="1"/>
  <c r="K250" i="23" s="1"/>
  <c r="K251" i="23" s="1"/>
  <c r="K252" i="23" s="1"/>
  <c r="K253" i="23" s="1"/>
  <c r="K254" i="23" s="1"/>
  <c r="K255" i="23" s="1"/>
  <c r="K256" i="23" s="1"/>
  <c r="K257" i="23" s="1"/>
  <c r="K258" i="23" s="1"/>
  <c r="K259" i="23" s="1"/>
  <c r="K260" i="23" s="1"/>
  <c r="K261" i="23" s="1"/>
  <c r="K262" i="23" s="1"/>
  <c r="K263" i="23" s="1"/>
  <c r="K264" i="23" s="1"/>
  <c r="K265" i="23" s="1"/>
  <c r="J26" i="23"/>
  <c r="A8" i="23"/>
  <c r="H267" i="22"/>
  <c r="H266" i="22"/>
  <c r="L265" i="22"/>
  <c r="J265" i="22"/>
  <c r="L264" i="22"/>
  <c r="J264" i="22"/>
  <c r="L263" i="22"/>
  <c r="J263" i="22"/>
  <c r="L262" i="22"/>
  <c r="J262" i="22"/>
  <c r="L261" i="22"/>
  <c r="J261" i="22"/>
  <c r="L260" i="22"/>
  <c r="J260" i="22"/>
  <c r="L259" i="22"/>
  <c r="J259" i="22"/>
  <c r="L258" i="22"/>
  <c r="J258" i="22"/>
  <c r="L257" i="22"/>
  <c r="J257" i="22"/>
  <c r="L256" i="22"/>
  <c r="J256" i="22"/>
  <c r="L255" i="22"/>
  <c r="J255" i="22"/>
  <c r="L254" i="22"/>
  <c r="J254" i="22"/>
  <c r="L253" i="22"/>
  <c r="J253" i="22"/>
  <c r="L252" i="22"/>
  <c r="J252" i="22"/>
  <c r="L251" i="22"/>
  <c r="J251" i="22"/>
  <c r="L250" i="22"/>
  <c r="J250" i="22"/>
  <c r="L249" i="22"/>
  <c r="J249" i="22"/>
  <c r="L248" i="22"/>
  <c r="J248" i="22"/>
  <c r="L247" i="22"/>
  <c r="J247" i="22"/>
  <c r="L246" i="22"/>
  <c r="J246" i="22"/>
  <c r="L245" i="22"/>
  <c r="J245" i="22"/>
  <c r="L244" i="22"/>
  <c r="J244" i="22"/>
  <c r="L243" i="22"/>
  <c r="J243" i="22"/>
  <c r="L242" i="22"/>
  <c r="J242" i="22"/>
  <c r="L241" i="22"/>
  <c r="J241" i="22"/>
  <c r="L240" i="22"/>
  <c r="J240" i="22"/>
  <c r="L239" i="22"/>
  <c r="J239" i="22"/>
  <c r="L238" i="22"/>
  <c r="J238" i="22"/>
  <c r="L237" i="22"/>
  <c r="J237" i="22"/>
  <c r="L236" i="22"/>
  <c r="J236" i="22"/>
  <c r="L235" i="22"/>
  <c r="J235" i="22"/>
  <c r="L234" i="22"/>
  <c r="J234" i="22"/>
  <c r="L233" i="22"/>
  <c r="J233" i="22"/>
  <c r="L232" i="22"/>
  <c r="J232" i="22"/>
  <c r="L231" i="22"/>
  <c r="J231" i="22"/>
  <c r="L230" i="22"/>
  <c r="J230" i="22"/>
  <c r="L229" i="22"/>
  <c r="J229" i="22"/>
  <c r="L228" i="22"/>
  <c r="J228" i="22"/>
  <c r="L227" i="22"/>
  <c r="J227" i="22"/>
  <c r="L226" i="22"/>
  <c r="J226" i="22"/>
  <c r="L225" i="22"/>
  <c r="J225" i="22"/>
  <c r="L224" i="22"/>
  <c r="J224" i="22"/>
  <c r="L223" i="22"/>
  <c r="J223" i="22"/>
  <c r="L222" i="22"/>
  <c r="J222" i="22"/>
  <c r="L221" i="22"/>
  <c r="J221" i="22"/>
  <c r="L220" i="22"/>
  <c r="J220" i="22"/>
  <c r="L219" i="22"/>
  <c r="J219" i="22"/>
  <c r="L218" i="22"/>
  <c r="J218" i="22"/>
  <c r="L217" i="22"/>
  <c r="J217" i="22"/>
  <c r="L216" i="22"/>
  <c r="J216" i="22"/>
  <c r="L215" i="22"/>
  <c r="J215" i="22"/>
  <c r="L214" i="22"/>
  <c r="J214" i="22"/>
  <c r="L213" i="22"/>
  <c r="J213" i="22"/>
  <c r="L212" i="22"/>
  <c r="J212" i="22"/>
  <c r="L211" i="22"/>
  <c r="J211" i="22"/>
  <c r="L210" i="22"/>
  <c r="J210" i="22"/>
  <c r="L209" i="22"/>
  <c r="J209" i="22"/>
  <c r="L208" i="22"/>
  <c r="J208" i="22"/>
  <c r="L207" i="22"/>
  <c r="J207" i="22"/>
  <c r="L206" i="22"/>
  <c r="J206" i="22"/>
  <c r="L205" i="22"/>
  <c r="J205" i="22"/>
  <c r="L204" i="22"/>
  <c r="J204" i="22"/>
  <c r="L203" i="22"/>
  <c r="J203" i="22"/>
  <c r="L202" i="22"/>
  <c r="J202" i="22"/>
  <c r="L201" i="22"/>
  <c r="J201" i="22"/>
  <c r="L200" i="22"/>
  <c r="J200" i="22"/>
  <c r="L199" i="22"/>
  <c r="J199" i="22"/>
  <c r="L198" i="22"/>
  <c r="J198" i="22"/>
  <c r="F198" i="22"/>
  <c r="L197" i="22"/>
  <c r="J197" i="22"/>
  <c r="L196" i="22"/>
  <c r="J196" i="22"/>
  <c r="L195" i="22"/>
  <c r="J195" i="22"/>
  <c r="L194" i="22"/>
  <c r="J194" i="22"/>
  <c r="L193" i="22"/>
  <c r="J193" i="22"/>
  <c r="L192" i="22"/>
  <c r="J192" i="22"/>
  <c r="L191" i="22"/>
  <c r="J191" i="22"/>
  <c r="L190" i="22"/>
  <c r="J190" i="22"/>
  <c r="L189" i="22"/>
  <c r="J189" i="22"/>
  <c r="L188" i="22"/>
  <c r="J188" i="22"/>
  <c r="L187" i="22"/>
  <c r="J187" i="22"/>
  <c r="F187" i="22"/>
  <c r="L186" i="22"/>
  <c r="J186" i="22"/>
  <c r="L185" i="22"/>
  <c r="J185" i="22"/>
  <c r="L184" i="22"/>
  <c r="J184" i="22"/>
  <c r="L183" i="22"/>
  <c r="J183" i="22"/>
  <c r="L182" i="22"/>
  <c r="J182" i="22"/>
  <c r="L181" i="22"/>
  <c r="J181" i="22"/>
  <c r="L180" i="22"/>
  <c r="J180" i="22"/>
  <c r="L179" i="22"/>
  <c r="J179" i="22"/>
  <c r="L178" i="22"/>
  <c r="J178" i="22"/>
  <c r="L177" i="22"/>
  <c r="J177" i="22"/>
  <c r="L176" i="22"/>
  <c r="J176" i="22"/>
  <c r="L175" i="22"/>
  <c r="J175" i="22"/>
  <c r="L174" i="22"/>
  <c r="J174" i="22"/>
  <c r="L173" i="22"/>
  <c r="J173" i="22"/>
  <c r="L172" i="22"/>
  <c r="J172" i="22"/>
  <c r="L171" i="22"/>
  <c r="J171" i="22"/>
  <c r="L170" i="22"/>
  <c r="J170" i="22"/>
  <c r="L169" i="22"/>
  <c r="J169" i="22"/>
  <c r="L168" i="22"/>
  <c r="J168" i="22"/>
  <c r="L167" i="22"/>
  <c r="J167" i="22"/>
  <c r="L166" i="22"/>
  <c r="J166" i="22"/>
  <c r="L165" i="22"/>
  <c r="J165" i="22"/>
  <c r="L164" i="22"/>
  <c r="J164" i="22"/>
  <c r="L163" i="22"/>
  <c r="J163" i="22"/>
  <c r="F163" i="22"/>
  <c r="L162" i="22"/>
  <c r="J162" i="22"/>
  <c r="L161" i="22"/>
  <c r="J161" i="22"/>
  <c r="L160" i="22"/>
  <c r="J160" i="22"/>
  <c r="L159" i="22"/>
  <c r="J159" i="22"/>
  <c r="L158" i="22"/>
  <c r="J158" i="22"/>
  <c r="L157" i="22"/>
  <c r="J157" i="22"/>
  <c r="L156" i="22"/>
  <c r="J156" i="22"/>
  <c r="L155" i="22"/>
  <c r="J155" i="22"/>
  <c r="L154" i="22"/>
  <c r="J154" i="22"/>
  <c r="L153" i="22"/>
  <c r="J153" i="22"/>
  <c r="L152" i="22"/>
  <c r="J152" i="22"/>
  <c r="L151" i="22"/>
  <c r="J151" i="22"/>
  <c r="L150" i="22"/>
  <c r="J150" i="22"/>
  <c r="L149" i="22"/>
  <c r="J149" i="22"/>
  <c r="L148" i="22"/>
  <c r="J148" i="22"/>
  <c r="L147" i="22"/>
  <c r="J147" i="22"/>
  <c r="L146" i="22"/>
  <c r="J146" i="22"/>
  <c r="L145" i="22"/>
  <c r="J145" i="22"/>
  <c r="L144" i="22"/>
  <c r="J144" i="22"/>
  <c r="L143" i="22"/>
  <c r="J143" i="22"/>
  <c r="L142" i="22"/>
  <c r="J142" i="22"/>
  <c r="L141" i="22"/>
  <c r="J141" i="22"/>
  <c r="L140" i="22"/>
  <c r="J140" i="22"/>
  <c r="L139" i="22"/>
  <c r="J139" i="22"/>
  <c r="L138" i="22"/>
  <c r="J138" i="22"/>
  <c r="L137" i="22"/>
  <c r="J137" i="22"/>
  <c r="L136" i="22"/>
  <c r="J136" i="22"/>
  <c r="L135" i="22"/>
  <c r="J135" i="22"/>
  <c r="L134" i="22"/>
  <c r="J134" i="22"/>
  <c r="L133" i="22"/>
  <c r="J133" i="22"/>
  <c r="L132" i="22"/>
  <c r="J132" i="22"/>
  <c r="L131" i="22"/>
  <c r="J131" i="22"/>
  <c r="F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100" i="22"/>
  <c r="J100" i="22"/>
  <c r="L99" i="22"/>
  <c r="J99"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4" i="22"/>
  <c r="J84" i="22"/>
  <c r="L83" i="22"/>
  <c r="J83" i="22"/>
  <c r="L82" i="22"/>
  <c r="J82" i="22"/>
  <c r="L81" i="22"/>
  <c r="J81" i="22"/>
  <c r="L80" i="22"/>
  <c r="J80" i="22"/>
  <c r="L79" i="22"/>
  <c r="J79" i="22"/>
  <c r="L78" i="22"/>
  <c r="J78" i="22"/>
  <c r="L77" i="22"/>
  <c r="J77" i="22"/>
  <c r="L76" i="22"/>
  <c r="J76" i="22"/>
  <c r="L75" i="22"/>
  <c r="J75" i="22"/>
  <c r="L74" i="22"/>
  <c r="J74" i="22"/>
  <c r="L73" i="22"/>
  <c r="F102" i="22" s="1"/>
  <c r="J73" i="22"/>
  <c r="B73" i="22"/>
  <c r="E73" i="22" s="1"/>
  <c r="G73" i="22" s="1"/>
  <c r="L72" i="22"/>
  <c r="F72" i="22" s="1"/>
  <c r="J72" i="22"/>
  <c r="L71" i="22"/>
  <c r="F71" i="22" s="1"/>
  <c r="J71" i="22"/>
  <c r="L70" i="22"/>
  <c r="F70" i="22" s="1"/>
  <c r="J70" i="22"/>
  <c r="L69" i="22"/>
  <c r="F69" i="22" s="1"/>
  <c r="J69" i="22"/>
  <c r="L68" i="22"/>
  <c r="J68" i="22"/>
  <c r="F68" i="22"/>
  <c r="L67" i="22"/>
  <c r="F67" i="22" s="1"/>
  <c r="J67" i="22"/>
  <c r="L66" i="22"/>
  <c r="F66" i="22" s="1"/>
  <c r="J66" i="22"/>
  <c r="L65" i="22"/>
  <c r="J65" i="22"/>
  <c r="F65" i="22"/>
  <c r="L64" i="22"/>
  <c r="F64" i="22" s="1"/>
  <c r="J64" i="22"/>
  <c r="L63" i="22"/>
  <c r="F63" i="22" s="1"/>
  <c r="J63" i="22"/>
  <c r="L62" i="22"/>
  <c r="F62" i="22" s="1"/>
  <c r="J62" i="22"/>
  <c r="L61" i="22"/>
  <c r="J61" i="22"/>
  <c r="F61" i="22"/>
  <c r="L60" i="22"/>
  <c r="F60" i="22" s="1"/>
  <c r="J60" i="22"/>
  <c r="L59" i="22"/>
  <c r="J59" i="22"/>
  <c r="F59" i="22"/>
  <c r="L58" i="22"/>
  <c r="F58" i="22" s="1"/>
  <c r="J58" i="22"/>
  <c r="L57" i="22"/>
  <c r="F57" i="22" s="1"/>
  <c r="J57" i="22"/>
  <c r="L56" i="22"/>
  <c r="F56" i="22" s="1"/>
  <c r="J56" i="22"/>
  <c r="L55" i="22"/>
  <c r="J55" i="22"/>
  <c r="F55" i="22"/>
  <c r="L54" i="22"/>
  <c r="F54" i="22" s="1"/>
  <c r="J54" i="22"/>
  <c r="L53" i="22"/>
  <c r="J53" i="22"/>
  <c r="F53" i="22"/>
  <c r="L52" i="22"/>
  <c r="F52" i="22" s="1"/>
  <c r="J52" i="22"/>
  <c r="L51" i="22"/>
  <c r="F51" i="22" s="1"/>
  <c r="J51" i="22"/>
  <c r="L50" i="22"/>
  <c r="F50" i="22" s="1"/>
  <c r="J50" i="22"/>
  <c r="L49" i="22"/>
  <c r="J49" i="22"/>
  <c r="F49" i="22"/>
  <c r="L48" i="22"/>
  <c r="F48" i="22" s="1"/>
  <c r="J48" i="22"/>
  <c r="L47" i="22"/>
  <c r="F47" i="22" s="1"/>
  <c r="J47" i="22"/>
  <c r="L46" i="22"/>
  <c r="J46" i="22"/>
  <c r="F46" i="22"/>
  <c r="L45" i="22"/>
  <c r="F45" i="22" s="1"/>
  <c r="J45" i="22"/>
  <c r="L44" i="22"/>
  <c r="F44" i="22" s="1"/>
  <c r="J44" i="22"/>
  <c r="L43" i="22"/>
  <c r="F43" i="22" s="1"/>
  <c r="J43" i="22"/>
  <c r="L42" i="22"/>
  <c r="F42" i="22" s="1"/>
  <c r="J42" i="22"/>
  <c r="L41" i="22"/>
  <c r="F41" i="22" s="1"/>
  <c r="J41" i="22"/>
  <c r="L40" i="22"/>
  <c r="F40" i="22" s="1"/>
  <c r="J40" i="22"/>
  <c r="L39" i="22"/>
  <c r="F39" i="22" s="1"/>
  <c r="J39" i="22"/>
  <c r="L38" i="22"/>
  <c r="J38" i="22"/>
  <c r="F38" i="22"/>
  <c r="L37" i="22"/>
  <c r="F37" i="22" s="1"/>
  <c r="J37" i="22"/>
  <c r="L36" i="22"/>
  <c r="F36" i="22" s="1"/>
  <c r="J36" i="22"/>
  <c r="L35" i="22"/>
  <c r="F35" i="22" s="1"/>
  <c r="J35" i="22"/>
  <c r="L34" i="22"/>
  <c r="F34" i="22" s="1"/>
  <c r="J34" i="22"/>
  <c r="L33" i="22"/>
  <c r="F33" i="22" s="1"/>
  <c r="J33" i="22"/>
  <c r="L32" i="22"/>
  <c r="J32" i="22"/>
  <c r="F32" i="22"/>
  <c r="B32" i="22"/>
  <c r="E32" i="22" s="1"/>
  <c r="G32" i="22" s="1"/>
  <c r="L31" i="22"/>
  <c r="F31" i="22" s="1"/>
  <c r="J31" i="22"/>
  <c r="L30" i="22"/>
  <c r="F30" i="22" s="1"/>
  <c r="J30" i="22"/>
  <c r="L29" i="22"/>
  <c r="F29" i="22" s="1"/>
  <c r="J29" i="22"/>
  <c r="L28" i="22"/>
  <c r="F28" i="22" s="1"/>
  <c r="J28" i="22"/>
  <c r="L27" i="22"/>
  <c r="F27" i="22" s="1"/>
  <c r="J27" i="22"/>
  <c r="B27" i="22" s="1"/>
  <c r="E27" i="22" s="1"/>
  <c r="G27" i="22" s="1"/>
  <c r="D27" i="22"/>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L26" i="22"/>
  <c r="F26" i="22" s="1"/>
  <c r="K26" i="22"/>
  <c r="K27" i="22" s="1"/>
  <c r="K28" i="22" s="1"/>
  <c r="K29" i="22" s="1"/>
  <c r="K30" i="22" s="1"/>
  <c r="K31" i="22" s="1"/>
  <c r="K32" i="22" s="1"/>
  <c r="K33" i="22" s="1"/>
  <c r="K34" i="22" s="1"/>
  <c r="K35" i="22" s="1"/>
  <c r="K36" i="22" s="1"/>
  <c r="K37" i="22" s="1"/>
  <c r="K38" i="22" s="1"/>
  <c r="K39" i="22" s="1"/>
  <c r="K40" i="22" s="1"/>
  <c r="K41" i="22" s="1"/>
  <c r="K42" i="22" s="1"/>
  <c r="K43" i="22" s="1"/>
  <c r="K44" i="22" s="1"/>
  <c r="K45" i="22" s="1"/>
  <c r="K46" i="22" s="1"/>
  <c r="K47" i="22" s="1"/>
  <c r="K48" i="22" s="1"/>
  <c r="K49" i="22" s="1"/>
  <c r="K50" i="22" s="1"/>
  <c r="K51" i="22" s="1"/>
  <c r="K52" i="22" s="1"/>
  <c r="K53" i="22" s="1"/>
  <c r="K54" i="22" s="1"/>
  <c r="K55" i="22" s="1"/>
  <c r="K56" i="22" s="1"/>
  <c r="K57" i="22" s="1"/>
  <c r="K58" i="22" s="1"/>
  <c r="K59" i="22" s="1"/>
  <c r="K60" i="22" s="1"/>
  <c r="K61" i="22" s="1"/>
  <c r="K62" i="22" s="1"/>
  <c r="K63" i="22" s="1"/>
  <c r="K64" i="22" s="1"/>
  <c r="K65" i="22" s="1"/>
  <c r="K66" i="22" s="1"/>
  <c r="K67" i="22" s="1"/>
  <c r="K68" i="22" s="1"/>
  <c r="K69" i="22" s="1"/>
  <c r="K70" i="22" s="1"/>
  <c r="K71" i="22" s="1"/>
  <c r="K72" i="22" s="1"/>
  <c r="K73" i="22" s="1"/>
  <c r="K74" i="22" s="1"/>
  <c r="K75" i="22" s="1"/>
  <c r="K76" i="22" s="1"/>
  <c r="K77" i="22" s="1"/>
  <c r="K78" i="22" s="1"/>
  <c r="K79" i="22" s="1"/>
  <c r="K80" i="22" s="1"/>
  <c r="K81" i="22" s="1"/>
  <c r="K82" i="22" s="1"/>
  <c r="K83" i="22" s="1"/>
  <c r="K84" i="22" s="1"/>
  <c r="K85" i="22" s="1"/>
  <c r="K86" i="22" s="1"/>
  <c r="K87" i="22" s="1"/>
  <c r="K88" i="22" s="1"/>
  <c r="K89" i="22" s="1"/>
  <c r="K90" i="22" s="1"/>
  <c r="K91" i="22" s="1"/>
  <c r="K92" i="22" s="1"/>
  <c r="K93" i="22" s="1"/>
  <c r="K94" i="22" s="1"/>
  <c r="K95" i="22" s="1"/>
  <c r="K96" i="22" s="1"/>
  <c r="K97" i="22" s="1"/>
  <c r="K98" i="22" s="1"/>
  <c r="K99" i="22" s="1"/>
  <c r="K100" i="22" s="1"/>
  <c r="K101" i="22" s="1"/>
  <c r="K102" i="22" s="1"/>
  <c r="K103" i="22" s="1"/>
  <c r="K104" i="22" s="1"/>
  <c r="K105" i="22" s="1"/>
  <c r="K106" i="22" s="1"/>
  <c r="K107" i="22" s="1"/>
  <c r="K108" i="22" s="1"/>
  <c r="K109" i="22" s="1"/>
  <c r="K110" i="22" s="1"/>
  <c r="K111" i="22" s="1"/>
  <c r="K112" i="22" s="1"/>
  <c r="K113" i="22" s="1"/>
  <c r="K114" i="22" s="1"/>
  <c r="K115" i="22" s="1"/>
  <c r="K116" i="22" s="1"/>
  <c r="K117" i="22" s="1"/>
  <c r="K118" i="22" s="1"/>
  <c r="K119" i="22" s="1"/>
  <c r="K120" i="22" s="1"/>
  <c r="K121" i="22" s="1"/>
  <c r="K122" i="22" s="1"/>
  <c r="K123" i="22" s="1"/>
  <c r="K124" i="22" s="1"/>
  <c r="K125" i="22" s="1"/>
  <c r="K126" i="22" s="1"/>
  <c r="K127" i="22" s="1"/>
  <c r="K128" i="22" s="1"/>
  <c r="K129" i="22" s="1"/>
  <c r="K130" i="22" s="1"/>
  <c r="K131" i="22" s="1"/>
  <c r="K132" i="22" s="1"/>
  <c r="K133" i="22" s="1"/>
  <c r="K134" i="22" s="1"/>
  <c r="K135" i="22" s="1"/>
  <c r="K136" i="22" s="1"/>
  <c r="K137" i="22" s="1"/>
  <c r="K138" i="22" s="1"/>
  <c r="K139" i="22" s="1"/>
  <c r="K140" i="22" s="1"/>
  <c r="K141" i="22" s="1"/>
  <c r="K142" i="22" s="1"/>
  <c r="K143" i="22" s="1"/>
  <c r="K144" i="22" s="1"/>
  <c r="K145" i="22" s="1"/>
  <c r="K146" i="22" s="1"/>
  <c r="K147" i="22" s="1"/>
  <c r="K148" i="22" s="1"/>
  <c r="K149" i="22" s="1"/>
  <c r="K150" i="22" s="1"/>
  <c r="K151" i="22" s="1"/>
  <c r="K152" i="22" s="1"/>
  <c r="K153" i="22" s="1"/>
  <c r="K154" i="22" s="1"/>
  <c r="K155" i="22" s="1"/>
  <c r="K156" i="22" s="1"/>
  <c r="K157" i="22" s="1"/>
  <c r="K158" i="22" s="1"/>
  <c r="K159" i="22" s="1"/>
  <c r="K160" i="22" s="1"/>
  <c r="K161" i="22" s="1"/>
  <c r="K162" i="22" s="1"/>
  <c r="K163" i="22" s="1"/>
  <c r="K164" i="22" s="1"/>
  <c r="K165" i="22" s="1"/>
  <c r="K166" i="22" s="1"/>
  <c r="K167" i="22" s="1"/>
  <c r="K168" i="22" s="1"/>
  <c r="K169" i="22" s="1"/>
  <c r="K170" i="22" s="1"/>
  <c r="K171" i="22" s="1"/>
  <c r="K172" i="22" s="1"/>
  <c r="K173" i="22" s="1"/>
  <c r="K174" i="22" s="1"/>
  <c r="K175" i="22" s="1"/>
  <c r="K176" i="22" s="1"/>
  <c r="K177" i="22" s="1"/>
  <c r="K178" i="22" s="1"/>
  <c r="K179" i="22" s="1"/>
  <c r="K180" i="22" s="1"/>
  <c r="K181" i="22" s="1"/>
  <c r="K182" i="22" s="1"/>
  <c r="K183" i="22" s="1"/>
  <c r="K184" i="22" s="1"/>
  <c r="K185" i="22" s="1"/>
  <c r="K186" i="22" s="1"/>
  <c r="K187" i="22" s="1"/>
  <c r="K188" i="22" s="1"/>
  <c r="K189" i="22" s="1"/>
  <c r="K190" i="22" s="1"/>
  <c r="K191" i="22" s="1"/>
  <c r="K192" i="22" s="1"/>
  <c r="K193" i="22" s="1"/>
  <c r="K194" i="22" s="1"/>
  <c r="K195" i="22" s="1"/>
  <c r="K196" i="22" s="1"/>
  <c r="K197" i="22" s="1"/>
  <c r="K198" i="22" s="1"/>
  <c r="K199" i="22" s="1"/>
  <c r="K200" i="22" s="1"/>
  <c r="K201" i="22" s="1"/>
  <c r="K202" i="22" s="1"/>
  <c r="K203" i="22" s="1"/>
  <c r="K204" i="22" s="1"/>
  <c r="K205" i="22" s="1"/>
  <c r="K206" i="22" s="1"/>
  <c r="K207" i="22" s="1"/>
  <c r="K208" i="22" s="1"/>
  <c r="K209" i="22" s="1"/>
  <c r="K210" i="22" s="1"/>
  <c r="K211" i="22" s="1"/>
  <c r="K212" i="22" s="1"/>
  <c r="K213" i="22" s="1"/>
  <c r="K214" i="22" s="1"/>
  <c r="K215" i="22" s="1"/>
  <c r="K216" i="22" s="1"/>
  <c r="K217" i="22" s="1"/>
  <c r="K218" i="22" s="1"/>
  <c r="K219" i="22" s="1"/>
  <c r="K220" i="22" s="1"/>
  <c r="K221" i="22" s="1"/>
  <c r="K222" i="22" s="1"/>
  <c r="K223" i="22" s="1"/>
  <c r="K224" i="22" s="1"/>
  <c r="K225" i="22" s="1"/>
  <c r="K226" i="22" s="1"/>
  <c r="K227" i="22" s="1"/>
  <c r="K228" i="22" s="1"/>
  <c r="K229" i="22" s="1"/>
  <c r="K230" i="22" s="1"/>
  <c r="K231" i="22" s="1"/>
  <c r="K232" i="22" s="1"/>
  <c r="K233" i="22" s="1"/>
  <c r="K234" i="22" s="1"/>
  <c r="K235" i="22" s="1"/>
  <c r="K236" i="22" s="1"/>
  <c r="K237" i="22" s="1"/>
  <c r="K238" i="22" s="1"/>
  <c r="K239" i="22" s="1"/>
  <c r="K240" i="22" s="1"/>
  <c r="K241" i="22" s="1"/>
  <c r="K242" i="22" s="1"/>
  <c r="K243" i="22" s="1"/>
  <c r="K244" i="22" s="1"/>
  <c r="K245" i="22" s="1"/>
  <c r="K246" i="22" s="1"/>
  <c r="K247" i="22" s="1"/>
  <c r="K248" i="22" s="1"/>
  <c r="K249" i="22" s="1"/>
  <c r="K250" i="22" s="1"/>
  <c r="K251" i="22" s="1"/>
  <c r="K252" i="22" s="1"/>
  <c r="K253" i="22" s="1"/>
  <c r="K254" i="22" s="1"/>
  <c r="K255" i="22" s="1"/>
  <c r="K256" i="22" s="1"/>
  <c r="K257" i="22" s="1"/>
  <c r="K258" i="22" s="1"/>
  <c r="K259" i="22" s="1"/>
  <c r="K260" i="22" s="1"/>
  <c r="K261" i="22" s="1"/>
  <c r="K262" i="22" s="1"/>
  <c r="K263" i="22" s="1"/>
  <c r="K264" i="22" s="1"/>
  <c r="K265" i="22" s="1"/>
  <c r="J26" i="22"/>
  <c r="A8" i="22"/>
  <c r="H267" i="21"/>
  <c r="H266" i="21"/>
  <c r="L265" i="21"/>
  <c r="J265" i="21"/>
  <c r="L264" i="21"/>
  <c r="J264" i="21"/>
  <c r="L263" i="21"/>
  <c r="J263" i="21"/>
  <c r="L262" i="21"/>
  <c r="J262" i="21"/>
  <c r="L261" i="21"/>
  <c r="J261" i="21"/>
  <c r="L260" i="21"/>
  <c r="J260" i="21"/>
  <c r="L259" i="21"/>
  <c r="J259" i="21"/>
  <c r="L258" i="21"/>
  <c r="J258" i="21"/>
  <c r="L257" i="21"/>
  <c r="J257" i="21"/>
  <c r="L256" i="21"/>
  <c r="J256" i="21"/>
  <c r="L255" i="21"/>
  <c r="J255" i="21"/>
  <c r="L254" i="21"/>
  <c r="J254" i="21"/>
  <c r="L253" i="21"/>
  <c r="J253" i="21"/>
  <c r="L252" i="21"/>
  <c r="J252" i="21"/>
  <c r="L251" i="21"/>
  <c r="J251" i="21"/>
  <c r="L250" i="21"/>
  <c r="J250" i="21"/>
  <c r="L249" i="21"/>
  <c r="J249" i="21"/>
  <c r="L248" i="21"/>
  <c r="J248" i="21"/>
  <c r="L247" i="21"/>
  <c r="J247" i="21"/>
  <c r="L246" i="21"/>
  <c r="J246" i="21"/>
  <c r="L245" i="21"/>
  <c r="J245" i="21"/>
  <c r="L244" i="21"/>
  <c r="J244" i="21"/>
  <c r="L243" i="21"/>
  <c r="J243" i="21"/>
  <c r="L242" i="21"/>
  <c r="J242" i="21"/>
  <c r="L241" i="21"/>
  <c r="J241" i="21"/>
  <c r="L240" i="21"/>
  <c r="J240" i="21"/>
  <c r="L239" i="21"/>
  <c r="J239" i="21"/>
  <c r="L238" i="21"/>
  <c r="J238" i="21"/>
  <c r="L237" i="21"/>
  <c r="J237" i="21"/>
  <c r="L236" i="21"/>
  <c r="J236" i="21"/>
  <c r="L235" i="21"/>
  <c r="J235" i="21"/>
  <c r="L234" i="21"/>
  <c r="J234" i="21"/>
  <c r="L233" i="21"/>
  <c r="J233" i="21"/>
  <c r="L232" i="21"/>
  <c r="J232" i="21"/>
  <c r="L231" i="21"/>
  <c r="J231" i="21"/>
  <c r="L230" i="21"/>
  <c r="J230" i="21"/>
  <c r="L229" i="21"/>
  <c r="J229" i="21"/>
  <c r="L228" i="21"/>
  <c r="J228" i="21"/>
  <c r="L227" i="21"/>
  <c r="J227" i="21"/>
  <c r="L226" i="21"/>
  <c r="J226" i="21"/>
  <c r="L225" i="21"/>
  <c r="J225" i="21"/>
  <c r="L224" i="21"/>
  <c r="J224" i="21"/>
  <c r="L223" i="21"/>
  <c r="J223" i="21"/>
  <c r="L222" i="21"/>
  <c r="J222" i="21"/>
  <c r="L221" i="21"/>
  <c r="J221" i="21"/>
  <c r="L220" i="21"/>
  <c r="J220" i="21"/>
  <c r="L219" i="21"/>
  <c r="J219" i="21"/>
  <c r="L218" i="21"/>
  <c r="J218" i="21"/>
  <c r="L217" i="21"/>
  <c r="J217" i="21"/>
  <c r="L216" i="21"/>
  <c r="J216" i="21"/>
  <c r="L215" i="21"/>
  <c r="J215" i="21"/>
  <c r="L214" i="21"/>
  <c r="J214" i="21"/>
  <c r="L213" i="21"/>
  <c r="J213" i="21"/>
  <c r="L212" i="21"/>
  <c r="J212" i="21"/>
  <c r="L211" i="21"/>
  <c r="J211" i="21"/>
  <c r="L210" i="21"/>
  <c r="J210" i="21"/>
  <c r="L209" i="21"/>
  <c r="J209" i="21"/>
  <c r="L208" i="21"/>
  <c r="J208" i="21"/>
  <c r="L207" i="21"/>
  <c r="J207" i="21"/>
  <c r="L206" i="21"/>
  <c r="J206" i="21"/>
  <c r="L205" i="21"/>
  <c r="J205" i="21"/>
  <c r="L204" i="21"/>
  <c r="J204" i="21"/>
  <c r="L203" i="21"/>
  <c r="J203" i="21"/>
  <c r="L202" i="21"/>
  <c r="J202" i="21"/>
  <c r="L201" i="21"/>
  <c r="J201" i="21"/>
  <c r="L200" i="21"/>
  <c r="J200" i="21"/>
  <c r="L199" i="21"/>
  <c r="J199" i="21"/>
  <c r="L198" i="21"/>
  <c r="J198" i="21"/>
  <c r="L197" i="21"/>
  <c r="J197" i="21"/>
  <c r="L196" i="21"/>
  <c r="J196" i="21"/>
  <c r="L195" i="21"/>
  <c r="J195" i="21"/>
  <c r="L194" i="21"/>
  <c r="J194" i="21"/>
  <c r="L193" i="21"/>
  <c r="J193" i="21"/>
  <c r="L192" i="21"/>
  <c r="J192" i="21"/>
  <c r="L191" i="21"/>
  <c r="J191" i="21"/>
  <c r="L190" i="21"/>
  <c r="J190" i="21"/>
  <c r="L189" i="21"/>
  <c r="J189" i="21"/>
  <c r="L188" i="21"/>
  <c r="J188" i="21"/>
  <c r="L187" i="21"/>
  <c r="J187" i="21"/>
  <c r="L186" i="21"/>
  <c r="J186" i="21"/>
  <c r="L185" i="21"/>
  <c r="J185" i="21"/>
  <c r="L184" i="21"/>
  <c r="J184" i="21"/>
  <c r="L183" i="21"/>
  <c r="J183" i="21"/>
  <c r="L182" i="21"/>
  <c r="J182" i="21"/>
  <c r="L181" i="21"/>
  <c r="J181" i="21"/>
  <c r="L180" i="21"/>
  <c r="J180" i="21"/>
  <c r="L179" i="21"/>
  <c r="J179" i="21"/>
  <c r="L178" i="21"/>
  <c r="J178" i="21"/>
  <c r="L177" i="21"/>
  <c r="J177" i="21"/>
  <c r="L176" i="21"/>
  <c r="J176" i="21"/>
  <c r="L175" i="21"/>
  <c r="J175" i="21"/>
  <c r="L174" i="21"/>
  <c r="J174" i="21"/>
  <c r="L173" i="21"/>
  <c r="J173" i="21"/>
  <c r="L172" i="21"/>
  <c r="J172" i="21"/>
  <c r="L171" i="21"/>
  <c r="J171" i="21"/>
  <c r="L170" i="21"/>
  <c r="J170" i="21"/>
  <c r="L169" i="21"/>
  <c r="J169" i="21"/>
  <c r="L168" i="21"/>
  <c r="J168" i="21"/>
  <c r="L167" i="21"/>
  <c r="J167" i="21"/>
  <c r="L166" i="21"/>
  <c r="J166" i="21"/>
  <c r="L165" i="21"/>
  <c r="J165" i="21"/>
  <c r="L164" i="21"/>
  <c r="J164" i="21"/>
  <c r="L163" i="21"/>
  <c r="J163" i="21"/>
  <c r="L162" i="21"/>
  <c r="J162" i="21"/>
  <c r="L161" i="21"/>
  <c r="J161" i="21"/>
  <c r="L160" i="21"/>
  <c r="J160" i="21"/>
  <c r="L159" i="21"/>
  <c r="J159" i="21"/>
  <c r="L158" i="21"/>
  <c r="J158" i="21"/>
  <c r="L157" i="21"/>
  <c r="J157" i="21"/>
  <c r="L156" i="21"/>
  <c r="J156" i="21"/>
  <c r="L155" i="21"/>
  <c r="J155" i="21"/>
  <c r="L154" i="21"/>
  <c r="J154" i="21"/>
  <c r="L153" i="21"/>
  <c r="J153" i="21"/>
  <c r="L152" i="21"/>
  <c r="J152" i="21"/>
  <c r="L151" i="21"/>
  <c r="J151" i="21"/>
  <c r="L150" i="21"/>
  <c r="J150" i="21"/>
  <c r="L149" i="21"/>
  <c r="J149" i="21"/>
  <c r="L148" i="21"/>
  <c r="J148" i="21"/>
  <c r="L147" i="21"/>
  <c r="J147" i="21"/>
  <c r="L146" i="21"/>
  <c r="J146" i="21"/>
  <c r="L145" i="21"/>
  <c r="J145" i="21"/>
  <c r="L144" i="21"/>
  <c r="J144" i="21"/>
  <c r="L143" i="21"/>
  <c r="J143" i="21"/>
  <c r="L142" i="21"/>
  <c r="J142" i="21"/>
  <c r="L141" i="21"/>
  <c r="J141" i="21"/>
  <c r="L140" i="21"/>
  <c r="J140" i="21"/>
  <c r="L139" i="21"/>
  <c r="J139" i="21"/>
  <c r="L138" i="21"/>
  <c r="J138" i="21"/>
  <c r="L137" i="21"/>
  <c r="J137" i="21"/>
  <c r="L136" i="21"/>
  <c r="J136" i="21"/>
  <c r="L135" i="21"/>
  <c r="J135" i="21"/>
  <c r="L134" i="21"/>
  <c r="J134" i="21"/>
  <c r="L133" i="21"/>
  <c r="J133" i="21"/>
  <c r="L132" i="21"/>
  <c r="J132" i="21"/>
  <c r="L131" i="21"/>
  <c r="J131" i="21"/>
  <c r="L130" i="21"/>
  <c r="J130" i="21"/>
  <c r="L129" i="21"/>
  <c r="J129" i="21"/>
  <c r="L128" i="21"/>
  <c r="J128" i="21"/>
  <c r="L127" i="21"/>
  <c r="J127" i="21"/>
  <c r="L126" i="21"/>
  <c r="J126" i="21"/>
  <c r="L125" i="21"/>
  <c r="J125" i="21"/>
  <c r="L124" i="21"/>
  <c r="J124" i="21"/>
  <c r="L123" i="21"/>
  <c r="J123" i="21"/>
  <c r="L122" i="21"/>
  <c r="J122" i="21"/>
  <c r="L121" i="21"/>
  <c r="J121" i="21"/>
  <c r="L120" i="21"/>
  <c r="J120" i="21"/>
  <c r="L119" i="21"/>
  <c r="J119" i="21"/>
  <c r="L118" i="21"/>
  <c r="J118" i="21"/>
  <c r="L117" i="21"/>
  <c r="J117" i="21"/>
  <c r="L116" i="21"/>
  <c r="J116" i="21"/>
  <c r="L115" i="21"/>
  <c r="J115" i="21"/>
  <c r="L114" i="21"/>
  <c r="J114" i="21"/>
  <c r="L113" i="21"/>
  <c r="J113" i="21"/>
  <c r="L112" i="21"/>
  <c r="J112" i="21"/>
  <c r="L111" i="21"/>
  <c r="J111" i="21"/>
  <c r="L110" i="21"/>
  <c r="J110" i="21"/>
  <c r="L109" i="21"/>
  <c r="J109" i="21"/>
  <c r="L108" i="21"/>
  <c r="J108" i="21"/>
  <c r="L107" i="21"/>
  <c r="J107" i="21"/>
  <c r="L106" i="21"/>
  <c r="J106" i="21"/>
  <c r="L105" i="21"/>
  <c r="J105" i="21"/>
  <c r="L104" i="21"/>
  <c r="J104" i="21"/>
  <c r="L103" i="21"/>
  <c r="J103" i="21"/>
  <c r="L102" i="21"/>
  <c r="J102" i="21"/>
  <c r="L101" i="21"/>
  <c r="J101" i="21"/>
  <c r="L100" i="21"/>
  <c r="J100" i="21"/>
  <c r="L99" i="21"/>
  <c r="J99" i="21"/>
  <c r="L98" i="21"/>
  <c r="J98" i="21"/>
  <c r="L97" i="21"/>
  <c r="J97" i="21"/>
  <c r="L96" i="21"/>
  <c r="J96" i="21"/>
  <c r="L95" i="21"/>
  <c r="J95" i="21"/>
  <c r="L94" i="21"/>
  <c r="J94" i="21"/>
  <c r="L93" i="21"/>
  <c r="J93" i="21"/>
  <c r="L92" i="21"/>
  <c r="J92" i="21"/>
  <c r="L91" i="21"/>
  <c r="J91" i="21"/>
  <c r="L90" i="21"/>
  <c r="J90" i="21"/>
  <c r="L89" i="21"/>
  <c r="J89" i="21"/>
  <c r="L88" i="21"/>
  <c r="J88" i="21"/>
  <c r="L87" i="21"/>
  <c r="J87" i="21"/>
  <c r="L86" i="21"/>
  <c r="J86" i="21"/>
  <c r="L85" i="21"/>
  <c r="J85" i="21"/>
  <c r="L84" i="21"/>
  <c r="J84" i="21"/>
  <c r="L83" i="21"/>
  <c r="J83" i="21"/>
  <c r="L82" i="21"/>
  <c r="J82" i="21"/>
  <c r="L81" i="21"/>
  <c r="J81" i="21"/>
  <c r="L80" i="21"/>
  <c r="J80" i="21"/>
  <c r="L79" i="21"/>
  <c r="J79" i="21"/>
  <c r="L78" i="21"/>
  <c r="J78" i="21"/>
  <c r="L77" i="21"/>
  <c r="J77" i="21"/>
  <c r="L76" i="21"/>
  <c r="J76" i="21"/>
  <c r="L75" i="21"/>
  <c r="J75" i="21"/>
  <c r="L74" i="21"/>
  <c r="J74" i="21"/>
  <c r="L73" i="21"/>
  <c r="J73" i="21"/>
  <c r="L72" i="21"/>
  <c r="J7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5" i="21"/>
  <c r="J45" i="21"/>
  <c r="L44" i="21"/>
  <c r="J44" i="21"/>
  <c r="L43" i="21"/>
  <c r="J43" i="21"/>
  <c r="L42" i="21"/>
  <c r="J42" i="21"/>
  <c r="L41" i="21"/>
  <c r="J41" i="21"/>
  <c r="L40" i="21"/>
  <c r="J40" i="21"/>
  <c r="L39" i="21"/>
  <c r="J39" i="21"/>
  <c r="L38" i="21"/>
  <c r="J38" i="21"/>
  <c r="L37" i="21"/>
  <c r="J37" i="21"/>
  <c r="L36" i="21"/>
  <c r="J36" i="21"/>
  <c r="L35" i="21"/>
  <c r="J35" i="21"/>
  <c r="L34" i="21"/>
  <c r="J34" i="21"/>
  <c r="L33" i="21"/>
  <c r="J33" i="21"/>
  <c r="L32" i="21"/>
  <c r="J32" i="21"/>
  <c r="L31" i="21"/>
  <c r="J31" i="21"/>
  <c r="L30" i="21"/>
  <c r="J30" i="21"/>
  <c r="L29" i="21"/>
  <c r="J29" i="21"/>
  <c r="L28" i="21"/>
  <c r="J28" i="21"/>
  <c r="L27" i="21"/>
  <c r="J27" i="21"/>
  <c r="D27" i="21"/>
  <c r="D28" i="21" s="1"/>
  <c r="D29" i="21" s="1"/>
  <c r="D30" i="21" s="1"/>
  <c r="D31" i="21" s="1"/>
  <c r="D32" i="21" s="1"/>
  <c r="D33" i="21" s="1"/>
  <c r="D34" i="21" s="1"/>
  <c r="D35" i="21" s="1"/>
  <c r="D36" i="21" s="1"/>
  <c r="D37" i="21" s="1"/>
  <c r="D38" i="21" s="1"/>
  <c r="D39" i="21" s="1"/>
  <c r="D40" i="21" s="1"/>
  <c r="D41" i="21" s="1"/>
  <c r="D42" i="21" s="1"/>
  <c r="D43" i="21" s="1"/>
  <c r="D44" i="21" s="1"/>
  <c r="D45" i="21" s="1"/>
  <c r="D46" i="21" s="1"/>
  <c r="D47" i="21" s="1"/>
  <c r="D48" i="21" s="1"/>
  <c r="D49" i="21" s="1"/>
  <c r="D50" i="21" s="1"/>
  <c r="D51" i="21" s="1"/>
  <c r="D52" i="21" s="1"/>
  <c r="D53" i="21" s="1"/>
  <c r="D54" i="21" s="1"/>
  <c r="D55" i="21" s="1"/>
  <c r="D56" i="21" s="1"/>
  <c r="D57" i="21" s="1"/>
  <c r="D58" i="21" s="1"/>
  <c r="D59" i="21" s="1"/>
  <c r="D60" i="21" s="1"/>
  <c r="D61" i="21" s="1"/>
  <c r="D62" i="21" s="1"/>
  <c r="D63" i="21" s="1"/>
  <c r="D64" i="21" s="1"/>
  <c r="D65" i="21" s="1"/>
  <c r="D66" i="21" s="1"/>
  <c r="D67" i="21" s="1"/>
  <c r="D68" i="21" s="1"/>
  <c r="D69" i="21" s="1"/>
  <c r="D70" i="21" s="1"/>
  <c r="D71" i="21" s="1"/>
  <c r="D72" i="21" s="1"/>
  <c r="D73" i="21" s="1"/>
  <c r="L26" i="21"/>
  <c r="F26" i="21" s="1"/>
  <c r="K26" i="21"/>
  <c r="K27" i="21" s="1"/>
  <c r="K28" i="21" s="1"/>
  <c r="K29" i="21" s="1"/>
  <c r="K30" i="21" s="1"/>
  <c r="K31" i="21" s="1"/>
  <c r="K32" i="21" s="1"/>
  <c r="K33" i="21" s="1"/>
  <c r="K34" i="21" s="1"/>
  <c r="K35" i="21" s="1"/>
  <c r="K36" i="21" s="1"/>
  <c r="K37" i="21" s="1"/>
  <c r="K38" i="21" s="1"/>
  <c r="K39" i="21" s="1"/>
  <c r="K40" i="21" s="1"/>
  <c r="K41" i="21" s="1"/>
  <c r="K42" i="21" s="1"/>
  <c r="K43" i="21" s="1"/>
  <c r="K44" i="21" s="1"/>
  <c r="K45" i="21" s="1"/>
  <c r="K46" i="21" s="1"/>
  <c r="K47" i="21" s="1"/>
  <c r="K48" i="21" s="1"/>
  <c r="K49" i="21" s="1"/>
  <c r="K50" i="21" s="1"/>
  <c r="K51" i="21" s="1"/>
  <c r="K52" i="21" s="1"/>
  <c r="K53" i="21" s="1"/>
  <c r="K54" i="21" s="1"/>
  <c r="K55" i="21" s="1"/>
  <c r="K56" i="21" s="1"/>
  <c r="K57" i="21" s="1"/>
  <c r="K58" i="21" s="1"/>
  <c r="K59" i="21" s="1"/>
  <c r="K60" i="21" s="1"/>
  <c r="K61" i="21" s="1"/>
  <c r="K62" i="21" s="1"/>
  <c r="K63" i="21" s="1"/>
  <c r="K64" i="21" s="1"/>
  <c r="K65" i="21" s="1"/>
  <c r="K66" i="21" s="1"/>
  <c r="K67" i="21" s="1"/>
  <c r="K68" i="21" s="1"/>
  <c r="K69" i="21" s="1"/>
  <c r="K70" i="21" s="1"/>
  <c r="K71" i="21" s="1"/>
  <c r="K72" i="21" s="1"/>
  <c r="K73" i="21" s="1"/>
  <c r="K74" i="21" s="1"/>
  <c r="K75" i="21" s="1"/>
  <c r="K76" i="21" s="1"/>
  <c r="K77" i="21" s="1"/>
  <c r="K78" i="21" s="1"/>
  <c r="K79" i="21" s="1"/>
  <c r="K80" i="21" s="1"/>
  <c r="K81" i="21" s="1"/>
  <c r="K82" i="21" s="1"/>
  <c r="K83" i="21" s="1"/>
  <c r="K84" i="21" s="1"/>
  <c r="K85" i="21" s="1"/>
  <c r="K86" i="21" s="1"/>
  <c r="K87" i="21" s="1"/>
  <c r="K88" i="21" s="1"/>
  <c r="K89" i="21" s="1"/>
  <c r="K90" i="21" s="1"/>
  <c r="K91" i="21" s="1"/>
  <c r="K92" i="21" s="1"/>
  <c r="K93" i="21" s="1"/>
  <c r="K94" i="21" s="1"/>
  <c r="K95" i="21" s="1"/>
  <c r="K96" i="21" s="1"/>
  <c r="K97" i="21" s="1"/>
  <c r="K98" i="21" s="1"/>
  <c r="K99" i="21" s="1"/>
  <c r="K100" i="21" s="1"/>
  <c r="K101" i="21" s="1"/>
  <c r="K102" i="21" s="1"/>
  <c r="K103" i="21" s="1"/>
  <c r="K104" i="21" s="1"/>
  <c r="K105" i="21" s="1"/>
  <c r="K106" i="21" s="1"/>
  <c r="K107" i="21" s="1"/>
  <c r="K108" i="21" s="1"/>
  <c r="K109" i="21" s="1"/>
  <c r="K110" i="21" s="1"/>
  <c r="K111" i="21" s="1"/>
  <c r="K112" i="21" s="1"/>
  <c r="K113" i="21" s="1"/>
  <c r="K114" i="21" s="1"/>
  <c r="K115" i="21" s="1"/>
  <c r="K116" i="21" s="1"/>
  <c r="K117" i="21" s="1"/>
  <c r="K118" i="21" s="1"/>
  <c r="K119" i="21" s="1"/>
  <c r="K120" i="21" s="1"/>
  <c r="K121" i="21" s="1"/>
  <c r="K122" i="21" s="1"/>
  <c r="K123" i="21" s="1"/>
  <c r="K124" i="21" s="1"/>
  <c r="K125" i="21" s="1"/>
  <c r="K126" i="21" s="1"/>
  <c r="K127" i="21" s="1"/>
  <c r="K128" i="21" s="1"/>
  <c r="K129" i="21" s="1"/>
  <c r="K130" i="21" s="1"/>
  <c r="K131" i="21" s="1"/>
  <c r="K132" i="21" s="1"/>
  <c r="K133" i="21" s="1"/>
  <c r="K134" i="21" s="1"/>
  <c r="K135" i="21" s="1"/>
  <c r="K136" i="21" s="1"/>
  <c r="K137" i="21" s="1"/>
  <c r="K138" i="21" s="1"/>
  <c r="K139" i="21" s="1"/>
  <c r="K140" i="21" s="1"/>
  <c r="K141" i="21" s="1"/>
  <c r="K142" i="21" s="1"/>
  <c r="K143" i="21" s="1"/>
  <c r="K144" i="21" s="1"/>
  <c r="K145" i="21" s="1"/>
  <c r="K146" i="21" s="1"/>
  <c r="K147" i="21" s="1"/>
  <c r="K148" i="21" s="1"/>
  <c r="K149" i="21" s="1"/>
  <c r="K150" i="21" s="1"/>
  <c r="K151" i="21" s="1"/>
  <c r="K152" i="21" s="1"/>
  <c r="K153" i="21" s="1"/>
  <c r="K154" i="21" s="1"/>
  <c r="K155" i="21" s="1"/>
  <c r="K156" i="21" s="1"/>
  <c r="K157" i="21" s="1"/>
  <c r="K158" i="21" s="1"/>
  <c r="K159" i="21" s="1"/>
  <c r="K160" i="21" s="1"/>
  <c r="K161" i="21" s="1"/>
  <c r="K162" i="21" s="1"/>
  <c r="K163" i="21" s="1"/>
  <c r="K164" i="21" s="1"/>
  <c r="K165" i="21" s="1"/>
  <c r="K166" i="21" s="1"/>
  <c r="K167" i="21" s="1"/>
  <c r="K168" i="21" s="1"/>
  <c r="K169" i="21" s="1"/>
  <c r="K170" i="21" s="1"/>
  <c r="K171" i="21" s="1"/>
  <c r="K172" i="21" s="1"/>
  <c r="K173" i="21" s="1"/>
  <c r="K174" i="21" s="1"/>
  <c r="K175" i="21" s="1"/>
  <c r="K176" i="21" s="1"/>
  <c r="K177" i="21" s="1"/>
  <c r="K178" i="21" s="1"/>
  <c r="K179" i="21" s="1"/>
  <c r="K180" i="21" s="1"/>
  <c r="K181" i="21" s="1"/>
  <c r="K182" i="21" s="1"/>
  <c r="K183" i="21" s="1"/>
  <c r="K184" i="21" s="1"/>
  <c r="K185" i="21" s="1"/>
  <c r="K186" i="21" s="1"/>
  <c r="K187" i="21" s="1"/>
  <c r="K188" i="21" s="1"/>
  <c r="K189" i="21" s="1"/>
  <c r="K190" i="21" s="1"/>
  <c r="K191" i="21" s="1"/>
  <c r="K192" i="21" s="1"/>
  <c r="K193" i="21" s="1"/>
  <c r="K194" i="21" s="1"/>
  <c r="K195" i="21" s="1"/>
  <c r="K196" i="21" s="1"/>
  <c r="K197" i="21" s="1"/>
  <c r="K198" i="21" s="1"/>
  <c r="K199" i="21" s="1"/>
  <c r="K200" i="21" s="1"/>
  <c r="K201" i="21" s="1"/>
  <c r="K202" i="21" s="1"/>
  <c r="K203" i="21" s="1"/>
  <c r="K204" i="21" s="1"/>
  <c r="K205" i="21" s="1"/>
  <c r="K206" i="21" s="1"/>
  <c r="K207" i="21" s="1"/>
  <c r="K208" i="21" s="1"/>
  <c r="K209" i="21" s="1"/>
  <c r="K210" i="21" s="1"/>
  <c r="K211" i="21" s="1"/>
  <c r="K212" i="21" s="1"/>
  <c r="K213" i="21" s="1"/>
  <c r="K214" i="21" s="1"/>
  <c r="K215" i="21" s="1"/>
  <c r="K216" i="21" s="1"/>
  <c r="K217" i="21" s="1"/>
  <c r="K218" i="21" s="1"/>
  <c r="K219" i="21" s="1"/>
  <c r="K220" i="21" s="1"/>
  <c r="K221" i="21" s="1"/>
  <c r="K222" i="21" s="1"/>
  <c r="K223" i="21" s="1"/>
  <c r="K224" i="21" s="1"/>
  <c r="K225" i="21" s="1"/>
  <c r="K226" i="21" s="1"/>
  <c r="K227" i="21" s="1"/>
  <c r="K228" i="21" s="1"/>
  <c r="K229" i="21" s="1"/>
  <c r="K230" i="21" s="1"/>
  <c r="K231" i="21" s="1"/>
  <c r="K232" i="21" s="1"/>
  <c r="K233" i="21" s="1"/>
  <c r="K234" i="21" s="1"/>
  <c r="K235" i="21" s="1"/>
  <c r="K236" i="21" s="1"/>
  <c r="K237" i="21" s="1"/>
  <c r="K238" i="21" s="1"/>
  <c r="K239" i="21" s="1"/>
  <c r="K240" i="21" s="1"/>
  <c r="K241" i="21" s="1"/>
  <c r="K242" i="21" s="1"/>
  <c r="K243" i="21" s="1"/>
  <c r="K244" i="21" s="1"/>
  <c r="K245" i="21" s="1"/>
  <c r="K246" i="21" s="1"/>
  <c r="K247" i="21" s="1"/>
  <c r="K248" i="21" s="1"/>
  <c r="K249" i="21" s="1"/>
  <c r="K250" i="21" s="1"/>
  <c r="K251" i="21" s="1"/>
  <c r="K252" i="21" s="1"/>
  <c r="K253" i="21" s="1"/>
  <c r="K254" i="21" s="1"/>
  <c r="K255" i="21" s="1"/>
  <c r="K256" i="21" s="1"/>
  <c r="K257" i="21" s="1"/>
  <c r="K258" i="21" s="1"/>
  <c r="K259" i="21" s="1"/>
  <c r="K260" i="21" s="1"/>
  <c r="K261" i="21" s="1"/>
  <c r="K262" i="21" s="1"/>
  <c r="K263" i="21" s="1"/>
  <c r="K264" i="21" s="1"/>
  <c r="K265" i="21" s="1"/>
  <c r="J26" i="21"/>
  <c r="A8" i="21"/>
  <c r="H267" i="20"/>
  <c r="H266" i="20"/>
  <c r="L265" i="20"/>
  <c r="J265" i="20"/>
  <c r="L264" i="20"/>
  <c r="J264" i="20"/>
  <c r="L263" i="20"/>
  <c r="J263" i="20"/>
  <c r="L262" i="20"/>
  <c r="J262" i="20"/>
  <c r="L261" i="20"/>
  <c r="J261" i="20"/>
  <c r="L260" i="20"/>
  <c r="J260" i="20"/>
  <c r="L259" i="20"/>
  <c r="J259" i="20"/>
  <c r="L258" i="20"/>
  <c r="J258" i="20"/>
  <c r="L257" i="20"/>
  <c r="J257" i="20"/>
  <c r="L256" i="20"/>
  <c r="J256" i="20"/>
  <c r="L255" i="20"/>
  <c r="J255" i="20"/>
  <c r="L254" i="20"/>
  <c r="J254" i="20"/>
  <c r="L253" i="20"/>
  <c r="J253" i="20"/>
  <c r="L252" i="20"/>
  <c r="J252" i="20"/>
  <c r="L251" i="20"/>
  <c r="J251" i="20"/>
  <c r="L250" i="20"/>
  <c r="J250" i="20"/>
  <c r="L249" i="20"/>
  <c r="J249" i="20"/>
  <c r="L248" i="20"/>
  <c r="J248" i="20"/>
  <c r="L247" i="20"/>
  <c r="J247" i="20"/>
  <c r="L246" i="20"/>
  <c r="J246" i="20"/>
  <c r="L245" i="20"/>
  <c r="J245" i="20"/>
  <c r="L244" i="20"/>
  <c r="J244" i="20"/>
  <c r="L243" i="20"/>
  <c r="J243" i="20"/>
  <c r="L242" i="20"/>
  <c r="J242" i="20"/>
  <c r="L241" i="20"/>
  <c r="J241" i="20"/>
  <c r="L240" i="20"/>
  <c r="J240" i="20"/>
  <c r="L239" i="20"/>
  <c r="J239" i="20"/>
  <c r="L238" i="20"/>
  <c r="J238" i="20"/>
  <c r="L237" i="20"/>
  <c r="J237" i="20"/>
  <c r="L236" i="20"/>
  <c r="J236" i="20"/>
  <c r="L235" i="20"/>
  <c r="J235" i="20"/>
  <c r="L234" i="20"/>
  <c r="J234" i="20"/>
  <c r="L233" i="20"/>
  <c r="J233" i="20"/>
  <c r="L232" i="20"/>
  <c r="J232" i="20"/>
  <c r="L231" i="20"/>
  <c r="J231" i="20"/>
  <c r="L230" i="20"/>
  <c r="J230" i="20"/>
  <c r="L229" i="20"/>
  <c r="J229" i="20"/>
  <c r="L228" i="20"/>
  <c r="J228" i="20"/>
  <c r="L227" i="20"/>
  <c r="J227" i="20"/>
  <c r="L226" i="20"/>
  <c r="J226" i="20"/>
  <c r="L225" i="20"/>
  <c r="J225" i="20"/>
  <c r="L224" i="20"/>
  <c r="J224" i="20"/>
  <c r="L223" i="20"/>
  <c r="J223" i="20"/>
  <c r="L222" i="20"/>
  <c r="J222" i="20"/>
  <c r="L221" i="20"/>
  <c r="J221" i="20"/>
  <c r="L220" i="20"/>
  <c r="J220" i="20"/>
  <c r="L219" i="20"/>
  <c r="J219" i="20"/>
  <c r="L218" i="20"/>
  <c r="J218" i="20"/>
  <c r="L217" i="20"/>
  <c r="J217" i="20"/>
  <c r="L216" i="20"/>
  <c r="J216" i="20"/>
  <c r="L215" i="20"/>
  <c r="J215" i="20"/>
  <c r="L214" i="20"/>
  <c r="J214" i="20"/>
  <c r="L213" i="20"/>
  <c r="J213" i="20"/>
  <c r="L212" i="20"/>
  <c r="J212" i="20"/>
  <c r="L211" i="20"/>
  <c r="J211" i="20"/>
  <c r="L210" i="20"/>
  <c r="J210" i="20"/>
  <c r="L209" i="20"/>
  <c r="J209" i="20"/>
  <c r="L208" i="20"/>
  <c r="J208" i="20"/>
  <c r="L207" i="20"/>
  <c r="J207" i="20"/>
  <c r="L206" i="20"/>
  <c r="J206" i="20"/>
  <c r="L205" i="20"/>
  <c r="J205" i="20"/>
  <c r="L204" i="20"/>
  <c r="J204" i="20"/>
  <c r="L203" i="20"/>
  <c r="J203" i="20"/>
  <c r="L202" i="20"/>
  <c r="J202" i="20"/>
  <c r="L201" i="20"/>
  <c r="J201" i="20"/>
  <c r="L200" i="20"/>
  <c r="J200" i="20"/>
  <c r="L199" i="20"/>
  <c r="J199" i="20"/>
  <c r="L198" i="20"/>
  <c r="J198" i="20"/>
  <c r="L197" i="20"/>
  <c r="J197" i="20"/>
  <c r="L196" i="20"/>
  <c r="J196" i="20"/>
  <c r="L195" i="20"/>
  <c r="J195" i="20"/>
  <c r="L194" i="20"/>
  <c r="J194" i="20"/>
  <c r="L193" i="20"/>
  <c r="J193" i="20"/>
  <c r="L192" i="20"/>
  <c r="J192" i="20"/>
  <c r="L191" i="20"/>
  <c r="J191" i="20"/>
  <c r="L190" i="20"/>
  <c r="J190" i="20"/>
  <c r="L189" i="20"/>
  <c r="J189" i="20"/>
  <c r="L188" i="20"/>
  <c r="J188" i="20"/>
  <c r="L187" i="20"/>
  <c r="J187" i="20"/>
  <c r="L186" i="20"/>
  <c r="J186" i="20"/>
  <c r="L185" i="20"/>
  <c r="J185" i="20"/>
  <c r="L184" i="20"/>
  <c r="J184" i="20"/>
  <c r="L183" i="20"/>
  <c r="J183" i="20"/>
  <c r="L182" i="20"/>
  <c r="J182" i="20"/>
  <c r="L181" i="20"/>
  <c r="J181" i="20"/>
  <c r="L180" i="20"/>
  <c r="J180" i="20"/>
  <c r="L179" i="20"/>
  <c r="J179" i="20"/>
  <c r="L178" i="20"/>
  <c r="J178" i="20"/>
  <c r="L177" i="20"/>
  <c r="J177" i="20"/>
  <c r="L176" i="20"/>
  <c r="J176" i="20"/>
  <c r="L175" i="20"/>
  <c r="J175" i="20"/>
  <c r="L174" i="20"/>
  <c r="J174" i="20"/>
  <c r="L173" i="20"/>
  <c r="J173" i="20"/>
  <c r="L172" i="20"/>
  <c r="J172" i="20"/>
  <c r="L171" i="20"/>
  <c r="J171" i="20"/>
  <c r="L170" i="20"/>
  <c r="J170" i="20"/>
  <c r="L169" i="20"/>
  <c r="J169" i="20"/>
  <c r="L168" i="20"/>
  <c r="J168" i="20"/>
  <c r="L167" i="20"/>
  <c r="J167" i="20"/>
  <c r="L166" i="20"/>
  <c r="J166" i="20"/>
  <c r="L165" i="20"/>
  <c r="J165" i="20"/>
  <c r="L164" i="20"/>
  <c r="J164" i="20"/>
  <c r="L163" i="20"/>
  <c r="J163" i="20"/>
  <c r="L162" i="20"/>
  <c r="J162" i="20"/>
  <c r="L161" i="20"/>
  <c r="J161" i="20"/>
  <c r="L160" i="20"/>
  <c r="J160" i="20"/>
  <c r="L159" i="20"/>
  <c r="J159" i="20"/>
  <c r="L158" i="20"/>
  <c r="J158" i="20"/>
  <c r="L157" i="20"/>
  <c r="J157" i="20"/>
  <c r="L156" i="20"/>
  <c r="J156" i="20"/>
  <c r="L155" i="20"/>
  <c r="J155" i="20"/>
  <c r="L154" i="20"/>
  <c r="J154" i="20"/>
  <c r="L153" i="20"/>
  <c r="J153" i="20"/>
  <c r="L152" i="20"/>
  <c r="J152" i="20"/>
  <c r="L151" i="20"/>
  <c r="J151" i="20"/>
  <c r="L150" i="20"/>
  <c r="J150" i="20"/>
  <c r="L149" i="20"/>
  <c r="J149" i="20"/>
  <c r="L148" i="20"/>
  <c r="J148" i="20"/>
  <c r="L147" i="20"/>
  <c r="J147"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4" i="20"/>
  <c r="J84"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L58" i="20"/>
  <c r="J58" i="20"/>
  <c r="L57" i="20"/>
  <c r="J57" i="20"/>
  <c r="L56" i="20"/>
  <c r="J56" i="20"/>
  <c r="L55" i="20"/>
  <c r="J55" i="20"/>
  <c r="L54" i="20"/>
  <c r="J54" i="20"/>
  <c r="L53" i="20"/>
  <c r="J53" i="20"/>
  <c r="L52" i="20"/>
  <c r="J52" i="20"/>
  <c r="L51" i="20"/>
  <c r="J51" i="20"/>
  <c r="L50" i="20"/>
  <c r="J50" i="20"/>
  <c r="L49" i="20"/>
  <c r="J49" i="20"/>
  <c r="L48" i="20"/>
  <c r="J48" i="20"/>
  <c r="L47" i="20"/>
  <c r="J47" i="20"/>
  <c r="L46" i="20"/>
  <c r="J46" i="20"/>
  <c r="L45" i="20"/>
  <c r="J45" i="20"/>
  <c r="L44" i="20"/>
  <c r="J44" i="20"/>
  <c r="L43" i="20"/>
  <c r="J43" i="20"/>
  <c r="L42" i="20"/>
  <c r="J42" i="20"/>
  <c r="L41" i="20"/>
  <c r="J41" i="20"/>
  <c r="L40" i="20"/>
  <c r="J40" i="20"/>
  <c r="L39" i="20"/>
  <c r="J39" i="20"/>
  <c r="L38" i="20"/>
  <c r="J38" i="20"/>
  <c r="L37" i="20"/>
  <c r="J37" i="20"/>
  <c r="L36" i="20"/>
  <c r="J36" i="20"/>
  <c r="L35" i="20"/>
  <c r="J35" i="20"/>
  <c r="L34" i="20"/>
  <c r="J34" i="20"/>
  <c r="L33" i="20"/>
  <c r="J33" i="20"/>
  <c r="L32" i="20"/>
  <c r="J32" i="20"/>
  <c r="L31" i="20"/>
  <c r="J31" i="20"/>
  <c r="L30" i="20"/>
  <c r="J30" i="20"/>
  <c r="L29" i="20"/>
  <c r="J29" i="20"/>
  <c r="L28" i="20"/>
  <c r="J28" i="20"/>
  <c r="L27" i="20"/>
  <c r="J27" i="20"/>
  <c r="D27" i="20"/>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L26" i="20"/>
  <c r="F26" i="20" s="1"/>
  <c r="K26" i="20"/>
  <c r="K27" i="20" s="1"/>
  <c r="K28" i="20" s="1"/>
  <c r="K29" i="20" s="1"/>
  <c r="K30" i="20" s="1"/>
  <c r="K31" i="20" s="1"/>
  <c r="K32" i="20" s="1"/>
  <c r="K33" i="20" s="1"/>
  <c r="K34" i="20" s="1"/>
  <c r="K35" i="20" s="1"/>
  <c r="K36" i="20" s="1"/>
  <c r="K37" i="20" s="1"/>
  <c r="K38" i="20" s="1"/>
  <c r="K39" i="20" s="1"/>
  <c r="K40" i="20" s="1"/>
  <c r="K41" i="20" s="1"/>
  <c r="K42" i="20" s="1"/>
  <c r="K43" i="20" s="1"/>
  <c r="K44" i="20" s="1"/>
  <c r="K45" i="20" s="1"/>
  <c r="K46" i="20" s="1"/>
  <c r="K47" i="20" s="1"/>
  <c r="K48" i="20" s="1"/>
  <c r="K49" i="20" s="1"/>
  <c r="K50" i="20" s="1"/>
  <c r="K51" i="20" s="1"/>
  <c r="K52" i="20" s="1"/>
  <c r="K53" i="20" s="1"/>
  <c r="K54" i="20" s="1"/>
  <c r="K55" i="20" s="1"/>
  <c r="K56" i="20" s="1"/>
  <c r="K57" i="20" s="1"/>
  <c r="K58" i="20" s="1"/>
  <c r="K59" i="20" s="1"/>
  <c r="K60" i="20" s="1"/>
  <c r="K61" i="20" s="1"/>
  <c r="K62" i="20" s="1"/>
  <c r="K63" i="20" s="1"/>
  <c r="K64" i="20" s="1"/>
  <c r="K65" i="20" s="1"/>
  <c r="K66" i="20" s="1"/>
  <c r="K67" i="20" s="1"/>
  <c r="K68" i="20" s="1"/>
  <c r="K69" i="20" s="1"/>
  <c r="K70" i="20" s="1"/>
  <c r="K71" i="20" s="1"/>
  <c r="K72" i="20" s="1"/>
  <c r="K73" i="20" s="1"/>
  <c r="K74" i="20" s="1"/>
  <c r="K75" i="20" s="1"/>
  <c r="K76" i="20" s="1"/>
  <c r="K77" i="20" s="1"/>
  <c r="K78" i="20" s="1"/>
  <c r="K79" i="20" s="1"/>
  <c r="K80" i="20" s="1"/>
  <c r="K81" i="20" s="1"/>
  <c r="K82" i="20" s="1"/>
  <c r="K83" i="20" s="1"/>
  <c r="K84" i="20" s="1"/>
  <c r="K85" i="20" s="1"/>
  <c r="K86" i="20" s="1"/>
  <c r="K87" i="20" s="1"/>
  <c r="K88" i="20" s="1"/>
  <c r="K89" i="20" s="1"/>
  <c r="K90" i="20" s="1"/>
  <c r="K91" i="20" s="1"/>
  <c r="K92" i="20" s="1"/>
  <c r="K93" i="20" s="1"/>
  <c r="K94" i="20" s="1"/>
  <c r="K95" i="20" s="1"/>
  <c r="K96" i="20" s="1"/>
  <c r="K97" i="20" s="1"/>
  <c r="K98" i="20" s="1"/>
  <c r="K99" i="20" s="1"/>
  <c r="K100" i="20" s="1"/>
  <c r="K101" i="20" s="1"/>
  <c r="K102" i="20" s="1"/>
  <c r="K103" i="20" s="1"/>
  <c r="K104" i="20" s="1"/>
  <c r="K105" i="20" s="1"/>
  <c r="K106" i="20" s="1"/>
  <c r="K107" i="20" s="1"/>
  <c r="K108" i="20" s="1"/>
  <c r="K109" i="20" s="1"/>
  <c r="K110" i="20" s="1"/>
  <c r="K111" i="20" s="1"/>
  <c r="K112" i="20" s="1"/>
  <c r="K113" i="20" s="1"/>
  <c r="K114" i="20" s="1"/>
  <c r="K115" i="20" s="1"/>
  <c r="K116" i="20" s="1"/>
  <c r="K117" i="20" s="1"/>
  <c r="K118" i="20" s="1"/>
  <c r="K119" i="20" s="1"/>
  <c r="K120" i="20" s="1"/>
  <c r="K121" i="20" s="1"/>
  <c r="K122" i="20" s="1"/>
  <c r="K123" i="20" s="1"/>
  <c r="K124" i="20" s="1"/>
  <c r="K125" i="20" s="1"/>
  <c r="K126" i="20" s="1"/>
  <c r="K127" i="20" s="1"/>
  <c r="K128" i="20" s="1"/>
  <c r="K129" i="20" s="1"/>
  <c r="K130" i="20" s="1"/>
  <c r="K131" i="20" s="1"/>
  <c r="K132" i="20" s="1"/>
  <c r="K133" i="20" s="1"/>
  <c r="K134" i="20" s="1"/>
  <c r="K135" i="20" s="1"/>
  <c r="K136" i="20" s="1"/>
  <c r="K137" i="20" s="1"/>
  <c r="K138" i="20" s="1"/>
  <c r="K139" i="20" s="1"/>
  <c r="K140" i="20" s="1"/>
  <c r="K141" i="20" s="1"/>
  <c r="K142" i="20" s="1"/>
  <c r="K143" i="20" s="1"/>
  <c r="K144" i="20" s="1"/>
  <c r="K145" i="20" s="1"/>
  <c r="K146" i="20" s="1"/>
  <c r="K147" i="20" s="1"/>
  <c r="K148" i="20" s="1"/>
  <c r="K149" i="20" s="1"/>
  <c r="K150" i="20" s="1"/>
  <c r="K151" i="20" s="1"/>
  <c r="K152" i="20" s="1"/>
  <c r="K153" i="20" s="1"/>
  <c r="K154" i="20" s="1"/>
  <c r="K155" i="20" s="1"/>
  <c r="K156" i="20" s="1"/>
  <c r="K157" i="20" s="1"/>
  <c r="K158" i="20" s="1"/>
  <c r="K159" i="20" s="1"/>
  <c r="K160" i="20" s="1"/>
  <c r="K161" i="20" s="1"/>
  <c r="K162" i="20" s="1"/>
  <c r="K163" i="20" s="1"/>
  <c r="K164" i="20" s="1"/>
  <c r="K165" i="20" s="1"/>
  <c r="K166" i="20" s="1"/>
  <c r="K167" i="20" s="1"/>
  <c r="K168" i="20" s="1"/>
  <c r="K169" i="20" s="1"/>
  <c r="K170" i="20" s="1"/>
  <c r="K171" i="20" s="1"/>
  <c r="K172" i="20" s="1"/>
  <c r="K173" i="20" s="1"/>
  <c r="K174" i="20" s="1"/>
  <c r="K175" i="20" s="1"/>
  <c r="K176" i="20" s="1"/>
  <c r="K177" i="20" s="1"/>
  <c r="K178" i="20" s="1"/>
  <c r="K179" i="20" s="1"/>
  <c r="K180" i="20" s="1"/>
  <c r="K181" i="20" s="1"/>
  <c r="K182" i="20" s="1"/>
  <c r="K183" i="20" s="1"/>
  <c r="K184" i="20" s="1"/>
  <c r="K185" i="20" s="1"/>
  <c r="K186" i="20" s="1"/>
  <c r="K187" i="20" s="1"/>
  <c r="K188" i="20" s="1"/>
  <c r="K189" i="20" s="1"/>
  <c r="K190" i="20" s="1"/>
  <c r="K191" i="20" s="1"/>
  <c r="K192" i="20" s="1"/>
  <c r="K193" i="20" s="1"/>
  <c r="K194" i="20" s="1"/>
  <c r="K195" i="20" s="1"/>
  <c r="K196" i="20" s="1"/>
  <c r="K197" i="20" s="1"/>
  <c r="K198" i="20" s="1"/>
  <c r="K199" i="20" s="1"/>
  <c r="K200" i="20" s="1"/>
  <c r="K201" i="20" s="1"/>
  <c r="K202" i="20" s="1"/>
  <c r="K203" i="20" s="1"/>
  <c r="K204" i="20" s="1"/>
  <c r="K205" i="20" s="1"/>
  <c r="K206" i="20" s="1"/>
  <c r="K207" i="20" s="1"/>
  <c r="K208" i="20" s="1"/>
  <c r="K209" i="20" s="1"/>
  <c r="K210" i="20" s="1"/>
  <c r="K211" i="20" s="1"/>
  <c r="K212" i="20" s="1"/>
  <c r="K213" i="20" s="1"/>
  <c r="K214" i="20" s="1"/>
  <c r="K215" i="20" s="1"/>
  <c r="K216" i="20" s="1"/>
  <c r="K217" i="20" s="1"/>
  <c r="K218" i="20" s="1"/>
  <c r="K219" i="20" s="1"/>
  <c r="K220" i="20" s="1"/>
  <c r="K221" i="20" s="1"/>
  <c r="K222" i="20" s="1"/>
  <c r="K223" i="20" s="1"/>
  <c r="K224" i="20" s="1"/>
  <c r="K225" i="20" s="1"/>
  <c r="K226" i="20" s="1"/>
  <c r="K227" i="20" s="1"/>
  <c r="K228" i="20" s="1"/>
  <c r="K229" i="20" s="1"/>
  <c r="K230" i="20" s="1"/>
  <c r="K231" i="20" s="1"/>
  <c r="K232" i="20" s="1"/>
  <c r="K233" i="20" s="1"/>
  <c r="K234" i="20" s="1"/>
  <c r="K235" i="20" s="1"/>
  <c r="K236" i="20" s="1"/>
  <c r="K237" i="20" s="1"/>
  <c r="K238" i="20" s="1"/>
  <c r="K239" i="20" s="1"/>
  <c r="K240" i="20" s="1"/>
  <c r="K241" i="20" s="1"/>
  <c r="K242" i="20" s="1"/>
  <c r="K243" i="20" s="1"/>
  <c r="K244" i="20" s="1"/>
  <c r="K245" i="20" s="1"/>
  <c r="K246" i="20" s="1"/>
  <c r="K247" i="20" s="1"/>
  <c r="K248" i="20" s="1"/>
  <c r="K249" i="20" s="1"/>
  <c r="K250" i="20" s="1"/>
  <c r="K251" i="20" s="1"/>
  <c r="K252" i="20" s="1"/>
  <c r="K253" i="20" s="1"/>
  <c r="K254" i="20" s="1"/>
  <c r="K255" i="20" s="1"/>
  <c r="K256" i="20" s="1"/>
  <c r="K257" i="20" s="1"/>
  <c r="K258" i="20" s="1"/>
  <c r="K259" i="20" s="1"/>
  <c r="K260" i="20" s="1"/>
  <c r="K261" i="20" s="1"/>
  <c r="K262" i="20" s="1"/>
  <c r="K263" i="20" s="1"/>
  <c r="K264" i="20" s="1"/>
  <c r="K265" i="20" s="1"/>
  <c r="J26" i="20"/>
  <c r="J25" i="20"/>
  <c r="A8" i="20"/>
  <c r="H75" i="19"/>
  <c r="H74" i="19"/>
  <c r="L73" i="19"/>
  <c r="F73" i="19" s="1"/>
  <c r="C73" i="19" s="1"/>
  <c r="J73" i="19"/>
  <c r="L72" i="19"/>
  <c r="F72" i="19" s="1"/>
  <c r="C72" i="19" s="1"/>
  <c r="J72" i="19"/>
  <c r="L71" i="19"/>
  <c r="F71" i="19" s="1"/>
  <c r="C71" i="19" s="1"/>
  <c r="J71" i="19"/>
  <c r="L70" i="19"/>
  <c r="F70" i="19" s="1"/>
  <c r="C70" i="19" s="1"/>
  <c r="J70" i="19"/>
  <c r="L69" i="19"/>
  <c r="F69" i="19" s="1"/>
  <c r="C69" i="19" s="1"/>
  <c r="J69" i="19"/>
  <c r="L68" i="19"/>
  <c r="F68" i="19" s="1"/>
  <c r="C68" i="19" s="1"/>
  <c r="J68" i="19"/>
  <c r="L67" i="19"/>
  <c r="J67" i="19"/>
  <c r="F67" i="19"/>
  <c r="C67" i="19" s="1"/>
  <c r="L66" i="19"/>
  <c r="F66" i="19" s="1"/>
  <c r="C66" i="19" s="1"/>
  <c r="J66" i="19"/>
  <c r="L65" i="19"/>
  <c r="F65" i="19" s="1"/>
  <c r="C65" i="19" s="1"/>
  <c r="J65" i="19"/>
  <c r="L64" i="19"/>
  <c r="F64" i="19" s="1"/>
  <c r="C64" i="19" s="1"/>
  <c r="J64" i="19"/>
  <c r="L63" i="19"/>
  <c r="F63" i="19" s="1"/>
  <c r="C63" i="19" s="1"/>
  <c r="J63" i="19"/>
  <c r="L62" i="19"/>
  <c r="F62" i="19" s="1"/>
  <c r="C62" i="19" s="1"/>
  <c r="J62" i="19"/>
  <c r="B62" i="19" s="1"/>
  <c r="E62" i="19" s="1"/>
  <c r="G62" i="19" s="1"/>
  <c r="L61" i="19"/>
  <c r="F61" i="19" s="1"/>
  <c r="C61" i="19" s="1"/>
  <c r="J61" i="19"/>
  <c r="L60" i="19"/>
  <c r="F60" i="19" s="1"/>
  <c r="C60" i="19" s="1"/>
  <c r="J60" i="19"/>
  <c r="L59" i="19"/>
  <c r="F59" i="19" s="1"/>
  <c r="C59" i="19" s="1"/>
  <c r="J59" i="19"/>
  <c r="L58" i="19"/>
  <c r="F58" i="19" s="1"/>
  <c r="C58" i="19" s="1"/>
  <c r="J58" i="19"/>
  <c r="L57" i="19"/>
  <c r="F57" i="19" s="1"/>
  <c r="C57" i="19" s="1"/>
  <c r="J57" i="19"/>
  <c r="L56" i="19"/>
  <c r="F56" i="19" s="1"/>
  <c r="C56" i="19" s="1"/>
  <c r="J56" i="19"/>
  <c r="L55" i="19"/>
  <c r="F55" i="19" s="1"/>
  <c r="C55" i="19" s="1"/>
  <c r="J55" i="19"/>
  <c r="L54" i="19"/>
  <c r="F54" i="19" s="1"/>
  <c r="C54" i="19" s="1"/>
  <c r="J54" i="19"/>
  <c r="L53" i="19"/>
  <c r="J53" i="19"/>
  <c r="F53" i="19"/>
  <c r="C53" i="19" s="1"/>
  <c r="L52" i="19"/>
  <c r="F52" i="19" s="1"/>
  <c r="C52" i="19" s="1"/>
  <c r="J52" i="19"/>
  <c r="L51" i="19"/>
  <c r="F51" i="19" s="1"/>
  <c r="C51" i="19" s="1"/>
  <c r="J51" i="19"/>
  <c r="B61" i="19" s="1"/>
  <c r="E61" i="19" s="1"/>
  <c r="G61" i="19" s="1"/>
  <c r="L50" i="19"/>
  <c r="F50" i="19" s="1"/>
  <c r="C50" i="19" s="1"/>
  <c r="J50" i="19"/>
  <c r="B50" i="19" s="1"/>
  <c r="E50" i="19" s="1"/>
  <c r="G50" i="19" s="1"/>
  <c r="L49" i="19"/>
  <c r="F49" i="19" s="1"/>
  <c r="J49" i="19"/>
  <c r="B49" i="19" s="1"/>
  <c r="E49" i="19" s="1"/>
  <c r="G49" i="19" s="1"/>
  <c r="L48" i="19"/>
  <c r="F48" i="19" s="1"/>
  <c r="J48" i="19"/>
  <c r="B48" i="19" s="1"/>
  <c r="E48" i="19" s="1"/>
  <c r="G48" i="19" s="1"/>
  <c r="L47" i="19"/>
  <c r="F47" i="19" s="1"/>
  <c r="J47" i="19"/>
  <c r="B47" i="19" s="1"/>
  <c r="E47" i="19" s="1"/>
  <c r="G47" i="19" s="1"/>
  <c r="L46" i="19"/>
  <c r="J46" i="19"/>
  <c r="B46" i="19" s="1"/>
  <c r="E46" i="19" s="1"/>
  <c r="G46" i="19" s="1"/>
  <c r="F46" i="19"/>
  <c r="L45" i="19"/>
  <c r="F45" i="19" s="1"/>
  <c r="J45" i="19"/>
  <c r="B45" i="19" s="1"/>
  <c r="E45" i="19" s="1"/>
  <c r="G45" i="19" s="1"/>
  <c r="L44" i="19"/>
  <c r="F44" i="19" s="1"/>
  <c r="J44" i="19"/>
  <c r="B44" i="19" s="1"/>
  <c r="E44" i="19" s="1"/>
  <c r="G44" i="19" s="1"/>
  <c r="L43" i="19"/>
  <c r="F43" i="19" s="1"/>
  <c r="J43" i="19"/>
  <c r="B43" i="19" s="1"/>
  <c r="E43" i="19" s="1"/>
  <c r="G43" i="19" s="1"/>
  <c r="L42" i="19"/>
  <c r="F42" i="19" s="1"/>
  <c r="J42" i="19"/>
  <c r="B42" i="19" s="1"/>
  <c r="E42" i="19" s="1"/>
  <c r="G42" i="19" s="1"/>
  <c r="L41" i="19"/>
  <c r="F41" i="19" s="1"/>
  <c r="J41" i="19"/>
  <c r="B41" i="19" s="1"/>
  <c r="E41" i="19" s="1"/>
  <c r="G41" i="19" s="1"/>
  <c r="L40" i="19"/>
  <c r="F40" i="19" s="1"/>
  <c r="J40" i="19"/>
  <c r="B40" i="19" s="1"/>
  <c r="E40" i="19" s="1"/>
  <c r="G40" i="19" s="1"/>
  <c r="L39" i="19"/>
  <c r="F39" i="19" s="1"/>
  <c r="J39" i="19"/>
  <c r="B39" i="19" s="1"/>
  <c r="E39" i="19" s="1"/>
  <c r="G39" i="19" s="1"/>
  <c r="L38" i="19"/>
  <c r="F38" i="19" s="1"/>
  <c r="J38" i="19"/>
  <c r="B38" i="19" s="1"/>
  <c r="E38" i="19" s="1"/>
  <c r="G38" i="19" s="1"/>
  <c r="L37" i="19"/>
  <c r="F37" i="19" s="1"/>
  <c r="J37" i="19"/>
  <c r="B37" i="19" s="1"/>
  <c r="E37" i="19" s="1"/>
  <c r="G37" i="19" s="1"/>
  <c r="L36" i="19"/>
  <c r="F36" i="19" s="1"/>
  <c r="J36" i="19"/>
  <c r="B36" i="19" s="1"/>
  <c r="E36" i="19" s="1"/>
  <c r="G36" i="19" s="1"/>
  <c r="L35" i="19"/>
  <c r="F35" i="19" s="1"/>
  <c r="J35" i="19"/>
  <c r="B35" i="19" s="1"/>
  <c r="E35" i="19" s="1"/>
  <c r="G35" i="19" s="1"/>
  <c r="L34" i="19"/>
  <c r="F34" i="19" s="1"/>
  <c r="J34" i="19"/>
  <c r="B34" i="19" s="1"/>
  <c r="E34" i="19" s="1"/>
  <c r="G34" i="19" s="1"/>
  <c r="L33" i="19"/>
  <c r="F33" i="19" s="1"/>
  <c r="J33" i="19"/>
  <c r="B33" i="19" s="1"/>
  <c r="E33" i="19" s="1"/>
  <c r="G33" i="19" s="1"/>
  <c r="L32" i="19"/>
  <c r="F32" i="19" s="1"/>
  <c r="J32" i="19"/>
  <c r="B32" i="19" s="1"/>
  <c r="E32" i="19" s="1"/>
  <c r="G32" i="19" s="1"/>
  <c r="L31" i="19"/>
  <c r="F31" i="19" s="1"/>
  <c r="J31" i="19"/>
  <c r="B31" i="19" s="1"/>
  <c r="E31" i="19" s="1"/>
  <c r="G31" i="19" s="1"/>
  <c r="L30" i="19"/>
  <c r="F30" i="19" s="1"/>
  <c r="J30" i="19"/>
  <c r="B30" i="19" s="1"/>
  <c r="E30" i="19" s="1"/>
  <c r="G30" i="19" s="1"/>
  <c r="L29" i="19"/>
  <c r="F29" i="19" s="1"/>
  <c r="J29" i="19"/>
  <c r="B29" i="19" s="1"/>
  <c r="E29" i="19" s="1"/>
  <c r="G29" i="19" s="1"/>
  <c r="L28" i="19"/>
  <c r="F28" i="19" s="1"/>
  <c r="J28" i="19"/>
  <c r="B28" i="19" s="1"/>
  <c r="E28" i="19" s="1"/>
  <c r="G28" i="19" s="1"/>
  <c r="L27" i="19"/>
  <c r="F27" i="19" s="1"/>
  <c r="J27" i="19"/>
  <c r="B27" i="19" s="1"/>
  <c r="E27" i="19" s="1"/>
  <c r="G27" i="19" s="1"/>
  <c r="D27" i="19"/>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D56" i="19" s="1"/>
  <c r="D57" i="19" s="1"/>
  <c r="D58" i="19" s="1"/>
  <c r="D59" i="19" s="1"/>
  <c r="D60" i="19" s="1"/>
  <c r="D61" i="19" s="1"/>
  <c r="D62" i="19" s="1"/>
  <c r="D63" i="19" s="1"/>
  <c r="D64" i="19" s="1"/>
  <c r="D65" i="19" s="1"/>
  <c r="D66" i="19" s="1"/>
  <c r="D67" i="19" s="1"/>
  <c r="D68" i="19" s="1"/>
  <c r="D69" i="19" s="1"/>
  <c r="D70" i="19" s="1"/>
  <c r="D71" i="19" s="1"/>
  <c r="D72" i="19" s="1"/>
  <c r="D73" i="19" s="1"/>
  <c r="L26" i="19"/>
  <c r="F26" i="19" s="1"/>
  <c r="K26" i="19"/>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J26" i="19"/>
  <c r="P25" i="19" s="1"/>
  <c r="A8" i="19"/>
  <c r="I75" i="18"/>
  <c r="N75" i="18" s="1"/>
  <c r="H75" i="18"/>
  <c r="H74" i="18"/>
  <c r="L73" i="18"/>
  <c r="J73" i="18"/>
  <c r="F73" i="18"/>
  <c r="C73" i="18" s="1"/>
  <c r="L72" i="18"/>
  <c r="F72" i="18" s="1"/>
  <c r="C72" i="18" s="1"/>
  <c r="J72" i="18"/>
  <c r="L71" i="18"/>
  <c r="F71" i="18" s="1"/>
  <c r="C71" i="18" s="1"/>
  <c r="J71" i="18"/>
  <c r="L70" i="18"/>
  <c r="F70" i="18" s="1"/>
  <c r="C70" i="18" s="1"/>
  <c r="J70" i="18"/>
  <c r="L69" i="18"/>
  <c r="F69" i="18" s="1"/>
  <c r="C69" i="18" s="1"/>
  <c r="J69" i="18"/>
  <c r="L68" i="18"/>
  <c r="F68" i="18" s="1"/>
  <c r="C68" i="18" s="1"/>
  <c r="J68" i="18"/>
  <c r="L67" i="18"/>
  <c r="J67" i="18"/>
  <c r="F67" i="18"/>
  <c r="C67" i="18" s="1"/>
  <c r="L66" i="18"/>
  <c r="F66" i="18" s="1"/>
  <c r="C66" i="18" s="1"/>
  <c r="J66" i="18"/>
  <c r="L65" i="18"/>
  <c r="F65" i="18" s="1"/>
  <c r="C65" i="18" s="1"/>
  <c r="J65" i="18"/>
  <c r="L64" i="18"/>
  <c r="F64" i="18" s="1"/>
  <c r="C64" i="18" s="1"/>
  <c r="J64" i="18"/>
  <c r="L63" i="18"/>
  <c r="F63" i="18" s="1"/>
  <c r="C63" i="18" s="1"/>
  <c r="J63" i="18"/>
  <c r="B73" i="18" s="1"/>
  <c r="E73" i="18" s="1"/>
  <c r="G73" i="18" s="1"/>
  <c r="L62" i="18"/>
  <c r="F62" i="18" s="1"/>
  <c r="C62" i="18" s="1"/>
  <c r="J62" i="18"/>
  <c r="B62" i="18" s="1"/>
  <c r="E62" i="18" s="1"/>
  <c r="G62" i="18" s="1"/>
  <c r="L61" i="18"/>
  <c r="J61" i="18"/>
  <c r="F61" i="18"/>
  <c r="C61" i="18" s="1"/>
  <c r="L60" i="18"/>
  <c r="F60" i="18" s="1"/>
  <c r="C60" i="18" s="1"/>
  <c r="J60" i="18"/>
  <c r="L59" i="18"/>
  <c r="F59" i="18" s="1"/>
  <c r="C59" i="18" s="1"/>
  <c r="J59" i="18"/>
  <c r="L58" i="18"/>
  <c r="F58" i="18" s="1"/>
  <c r="C58" i="18" s="1"/>
  <c r="J58" i="18"/>
  <c r="B58" i="18"/>
  <c r="E58" i="18" s="1"/>
  <c r="G58" i="18" s="1"/>
  <c r="L57" i="18"/>
  <c r="F57" i="18" s="1"/>
  <c r="C57" i="18" s="1"/>
  <c r="J57" i="18"/>
  <c r="L56" i="18"/>
  <c r="F56" i="18" s="1"/>
  <c r="C56" i="18" s="1"/>
  <c r="J56" i="18"/>
  <c r="L55" i="18"/>
  <c r="F55" i="18" s="1"/>
  <c r="C55" i="18" s="1"/>
  <c r="J55" i="18"/>
  <c r="L54" i="18"/>
  <c r="F54" i="18" s="1"/>
  <c r="C54" i="18" s="1"/>
  <c r="J54" i="18"/>
  <c r="L53" i="18"/>
  <c r="J53" i="18"/>
  <c r="F53" i="18"/>
  <c r="C53" i="18" s="1"/>
  <c r="L52" i="18"/>
  <c r="F52" i="18" s="1"/>
  <c r="C52" i="18" s="1"/>
  <c r="J52" i="18"/>
  <c r="L51" i="18"/>
  <c r="F51" i="18" s="1"/>
  <c r="C51" i="18" s="1"/>
  <c r="J51" i="18"/>
  <c r="B54" i="18" s="1"/>
  <c r="E54" i="18" s="1"/>
  <c r="G54" i="18" s="1"/>
  <c r="L50" i="18"/>
  <c r="J50" i="18"/>
  <c r="B51" i="18" s="1"/>
  <c r="E51" i="18" s="1"/>
  <c r="G51" i="18" s="1"/>
  <c r="F50" i="18"/>
  <c r="C50" i="18" s="1"/>
  <c r="L49" i="18"/>
  <c r="F49" i="18" s="1"/>
  <c r="J49" i="18"/>
  <c r="B49" i="18" s="1"/>
  <c r="E49" i="18" s="1"/>
  <c r="G49" i="18" s="1"/>
  <c r="L48" i="18"/>
  <c r="F48" i="18" s="1"/>
  <c r="J48" i="18"/>
  <c r="B48" i="18" s="1"/>
  <c r="E48" i="18" s="1"/>
  <c r="G48" i="18" s="1"/>
  <c r="L47" i="18"/>
  <c r="J47" i="18"/>
  <c r="B47" i="18" s="1"/>
  <c r="E47" i="18" s="1"/>
  <c r="G47" i="18" s="1"/>
  <c r="F47" i="18"/>
  <c r="L46" i="18"/>
  <c r="F46" i="18" s="1"/>
  <c r="J46" i="18"/>
  <c r="B46" i="18" s="1"/>
  <c r="E46" i="18" s="1"/>
  <c r="G46" i="18" s="1"/>
  <c r="L45" i="18"/>
  <c r="J45" i="18"/>
  <c r="B45" i="18" s="1"/>
  <c r="E45" i="18" s="1"/>
  <c r="G45" i="18" s="1"/>
  <c r="F45" i="18"/>
  <c r="L44" i="18"/>
  <c r="F44" i="18" s="1"/>
  <c r="J44" i="18"/>
  <c r="B44" i="18" s="1"/>
  <c r="E44" i="18" s="1"/>
  <c r="G44" i="18" s="1"/>
  <c r="L43" i="18"/>
  <c r="F43" i="18" s="1"/>
  <c r="J43" i="18"/>
  <c r="B43" i="18" s="1"/>
  <c r="E43" i="18" s="1"/>
  <c r="G43" i="18" s="1"/>
  <c r="L42" i="18"/>
  <c r="F42" i="18" s="1"/>
  <c r="J42" i="18"/>
  <c r="B42" i="18" s="1"/>
  <c r="E42" i="18" s="1"/>
  <c r="G42" i="18" s="1"/>
  <c r="L41" i="18"/>
  <c r="F41" i="18" s="1"/>
  <c r="J41" i="18"/>
  <c r="B41" i="18" s="1"/>
  <c r="E41" i="18" s="1"/>
  <c r="G41" i="18" s="1"/>
  <c r="L40" i="18"/>
  <c r="F40" i="18" s="1"/>
  <c r="J40" i="18"/>
  <c r="B40" i="18" s="1"/>
  <c r="E40" i="18" s="1"/>
  <c r="G40" i="18" s="1"/>
  <c r="L39" i="18"/>
  <c r="F39" i="18" s="1"/>
  <c r="J39" i="18"/>
  <c r="B39" i="18" s="1"/>
  <c r="E39" i="18" s="1"/>
  <c r="G39" i="18" s="1"/>
  <c r="L38" i="18"/>
  <c r="F38" i="18" s="1"/>
  <c r="J38" i="18"/>
  <c r="B38" i="18" s="1"/>
  <c r="E38" i="18" s="1"/>
  <c r="G38" i="18" s="1"/>
  <c r="L37" i="18"/>
  <c r="F37" i="18" s="1"/>
  <c r="J37" i="18"/>
  <c r="B37" i="18" s="1"/>
  <c r="E37" i="18" s="1"/>
  <c r="G37" i="18" s="1"/>
  <c r="L36" i="18"/>
  <c r="F36" i="18" s="1"/>
  <c r="J36" i="18"/>
  <c r="B36" i="18" s="1"/>
  <c r="E36" i="18" s="1"/>
  <c r="G36" i="18" s="1"/>
  <c r="L35" i="18"/>
  <c r="F35" i="18" s="1"/>
  <c r="J35" i="18"/>
  <c r="B35" i="18" s="1"/>
  <c r="E35" i="18" s="1"/>
  <c r="G35" i="18" s="1"/>
  <c r="L34" i="18"/>
  <c r="F34" i="18" s="1"/>
  <c r="J34" i="18"/>
  <c r="B34" i="18" s="1"/>
  <c r="E34" i="18" s="1"/>
  <c r="G34" i="18" s="1"/>
  <c r="L33" i="18"/>
  <c r="F33" i="18" s="1"/>
  <c r="J33" i="18"/>
  <c r="B33" i="18" s="1"/>
  <c r="E33" i="18" s="1"/>
  <c r="G33" i="18" s="1"/>
  <c r="L32" i="18"/>
  <c r="F32" i="18" s="1"/>
  <c r="J32" i="18"/>
  <c r="B32" i="18" s="1"/>
  <c r="E32" i="18" s="1"/>
  <c r="G32" i="18" s="1"/>
  <c r="L31" i="18"/>
  <c r="J31" i="18"/>
  <c r="B31" i="18" s="1"/>
  <c r="E31" i="18" s="1"/>
  <c r="G31" i="18" s="1"/>
  <c r="F31" i="18"/>
  <c r="L30" i="18"/>
  <c r="F30" i="18" s="1"/>
  <c r="J30" i="18"/>
  <c r="B30" i="18" s="1"/>
  <c r="E30" i="18" s="1"/>
  <c r="G30" i="18" s="1"/>
  <c r="L29" i="18"/>
  <c r="F29" i="18" s="1"/>
  <c r="J29" i="18"/>
  <c r="B29" i="18"/>
  <c r="E29" i="18" s="1"/>
  <c r="G29" i="18" s="1"/>
  <c r="L28" i="18"/>
  <c r="J28" i="18"/>
  <c r="B28" i="18" s="1"/>
  <c r="E28" i="18" s="1"/>
  <c r="G28" i="18" s="1"/>
  <c r="F28" i="18"/>
  <c r="L27" i="18"/>
  <c r="F27" i="18" s="1"/>
  <c r="J27" i="18"/>
  <c r="B27" i="18" s="1"/>
  <c r="E27" i="18" s="1"/>
  <c r="G27" i="18" s="1"/>
  <c r="D27" i="18"/>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D56" i="18" s="1"/>
  <c r="D57" i="18" s="1"/>
  <c r="D58" i="18" s="1"/>
  <c r="D59" i="18" s="1"/>
  <c r="D60" i="18" s="1"/>
  <c r="D61" i="18" s="1"/>
  <c r="D62" i="18" s="1"/>
  <c r="D63" i="18" s="1"/>
  <c r="D64" i="18" s="1"/>
  <c r="D65" i="18" s="1"/>
  <c r="D66" i="18" s="1"/>
  <c r="D67" i="18" s="1"/>
  <c r="D68" i="18" s="1"/>
  <c r="D69" i="18" s="1"/>
  <c r="D70" i="18" s="1"/>
  <c r="D71" i="18" s="1"/>
  <c r="D72" i="18" s="1"/>
  <c r="D73" i="18" s="1"/>
  <c r="L26" i="18"/>
  <c r="F26" i="18" s="1"/>
  <c r="K26" i="18"/>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J26" i="18"/>
  <c r="A8" i="18"/>
  <c r="G72" i="17"/>
  <c r="F72" i="17"/>
  <c r="C72" i="17"/>
  <c r="J72" i="17" s="1"/>
  <c r="B72" i="17"/>
  <c r="G71" i="17"/>
  <c r="F71" i="17"/>
  <c r="C71" i="17"/>
  <c r="J71" i="17" s="1"/>
  <c r="B71" i="17"/>
  <c r="G70" i="17"/>
  <c r="F70" i="17"/>
  <c r="C70" i="17"/>
  <c r="J70" i="17" s="1"/>
  <c r="B70" i="17"/>
  <c r="G69" i="17"/>
  <c r="F69" i="17"/>
  <c r="C69" i="17"/>
  <c r="J69" i="17" s="1"/>
  <c r="B69" i="17"/>
  <c r="G68" i="17"/>
  <c r="F68" i="17"/>
  <c r="C68" i="17"/>
  <c r="J68" i="17" s="1"/>
  <c r="B68" i="17"/>
  <c r="G67" i="17"/>
  <c r="F67" i="17"/>
  <c r="C67" i="17"/>
  <c r="J67" i="17" s="1"/>
  <c r="B67" i="17"/>
  <c r="G66" i="17"/>
  <c r="F66" i="17"/>
  <c r="C66" i="17"/>
  <c r="J66" i="17" s="1"/>
  <c r="B66" i="17"/>
  <c r="G65" i="17"/>
  <c r="F65" i="17"/>
  <c r="C65" i="17"/>
  <c r="J65" i="17" s="1"/>
  <c r="B65" i="17"/>
  <c r="G64" i="17"/>
  <c r="F64" i="17"/>
  <c r="C64" i="17"/>
  <c r="J64" i="17" s="1"/>
  <c r="B64" i="17"/>
  <c r="G63" i="17"/>
  <c r="F63" i="17"/>
  <c r="C63" i="17"/>
  <c r="J63" i="17" s="1"/>
  <c r="B63" i="17"/>
  <c r="G62" i="17"/>
  <c r="F62" i="17"/>
  <c r="C62" i="17"/>
  <c r="J62" i="17" s="1"/>
  <c r="B62" i="17"/>
  <c r="G61" i="17"/>
  <c r="F61" i="17"/>
  <c r="C61" i="17"/>
  <c r="J61" i="17" s="1"/>
  <c r="B61" i="17"/>
  <c r="G60" i="17"/>
  <c r="F60" i="17"/>
  <c r="D60" i="17" s="1"/>
  <c r="E60" i="17" s="1"/>
  <c r="C60" i="17"/>
  <c r="B60" i="17"/>
  <c r="G59" i="17"/>
  <c r="F59" i="17"/>
  <c r="C59" i="17"/>
  <c r="J59" i="17" s="1"/>
  <c r="B59" i="17"/>
  <c r="G58" i="17"/>
  <c r="F58" i="17"/>
  <c r="C58" i="17"/>
  <c r="H58" i="17" s="1"/>
  <c r="I58" i="17" s="1"/>
  <c r="B58" i="17"/>
  <c r="G57" i="17"/>
  <c r="F57" i="17"/>
  <c r="C57" i="17"/>
  <c r="B57" i="17"/>
  <c r="G56" i="17"/>
  <c r="F56" i="17"/>
  <c r="C56" i="17"/>
  <c r="B56" i="17"/>
  <c r="G55" i="17"/>
  <c r="F55" i="17"/>
  <c r="C55" i="17"/>
  <c r="B55" i="17"/>
  <c r="J54" i="17"/>
  <c r="G54" i="17"/>
  <c r="F54" i="17"/>
  <c r="C54" i="17"/>
  <c r="H54" i="17" s="1"/>
  <c r="I54" i="17" s="1"/>
  <c r="B54" i="17"/>
  <c r="H53" i="17"/>
  <c r="I53" i="17" s="1"/>
  <c r="G53" i="17"/>
  <c r="F53" i="17"/>
  <c r="C53" i="17"/>
  <c r="J53" i="17" s="1"/>
  <c r="B53" i="17"/>
  <c r="G52" i="17"/>
  <c r="F52" i="17"/>
  <c r="C52" i="17"/>
  <c r="B52" i="17"/>
  <c r="H51" i="17"/>
  <c r="I51" i="17" s="1"/>
  <c r="G51" i="17"/>
  <c r="F51" i="17"/>
  <c r="C51" i="17"/>
  <c r="J51" i="17" s="1"/>
  <c r="B51" i="17"/>
  <c r="G50" i="17"/>
  <c r="F50" i="17"/>
  <c r="C50" i="17"/>
  <c r="B50" i="17"/>
  <c r="G49" i="17"/>
  <c r="F49" i="17"/>
  <c r="C49" i="17"/>
  <c r="J49" i="17" s="1"/>
  <c r="B49" i="17"/>
  <c r="G48" i="17"/>
  <c r="F48" i="17"/>
  <c r="D48" i="17" s="1"/>
  <c r="C48" i="17"/>
  <c r="H48" i="17" s="1"/>
  <c r="I48" i="17" s="1"/>
  <c r="B48" i="17"/>
  <c r="G47" i="17"/>
  <c r="F47" i="17"/>
  <c r="C47" i="17"/>
  <c r="B47" i="17"/>
  <c r="H46" i="17"/>
  <c r="I46" i="17" s="1"/>
  <c r="G46" i="17"/>
  <c r="F46" i="17"/>
  <c r="C46" i="17"/>
  <c r="B46" i="17"/>
  <c r="G45" i="17"/>
  <c r="F45" i="17"/>
  <c r="C45" i="17"/>
  <c r="B45" i="17"/>
  <c r="G44" i="17"/>
  <c r="F44" i="17"/>
  <c r="C44" i="17"/>
  <c r="B44" i="17"/>
  <c r="G43" i="17"/>
  <c r="F43" i="17"/>
  <c r="C43" i="17"/>
  <c r="B43" i="17"/>
  <c r="G42" i="17"/>
  <c r="F42" i="17"/>
  <c r="C42" i="17"/>
  <c r="H42" i="17" s="1"/>
  <c r="I42" i="17" s="1"/>
  <c r="B42" i="17"/>
  <c r="G41" i="17"/>
  <c r="F41" i="17"/>
  <c r="C41" i="17"/>
  <c r="B41" i="17"/>
  <c r="G40" i="17"/>
  <c r="F40" i="17"/>
  <c r="C40" i="17"/>
  <c r="H40" i="17" s="1"/>
  <c r="I40" i="17" s="1"/>
  <c r="B40" i="17"/>
  <c r="G39" i="17"/>
  <c r="F39" i="17"/>
  <c r="C39" i="17"/>
  <c r="H39" i="17" s="1"/>
  <c r="I39" i="17" s="1"/>
  <c r="B39" i="17"/>
  <c r="G38" i="17"/>
  <c r="F38" i="17"/>
  <c r="C38" i="17"/>
  <c r="B38" i="17"/>
  <c r="G37" i="17"/>
  <c r="F37" i="17"/>
  <c r="C37" i="17"/>
  <c r="B37" i="17"/>
  <c r="G36" i="17"/>
  <c r="F36" i="17"/>
  <c r="C36" i="17"/>
  <c r="B36" i="17"/>
  <c r="G35" i="17"/>
  <c r="F35" i="17"/>
  <c r="C35" i="17"/>
  <c r="D35" i="17" s="1"/>
  <c r="E35" i="17" s="1"/>
  <c r="B35" i="17"/>
  <c r="G34" i="17"/>
  <c r="F34" i="17"/>
  <c r="C34" i="17"/>
  <c r="B34" i="17"/>
  <c r="G33" i="17"/>
  <c r="F33" i="17"/>
  <c r="C33" i="17"/>
  <c r="B33" i="17"/>
  <c r="G32" i="17"/>
  <c r="F32" i="17"/>
  <c r="C32" i="17"/>
  <c r="D32" i="17" s="1"/>
  <c r="B32" i="17"/>
  <c r="G31" i="17"/>
  <c r="F31" i="17"/>
  <c r="C31" i="17"/>
  <c r="B31" i="17"/>
  <c r="G30" i="17"/>
  <c r="F30" i="17"/>
  <c r="C30" i="17"/>
  <c r="B30" i="17"/>
  <c r="G29" i="17"/>
  <c r="F29" i="17"/>
  <c r="C29" i="17"/>
  <c r="B29" i="17"/>
  <c r="G28" i="17"/>
  <c r="F28" i="17"/>
  <c r="C28" i="17"/>
  <c r="B28" i="17"/>
  <c r="G27" i="17"/>
  <c r="F27" i="17"/>
  <c r="C27" i="17"/>
  <c r="B27" i="17"/>
  <c r="G26" i="17"/>
  <c r="F26" i="17"/>
  <c r="C26" i="17"/>
  <c r="B26" i="17"/>
  <c r="G25" i="17"/>
  <c r="F25" i="17"/>
  <c r="C25" i="17"/>
  <c r="B25" i="17"/>
  <c r="K24" i="17"/>
  <c r="A8" i="17"/>
  <c r="A8" i="244"/>
  <c r="J15" i="9"/>
  <c r="A170" i="10"/>
  <c r="A182" i="10" s="1"/>
  <c r="A168" i="10"/>
  <c r="A180" i="10" s="1"/>
  <c r="A166" i="10"/>
  <c r="A178" i="10" s="1"/>
  <c r="A164" i="10"/>
  <c r="A176" i="10" s="1"/>
  <c r="A146" i="10"/>
  <c r="A144" i="10"/>
  <c r="A142" i="10"/>
  <c r="A140" i="10"/>
  <c r="B31" i="269"/>
  <c r="B42" i="10" s="1"/>
  <c r="B30" i="269"/>
  <c r="B30" i="268" s="1"/>
  <c r="B60" i="10" s="1"/>
  <c r="B26" i="269"/>
  <c r="B26" i="268"/>
  <c r="B56" i="10" s="1"/>
  <c r="B25" i="269"/>
  <c r="B24" i="269"/>
  <c r="B23" i="269"/>
  <c r="B23" i="268" s="1"/>
  <c r="B53" i="10" s="1"/>
  <c r="B22" i="269"/>
  <c r="B33" i="10" s="1"/>
  <c r="B22" i="268"/>
  <c r="B22" i="267" s="1"/>
  <c r="B27" i="269"/>
  <c r="B38" i="10" s="1"/>
  <c r="B41" i="10"/>
  <c r="B37" i="10"/>
  <c r="B34" i="10"/>
  <c r="Q11" i="10"/>
  <c r="R11" i="10" s="1"/>
  <c r="D23" i="10"/>
  <c r="B22" i="10"/>
  <c r="B21" i="10"/>
  <c r="B17" i="10"/>
  <c r="B16" i="10"/>
  <c r="B15" i="10"/>
  <c r="B14" i="10"/>
  <c r="B13" i="10"/>
  <c r="B20" i="4"/>
  <c r="B11" i="10" s="1"/>
  <c r="E9" i="10"/>
  <c r="E29" i="10" s="1"/>
  <c r="E48" i="10" s="1"/>
  <c r="E73" i="10" s="1"/>
  <c r="F8" i="10"/>
  <c r="F47" i="10" s="1"/>
  <c r="F72" i="10" s="1"/>
  <c r="F97" i="10" s="1"/>
  <c r="A8" i="33"/>
  <c r="A8" i="36"/>
  <c r="A8" i="37"/>
  <c r="H56" i="221"/>
  <c r="H52" i="221"/>
  <c r="H49" i="221"/>
  <c r="H48" i="221"/>
  <c r="H47" i="221"/>
  <c r="H46" i="221"/>
  <c r="H45" i="221"/>
  <c r="H44" i="221"/>
  <c r="H43" i="221"/>
  <c r="H42" i="221"/>
  <c r="A37" i="221"/>
  <c r="H24" i="221"/>
  <c r="D19" i="221"/>
  <c r="D17" i="221"/>
  <c r="A8" i="221"/>
  <c r="C136" i="276"/>
  <c r="D134" i="276"/>
  <c r="E134" i="276" s="1"/>
  <c r="F134" i="276" s="1"/>
  <c r="G134" i="276" s="1"/>
  <c r="H134" i="276" s="1"/>
  <c r="I134" i="276" s="1"/>
  <c r="J134" i="276" s="1"/>
  <c r="K134" i="276" s="1"/>
  <c r="L134" i="276" s="1"/>
  <c r="M134" i="276" s="1"/>
  <c r="N134" i="276" s="1"/>
  <c r="D130" i="276"/>
  <c r="E130" i="276" s="1"/>
  <c r="F130" i="276" s="1"/>
  <c r="G130" i="276" s="1"/>
  <c r="H130" i="276" s="1"/>
  <c r="I130" i="276" s="1"/>
  <c r="J130" i="276" s="1"/>
  <c r="K130" i="276" s="1"/>
  <c r="L130" i="276" s="1"/>
  <c r="M130" i="276" s="1"/>
  <c r="N130" i="276" s="1"/>
  <c r="D127" i="276"/>
  <c r="E127" i="276" s="1"/>
  <c r="F127" i="276" s="1"/>
  <c r="G127" i="276" s="1"/>
  <c r="H127" i="276" s="1"/>
  <c r="I127" i="276" s="1"/>
  <c r="J127" i="276" s="1"/>
  <c r="K127" i="276" s="1"/>
  <c r="L127" i="276" s="1"/>
  <c r="M127" i="276" s="1"/>
  <c r="N127" i="276" s="1"/>
  <c r="D126" i="276"/>
  <c r="E126" i="276" s="1"/>
  <c r="F126" i="276" s="1"/>
  <c r="G126" i="276" s="1"/>
  <c r="H126" i="276" s="1"/>
  <c r="I126" i="276" s="1"/>
  <c r="J126" i="276" s="1"/>
  <c r="K126" i="276" s="1"/>
  <c r="L126" i="276" s="1"/>
  <c r="M126" i="276" s="1"/>
  <c r="N126" i="276" s="1"/>
  <c r="D124" i="276"/>
  <c r="E124" i="276" s="1"/>
  <c r="F124" i="276" s="1"/>
  <c r="G124" i="276" s="1"/>
  <c r="H124" i="276" s="1"/>
  <c r="I124" i="276" s="1"/>
  <c r="J124" i="276" s="1"/>
  <c r="K124" i="276" s="1"/>
  <c r="L124" i="276" s="1"/>
  <c r="M124" i="276" s="1"/>
  <c r="N124" i="276" s="1"/>
  <c r="D123" i="276"/>
  <c r="E123" i="276" s="1"/>
  <c r="F123" i="276" s="1"/>
  <c r="G123" i="276" s="1"/>
  <c r="H123" i="276" s="1"/>
  <c r="I123" i="276" s="1"/>
  <c r="J123" i="276" s="1"/>
  <c r="K123" i="276" s="1"/>
  <c r="L123" i="276" s="1"/>
  <c r="M123" i="276" s="1"/>
  <c r="N123" i="276" s="1"/>
  <c r="D122" i="276"/>
  <c r="E122" i="276" s="1"/>
  <c r="F122" i="276" s="1"/>
  <c r="G122" i="276" s="1"/>
  <c r="H122" i="276" s="1"/>
  <c r="I122" i="276" s="1"/>
  <c r="J122" i="276" s="1"/>
  <c r="K122" i="276" s="1"/>
  <c r="L122" i="276" s="1"/>
  <c r="M122" i="276" s="1"/>
  <c r="N122" i="276" s="1"/>
  <c r="D121" i="276"/>
  <c r="E121" i="276" s="1"/>
  <c r="F121" i="276" s="1"/>
  <c r="G121" i="276" s="1"/>
  <c r="H121" i="276" s="1"/>
  <c r="I121" i="276" s="1"/>
  <c r="J121" i="276" s="1"/>
  <c r="K121" i="276" s="1"/>
  <c r="L121" i="276" s="1"/>
  <c r="M121" i="276" s="1"/>
  <c r="N121" i="276" s="1"/>
  <c r="C116" i="276"/>
  <c r="F115" i="276"/>
  <c r="G115" i="276" s="1"/>
  <c r="H115" i="276" s="1"/>
  <c r="I115" i="276" s="1"/>
  <c r="J115" i="276" s="1"/>
  <c r="K115" i="276" s="1"/>
  <c r="L115" i="276" s="1"/>
  <c r="M115" i="276" s="1"/>
  <c r="N115" i="276" s="1"/>
  <c r="D115" i="276"/>
  <c r="E115" i="276" s="1"/>
  <c r="C115" i="276"/>
  <c r="N110" i="276"/>
  <c r="M110" i="276"/>
  <c r="L110" i="276"/>
  <c r="K110" i="276"/>
  <c r="J110" i="276"/>
  <c r="I110" i="276"/>
  <c r="H110" i="276"/>
  <c r="G110" i="276"/>
  <c r="F110" i="276"/>
  <c r="E110" i="276"/>
  <c r="D110" i="276"/>
  <c r="C110" i="276"/>
  <c r="D107" i="276"/>
  <c r="D105" i="276"/>
  <c r="C97" i="276"/>
  <c r="D95" i="276"/>
  <c r="E95" i="276" s="1"/>
  <c r="F95" i="276" s="1"/>
  <c r="G95" i="276" s="1"/>
  <c r="H95" i="276" s="1"/>
  <c r="I95" i="276" s="1"/>
  <c r="J95" i="276" s="1"/>
  <c r="K95" i="276" s="1"/>
  <c r="L95" i="276" s="1"/>
  <c r="M95" i="276" s="1"/>
  <c r="N95" i="276" s="1"/>
  <c r="C105" i="276" s="1"/>
  <c r="D91" i="276"/>
  <c r="E91" i="276" s="1"/>
  <c r="F91" i="276" s="1"/>
  <c r="G91" i="276" s="1"/>
  <c r="H91" i="276" s="1"/>
  <c r="I91" i="276" s="1"/>
  <c r="J91" i="276" s="1"/>
  <c r="K91" i="276" s="1"/>
  <c r="L91" i="276" s="1"/>
  <c r="M91" i="276" s="1"/>
  <c r="N91" i="276" s="1"/>
  <c r="C107" i="276" s="1"/>
  <c r="D88" i="276"/>
  <c r="E88" i="276" s="1"/>
  <c r="F88" i="276" s="1"/>
  <c r="G88" i="276" s="1"/>
  <c r="H88" i="276" s="1"/>
  <c r="I88" i="276" s="1"/>
  <c r="J88" i="276" s="1"/>
  <c r="K88" i="276" s="1"/>
  <c r="L88" i="276" s="1"/>
  <c r="M88" i="276" s="1"/>
  <c r="N88" i="276" s="1"/>
  <c r="D87" i="276"/>
  <c r="E87" i="276" s="1"/>
  <c r="F87" i="276" s="1"/>
  <c r="G87" i="276" s="1"/>
  <c r="H87" i="276" s="1"/>
  <c r="I87" i="276" s="1"/>
  <c r="J87" i="276" s="1"/>
  <c r="K87" i="276" s="1"/>
  <c r="L87" i="276" s="1"/>
  <c r="M87" i="276" s="1"/>
  <c r="N87" i="276" s="1"/>
  <c r="C86" i="276"/>
  <c r="E85" i="276"/>
  <c r="F85" i="276" s="1"/>
  <c r="G85" i="276" s="1"/>
  <c r="H85" i="276" s="1"/>
  <c r="I85" i="276" s="1"/>
  <c r="J85" i="276" s="1"/>
  <c r="K85" i="276" s="1"/>
  <c r="L85" i="276" s="1"/>
  <c r="M85" i="276" s="1"/>
  <c r="N85" i="276" s="1"/>
  <c r="D85" i="276"/>
  <c r="D84" i="276"/>
  <c r="E84" i="276" s="1"/>
  <c r="F84" i="276" s="1"/>
  <c r="G84" i="276" s="1"/>
  <c r="H84" i="276" s="1"/>
  <c r="I84" i="276" s="1"/>
  <c r="J84" i="276" s="1"/>
  <c r="K84" i="276" s="1"/>
  <c r="L84" i="276" s="1"/>
  <c r="M84" i="276" s="1"/>
  <c r="N84" i="276" s="1"/>
  <c r="E83" i="276"/>
  <c r="F83" i="276" s="1"/>
  <c r="G83" i="276" s="1"/>
  <c r="H83" i="276" s="1"/>
  <c r="I83" i="276" s="1"/>
  <c r="J83" i="276" s="1"/>
  <c r="K83" i="276" s="1"/>
  <c r="L83" i="276" s="1"/>
  <c r="M83" i="276" s="1"/>
  <c r="N83" i="276" s="1"/>
  <c r="D83" i="276"/>
  <c r="D82" i="276"/>
  <c r="E82" i="276" s="1"/>
  <c r="F82" i="276" s="1"/>
  <c r="G82" i="276" s="1"/>
  <c r="H82" i="276" s="1"/>
  <c r="I82" i="276" s="1"/>
  <c r="J82" i="276" s="1"/>
  <c r="K82" i="276" s="1"/>
  <c r="L82" i="276" s="1"/>
  <c r="M82" i="276" s="1"/>
  <c r="N82" i="276" s="1"/>
  <c r="C76" i="276"/>
  <c r="D76" i="276" s="1"/>
  <c r="E76" i="276" s="1"/>
  <c r="F76" i="276" s="1"/>
  <c r="G76" i="276" s="1"/>
  <c r="H76" i="276" s="1"/>
  <c r="I76" i="276" s="1"/>
  <c r="J76" i="276" s="1"/>
  <c r="K76" i="276" s="1"/>
  <c r="L76" i="276" s="1"/>
  <c r="M76" i="276" s="1"/>
  <c r="N76" i="276" s="1"/>
  <c r="D68" i="276"/>
  <c r="D66" i="276"/>
  <c r="D56" i="276"/>
  <c r="D52" i="276"/>
  <c r="E52" i="276" s="1"/>
  <c r="F19" i="276" s="1"/>
  <c r="A49" i="276"/>
  <c r="A48" i="276"/>
  <c r="A47" i="276"/>
  <c r="A46" i="276"/>
  <c r="A45" i="276"/>
  <c r="A44" i="276"/>
  <c r="A41" i="276"/>
  <c r="A39" i="276"/>
  <c r="A38" i="276"/>
  <c r="A36" i="276"/>
  <c r="A34" i="276"/>
  <c r="F27" i="276"/>
  <c r="G27" i="276" s="1"/>
  <c r="H27" i="276" s="1"/>
  <c r="I27" i="276" s="1"/>
  <c r="J27" i="276" s="1"/>
  <c r="K27" i="276" s="1"/>
  <c r="L27" i="276" s="1"/>
  <c r="M27" i="276" s="1"/>
  <c r="N27" i="276" s="1"/>
  <c r="C27" i="276"/>
  <c r="D27" i="276" s="1"/>
  <c r="E27" i="276" s="1"/>
  <c r="D24" i="276"/>
  <c r="E24" i="276" s="1"/>
  <c r="D21" i="276"/>
  <c r="D19" i="276"/>
  <c r="D17" i="276"/>
  <c r="A9" i="276"/>
  <c r="C136" i="220"/>
  <c r="D134" i="220"/>
  <c r="E134" i="220" s="1"/>
  <c r="F134" i="220" s="1"/>
  <c r="G134" i="220" s="1"/>
  <c r="H134" i="220" s="1"/>
  <c r="I134" i="220" s="1"/>
  <c r="J134" i="220" s="1"/>
  <c r="K134" i="220" s="1"/>
  <c r="L134" i="220" s="1"/>
  <c r="M134" i="220" s="1"/>
  <c r="N134" i="220" s="1"/>
  <c r="D130" i="220"/>
  <c r="E130" i="220" s="1"/>
  <c r="F130" i="220" s="1"/>
  <c r="G130" i="220" s="1"/>
  <c r="H130" i="220" s="1"/>
  <c r="I130" i="220" s="1"/>
  <c r="J130" i="220" s="1"/>
  <c r="K130" i="220" s="1"/>
  <c r="L130" i="220" s="1"/>
  <c r="M130" i="220" s="1"/>
  <c r="N130" i="220" s="1"/>
  <c r="D127" i="220"/>
  <c r="E127" i="220" s="1"/>
  <c r="F127" i="220" s="1"/>
  <c r="G127" i="220" s="1"/>
  <c r="H127" i="220" s="1"/>
  <c r="I127" i="220" s="1"/>
  <c r="J127" i="220" s="1"/>
  <c r="K127" i="220" s="1"/>
  <c r="L127" i="220" s="1"/>
  <c r="M127" i="220" s="1"/>
  <c r="N127" i="220" s="1"/>
  <c r="D126" i="220"/>
  <c r="E126" i="220" s="1"/>
  <c r="F126" i="220" s="1"/>
  <c r="G126" i="220" s="1"/>
  <c r="H126" i="220" s="1"/>
  <c r="I126" i="220" s="1"/>
  <c r="J126" i="220" s="1"/>
  <c r="K126" i="220" s="1"/>
  <c r="L126" i="220" s="1"/>
  <c r="M126" i="220" s="1"/>
  <c r="N126" i="220" s="1"/>
  <c r="D124" i="220"/>
  <c r="E124" i="220" s="1"/>
  <c r="F124" i="220" s="1"/>
  <c r="G124" i="220" s="1"/>
  <c r="H124" i="220" s="1"/>
  <c r="I124" i="220" s="1"/>
  <c r="J124" i="220" s="1"/>
  <c r="K124" i="220" s="1"/>
  <c r="L124" i="220" s="1"/>
  <c r="M124" i="220" s="1"/>
  <c r="N124" i="220" s="1"/>
  <c r="E123" i="220"/>
  <c r="F123" i="220" s="1"/>
  <c r="G123" i="220" s="1"/>
  <c r="H123" i="220" s="1"/>
  <c r="I123" i="220" s="1"/>
  <c r="J123" i="220" s="1"/>
  <c r="K123" i="220" s="1"/>
  <c r="L123" i="220" s="1"/>
  <c r="M123" i="220" s="1"/>
  <c r="N123" i="220" s="1"/>
  <c r="D123" i="220"/>
  <c r="D122" i="220"/>
  <c r="E122" i="220" s="1"/>
  <c r="F122" i="220" s="1"/>
  <c r="G122" i="220" s="1"/>
  <c r="H122" i="220" s="1"/>
  <c r="I122" i="220" s="1"/>
  <c r="J122" i="220" s="1"/>
  <c r="K122" i="220" s="1"/>
  <c r="L122" i="220" s="1"/>
  <c r="M122" i="220" s="1"/>
  <c r="N122" i="220" s="1"/>
  <c r="D121" i="220"/>
  <c r="E121" i="220" s="1"/>
  <c r="F121" i="220" s="1"/>
  <c r="G121" i="220" s="1"/>
  <c r="H121" i="220" s="1"/>
  <c r="I121" i="220" s="1"/>
  <c r="J121" i="220" s="1"/>
  <c r="K121" i="220" s="1"/>
  <c r="L121" i="220" s="1"/>
  <c r="M121" i="220" s="1"/>
  <c r="N121" i="220" s="1"/>
  <c r="C116" i="220"/>
  <c r="D117" i="220" s="1"/>
  <c r="C115" i="220"/>
  <c r="D115" i="220" s="1"/>
  <c r="E115" i="220" s="1"/>
  <c r="F115" i="220" s="1"/>
  <c r="G115" i="220" s="1"/>
  <c r="H115" i="220" s="1"/>
  <c r="I115" i="220" s="1"/>
  <c r="J115" i="220" s="1"/>
  <c r="K115" i="220" s="1"/>
  <c r="L115" i="220" s="1"/>
  <c r="M115" i="220" s="1"/>
  <c r="N115" i="220" s="1"/>
  <c r="N110" i="220"/>
  <c r="M110" i="220"/>
  <c r="L110" i="220"/>
  <c r="K110" i="220"/>
  <c r="J110" i="220"/>
  <c r="I110" i="220"/>
  <c r="H110" i="220"/>
  <c r="G110" i="220"/>
  <c r="F110" i="220"/>
  <c r="E110" i="220"/>
  <c r="D110" i="220"/>
  <c r="C110" i="220"/>
  <c r="D107" i="220"/>
  <c r="D105" i="220"/>
  <c r="C97" i="220"/>
  <c r="D95" i="220"/>
  <c r="E95" i="220" s="1"/>
  <c r="F95" i="220" s="1"/>
  <c r="G95" i="220" s="1"/>
  <c r="H95" i="220" s="1"/>
  <c r="I95" i="220" s="1"/>
  <c r="J95" i="220" s="1"/>
  <c r="K95" i="220" s="1"/>
  <c r="L95" i="220" s="1"/>
  <c r="M95" i="220" s="1"/>
  <c r="N95" i="220" s="1"/>
  <c r="C105" i="220" s="1"/>
  <c r="D91" i="220"/>
  <c r="E91" i="220" s="1"/>
  <c r="F91" i="220" s="1"/>
  <c r="G91" i="220" s="1"/>
  <c r="H91" i="220" s="1"/>
  <c r="I91" i="220" s="1"/>
  <c r="J91" i="220" s="1"/>
  <c r="K91" i="220" s="1"/>
  <c r="L91" i="220" s="1"/>
  <c r="M91" i="220" s="1"/>
  <c r="N91" i="220" s="1"/>
  <c r="C107" i="220" s="1"/>
  <c r="D88" i="220"/>
  <c r="E88" i="220" s="1"/>
  <c r="F88" i="220" s="1"/>
  <c r="G88" i="220" s="1"/>
  <c r="H88" i="220" s="1"/>
  <c r="I88" i="220" s="1"/>
  <c r="J88" i="220" s="1"/>
  <c r="K88" i="220" s="1"/>
  <c r="L88" i="220" s="1"/>
  <c r="M88" i="220" s="1"/>
  <c r="N88" i="220" s="1"/>
  <c r="D87" i="220"/>
  <c r="E87" i="220" s="1"/>
  <c r="F87" i="220" s="1"/>
  <c r="G87" i="220" s="1"/>
  <c r="H87" i="220" s="1"/>
  <c r="I87" i="220" s="1"/>
  <c r="J87" i="220" s="1"/>
  <c r="K87" i="220" s="1"/>
  <c r="L87" i="220" s="1"/>
  <c r="M87" i="220" s="1"/>
  <c r="N87" i="220" s="1"/>
  <c r="D86" i="220"/>
  <c r="C86" i="220"/>
  <c r="C89" i="220" s="1"/>
  <c r="E85" i="220"/>
  <c r="F85" i="220" s="1"/>
  <c r="G85" i="220" s="1"/>
  <c r="H85" i="220" s="1"/>
  <c r="I85" i="220" s="1"/>
  <c r="J85" i="220" s="1"/>
  <c r="K85" i="220" s="1"/>
  <c r="L85" i="220" s="1"/>
  <c r="M85" i="220" s="1"/>
  <c r="N85" i="220" s="1"/>
  <c r="D85" i="220"/>
  <c r="D84" i="220"/>
  <c r="E84" i="220" s="1"/>
  <c r="F84" i="220" s="1"/>
  <c r="G84" i="220" s="1"/>
  <c r="H84" i="220" s="1"/>
  <c r="I84" i="220" s="1"/>
  <c r="J84" i="220" s="1"/>
  <c r="K84" i="220" s="1"/>
  <c r="L84" i="220" s="1"/>
  <c r="M84" i="220" s="1"/>
  <c r="N84" i="220" s="1"/>
  <c r="D83" i="220"/>
  <c r="E83" i="220" s="1"/>
  <c r="F83" i="220" s="1"/>
  <c r="G83" i="220" s="1"/>
  <c r="H83" i="220" s="1"/>
  <c r="I83" i="220" s="1"/>
  <c r="J83" i="220" s="1"/>
  <c r="K83" i="220" s="1"/>
  <c r="L83" i="220" s="1"/>
  <c r="M83" i="220" s="1"/>
  <c r="N83" i="220" s="1"/>
  <c r="D82" i="220"/>
  <c r="E82" i="220" s="1"/>
  <c r="F82" i="220" s="1"/>
  <c r="G82" i="220" s="1"/>
  <c r="H82" i="220" s="1"/>
  <c r="I82" i="220" s="1"/>
  <c r="J82" i="220" s="1"/>
  <c r="K82" i="220" s="1"/>
  <c r="L82" i="220" s="1"/>
  <c r="M82" i="220" s="1"/>
  <c r="N82" i="220" s="1"/>
  <c r="C76" i="220"/>
  <c r="D76" i="220" s="1"/>
  <c r="E76" i="220" s="1"/>
  <c r="F76" i="220" s="1"/>
  <c r="G76" i="220" s="1"/>
  <c r="H76" i="220" s="1"/>
  <c r="I76" i="220" s="1"/>
  <c r="J76" i="220" s="1"/>
  <c r="K76" i="220" s="1"/>
  <c r="L76" i="220" s="1"/>
  <c r="M76" i="220" s="1"/>
  <c r="N76" i="220" s="1"/>
  <c r="D68" i="220"/>
  <c r="D66" i="220"/>
  <c r="D56" i="220"/>
  <c r="D52" i="220"/>
  <c r="A49" i="220"/>
  <c r="A48" i="220"/>
  <c r="A47" i="220"/>
  <c r="A46" i="220"/>
  <c r="A45" i="220"/>
  <c r="A44" i="220"/>
  <c r="A41" i="220"/>
  <c r="A39" i="220"/>
  <c r="A38" i="220"/>
  <c r="A36" i="220"/>
  <c r="A34" i="220"/>
  <c r="C27" i="220"/>
  <c r="D27" i="220" s="1"/>
  <c r="E27" i="220" s="1"/>
  <c r="F27" i="220" s="1"/>
  <c r="G27" i="220" s="1"/>
  <c r="H27" i="220" s="1"/>
  <c r="I27" i="220" s="1"/>
  <c r="J27" i="220" s="1"/>
  <c r="K27" i="220" s="1"/>
  <c r="L27" i="220" s="1"/>
  <c r="M27" i="220" s="1"/>
  <c r="N27" i="220" s="1"/>
  <c r="D24" i="220"/>
  <c r="E24" i="220" s="1"/>
  <c r="F24" i="220" s="1"/>
  <c r="D21" i="220"/>
  <c r="D19" i="220"/>
  <c r="D17" i="220"/>
  <c r="A9" i="220"/>
  <c r="C136" i="16"/>
  <c r="D134" i="16"/>
  <c r="E134" i="16" s="1"/>
  <c r="F134" i="16" s="1"/>
  <c r="G134" i="16" s="1"/>
  <c r="H134" i="16" s="1"/>
  <c r="I134" i="16" s="1"/>
  <c r="J134" i="16" s="1"/>
  <c r="K134" i="16" s="1"/>
  <c r="L134" i="16" s="1"/>
  <c r="M134" i="16" s="1"/>
  <c r="N134" i="16" s="1"/>
  <c r="D130" i="16"/>
  <c r="E130" i="16" s="1"/>
  <c r="F130" i="16" s="1"/>
  <c r="G130" i="16" s="1"/>
  <c r="H130" i="16" s="1"/>
  <c r="I130" i="16" s="1"/>
  <c r="J130" i="16" s="1"/>
  <c r="K130" i="16" s="1"/>
  <c r="L130" i="16" s="1"/>
  <c r="M130" i="16" s="1"/>
  <c r="N130" i="16" s="1"/>
  <c r="D127" i="16"/>
  <c r="E127" i="16" s="1"/>
  <c r="F127" i="16" s="1"/>
  <c r="G127" i="16" s="1"/>
  <c r="H127" i="16" s="1"/>
  <c r="I127" i="16" s="1"/>
  <c r="J127" i="16" s="1"/>
  <c r="K127" i="16" s="1"/>
  <c r="L127" i="16" s="1"/>
  <c r="M127" i="16" s="1"/>
  <c r="N127" i="16" s="1"/>
  <c r="D126" i="16"/>
  <c r="E126" i="16" s="1"/>
  <c r="F126" i="16" s="1"/>
  <c r="G126" i="16" s="1"/>
  <c r="H126" i="16" s="1"/>
  <c r="I126" i="16" s="1"/>
  <c r="J126" i="16" s="1"/>
  <c r="K126" i="16" s="1"/>
  <c r="L126" i="16" s="1"/>
  <c r="M126" i="16" s="1"/>
  <c r="N126" i="16" s="1"/>
  <c r="E124" i="16"/>
  <c r="F124" i="16" s="1"/>
  <c r="G124" i="16" s="1"/>
  <c r="H124" i="16" s="1"/>
  <c r="I124" i="16" s="1"/>
  <c r="J124" i="16" s="1"/>
  <c r="K124" i="16" s="1"/>
  <c r="L124" i="16" s="1"/>
  <c r="M124" i="16" s="1"/>
  <c r="N124" i="16" s="1"/>
  <c r="D124" i="16"/>
  <c r="D123" i="16"/>
  <c r="E123" i="16" s="1"/>
  <c r="F123" i="16" s="1"/>
  <c r="G123" i="16" s="1"/>
  <c r="H123" i="16" s="1"/>
  <c r="I123" i="16" s="1"/>
  <c r="J123" i="16" s="1"/>
  <c r="K123" i="16" s="1"/>
  <c r="L123" i="16" s="1"/>
  <c r="M123" i="16" s="1"/>
  <c r="N123" i="16" s="1"/>
  <c r="L122" i="16"/>
  <c r="M122" i="16" s="1"/>
  <c r="N122" i="16" s="1"/>
  <c r="D122" i="16"/>
  <c r="E122" i="16" s="1"/>
  <c r="F122" i="16" s="1"/>
  <c r="G122" i="16" s="1"/>
  <c r="H122" i="16" s="1"/>
  <c r="I122" i="16" s="1"/>
  <c r="J122" i="16" s="1"/>
  <c r="K122" i="16" s="1"/>
  <c r="D121" i="16"/>
  <c r="E121" i="16" s="1"/>
  <c r="F121" i="16" s="1"/>
  <c r="G121" i="16" s="1"/>
  <c r="H121" i="16" s="1"/>
  <c r="I121" i="16" s="1"/>
  <c r="J121" i="16" s="1"/>
  <c r="K121" i="16" s="1"/>
  <c r="L121" i="16" s="1"/>
  <c r="M121" i="16" s="1"/>
  <c r="N121" i="16" s="1"/>
  <c r="C116" i="16"/>
  <c r="D117" i="16" s="1"/>
  <c r="C115" i="16"/>
  <c r="D115" i="16" s="1"/>
  <c r="E115" i="16" s="1"/>
  <c r="F115" i="16" s="1"/>
  <c r="G115" i="16" s="1"/>
  <c r="H115" i="16" s="1"/>
  <c r="I115" i="16" s="1"/>
  <c r="J115" i="16" s="1"/>
  <c r="K115" i="16" s="1"/>
  <c r="L115" i="16" s="1"/>
  <c r="M115" i="16" s="1"/>
  <c r="N115" i="16" s="1"/>
  <c r="N110" i="16"/>
  <c r="M110" i="16"/>
  <c r="L110" i="16"/>
  <c r="K110" i="16"/>
  <c r="J110" i="16"/>
  <c r="I110" i="16"/>
  <c r="H110" i="16"/>
  <c r="G110" i="16"/>
  <c r="F110" i="16"/>
  <c r="E110" i="16"/>
  <c r="D110" i="16"/>
  <c r="C110" i="16"/>
  <c r="D107" i="16"/>
  <c r="D105" i="16"/>
  <c r="C97" i="16"/>
  <c r="D95" i="16"/>
  <c r="E95" i="16" s="1"/>
  <c r="F95" i="16" s="1"/>
  <c r="G95" i="16" s="1"/>
  <c r="H95" i="16" s="1"/>
  <c r="I95" i="16" s="1"/>
  <c r="J95" i="16" s="1"/>
  <c r="K95" i="16" s="1"/>
  <c r="L95" i="16" s="1"/>
  <c r="M95" i="16" s="1"/>
  <c r="N95" i="16" s="1"/>
  <c r="C105" i="16" s="1"/>
  <c r="E91" i="16"/>
  <c r="F91" i="16" s="1"/>
  <c r="G91" i="16" s="1"/>
  <c r="H91" i="16" s="1"/>
  <c r="I91" i="16" s="1"/>
  <c r="J91" i="16" s="1"/>
  <c r="K91" i="16" s="1"/>
  <c r="L91" i="16" s="1"/>
  <c r="M91" i="16" s="1"/>
  <c r="N91" i="16" s="1"/>
  <c r="C107" i="16" s="1"/>
  <c r="D91" i="16"/>
  <c r="D88" i="16"/>
  <c r="E88" i="16" s="1"/>
  <c r="F88" i="16" s="1"/>
  <c r="G88" i="16" s="1"/>
  <c r="H88" i="16" s="1"/>
  <c r="I88" i="16" s="1"/>
  <c r="J88" i="16" s="1"/>
  <c r="K88" i="16" s="1"/>
  <c r="L88" i="16" s="1"/>
  <c r="M88" i="16" s="1"/>
  <c r="N88" i="16" s="1"/>
  <c r="D87" i="16"/>
  <c r="E87" i="16" s="1"/>
  <c r="F87" i="16" s="1"/>
  <c r="G87" i="16" s="1"/>
  <c r="H87" i="16" s="1"/>
  <c r="I87" i="16" s="1"/>
  <c r="J87" i="16" s="1"/>
  <c r="K87" i="16" s="1"/>
  <c r="L87" i="16" s="1"/>
  <c r="M87" i="16" s="1"/>
  <c r="N87" i="16" s="1"/>
  <c r="C86" i="16"/>
  <c r="D85" i="16"/>
  <c r="E85" i="16" s="1"/>
  <c r="F85" i="16" s="1"/>
  <c r="G85" i="16" s="1"/>
  <c r="H85" i="16" s="1"/>
  <c r="I85" i="16" s="1"/>
  <c r="J85" i="16" s="1"/>
  <c r="K85" i="16" s="1"/>
  <c r="L85" i="16" s="1"/>
  <c r="M85" i="16" s="1"/>
  <c r="N85" i="16" s="1"/>
  <c r="D84" i="16"/>
  <c r="E84" i="16" s="1"/>
  <c r="F84" i="16" s="1"/>
  <c r="G84" i="16" s="1"/>
  <c r="H84" i="16" s="1"/>
  <c r="I84" i="16" s="1"/>
  <c r="J84" i="16" s="1"/>
  <c r="K84" i="16" s="1"/>
  <c r="L84" i="16" s="1"/>
  <c r="M84" i="16" s="1"/>
  <c r="N84" i="16" s="1"/>
  <c r="D83" i="16"/>
  <c r="E83" i="16" s="1"/>
  <c r="F83" i="16" s="1"/>
  <c r="G83" i="16" s="1"/>
  <c r="H83" i="16" s="1"/>
  <c r="I83" i="16" s="1"/>
  <c r="J83" i="16" s="1"/>
  <c r="K83" i="16" s="1"/>
  <c r="L83" i="16" s="1"/>
  <c r="M83" i="16" s="1"/>
  <c r="N83" i="16" s="1"/>
  <c r="D82" i="16"/>
  <c r="E82" i="16" s="1"/>
  <c r="F82" i="16" s="1"/>
  <c r="G82" i="16" s="1"/>
  <c r="H82" i="16" s="1"/>
  <c r="I82" i="16" s="1"/>
  <c r="J82" i="16" s="1"/>
  <c r="K82" i="16" s="1"/>
  <c r="L82" i="16" s="1"/>
  <c r="M82" i="16" s="1"/>
  <c r="N82" i="16" s="1"/>
  <c r="K76" i="16"/>
  <c r="L76" i="16" s="1"/>
  <c r="M76" i="16" s="1"/>
  <c r="N76" i="16" s="1"/>
  <c r="C76" i="16"/>
  <c r="D76" i="16" s="1"/>
  <c r="E76" i="16" s="1"/>
  <c r="F76" i="16" s="1"/>
  <c r="G76" i="16" s="1"/>
  <c r="H76" i="16" s="1"/>
  <c r="I76" i="16" s="1"/>
  <c r="J76" i="16" s="1"/>
  <c r="D68" i="16"/>
  <c r="D66" i="16"/>
  <c r="D56" i="16"/>
  <c r="D52" i="16"/>
  <c r="E52" i="16" s="1"/>
  <c r="F52" i="16" s="1"/>
  <c r="C49" i="16"/>
  <c r="A49" i="16"/>
  <c r="A49" i="221" s="1"/>
  <c r="C48" i="16"/>
  <c r="A48" i="16"/>
  <c r="A48" i="221" s="1"/>
  <c r="C47" i="16"/>
  <c r="A47" i="16"/>
  <c r="A47" i="221" s="1"/>
  <c r="C46" i="16"/>
  <c r="A46" i="16"/>
  <c r="A46" i="221" s="1"/>
  <c r="C45" i="16"/>
  <c r="A45" i="16"/>
  <c r="A45" i="221" s="1"/>
  <c r="C44" i="16"/>
  <c r="A44" i="16"/>
  <c r="A44" i="221" s="1"/>
  <c r="C43" i="16"/>
  <c r="C42" i="16"/>
  <c r="C41" i="16"/>
  <c r="A41" i="16"/>
  <c r="A41" i="221" s="1"/>
  <c r="C40" i="16"/>
  <c r="C39" i="16"/>
  <c r="A39" i="16"/>
  <c r="A39" i="221" s="1"/>
  <c r="C38" i="16"/>
  <c r="A38" i="16"/>
  <c r="A38" i="221" s="1"/>
  <c r="C36" i="16"/>
  <c r="A36" i="16"/>
  <c r="A36" i="221" s="1"/>
  <c r="C35" i="16"/>
  <c r="C34" i="16"/>
  <c r="A34" i="16"/>
  <c r="A34" i="221" s="1"/>
  <c r="C33" i="16"/>
  <c r="C27" i="16"/>
  <c r="D27" i="16" s="1"/>
  <c r="E27" i="16" s="1"/>
  <c r="F27" i="16" s="1"/>
  <c r="G27" i="16" s="1"/>
  <c r="H27" i="16" s="1"/>
  <c r="I27" i="16" s="1"/>
  <c r="J27" i="16" s="1"/>
  <c r="K27" i="16" s="1"/>
  <c r="L27" i="16" s="1"/>
  <c r="M27" i="16" s="1"/>
  <c r="N27" i="16" s="1"/>
  <c r="D24" i="16"/>
  <c r="E24" i="16" s="1"/>
  <c r="F24" i="16" s="1"/>
  <c r="D21" i="16"/>
  <c r="F19" i="16"/>
  <c r="D19" i="16"/>
  <c r="D17" i="16"/>
  <c r="A9" i="16"/>
  <c r="G97" i="31"/>
  <c r="F97" i="31"/>
  <c r="G96" i="31"/>
  <c r="F96" i="31"/>
  <c r="G95" i="31"/>
  <c r="F95" i="31"/>
  <c r="G94" i="31"/>
  <c r="F94" i="31"/>
  <c r="G93" i="31"/>
  <c r="F93" i="31"/>
  <c r="G92" i="31"/>
  <c r="F92" i="31"/>
  <c r="G91" i="31"/>
  <c r="F91" i="31"/>
  <c r="F18" i="31"/>
  <c r="F90" i="31" s="1"/>
  <c r="G89" i="31"/>
  <c r="F89" i="31"/>
  <c r="G88" i="31"/>
  <c r="F88" i="31"/>
  <c r="G87" i="31"/>
  <c r="F87" i="31"/>
  <c r="G79" i="31"/>
  <c r="F79" i="31"/>
  <c r="G78" i="31"/>
  <c r="F78" i="31"/>
  <c r="G77" i="31"/>
  <c r="F77" i="31"/>
  <c r="G76" i="31"/>
  <c r="F76" i="31"/>
  <c r="G75" i="31"/>
  <c r="F75" i="31"/>
  <c r="G74" i="31"/>
  <c r="F74" i="31"/>
  <c r="G73" i="31"/>
  <c r="F73" i="31"/>
  <c r="G71" i="31"/>
  <c r="F71" i="31"/>
  <c r="G70" i="31"/>
  <c r="F70" i="31"/>
  <c r="G69" i="31"/>
  <c r="F69" i="31"/>
  <c r="F61" i="31"/>
  <c r="F59" i="31"/>
  <c r="I58" i="31"/>
  <c r="I76" i="31" s="1"/>
  <c r="I94" i="31" s="1"/>
  <c r="F58" i="31"/>
  <c r="I57" i="31"/>
  <c r="I75" i="31" s="1"/>
  <c r="I93" i="31" s="1"/>
  <c r="F57" i="31"/>
  <c r="F56" i="31"/>
  <c r="F55" i="31"/>
  <c r="F53" i="31"/>
  <c r="F52" i="31"/>
  <c r="F51" i="31"/>
  <c r="I43" i="31"/>
  <c r="I61" i="31" s="1"/>
  <c r="I79" i="31" s="1"/>
  <c r="I97" i="31" s="1"/>
  <c r="F43" i="31"/>
  <c r="I42" i="31"/>
  <c r="I60" i="31" s="1"/>
  <c r="I78" i="31" s="1"/>
  <c r="I96" i="31" s="1"/>
  <c r="F42" i="31"/>
  <c r="F60" i="31" s="1"/>
  <c r="I41" i="31"/>
  <c r="I59" i="31" s="1"/>
  <c r="I77" i="31" s="1"/>
  <c r="I95" i="31" s="1"/>
  <c r="F41" i="31"/>
  <c r="I40" i="31"/>
  <c r="F40" i="31"/>
  <c r="I39" i="31"/>
  <c r="F39" i="31"/>
  <c r="I38" i="31"/>
  <c r="I56" i="31" s="1"/>
  <c r="I74" i="31" s="1"/>
  <c r="I92" i="31" s="1"/>
  <c r="F38" i="31"/>
  <c r="I37" i="31"/>
  <c r="I55" i="31" s="1"/>
  <c r="I73" i="31" s="1"/>
  <c r="I91" i="31" s="1"/>
  <c r="F37" i="31"/>
  <c r="I36" i="31"/>
  <c r="I54" i="31" s="1"/>
  <c r="I72" i="31" s="1"/>
  <c r="I90" i="31" s="1"/>
  <c r="I35" i="31"/>
  <c r="I53" i="31" s="1"/>
  <c r="I71" i="31" s="1"/>
  <c r="I89" i="31" s="1"/>
  <c r="F35" i="31"/>
  <c r="I34" i="31"/>
  <c r="I52" i="31" s="1"/>
  <c r="I70" i="31" s="1"/>
  <c r="I88" i="31" s="1"/>
  <c r="F34" i="31"/>
  <c r="I33" i="31"/>
  <c r="I51" i="31" s="1"/>
  <c r="I69" i="31" s="1"/>
  <c r="I87" i="31" s="1"/>
  <c r="F33" i="31"/>
  <c r="D46" i="31"/>
  <c r="D64" i="31" s="1"/>
  <c r="D82" i="31" s="1"/>
  <c r="D100" i="31" s="1"/>
  <c r="E25" i="31"/>
  <c r="E24" i="31"/>
  <c r="E23" i="31"/>
  <c r="E22" i="31"/>
  <c r="E21" i="31"/>
  <c r="E20" i="31"/>
  <c r="E19" i="31"/>
  <c r="E18" i="31"/>
  <c r="E17" i="31"/>
  <c r="E16" i="31"/>
  <c r="E15" i="31"/>
  <c r="A8" i="31"/>
  <c r="A63" i="32"/>
  <c r="A8" i="32"/>
  <c r="A84" i="7"/>
  <c r="A75" i="7"/>
  <c r="H63" i="7"/>
  <c r="H64" i="7"/>
  <c r="I64" i="7" s="1"/>
  <c r="H65" i="7"/>
  <c r="I65" i="7"/>
  <c r="H69" i="7"/>
  <c r="I69" i="7" s="1"/>
  <c r="H62" i="7"/>
  <c r="H66" i="7"/>
  <c r="H67" i="7"/>
  <c r="H68" i="7"/>
  <c r="B69" i="7"/>
  <c r="B67" i="7"/>
  <c r="B66" i="7"/>
  <c r="B65" i="7"/>
  <c r="B64" i="7"/>
  <c r="B63" i="7"/>
  <c r="B62" i="7"/>
  <c r="D58" i="7"/>
  <c r="B58" i="7"/>
  <c r="I56" i="7"/>
  <c r="A8" i="7"/>
  <c r="A42" i="8"/>
  <c r="A9" i="8"/>
  <c r="D73" i="3"/>
  <c r="D68" i="232" s="1"/>
  <c r="B73" i="3"/>
  <c r="D71" i="3"/>
  <c r="B71" i="3"/>
  <c r="B70" i="3"/>
  <c r="D70" i="3" s="1"/>
  <c r="D65" i="232" s="1"/>
  <c r="B69" i="3"/>
  <c r="D69" i="3" s="1"/>
  <c r="D64" i="232" s="1"/>
  <c r="B68" i="3"/>
  <c r="N46" i="3"/>
  <c r="L46" i="3"/>
  <c r="D44" i="3"/>
  <c r="D43" i="232" s="1"/>
  <c r="A8" i="3"/>
  <c r="A100" i="2"/>
  <c r="A98" i="2"/>
  <c r="A95" i="2"/>
  <c r="A89" i="2"/>
  <c r="A18" i="215"/>
  <c r="B85" i="2" s="1"/>
  <c r="A26" i="215"/>
  <c r="A53" i="2"/>
  <c r="A45" i="2"/>
  <c r="A28" i="2"/>
  <c r="A8" i="2"/>
  <c r="A62" i="253"/>
  <c r="A54" i="253"/>
  <c r="A42" i="253"/>
  <c r="A37" i="253"/>
  <c r="A28" i="253"/>
  <c r="A27" i="253"/>
  <c r="A23" i="253"/>
  <c r="O22" i="253"/>
  <c r="A22" i="253"/>
  <c r="A21" i="253"/>
  <c r="A20" i="253"/>
  <c r="A19" i="253"/>
  <c r="A18" i="253"/>
  <c r="A8" i="253"/>
  <c r="A62" i="252"/>
  <c r="A54" i="252"/>
  <c r="A37" i="252"/>
  <c r="A28" i="252"/>
  <c r="A27" i="252"/>
  <c r="A23" i="252"/>
  <c r="A22" i="252"/>
  <c r="A21" i="252"/>
  <c r="A20" i="252"/>
  <c r="A19" i="252"/>
  <c r="A18" i="252"/>
  <c r="A8" i="252"/>
  <c r="A75" i="249"/>
  <c r="A62" i="249"/>
  <c r="A54" i="249"/>
  <c r="A37" i="249"/>
  <c r="A28" i="249"/>
  <c r="A27" i="249"/>
  <c r="O23" i="249"/>
  <c r="A23" i="249"/>
  <c r="O22" i="249"/>
  <c r="A22" i="249"/>
  <c r="A21" i="249"/>
  <c r="A20" i="249"/>
  <c r="A19" i="249"/>
  <c r="A18" i="249"/>
  <c r="A8" i="249"/>
  <c r="A8" i="1"/>
  <c r="C143" i="14"/>
  <c r="P143" i="14" s="1"/>
  <c r="D128" i="14"/>
  <c r="A128" i="14"/>
  <c r="A124" i="1" s="1"/>
  <c r="N124" i="14"/>
  <c r="M124" i="14"/>
  <c r="K124" i="14"/>
  <c r="J124" i="14"/>
  <c r="H124" i="14"/>
  <c r="G124" i="14"/>
  <c r="E124" i="14"/>
  <c r="D124" i="14"/>
  <c r="D83" i="14"/>
  <c r="A83" i="14"/>
  <c r="D82" i="14"/>
  <c r="A82" i="14"/>
  <c r="D81" i="14"/>
  <c r="A81" i="14"/>
  <c r="A80" i="253" s="1"/>
  <c r="D80" i="14"/>
  <c r="A80" i="14"/>
  <c r="A79" i="252" s="1"/>
  <c r="D79" i="14"/>
  <c r="A79" i="14"/>
  <c r="D78" i="14"/>
  <c r="A78" i="14"/>
  <c r="A77" i="253" s="1"/>
  <c r="A77" i="14"/>
  <c r="A76" i="253" s="1"/>
  <c r="D76" i="14"/>
  <c r="A76" i="14"/>
  <c r="D75" i="14"/>
  <c r="A75" i="14"/>
  <c r="A74" i="1" s="1"/>
  <c r="D74" i="14"/>
  <c r="A74" i="14"/>
  <c r="A73" i="253" s="1"/>
  <c r="D73" i="14"/>
  <c r="A73" i="14"/>
  <c r="A72" i="1" s="1"/>
  <c r="D72" i="14"/>
  <c r="A72" i="14"/>
  <c r="A71" i="1" s="1"/>
  <c r="D71" i="14"/>
  <c r="A71" i="14"/>
  <c r="D70" i="14"/>
  <c r="A70" i="14"/>
  <c r="A69" i="252" s="1"/>
  <c r="D69" i="14"/>
  <c r="A69" i="14"/>
  <c r="A68" i="253" s="1"/>
  <c r="D68" i="14"/>
  <c r="A68" i="14"/>
  <c r="D67" i="14"/>
  <c r="A67" i="14"/>
  <c r="A66" i="1" s="1"/>
  <c r="D66" i="14"/>
  <c r="A66" i="14"/>
  <c r="A65" i="253" s="1"/>
  <c r="A65" i="14"/>
  <c r="A64" i="14"/>
  <c r="A63" i="1" s="1"/>
  <c r="D62" i="14"/>
  <c r="A62" i="14"/>
  <c r="A61" i="249" s="1"/>
  <c r="D61" i="14"/>
  <c r="A61" i="14"/>
  <c r="A60" i="1" s="1"/>
  <c r="D60" i="14"/>
  <c r="A60" i="14"/>
  <c r="D59" i="14"/>
  <c r="A59" i="14"/>
  <c r="D58" i="14"/>
  <c r="A58" i="14"/>
  <c r="A57" i="252" s="1"/>
  <c r="D57" i="14"/>
  <c r="D56" i="14"/>
  <c r="A56" i="14"/>
  <c r="D54" i="14"/>
  <c r="A54" i="14"/>
  <c r="D53" i="14"/>
  <c r="A53" i="14"/>
  <c r="D52" i="14"/>
  <c r="A52" i="14"/>
  <c r="A51" i="1" s="1"/>
  <c r="D51" i="14"/>
  <c r="A51" i="14"/>
  <c r="D50" i="14"/>
  <c r="A50" i="14"/>
  <c r="D49" i="14"/>
  <c r="A49" i="14"/>
  <c r="A48" i="253" s="1"/>
  <c r="D48" i="14"/>
  <c r="D47" i="14"/>
  <c r="D46" i="14"/>
  <c r="A46" i="14"/>
  <c r="B37" i="231" s="1"/>
  <c r="D45" i="14"/>
  <c r="D44" i="14"/>
  <c r="A44" i="14"/>
  <c r="A43" i="1" s="1"/>
  <c r="D43" i="14"/>
  <c r="A43" i="14"/>
  <c r="D42" i="14"/>
  <c r="A42" i="14"/>
  <c r="A41" i="252" s="1"/>
  <c r="D41" i="14"/>
  <c r="D40" i="14"/>
  <c r="A40" i="14"/>
  <c r="D39" i="14"/>
  <c r="R31" i="14"/>
  <c r="A31" i="14"/>
  <c r="A30" i="1" s="1"/>
  <c r="A30" i="14"/>
  <c r="A29" i="1" s="1"/>
  <c r="O24" i="14"/>
  <c r="N24" i="14"/>
  <c r="M24" i="14"/>
  <c r="L24" i="14"/>
  <c r="K24" i="14"/>
  <c r="J24" i="14"/>
  <c r="I24" i="14"/>
  <c r="H24" i="14"/>
  <c r="G24" i="14"/>
  <c r="F24" i="14"/>
  <c r="E24" i="14"/>
  <c r="C24" i="14"/>
  <c r="O23" i="14"/>
  <c r="N23" i="14"/>
  <c r="M23" i="14"/>
  <c r="L23" i="14"/>
  <c r="K23" i="14"/>
  <c r="J23" i="14"/>
  <c r="I23" i="14"/>
  <c r="H23" i="14"/>
  <c r="G23" i="14"/>
  <c r="F23" i="14"/>
  <c r="E23" i="14"/>
  <c r="D23" i="14"/>
  <c r="C23" i="14"/>
  <c r="A20" i="14"/>
  <c r="A25" i="271" s="1"/>
  <c r="O19" i="14"/>
  <c r="N19" i="14"/>
  <c r="M19" i="14"/>
  <c r="L19" i="14"/>
  <c r="K19" i="14"/>
  <c r="J19" i="14"/>
  <c r="I19" i="14"/>
  <c r="H19" i="14"/>
  <c r="G19" i="14"/>
  <c r="F19" i="14"/>
  <c r="E19" i="14"/>
  <c r="D19" i="14"/>
  <c r="P15" i="14"/>
  <c r="D13" i="14"/>
  <c r="E13" i="14" s="1"/>
  <c r="F13" i="14" s="1"/>
  <c r="G13" i="14" s="1"/>
  <c r="H13" i="14" s="1"/>
  <c r="I13" i="14" s="1"/>
  <c r="J13" i="14" s="1"/>
  <c r="K13" i="14" s="1"/>
  <c r="L13" i="14" s="1"/>
  <c r="M13" i="14" s="1"/>
  <c r="N13" i="14" s="1"/>
  <c r="O13" i="14" s="1"/>
  <c r="C12" i="14"/>
  <c r="D12" i="14" s="1"/>
  <c r="E12" i="14"/>
  <c r="F12" i="14" s="1"/>
  <c r="G12" i="14" s="1"/>
  <c r="H12" i="14" s="1"/>
  <c r="I12" i="14" s="1"/>
  <c r="J12" i="14" s="1"/>
  <c r="K12" i="14" s="1"/>
  <c r="L12" i="14" s="1"/>
  <c r="M12" i="14" s="1"/>
  <c r="N12" i="14" s="1"/>
  <c r="O12" i="14" s="1"/>
  <c r="A8" i="14"/>
  <c r="AA27" i="266"/>
  <c r="AA26" i="266"/>
  <c r="AA25" i="266"/>
  <c r="AA23" i="266"/>
  <c r="A23" i="266"/>
  <c r="A24" i="266" s="1"/>
  <c r="A25" i="266" s="1"/>
  <c r="A26" i="266" s="1"/>
  <c r="A27" i="266" s="1"/>
  <c r="A28" i="266" s="1"/>
  <c r="A29" i="266" s="1"/>
  <c r="A30" i="266" s="1"/>
  <c r="A31" i="266" s="1"/>
  <c r="A21" i="266"/>
  <c r="A22" i="266" s="1"/>
  <c r="AA20" i="266"/>
  <c r="W18" i="266"/>
  <c r="O15" i="266"/>
  <c r="A10" i="266"/>
  <c r="A21" i="267"/>
  <c r="A22" i="267" s="1"/>
  <c r="A23" i="267" s="1"/>
  <c r="A24" i="267" s="1"/>
  <c r="A25" i="267" s="1"/>
  <c r="A26" i="267" s="1"/>
  <c r="A27" i="267" s="1"/>
  <c r="A28" i="267" s="1"/>
  <c r="A29" i="267" s="1"/>
  <c r="A30" i="267" s="1"/>
  <c r="A31" i="267" s="1"/>
  <c r="A10" i="267"/>
  <c r="W18" i="269"/>
  <c r="W31" i="269" s="1"/>
  <c r="R30" i="268"/>
  <c r="S30" i="268"/>
  <c r="T30" i="268"/>
  <c r="V30" i="268"/>
  <c r="R26" i="268"/>
  <c r="S26" i="268"/>
  <c r="T26" i="268"/>
  <c r="V26" i="268"/>
  <c r="V21" i="268"/>
  <c r="S21" i="268"/>
  <c r="R21" i="268"/>
  <c r="A21" i="268"/>
  <c r="A22" i="268" s="1"/>
  <c r="A23" i="268" s="1"/>
  <c r="A24" i="268" s="1"/>
  <c r="A25" i="268" s="1"/>
  <c r="A26" i="268" s="1"/>
  <c r="A27" i="268" s="1"/>
  <c r="A28" i="268" s="1"/>
  <c r="A29" i="268" s="1"/>
  <c r="A30" i="268" s="1"/>
  <c r="A31" i="268" s="1"/>
  <c r="C19" i="268"/>
  <c r="C19" i="267" s="1"/>
  <c r="C19" i="266" s="1"/>
  <c r="A10" i="268"/>
  <c r="P31" i="269"/>
  <c r="Q31" i="269"/>
  <c r="R31" i="269"/>
  <c r="S31" i="269"/>
  <c r="T31" i="269"/>
  <c r="U31" i="269"/>
  <c r="V31" i="269"/>
  <c r="P30" i="269"/>
  <c r="Q30" i="269"/>
  <c r="R30" i="269"/>
  <c r="S30" i="269"/>
  <c r="T30" i="269"/>
  <c r="U30" i="269"/>
  <c r="V30" i="269"/>
  <c r="U29" i="269"/>
  <c r="S29" i="269"/>
  <c r="Q29" i="269"/>
  <c r="V28" i="269"/>
  <c r="U28" i="269"/>
  <c r="T28" i="269"/>
  <c r="Q28" i="269"/>
  <c r="S28" i="269"/>
  <c r="P28" i="269"/>
  <c r="R28" i="269"/>
  <c r="Q27" i="269"/>
  <c r="S27" i="269"/>
  <c r="U27" i="269"/>
  <c r="P26" i="269"/>
  <c r="Q26" i="269"/>
  <c r="R26" i="269"/>
  <c r="S26" i="269"/>
  <c r="T26" i="269"/>
  <c r="U26" i="269"/>
  <c r="V26" i="269"/>
  <c r="Q25" i="269"/>
  <c r="S25" i="269"/>
  <c r="U25" i="269"/>
  <c r="P24" i="269"/>
  <c r="Q24" i="269"/>
  <c r="R24" i="269"/>
  <c r="S24" i="269"/>
  <c r="T24" i="269"/>
  <c r="U24" i="269"/>
  <c r="V24" i="269"/>
  <c r="A24" i="269"/>
  <c r="A25" i="269" s="1"/>
  <c r="A26" i="269" s="1"/>
  <c r="A27" i="269" s="1"/>
  <c r="A28" i="269" s="1"/>
  <c r="A29" i="269" s="1"/>
  <c r="A30" i="269" s="1"/>
  <c r="A31" i="269" s="1"/>
  <c r="Q23" i="269"/>
  <c r="S23" i="269"/>
  <c r="U23" i="269"/>
  <c r="P22" i="269"/>
  <c r="Q22" i="269"/>
  <c r="S22" i="269"/>
  <c r="T22" i="269"/>
  <c r="U22" i="269"/>
  <c r="V21" i="269"/>
  <c r="U21" i="269"/>
  <c r="T21" i="269"/>
  <c r="S21" i="269"/>
  <c r="R21" i="269"/>
  <c r="Q21" i="269"/>
  <c r="P21" i="269"/>
  <c r="A21" i="269"/>
  <c r="A22" i="269" s="1"/>
  <c r="A23" i="269" s="1"/>
  <c r="V20" i="269"/>
  <c r="U20" i="269"/>
  <c r="S20" i="269"/>
  <c r="P20" i="269"/>
  <c r="C19" i="269"/>
  <c r="A10" i="269"/>
  <c r="W31" i="4"/>
  <c r="V31" i="4"/>
  <c r="U31" i="4"/>
  <c r="T31" i="4"/>
  <c r="S31" i="4"/>
  <c r="R31" i="4"/>
  <c r="Q31" i="4"/>
  <c r="P31" i="4"/>
  <c r="W30" i="4"/>
  <c r="V30" i="4"/>
  <c r="U30" i="4"/>
  <c r="T30" i="4"/>
  <c r="S30" i="4"/>
  <c r="R30" i="4"/>
  <c r="Q30" i="4"/>
  <c r="P30" i="4"/>
  <c r="W29" i="4"/>
  <c r="V29" i="4"/>
  <c r="U29" i="4"/>
  <c r="T29" i="4"/>
  <c r="S29" i="4"/>
  <c r="R29" i="4"/>
  <c r="Q29" i="4"/>
  <c r="P29" i="4"/>
  <c r="B29" i="4"/>
  <c r="B20" i="10" s="1"/>
  <c r="W28" i="4"/>
  <c r="V28" i="4"/>
  <c r="U28" i="4"/>
  <c r="T28" i="4"/>
  <c r="S28" i="4"/>
  <c r="R28" i="4"/>
  <c r="Q28" i="4"/>
  <c r="P28" i="4"/>
  <c r="B28" i="4"/>
  <c r="B19" i="10" s="1"/>
  <c r="W27" i="4"/>
  <c r="V27" i="4"/>
  <c r="U27" i="4"/>
  <c r="T27" i="4"/>
  <c r="S27" i="4"/>
  <c r="R27" i="4"/>
  <c r="Q27" i="4"/>
  <c r="P27" i="4"/>
  <c r="B18" i="10"/>
  <c r="W26" i="4"/>
  <c r="V26" i="4"/>
  <c r="U26" i="4"/>
  <c r="T26" i="4"/>
  <c r="S26" i="4"/>
  <c r="R26" i="4"/>
  <c r="Q26" i="4"/>
  <c r="P26" i="4"/>
  <c r="W25" i="4"/>
  <c r="V25" i="4"/>
  <c r="U25" i="4"/>
  <c r="T25" i="4"/>
  <c r="S25" i="4"/>
  <c r="R25" i="4"/>
  <c r="Q25" i="4"/>
  <c r="P25" i="4"/>
  <c r="W24" i="4"/>
  <c r="V24" i="4"/>
  <c r="U24" i="4"/>
  <c r="T24" i="4"/>
  <c r="S24" i="4"/>
  <c r="R24" i="4"/>
  <c r="Q24" i="4"/>
  <c r="P24" i="4"/>
  <c r="W23" i="4"/>
  <c r="V23" i="4"/>
  <c r="U23" i="4"/>
  <c r="T23" i="4"/>
  <c r="S23" i="4"/>
  <c r="R23" i="4"/>
  <c r="Q23" i="4"/>
  <c r="P23" i="4"/>
  <c r="W22" i="4"/>
  <c r="V22" i="4"/>
  <c r="U22" i="4"/>
  <c r="T22" i="4"/>
  <c r="S22" i="4"/>
  <c r="R22" i="4"/>
  <c r="Q22" i="4"/>
  <c r="P22" i="4"/>
  <c r="W21" i="4"/>
  <c r="V21" i="4"/>
  <c r="U21" i="4"/>
  <c r="T21" i="4"/>
  <c r="S21" i="4"/>
  <c r="R21" i="4"/>
  <c r="Q21" i="4"/>
  <c r="P21" i="4"/>
  <c r="B21" i="4"/>
  <c r="B12" i="10" s="1"/>
  <c r="A21" i="4"/>
  <c r="A22" i="4" s="1"/>
  <c r="A23" i="4" s="1"/>
  <c r="A24" i="4" s="1"/>
  <c r="A25" i="4" s="1"/>
  <c r="A26" i="4" s="1"/>
  <c r="A27" i="4" s="1"/>
  <c r="A28" i="4" s="1"/>
  <c r="A29" i="4" s="1"/>
  <c r="A30" i="4" s="1"/>
  <c r="A31" i="4" s="1"/>
  <c r="W20" i="4"/>
  <c r="V20" i="4"/>
  <c r="U20" i="4"/>
  <c r="T20" i="4"/>
  <c r="S20" i="4"/>
  <c r="R20" i="4"/>
  <c r="Q20" i="4"/>
  <c r="P20" i="4"/>
  <c r="A10" i="4"/>
  <c r="Q23" i="212"/>
  <c r="M23" i="212"/>
  <c r="P17" i="212"/>
  <c r="O15" i="212"/>
  <c r="Q15" i="212" s="1"/>
  <c r="S15" i="212" s="1"/>
  <c r="Q11" i="212"/>
  <c r="M11" i="212"/>
  <c r="A4" i="212"/>
  <c r="A97" i="235"/>
  <c r="A8" i="235"/>
  <c r="A8" i="234"/>
  <c r="A8" i="233"/>
  <c r="C103" i="219"/>
  <c r="C105" i="219" s="1"/>
  <c r="A101" i="219"/>
  <c r="A101" i="233" s="1"/>
  <c r="A101" i="234" s="1"/>
  <c r="A101" i="235" s="1"/>
  <c r="C95" i="219"/>
  <c r="C82" i="1" s="1"/>
  <c r="A95" i="219"/>
  <c r="A95" i="233" s="1"/>
  <c r="A95" i="234" s="1"/>
  <c r="A95" i="235" s="1"/>
  <c r="C93" i="219"/>
  <c r="A93" i="219"/>
  <c r="A93" i="233" s="1"/>
  <c r="A93" i="234" s="1"/>
  <c r="A93" i="235" s="1"/>
  <c r="C91" i="219"/>
  <c r="C80" i="1" s="1"/>
  <c r="A91" i="219"/>
  <c r="A91" i="233" s="1"/>
  <c r="A91" i="234" s="1"/>
  <c r="A91" i="235" s="1"/>
  <c r="C89" i="219"/>
  <c r="C79" i="1" s="1"/>
  <c r="A89" i="219"/>
  <c r="A89" i="233" s="1"/>
  <c r="A89" i="234" s="1"/>
  <c r="A89" i="235" s="1"/>
  <c r="C87" i="219"/>
  <c r="C78" i="1" s="1"/>
  <c r="A87" i="219"/>
  <c r="A87" i="233" s="1"/>
  <c r="A87" i="234" s="1"/>
  <c r="A87" i="235" s="1"/>
  <c r="C85" i="219"/>
  <c r="A85" i="219"/>
  <c r="A85" i="233" s="1"/>
  <c r="A85" i="234" s="1"/>
  <c r="A85" i="235" s="1"/>
  <c r="C82" i="219"/>
  <c r="C75" i="1" s="1"/>
  <c r="A82" i="219"/>
  <c r="A82" i="233" s="1"/>
  <c r="A82" i="234" s="1"/>
  <c r="A82" i="235" s="1"/>
  <c r="C80" i="219"/>
  <c r="A80" i="219"/>
  <c r="A80" i="233" s="1"/>
  <c r="A80" i="234" s="1"/>
  <c r="A80" i="235" s="1"/>
  <c r="C78" i="219"/>
  <c r="C73" i="1" s="1"/>
  <c r="A78" i="219"/>
  <c r="A78" i="233" s="1"/>
  <c r="A78" i="234" s="1"/>
  <c r="A78" i="235" s="1"/>
  <c r="C76" i="219"/>
  <c r="A76" i="219"/>
  <c r="A76" i="233" s="1"/>
  <c r="A76" i="234" s="1"/>
  <c r="A76" i="235" s="1"/>
  <c r="C74" i="219"/>
  <c r="C71" i="1" s="1"/>
  <c r="A74" i="219"/>
  <c r="A74" i="233" s="1"/>
  <c r="A74" i="234" s="1"/>
  <c r="A74" i="235" s="1"/>
  <c r="C72" i="219"/>
  <c r="C70" i="1" s="1"/>
  <c r="A72" i="219"/>
  <c r="A72" i="233" s="1"/>
  <c r="A72" i="234" s="1"/>
  <c r="A72" i="235" s="1"/>
  <c r="C70" i="219"/>
  <c r="C69" i="1" s="1"/>
  <c r="A70" i="219"/>
  <c r="A70" i="233" s="1"/>
  <c r="A70" i="234" s="1"/>
  <c r="A70" i="235" s="1"/>
  <c r="C68" i="219"/>
  <c r="A68" i="219"/>
  <c r="A68" i="233" s="1"/>
  <c r="A68" i="234" s="1"/>
  <c r="A68" i="235" s="1"/>
  <c r="C66" i="219"/>
  <c r="C67" i="1" s="1"/>
  <c r="A66" i="219"/>
  <c r="A66" i="233" s="1"/>
  <c r="A66" i="234" s="1"/>
  <c r="A66" i="235" s="1"/>
  <c r="C64" i="219"/>
  <c r="C66" i="1" s="1"/>
  <c r="A64" i="219"/>
  <c r="A64" i="233" s="1"/>
  <c r="A64" i="234" s="1"/>
  <c r="A64" i="235" s="1"/>
  <c r="C62" i="219"/>
  <c r="C65" i="1" s="1"/>
  <c r="A62" i="219"/>
  <c r="A62" i="233" s="1"/>
  <c r="A62" i="234" s="1"/>
  <c r="A62" i="235" s="1"/>
  <c r="C59" i="219"/>
  <c r="A59" i="219"/>
  <c r="A59" i="233" s="1"/>
  <c r="A59" i="234" s="1"/>
  <c r="A59" i="235" s="1"/>
  <c r="C57" i="219"/>
  <c r="C60" i="1" s="1"/>
  <c r="A57" i="219"/>
  <c r="A57" i="233" s="1"/>
  <c r="A57" i="234" s="1"/>
  <c r="A57" i="235" s="1"/>
  <c r="C55" i="219"/>
  <c r="C59" i="1" s="1"/>
  <c r="A55" i="219"/>
  <c r="A55" i="233" s="1"/>
  <c r="A55" i="234" s="1"/>
  <c r="A55" i="235" s="1"/>
  <c r="C53" i="219"/>
  <c r="C58" i="1" s="1"/>
  <c r="A53" i="219"/>
  <c r="A53" i="233" s="1"/>
  <c r="A53" i="234" s="1"/>
  <c r="A53" i="235" s="1"/>
  <c r="C51" i="219"/>
  <c r="C57" i="1" s="1"/>
  <c r="A51" i="219"/>
  <c r="A51" i="233" s="1"/>
  <c r="A51" i="234" s="1"/>
  <c r="A51" i="235" s="1"/>
  <c r="C49" i="219"/>
  <c r="C56" i="1" s="1"/>
  <c r="C47" i="219"/>
  <c r="A47" i="219"/>
  <c r="A47" i="233" s="1"/>
  <c r="A47" i="234" s="1"/>
  <c r="A47" i="235" s="1"/>
  <c r="C44" i="219"/>
  <c r="C44" i="233" s="1"/>
  <c r="A44" i="219"/>
  <c r="A44" i="233" s="1"/>
  <c r="A44" i="234" s="1"/>
  <c r="A44" i="235" s="1"/>
  <c r="C42" i="219"/>
  <c r="C42" i="233" s="1"/>
  <c r="A42" i="219"/>
  <c r="A42" i="233" s="1"/>
  <c r="A42" i="234" s="1"/>
  <c r="A42" i="235" s="1"/>
  <c r="C40" i="219"/>
  <c r="A40" i="219"/>
  <c r="A40" i="233" s="1"/>
  <c r="A40" i="234" s="1"/>
  <c r="A40" i="235" s="1"/>
  <c r="C38" i="219"/>
  <c r="C38" i="233" s="1"/>
  <c r="A38" i="219"/>
  <c r="A38" i="233" s="1"/>
  <c r="A38" i="234" s="1"/>
  <c r="A38" i="235" s="1"/>
  <c r="C36" i="219"/>
  <c r="C36" i="233" s="1"/>
  <c r="A36" i="219"/>
  <c r="A36" i="233" s="1"/>
  <c r="A36" i="234" s="1"/>
  <c r="A36" i="235" s="1"/>
  <c r="C34" i="219"/>
  <c r="C34" i="233" s="1"/>
  <c r="C34" i="234" s="1"/>
  <c r="A34" i="219"/>
  <c r="A34" i="233" s="1"/>
  <c r="A34" i="234" s="1"/>
  <c r="A34" i="235" s="1"/>
  <c r="C32" i="219"/>
  <c r="C30" i="219"/>
  <c r="C28" i="219"/>
  <c r="A28" i="219"/>
  <c r="A28" i="233" s="1"/>
  <c r="A28" i="234" s="1"/>
  <c r="A28" i="235" s="1"/>
  <c r="C26" i="219"/>
  <c r="A26" i="219"/>
  <c r="A26" i="233" s="1"/>
  <c r="A26" i="234" s="1"/>
  <c r="A26" i="235" s="1"/>
  <c r="C24" i="219"/>
  <c r="C24" i="233" s="1"/>
  <c r="A24" i="219"/>
  <c r="A24" i="233" s="1"/>
  <c r="A24" i="234" s="1"/>
  <c r="A24" i="235" s="1"/>
  <c r="C22" i="219"/>
  <c r="C22" i="233" s="1"/>
  <c r="A22" i="219"/>
  <c r="A22" i="233" s="1"/>
  <c r="A22" i="234" s="1"/>
  <c r="A22" i="235" s="1"/>
  <c r="C20" i="219"/>
  <c r="A20" i="219"/>
  <c r="A20" i="233" s="1"/>
  <c r="A20" i="234" s="1"/>
  <c r="A20" i="235" s="1"/>
  <c r="C18" i="219"/>
  <c r="C18" i="233" s="1"/>
  <c r="C16" i="219"/>
  <c r="C16" i="233" s="1"/>
  <c r="A16" i="219"/>
  <c r="A16" i="233" s="1"/>
  <c r="A16" i="234" s="1"/>
  <c r="A16" i="235" s="1"/>
  <c r="C14" i="219"/>
  <c r="C14" i="233" s="1"/>
  <c r="A8" i="219"/>
  <c r="C106" i="218"/>
  <c r="D104" i="218"/>
  <c r="E128" i="14" s="1"/>
  <c r="A104" i="218"/>
  <c r="A103" i="219" s="1"/>
  <c r="A103" i="233" s="1"/>
  <c r="A103" i="234" s="1"/>
  <c r="A103" i="235" s="1"/>
  <c r="C97" i="218"/>
  <c r="D95" i="218"/>
  <c r="E83" i="14" s="1"/>
  <c r="D93" i="218"/>
  <c r="E82" i="14" s="1"/>
  <c r="D91" i="218"/>
  <c r="E81" i="14" s="1"/>
  <c r="D89" i="218"/>
  <c r="E80" i="14" s="1"/>
  <c r="D87" i="218"/>
  <c r="E79" i="14" s="1"/>
  <c r="D85" i="218"/>
  <c r="E78" i="14" s="1"/>
  <c r="D82" i="218"/>
  <c r="E80" i="218"/>
  <c r="D80" i="218"/>
  <c r="E75" i="14" s="1"/>
  <c r="D78" i="218"/>
  <c r="E74" i="14" s="1"/>
  <c r="D76" i="218"/>
  <c r="E73" i="14" s="1"/>
  <c r="D74" i="218"/>
  <c r="E72" i="14" s="1"/>
  <c r="D72" i="218"/>
  <c r="D70" i="218"/>
  <c r="E70" i="14" s="1"/>
  <c r="D68" i="218"/>
  <c r="E69" i="14" s="1"/>
  <c r="D66" i="218"/>
  <c r="E68" i="14" s="1"/>
  <c r="D64" i="218"/>
  <c r="D62" i="218"/>
  <c r="E66" i="14" s="1"/>
  <c r="D59" i="218"/>
  <c r="E62" i="14" s="1"/>
  <c r="D57" i="218"/>
  <c r="E61" i="14" s="1"/>
  <c r="D55" i="218"/>
  <c r="E60" i="14" s="1"/>
  <c r="D53" i="218"/>
  <c r="E59" i="14" s="1"/>
  <c r="D51" i="218"/>
  <c r="D49" i="218"/>
  <c r="D47" i="218"/>
  <c r="E56" i="14" s="1"/>
  <c r="D44" i="218"/>
  <c r="D42" i="218"/>
  <c r="E42" i="218" s="1"/>
  <c r="D40" i="218"/>
  <c r="D40" i="219" s="1"/>
  <c r="D38" i="218"/>
  <c r="E38" i="218" s="1"/>
  <c r="K45" i="231" s="1"/>
  <c r="D36" i="218"/>
  <c r="D34" i="218"/>
  <c r="E34" i="218" s="1"/>
  <c r="K41" i="231" s="1"/>
  <c r="N41" i="231" s="1"/>
  <c r="D32" i="218"/>
  <c r="D32" i="219" s="1"/>
  <c r="D30" i="218"/>
  <c r="D30" i="219" s="1"/>
  <c r="D28" i="218"/>
  <c r="G37" i="231" s="1"/>
  <c r="D26" i="218"/>
  <c r="E26" i="218" s="1"/>
  <c r="D24" i="218"/>
  <c r="E24" i="218" s="1"/>
  <c r="K35" i="231" s="1"/>
  <c r="N35" i="231" s="1"/>
  <c r="D22" i="218"/>
  <c r="E22" i="218" s="1"/>
  <c r="E22" i="219" s="1"/>
  <c r="D20" i="218"/>
  <c r="D20" i="219" s="1"/>
  <c r="E18" i="218"/>
  <c r="D18" i="218"/>
  <c r="D18" i="219" s="1"/>
  <c r="D18" i="233" s="1"/>
  <c r="D16" i="218"/>
  <c r="E16" i="218" s="1"/>
  <c r="K31" i="231" s="1"/>
  <c r="D14" i="218"/>
  <c r="D14" i="219" s="1"/>
  <c r="C12" i="218"/>
  <c r="D12" i="218" s="1"/>
  <c r="E12" i="218" s="1"/>
  <c r="F12" i="218" s="1"/>
  <c r="G12" i="218" s="1"/>
  <c r="H12" i="218" s="1"/>
  <c r="I12" i="218" s="1"/>
  <c r="J12" i="218" s="1"/>
  <c r="K12" i="218" s="1"/>
  <c r="L12" i="218" s="1"/>
  <c r="M12" i="218" s="1"/>
  <c r="N12" i="218" s="1"/>
  <c r="C12" i="219" s="1"/>
  <c r="A8" i="218"/>
  <c r="O14" i="265"/>
  <c r="A11" i="265"/>
  <c r="O14" i="264"/>
  <c r="A11" i="264"/>
  <c r="B78" i="263"/>
  <c r="B62" i="263"/>
  <c r="O14" i="263"/>
  <c r="A11" i="263"/>
  <c r="B78" i="262"/>
  <c r="B77" i="262"/>
  <c r="B76" i="262"/>
  <c r="B76" i="263" s="1"/>
  <c r="B75" i="262"/>
  <c r="B74" i="262"/>
  <c r="B74" i="263" s="1"/>
  <c r="B73" i="262"/>
  <c r="B67" i="262"/>
  <c r="B66" i="262"/>
  <c r="B65" i="262"/>
  <c r="B64" i="262"/>
  <c r="B63" i="262"/>
  <c r="B62" i="262"/>
  <c r="A67" i="213"/>
  <c r="B56" i="262"/>
  <c r="B55" i="262"/>
  <c r="B54" i="262"/>
  <c r="B53" i="262"/>
  <c r="B52" i="262"/>
  <c r="B51" i="262"/>
  <c r="B45" i="262"/>
  <c r="B44" i="262"/>
  <c r="B43" i="262"/>
  <c r="B42" i="262"/>
  <c r="B41" i="262"/>
  <c r="B40" i="262"/>
  <c r="A41" i="213"/>
  <c r="A44" i="214" s="1"/>
  <c r="A38" i="262" s="1"/>
  <c r="A38" i="263" s="1"/>
  <c r="C38" i="263" s="1"/>
  <c r="B34" i="262"/>
  <c r="B34" i="263" s="1"/>
  <c r="B33" i="262"/>
  <c r="B32" i="262"/>
  <c r="B32" i="263" s="1"/>
  <c r="B31" i="262"/>
  <c r="B30" i="262"/>
  <c r="B30" i="263" s="1"/>
  <c r="B30" i="264" s="1"/>
  <c r="B29" i="262"/>
  <c r="B29" i="263" s="1"/>
  <c r="B23" i="262"/>
  <c r="B23" i="263" s="1"/>
  <c r="B23" i="264" s="1"/>
  <c r="B23" i="265" s="1"/>
  <c r="B22" i="262"/>
  <c r="B22" i="263" s="1"/>
  <c r="B22" i="264" s="1"/>
  <c r="B22" i="265" s="1"/>
  <c r="B21" i="262"/>
  <c r="B21" i="263" s="1"/>
  <c r="B21" i="264" s="1"/>
  <c r="B21" i="265" s="1"/>
  <c r="B20" i="262"/>
  <c r="B20" i="263" s="1"/>
  <c r="B20" i="264" s="1"/>
  <c r="B20" i="265" s="1"/>
  <c r="B19" i="262"/>
  <c r="B19" i="263" s="1"/>
  <c r="B19" i="264" s="1"/>
  <c r="B19" i="265" s="1"/>
  <c r="B18" i="262"/>
  <c r="B18" i="263" s="1"/>
  <c r="B18" i="264" s="1"/>
  <c r="B18" i="265" s="1"/>
  <c r="O14" i="262"/>
  <c r="A12" i="262"/>
  <c r="O14" i="217"/>
  <c r="A11" i="217"/>
  <c r="P93" i="241"/>
  <c r="O93" i="241"/>
  <c r="N93" i="241"/>
  <c r="M93" i="241"/>
  <c r="L93" i="241"/>
  <c r="K93" i="241"/>
  <c r="J93" i="241"/>
  <c r="I93" i="241"/>
  <c r="H93" i="241"/>
  <c r="G93" i="241"/>
  <c r="F93" i="241"/>
  <c r="E93" i="241"/>
  <c r="Q90" i="241"/>
  <c r="D88" i="216"/>
  <c r="D88" i="239"/>
  <c r="D88" i="240" s="1"/>
  <c r="D88" i="241" s="1"/>
  <c r="Q77" i="241"/>
  <c r="D75" i="216"/>
  <c r="D75" i="239" s="1"/>
  <c r="D75" i="240" s="1"/>
  <c r="D75" i="241" s="1"/>
  <c r="Q64" i="241"/>
  <c r="D62" i="216"/>
  <c r="D62" i="239" s="1"/>
  <c r="D62" i="240" s="1"/>
  <c r="D62" i="241" s="1"/>
  <c r="Q51" i="241"/>
  <c r="D49" i="216"/>
  <c r="D49" i="239" s="1"/>
  <c r="D49" i="240" s="1"/>
  <c r="D49" i="241" s="1"/>
  <c r="Q38" i="241"/>
  <c r="D36" i="216"/>
  <c r="D36" i="239" s="1"/>
  <c r="D36" i="240" s="1"/>
  <c r="D36" i="241" s="1"/>
  <c r="Q25" i="241"/>
  <c r="D23" i="216"/>
  <c r="D23" i="239" s="1"/>
  <c r="D23" i="240" s="1"/>
  <c r="D23" i="241" s="1"/>
  <c r="C10" i="241"/>
  <c r="P93" i="240"/>
  <c r="O93" i="240"/>
  <c r="N93" i="240"/>
  <c r="M93" i="240"/>
  <c r="L93" i="240"/>
  <c r="K93" i="240"/>
  <c r="J93" i="240"/>
  <c r="I93" i="240"/>
  <c r="H93" i="240"/>
  <c r="G93" i="240"/>
  <c r="F93" i="240"/>
  <c r="E93" i="240"/>
  <c r="Q90" i="240"/>
  <c r="Q77" i="240"/>
  <c r="Q64" i="240"/>
  <c r="Q51" i="240"/>
  <c r="Q38" i="240"/>
  <c r="Q25" i="240"/>
  <c r="C10" i="240"/>
  <c r="P93" i="239"/>
  <c r="O93" i="239"/>
  <c r="N93" i="239"/>
  <c r="M93" i="239"/>
  <c r="L93" i="239"/>
  <c r="K93" i="239"/>
  <c r="J93" i="239"/>
  <c r="I93" i="239"/>
  <c r="H93" i="239"/>
  <c r="G93" i="239"/>
  <c r="F93" i="239"/>
  <c r="E93" i="239"/>
  <c r="Q90" i="239"/>
  <c r="Q77" i="239"/>
  <c r="C76" i="239"/>
  <c r="C76" i="240" s="1"/>
  <c r="C76" i="241" s="1"/>
  <c r="Q64" i="239"/>
  <c r="Q51" i="239"/>
  <c r="Q38" i="239"/>
  <c r="Q25" i="239"/>
  <c r="C10" i="239"/>
  <c r="P93" i="216"/>
  <c r="O93" i="216"/>
  <c r="N93" i="216"/>
  <c r="M93" i="216"/>
  <c r="L93" i="216"/>
  <c r="K93" i="216"/>
  <c r="J93" i="216"/>
  <c r="I93" i="216"/>
  <c r="H93" i="216"/>
  <c r="G93" i="216"/>
  <c r="F93" i="216"/>
  <c r="E93" i="216"/>
  <c r="C91" i="216"/>
  <c r="C91" i="239" s="1"/>
  <c r="C91" i="240" s="1"/>
  <c r="C91" i="241" s="1"/>
  <c r="Q90" i="216"/>
  <c r="C89" i="216"/>
  <c r="C89" i="239" s="1"/>
  <c r="C89" i="240" s="1"/>
  <c r="C89" i="241" s="1"/>
  <c r="C78" i="216"/>
  <c r="C78" i="239" s="1"/>
  <c r="C78" i="240" s="1"/>
  <c r="C78" i="241" s="1"/>
  <c r="Q77" i="216"/>
  <c r="C76" i="216"/>
  <c r="C65" i="216"/>
  <c r="C65" i="239" s="1"/>
  <c r="C65" i="240" s="1"/>
  <c r="C65" i="241" s="1"/>
  <c r="Q64" i="216"/>
  <c r="C63" i="216"/>
  <c r="C63" i="239" s="1"/>
  <c r="C63" i="240" s="1"/>
  <c r="C63" i="241" s="1"/>
  <c r="C52" i="216"/>
  <c r="C52" i="239" s="1"/>
  <c r="C52" i="240" s="1"/>
  <c r="C52" i="241" s="1"/>
  <c r="Q51" i="216"/>
  <c r="C50" i="216"/>
  <c r="C50" i="239" s="1"/>
  <c r="C50" i="240" s="1"/>
  <c r="C50" i="241" s="1"/>
  <c r="C39" i="216"/>
  <c r="C39" i="239" s="1"/>
  <c r="C39" i="240" s="1"/>
  <c r="C39" i="241" s="1"/>
  <c r="Q38" i="216"/>
  <c r="C37" i="216"/>
  <c r="C37" i="239" s="1"/>
  <c r="C37" i="240" s="1"/>
  <c r="C37" i="241" s="1"/>
  <c r="C26" i="216"/>
  <c r="C26" i="239" s="1"/>
  <c r="C26" i="240" s="1"/>
  <c r="C26" i="241" s="1"/>
  <c r="Q25" i="216"/>
  <c r="C24" i="216"/>
  <c r="C24" i="239" s="1"/>
  <c r="C24" i="240" s="1"/>
  <c r="C24" i="241" s="1"/>
  <c r="C10" i="216"/>
  <c r="P93" i="29"/>
  <c r="O93" i="29"/>
  <c r="N93" i="29"/>
  <c r="M93" i="29"/>
  <c r="L93" i="29"/>
  <c r="K93" i="29"/>
  <c r="J93" i="29"/>
  <c r="I93" i="29"/>
  <c r="H93" i="29"/>
  <c r="G93" i="29"/>
  <c r="F93" i="29"/>
  <c r="Q90" i="29"/>
  <c r="C88" i="29"/>
  <c r="C88" i="216" s="1"/>
  <c r="C88" i="239" s="1"/>
  <c r="C88" i="240" s="1"/>
  <c r="C88" i="241" s="1"/>
  <c r="Q77" i="29"/>
  <c r="C75" i="29"/>
  <c r="C75" i="216" s="1"/>
  <c r="C75" i="239" s="1"/>
  <c r="C75" i="240" s="1"/>
  <c r="C75" i="241" s="1"/>
  <c r="Q64" i="29"/>
  <c r="C62" i="29"/>
  <c r="C62" i="216" s="1"/>
  <c r="C62" i="239" s="1"/>
  <c r="C62" i="240" s="1"/>
  <c r="C62" i="241" s="1"/>
  <c r="A54" i="213"/>
  <c r="C55" i="29" s="1"/>
  <c r="E55" i="29" s="1"/>
  <c r="Q51" i="29"/>
  <c r="C49" i="29"/>
  <c r="C49" i="216" s="1"/>
  <c r="C49" i="239" s="1"/>
  <c r="C49" i="240" s="1"/>
  <c r="C49" i="241" s="1"/>
  <c r="C36" i="29"/>
  <c r="C36" i="216" s="1"/>
  <c r="C36" i="239" s="1"/>
  <c r="C36" i="240" s="1"/>
  <c r="C36" i="241" s="1"/>
  <c r="Q25" i="29"/>
  <c r="C23" i="29"/>
  <c r="C23" i="216" s="1"/>
  <c r="C23" i="239" s="1"/>
  <c r="C23" i="240" s="1"/>
  <c r="C23" i="241" s="1"/>
  <c r="E16" i="29"/>
  <c r="E14" i="29"/>
  <c r="C14" i="217" s="1"/>
  <c r="C10" i="29"/>
  <c r="P27" i="273"/>
  <c r="P26" i="273"/>
  <c r="A26" i="273"/>
  <c r="A24" i="273"/>
  <c r="D22" i="273"/>
  <c r="O21" i="273"/>
  <c r="N21" i="273"/>
  <c r="M21" i="273"/>
  <c r="L21" i="273"/>
  <c r="K21" i="273"/>
  <c r="J21" i="273"/>
  <c r="I21" i="273"/>
  <c r="H21" i="273"/>
  <c r="G21" i="273"/>
  <c r="F21" i="273"/>
  <c r="E21" i="273"/>
  <c r="D21" i="273"/>
  <c r="P20" i="273"/>
  <c r="P19" i="273"/>
  <c r="P18" i="273"/>
  <c r="P17" i="273"/>
  <c r="P16" i="273"/>
  <c r="D14" i="273"/>
  <c r="A8" i="273"/>
  <c r="P27" i="272"/>
  <c r="P26" i="272"/>
  <c r="A26" i="272"/>
  <c r="A24" i="272"/>
  <c r="D22" i="272"/>
  <c r="O21" i="272"/>
  <c r="N21" i="272"/>
  <c r="M21" i="272"/>
  <c r="L21" i="272"/>
  <c r="K21" i="272"/>
  <c r="J21" i="272"/>
  <c r="I21" i="272"/>
  <c r="H21" i="272"/>
  <c r="G21" i="272"/>
  <c r="F21" i="272"/>
  <c r="E21" i="272"/>
  <c r="D21" i="272"/>
  <c r="P20" i="272"/>
  <c r="P19" i="272"/>
  <c r="P18" i="272"/>
  <c r="P17" i="272"/>
  <c r="P16" i="272"/>
  <c r="D14" i="272"/>
  <c r="A8" i="272"/>
  <c r="P27" i="271"/>
  <c r="P26" i="271"/>
  <c r="A26" i="271"/>
  <c r="A24" i="271"/>
  <c r="D22" i="271"/>
  <c r="O21" i="271"/>
  <c r="N21" i="271"/>
  <c r="M21" i="271"/>
  <c r="L21" i="271"/>
  <c r="K21" i="271"/>
  <c r="J21" i="271"/>
  <c r="I21" i="271"/>
  <c r="H21" i="271"/>
  <c r="G21" i="271"/>
  <c r="F21" i="271"/>
  <c r="E21" i="271"/>
  <c r="D21" i="271"/>
  <c r="P20" i="271"/>
  <c r="P19" i="271"/>
  <c r="P18" i="271"/>
  <c r="P17" i="271"/>
  <c r="P16" i="271"/>
  <c r="D14" i="271"/>
  <c r="A8" i="271"/>
  <c r="P27" i="270"/>
  <c r="P26" i="270"/>
  <c r="A26" i="270"/>
  <c r="A24" i="270"/>
  <c r="D22" i="270"/>
  <c r="O21" i="270"/>
  <c r="N21" i="270"/>
  <c r="M21" i="270"/>
  <c r="L21" i="270"/>
  <c r="K21" i="270"/>
  <c r="J21" i="270"/>
  <c r="I21" i="270"/>
  <c r="H21" i="270"/>
  <c r="G21" i="270"/>
  <c r="F21" i="270"/>
  <c r="E21" i="270"/>
  <c r="D21" i="270"/>
  <c r="P20" i="270"/>
  <c r="A20" i="215"/>
  <c r="A20" i="270" s="1"/>
  <c r="A20" i="271" s="1"/>
  <c r="A20" i="272" s="1"/>
  <c r="A20" i="273" s="1"/>
  <c r="P19" i="270"/>
  <c r="A19" i="215"/>
  <c r="A19" i="270" s="1"/>
  <c r="A19" i="271" s="1"/>
  <c r="A19" i="272" s="1"/>
  <c r="A19" i="273" s="1"/>
  <c r="P18" i="270"/>
  <c r="P17" i="270"/>
  <c r="A17" i="215"/>
  <c r="B85" i="231" s="1"/>
  <c r="P16" i="270"/>
  <c r="A16" i="215"/>
  <c r="D14" i="270"/>
  <c r="A8" i="270"/>
  <c r="P27" i="215"/>
  <c r="D26" i="215"/>
  <c r="D24" i="14" s="1"/>
  <c r="A24" i="215"/>
  <c r="D22" i="215"/>
  <c r="O21" i="215"/>
  <c r="N21" i="215"/>
  <c r="M21" i="215"/>
  <c r="L21" i="215"/>
  <c r="K21" i="215"/>
  <c r="J21" i="215"/>
  <c r="I21" i="215"/>
  <c r="H21" i="215"/>
  <c r="G21" i="215"/>
  <c r="F21" i="215"/>
  <c r="E21" i="215"/>
  <c r="D21" i="215"/>
  <c r="P20" i="215"/>
  <c r="C87" i="2" s="1"/>
  <c r="P19" i="215"/>
  <c r="C86" i="2" s="1"/>
  <c r="P18" i="215"/>
  <c r="C85" i="2" s="1"/>
  <c r="P17" i="215"/>
  <c r="C84" i="2" s="1"/>
  <c r="P16" i="215"/>
  <c r="D14" i="215"/>
  <c r="D12" i="215"/>
  <c r="D12" i="270" s="1"/>
  <c r="E12" i="270" s="1"/>
  <c r="F12" i="270" s="1"/>
  <c r="G12" i="270" s="1"/>
  <c r="H12" i="270" s="1"/>
  <c r="I12" i="270" s="1"/>
  <c r="J12" i="270" s="1"/>
  <c r="K12" i="270" s="1"/>
  <c r="L12" i="270" s="1"/>
  <c r="M12" i="270" s="1"/>
  <c r="N12" i="270" s="1"/>
  <c r="O12" i="270" s="1"/>
  <c r="A8" i="215"/>
  <c r="A8" i="238"/>
  <c r="C86" i="237"/>
  <c r="C86" i="238" s="1"/>
  <c r="A8" i="237"/>
  <c r="J95" i="236"/>
  <c r="A8" i="236"/>
  <c r="Q95" i="214"/>
  <c r="P95" i="214"/>
  <c r="P95" i="236" s="1"/>
  <c r="P95" i="237" s="1"/>
  <c r="O95" i="214"/>
  <c r="O95" i="236" s="1"/>
  <c r="N95" i="214"/>
  <c r="M95" i="214"/>
  <c r="L95" i="214"/>
  <c r="L95" i="236" s="1"/>
  <c r="K95" i="214"/>
  <c r="K95" i="236" s="1"/>
  <c r="J95" i="214"/>
  <c r="I95" i="214"/>
  <c r="I95" i="236" s="1"/>
  <c r="I95" i="237" s="1"/>
  <c r="H95" i="214"/>
  <c r="H95" i="236" s="1"/>
  <c r="H95" i="237" s="1"/>
  <c r="G95" i="214"/>
  <c r="G95" i="236" s="1"/>
  <c r="D94" i="214"/>
  <c r="E86" i="214"/>
  <c r="E86" i="236" s="1"/>
  <c r="E86" i="237" s="1"/>
  <c r="E86" i="238" s="1"/>
  <c r="D86" i="214"/>
  <c r="D86" i="236" s="1"/>
  <c r="D86" i="237" s="1"/>
  <c r="D86" i="238" s="1"/>
  <c r="C86" i="214"/>
  <c r="C86" i="236" s="1"/>
  <c r="B86" i="214"/>
  <c r="A80" i="213"/>
  <c r="A86" i="214" s="1"/>
  <c r="A71" i="262" s="1"/>
  <c r="L82" i="214"/>
  <c r="Q81" i="214"/>
  <c r="P81" i="214"/>
  <c r="O81" i="214"/>
  <c r="O81" i="236" s="1"/>
  <c r="O81" i="237" s="1"/>
  <c r="N81" i="214"/>
  <c r="N81" i="236" s="1"/>
  <c r="M81" i="214"/>
  <c r="M81" i="236" s="1"/>
  <c r="L81" i="214"/>
  <c r="L81" i="236" s="1"/>
  <c r="K81" i="214"/>
  <c r="J81" i="214"/>
  <c r="I81" i="214"/>
  <c r="H81" i="214"/>
  <c r="G81" i="214"/>
  <c r="G81" i="236" s="1"/>
  <c r="D80" i="214"/>
  <c r="F82" i="214" s="1"/>
  <c r="E72" i="214"/>
  <c r="D72" i="214"/>
  <c r="D72" i="236" s="1"/>
  <c r="D72" i="237" s="1"/>
  <c r="D72" i="238" s="1"/>
  <c r="C72" i="214"/>
  <c r="C72" i="236" s="1"/>
  <c r="C72" i="237" s="1"/>
  <c r="C72" i="238" s="1"/>
  <c r="B72" i="214"/>
  <c r="B72" i="236" s="1"/>
  <c r="Q67" i="214"/>
  <c r="P67" i="214"/>
  <c r="P67" i="236" s="1"/>
  <c r="P67" i="237" s="1"/>
  <c r="O67" i="214"/>
  <c r="O67" i="236" s="1"/>
  <c r="N67" i="214"/>
  <c r="N67" i="236" s="1"/>
  <c r="M67" i="214"/>
  <c r="M67" i="236" s="1"/>
  <c r="L67" i="214"/>
  <c r="L67" i="236" s="1"/>
  <c r="K67" i="214"/>
  <c r="J67" i="214"/>
  <c r="I67" i="214"/>
  <c r="H67" i="214"/>
  <c r="H67" i="236" s="1"/>
  <c r="H67" i="237" s="1"/>
  <c r="G67" i="214"/>
  <c r="G67" i="236" s="1"/>
  <c r="D66" i="214"/>
  <c r="F68" i="214" s="1"/>
  <c r="E58" i="214"/>
  <c r="E58" i="236" s="1"/>
  <c r="E58" i="237" s="1"/>
  <c r="E58" i="238" s="1"/>
  <c r="D58" i="214"/>
  <c r="D58" i="236" s="1"/>
  <c r="D58" i="237" s="1"/>
  <c r="D58" i="238" s="1"/>
  <c r="C58" i="214"/>
  <c r="C58" i="236" s="1"/>
  <c r="C58" i="237" s="1"/>
  <c r="C58" i="238" s="1"/>
  <c r="B58" i="214"/>
  <c r="B58" i="236" s="1"/>
  <c r="A58" i="214"/>
  <c r="G56" i="214" s="1"/>
  <c r="Q53" i="214"/>
  <c r="Q53" i="236" s="1"/>
  <c r="Q53" i="237" s="1"/>
  <c r="P53" i="214"/>
  <c r="P53" i="236" s="1"/>
  <c r="O53" i="214"/>
  <c r="O53" i="236" s="1"/>
  <c r="N53" i="214"/>
  <c r="N53" i="236" s="1"/>
  <c r="M53" i="214"/>
  <c r="M54" i="214" s="1"/>
  <c r="L53" i="214"/>
  <c r="K53" i="214"/>
  <c r="J53" i="214"/>
  <c r="J53" i="236" s="1"/>
  <c r="I53" i="214"/>
  <c r="I53" i="236" s="1"/>
  <c r="I53" i="237" s="1"/>
  <c r="H53" i="214"/>
  <c r="H53" i="236" s="1"/>
  <c r="G53" i="214"/>
  <c r="G53" i="236" s="1"/>
  <c r="D52" i="214"/>
  <c r="F54" i="214" s="1"/>
  <c r="E44" i="214"/>
  <c r="E44" i="236" s="1"/>
  <c r="E44" i="237" s="1"/>
  <c r="E44" i="238" s="1"/>
  <c r="D44" i="214"/>
  <c r="D44" i="236" s="1"/>
  <c r="D44" i="237" s="1"/>
  <c r="D44" i="238" s="1"/>
  <c r="C44" i="214"/>
  <c r="F44" i="214" s="1"/>
  <c r="B44" i="214"/>
  <c r="B44" i="236" s="1"/>
  <c r="Q39" i="214"/>
  <c r="P39" i="214"/>
  <c r="O39" i="214"/>
  <c r="N39" i="214"/>
  <c r="N39" i="236" s="1"/>
  <c r="M39" i="214"/>
  <c r="L39" i="214"/>
  <c r="K39" i="214"/>
  <c r="K39" i="236" s="1"/>
  <c r="J39" i="214"/>
  <c r="J39" i="236" s="1"/>
  <c r="I39" i="214"/>
  <c r="H39" i="214"/>
  <c r="G39" i="214"/>
  <c r="D38" i="214"/>
  <c r="E30" i="214"/>
  <c r="E30" i="236" s="1"/>
  <c r="E30" i="237" s="1"/>
  <c r="E30" i="238" s="1"/>
  <c r="D30" i="214"/>
  <c r="D30" i="236" s="1"/>
  <c r="D30" i="237" s="1"/>
  <c r="D30" i="238" s="1"/>
  <c r="C30" i="214"/>
  <c r="C30" i="236" s="1"/>
  <c r="C30" i="237" s="1"/>
  <c r="C30" i="238" s="1"/>
  <c r="B30" i="214"/>
  <c r="D24" i="214"/>
  <c r="E16" i="214"/>
  <c r="E16" i="236" s="1"/>
  <c r="E16" i="237" s="1"/>
  <c r="E16" i="238" s="1"/>
  <c r="D16" i="214"/>
  <c r="D16" i="236" s="1"/>
  <c r="D16" i="237" s="1"/>
  <c r="D16" i="238" s="1"/>
  <c r="C16" i="214"/>
  <c r="C16" i="236" s="1"/>
  <c r="C16" i="237" s="1"/>
  <c r="C16" i="238" s="1"/>
  <c r="B16" i="214"/>
  <c r="B16" i="236" s="1"/>
  <c r="A8" i="214"/>
  <c r="R90" i="213"/>
  <c r="Q90" i="213"/>
  <c r="P90" i="213"/>
  <c r="O90" i="213"/>
  <c r="R84" i="213" s="1"/>
  <c r="N90" i="213"/>
  <c r="N81" i="213" s="1"/>
  <c r="M90" i="213"/>
  <c r="L90" i="213"/>
  <c r="J89" i="29" s="1"/>
  <c r="K90" i="213"/>
  <c r="I89" i="29" s="1"/>
  <c r="G77" i="217" s="1"/>
  <c r="J90" i="213"/>
  <c r="L83" i="213" s="1"/>
  <c r="I90" i="213"/>
  <c r="H90" i="213"/>
  <c r="H81" i="213" s="1"/>
  <c r="S89" i="213"/>
  <c r="Q84" i="213"/>
  <c r="P83" i="213"/>
  <c r="O83" i="213"/>
  <c r="N83" i="213"/>
  <c r="M82" i="213"/>
  <c r="O81" i="213"/>
  <c r="G80" i="213"/>
  <c r="R77" i="213"/>
  <c r="Q77" i="213"/>
  <c r="O76" i="29" s="1"/>
  <c r="M66" i="217" s="1"/>
  <c r="P77" i="213"/>
  <c r="O77" i="213"/>
  <c r="M76" i="29" s="1"/>
  <c r="K67" i="217" s="1"/>
  <c r="N77" i="213"/>
  <c r="L76" i="29" s="1"/>
  <c r="M77" i="213"/>
  <c r="L77" i="213"/>
  <c r="L68" i="213" s="1"/>
  <c r="K77" i="213"/>
  <c r="K68" i="213" s="1"/>
  <c r="J77" i="213"/>
  <c r="H76" i="29" s="1"/>
  <c r="I77" i="213"/>
  <c r="G76" i="29" s="1"/>
  <c r="E69" i="217" s="1"/>
  <c r="H77" i="213"/>
  <c r="K71" i="213" s="1"/>
  <c r="S76" i="213"/>
  <c r="P71" i="213"/>
  <c r="O71" i="213"/>
  <c r="O70" i="213"/>
  <c r="L70" i="213"/>
  <c r="I68" i="213"/>
  <c r="G67" i="213"/>
  <c r="R64" i="213"/>
  <c r="Q64" i="213"/>
  <c r="P64" i="213"/>
  <c r="N63" i="29" s="1"/>
  <c r="O64" i="213"/>
  <c r="O55" i="213" s="1"/>
  <c r="N64" i="213"/>
  <c r="M64" i="213"/>
  <c r="L64" i="213"/>
  <c r="O58" i="213" s="1"/>
  <c r="K64" i="213"/>
  <c r="M57" i="213" s="1"/>
  <c r="J64" i="213"/>
  <c r="I64" i="213"/>
  <c r="H64" i="213"/>
  <c r="K58" i="213" s="1"/>
  <c r="S63" i="213"/>
  <c r="J57" i="213"/>
  <c r="I56" i="213"/>
  <c r="J55" i="213"/>
  <c r="I55" i="213"/>
  <c r="H55" i="213"/>
  <c r="G54" i="213"/>
  <c r="R51" i="213"/>
  <c r="Q51" i="213"/>
  <c r="P51" i="213"/>
  <c r="F48" i="214" s="1"/>
  <c r="O51" i="213"/>
  <c r="M50" i="29" s="1"/>
  <c r="N51" i="213"/>
  <c r="M51" i="213"/>
  <c r="M42" i="213" s="1"/>
  <c r="L51" i="213"/>
  <c r="L42" i="213" s="1"/>
  <c r="K51" i="213"/>
  <c r="J51" i="213"/>
  <c r="L44" i="213" s="1"/>
  <c r="I51" i="213"/>
  <c r="H51" i="213"/>
  <c r="S50" i="213"/>
  <c r="R44" i="213"/>
  <c r="Q44" i="213"/>
  <c r="P43" i="213"/>
  <c r="L43" i="213"/>
  <c r="I43" i="213"/>
  <c r="G41" i="213"/>
  <c r="R38" i="213"/>
  <c r="H34" i="214" s="1"/>
  <c r="Q38" i="213"/>
  <c r="O37" i="29" s="1"/>
  <c r="M31" i="217" s="1"/>
  <c r="P38" i="213"/>
  <c r="F34" i="214" s="1"/>
  <c r="O38" i="213"/>
  <c r="N38" i="213"/>
  <c r="M38" i="213"/>
  <c r="P32" i="213" s="1"/>
  <c r="L38" i="213"/>
  <c r="O32" i="213" s="1"/>
  <c r="K38" i="213"/>
  <c r="J38" i="213"/>
  <c r="J29" i="213" s="1"/>
  <c r="I38" i="213"/>
  <c r="L32" i="213" s="1"/>
  <c r="H38" i="213"/>
  <c r="I30" i="213" s="1"/>
  <c r="S37" i="213"/>
  <c r="R29" i="213"/>
  <c r="G28" i="213"/>
  <c r="A28" i="213"/>
  <c r="A29" i="217" s="1"/>
  <c r="C29" i="217" s="1"/>
  <c r="S24" i="213"/>
  <c r="G15" i="213"/>
  <c r="A18" i="217"/>
  <c r="C18" i="217" s="1"/>
  <c r="G12" i="213"/>
  <c r="H12" i="213" s="1"/>
  <c r="D15" i="16" s="1"/>
  <c r="D15" i="220" s="1"/>
  <c r="D15" i="276" s="1"/>
  <c r="A8" i="213"/>
  <c r="J52" i="24"/>
  <c r="F52" i="24"/>
  <c r="J51" i="24"/>
  <c r="F51" i="24"/>
  <c r="J50" i="24"/>
  <c r="F50" i="24"/>
  <c r="J47" i="24"/>
  <c r="F47" i="24"/>
  <c r="J46" i="24"/>
  <c r="F136" i="38" s="1"/>
  <c r="D59" i="3" s="1"/>
  <c r="D57" i="232" s="1"/>
  <c r="F46" i="24"/>
  <c r="B57" i="232" s="1"/>
  <c r="J45" i="24"/>
  <c r="F135" i="38" s="1"/>
  <c r="D58" i="3" s="1"/>
  <c r="D56" i="232" s="1"/>
  <c r="F45" i="24"/>
  <c r="B56" i="232" s="1"/>
  <c r="J44" i="24"/>
  <c r="F44" i="24"/>
  <c r="B55" i="232" s="1"/>
  <c r="C214" i="38"/>
  <c r="B44" i="24" s="1"/>
  <c r="J43" i="24"/>
  <c r="F133" i="38" s="1"/>
  <c r="D56" i="3" s="1"/>
  <c r="D54" i="232" s="1"/>
  <c r="F43" i="24"/>
  <c r="J42" i="24"/>
  <c r="F132" i="38" s="1"/>
  <c r="D55" i="3" s="1"/>
  <c r="D53" i="232" s="1"/>
  <c r="F42" i="24"/>
  <c r="B53" i="232" s="1"/>
  <c r="B42" i="24"/>
  <c r="B34" i="232" s="1"/>
  <c r="J41" i="24"/>
  <c r="F131" i="38" s="1"/>
  <c r="F41" i="24"/>
  <c r="J40" i="24"/>
  <c r="F130" i="38" s="1"/>
  <c r="F40" i="24"/>
  <c r="B39" i="24"/>
  <c r="B38" i="24"/>
  <c r="B32" i="232" s="1"/>
  <c r="J37" i="24"/>
  <c r="F129" i="38" s="1"/>
  <c r="D48" i="3" s="1"/>
  <c r="D47" i="232" s="1"/>
  <c r="F37" i="24"/>
  <c r="B37" i="24"/>
  <c r="J36" i="24"/>
  <c r="F128" i="38" s="1"/>
  <c r="D47" i="3" s="1"/>
  <c r="D46" i="232" s="1"/>
  <c r="F36" i="24"/>
  <c r="J35" i="24"/>
  <c r="F35" i="24"/>
  <c r="B35" i="24"/>
  <c r="B29" i="3" s="1"/>
  <c r="A19" i="31"/>
  <c r="A37" i="31" s="1"/>
  <c r="A55" i="31" s="1"/>
  <c r="A73" i="31" s="1"/>
  <c r="A91" i="31" s="1"/>
  <c r="J34" i="24"/>
  <c r="D42" i="3" s="1"/>
  <c r="D41" i="232" s="1"/>
  <c r="B33" i="24"/>
  <c r="A17" i="31" s="1"/>
  <c r="A35" i="31" s="1"/>
  <c r="A53" i="31" s="1"/>
  <c r="A71" i="31" s="1"/>
  <c r="A89" i="31" s="1"/>
  <c r="J32" i="24"/>
  <c r="B32" i="24"/>
  <c r="A16" i="31" s="1"/>
  <c r="A34" i="31" s="1"/>
  <c r="A52" i="31" s="1"/>
  <c r="A70" i="31" s="1"/>
  <c r="A88" i="31" s="1"/>
  <c r="D19" i="24"/>
  <c r="J18" i="24"/>
  <c r="D18" i="24"/>
  <c r="D20" i="3" s="1"/>
  <c r="D76" i="7" s="1"/>
  <c r="J17" i="24"/>
  <c r="F17" i="24"/>
  <c r="B9" i="24"/>
  <c r="D71" i="30"/>
  <c r="F71" i="30" s="1"/>
  <c r="H71" i="30" s="1"/>
  <c r="J71" i="30" s="1"/>
  <c r="L71" i="30" s="1"/>
  <c r="D58" i="30"/>
  <c r="F58" i="30" s="1"/>
  <c r="H58" i="30" s="1"/>
  <c r="J58" i="30" s="1"/>
  <c r="L58" i="30" s="1"/>
  <c r="D45" i="30"/>
  <c r="F45" i="30" s="1"/>
  <c r="H45" i="30" s="1"/>
  <c r="J45" i="30" s="1"/>
  <c r="L45" i="30" s="1"/>
  <c r="D32" i="30"/>
  <c r="F32" i="30" s="1"/>
  <c r="H32" i="30" s="1"/>
  <c r="J32" i="30" s="1"/>
  <c r="L32" i="30" s="1"/>
  <c r="N18" i="30"/>
  <c r="O18" i="30" s="1"/>
  <c r="O19" i="30" s="1"/>
  <c r="O22" i="30" s="1"/>
  <c r="N16" i="30"/>
  <c r="A9" i="30"/>
  <c r="C241" i="38"/>
  <c r="J19" i="24" s="1"/>
  <c r="EE237" i="38"/>
  <c r="ED237" i="38"/>
  <c r="EC237" i="38"/>
  <c r="EB237" i="38"/>
  <c r="EA237" i="38"/>
  <c r="DZ237" i="38"/>
  <c r="DY237" i="38"/>
  <c r="DX237" i="38"/>
  <c r="DW237" i="38"/>
  <c r="DV237" i="38"/>
  <c r="DU237" i="38"/>
  <c r="DT237" i="38"/>
  <c r="DS237" i="38"/>
  <c r="DR237" i="38"/>
  <c r="DQ237" i="38"/>
  <c r="DP237" i="38"/>
  <c r="DO237" i="38"/>
  <c r="DN237" i="38"/>
  <c r="DM237" i="38"/>
  <c r="DL237" i="38"/>
  <c r="DK237" i="38"/>
  <c r="DJ237" i="38"/>
  <c r="DI237" i="38"/>
  <c r="DH237" i="38"/>
  <c r="DG237" i="38"/>
  <c r="DF237" i="38"/>
  <c r="DE237" i="38"/>
  <c r="DD237" i="38"/>
  <c r="DC237" i="38"/>
  <c r="DB237" i="38"/>
  <c r="DA237" i="38"/>
  <c r="CZ237" i="38"/>
  <c r="CY237" i="38"/>
  <c r="CX237" i="38"/>
  <c r="CW237" i="38"/>
  <c r="CV237" i="38"/>
  <c r="CU237" i="38"/>
  <c r="CT237" i="38"/>
  <c r="CS237" i="38"/>
  <c r="CR237" i="38"/>
  <c r="CQ237" i="38"/>
  <c r="CP237" i="38"/>
  <c r="CO237" i="38"/>
  <c r="CN237" i="38"/>
  <c r="CM237" i="38"/>
  <c r="CL237" i="38"/>
  <c r="CK237" i="38"/>
  <c r="CJ237" i="38"/>
  <c r="CI237" i="38"/>
  <c r="CH237" i="38"/>
  <c r="CG237" i="38"/>
  <c r="CF237" i="38"/>
  <c r="CE237" i="38"/>
  <c r="CD237" i="38"/>
  <c r="CC237" i="38"/>
  <c r="CB237" i="38"/>
  <c r="CA237" i="38"/>
  <c r="BZ237" i="38"/>
  <c r="BY237" i="38"/>
  <c r="BX237" i="38"/>
  <c r="BW237" i="38"/>
  <c r="BV237" i="38"/>
  <c r="BU237" i="38"/>
  <c r="BT237" i="38"/>
  <c r="BS237" i="38"/>
  <c r="BR237" i="38"/>
  <c r="BQ237" i="38"/>
  <c r="BP237" i="38"/>
  <c r="BO237" i="38"/>
  <c r="BN237" i="38"/>
  <c r="BM237" i="38"/>
  <c r="BL237" i="38"/>
  <c r="BK237" i="38"/>
  <c r="BJ237" i="38"/>
  <c r="BI237" i="38"/>
  <c r="BH237" i="38"/>
  <c r="BG237" i="38"/>
  <c r="BF237" i="38"/>
  <c r="BE237" i="38"/>
  <c r="BD237" i="38"/>
  <c r="BC237" i="38"/>
  <c r="BB237" i="38"/>
  <c r="BA237" i="38"/>
  <c r="AZ237" i="38"/>
  <c r="AY237" i="38"/>
  <c r="AX237" i="38"/>
  <c r="AW237" i="38"/>
  <c r="AV237" i="38"/>
  <c r="AU237" i="38"/>
  <c r="AT237" i="38"/>
  <c r="AS237" i="38"/>
  <c r="AR237" i="38"/>
  <c r="AP237" i="38"/>
  <c r="AO237" i="38"/>
  <c r="AN237" i="38"/>
  <c r="AM237" i="38"/>
  <c r="AL237" i="38"/>
  <c r="AK237" i="38"/>
  <c r="AJ237" i="38"/>
  <c r="AI237" i="38"/>
  <c r="AH237" i="38"/>
  <c r="AG237" i="38"/>
  <c r="AF237" i="38"/>
  <c r="AE237" i="38"/>
  <c r="AD237" i="38"/>
  <c r="AC237" i="38"/>
  <c r="AB237" i="38"/>
  <c r="AA237" i="38"/>
  <c r="Z237" i="38"/>
  <c r="Y237" i="38"/>
  <c r="X237" i="38"/>
  <c r="W237" i="38"/>
  <c r="V237" i="38"/>
  <c r="U237" i="38"/>
  <c r="T237" i="38"/>
  <c r="S237" i="38"/>
  <c r="R237" i="38"/>
  <c r="Q237" i="38"/>
  <c r="P237" i="38"/>
  <c r="O237" i="38"/>
  <c r="N237" i="38"/>
  <c r="M237" i="38"/>
  <c r="L237" i="38"/>
  <c r="K237" i="38"/>
  <c r="J237" i="38"/>
  <c r="I237" i="38"/>
  <c r="H237" i="38"/>
  <c r="G237" i="38"/>
  <c r="F237" i="38"/>
  <c r="E237" i="38"/>
  <c r="D237" i="38"/>
  <c r="EE235" i="38"/>
  <c r="ED235" i="38"/>
  <c r="EC235" i="38"/>
  <c r="EB235" i="38"/>
  <c r="EA235" i="38"/>
  <c r="DZ235" i="38"/>
  <c r="DY235" i="38"/>
  <c r="DX235" i="38"/>
  <c r="DW235" i="38"/>
  <c r="DV235" i="38"/>
  <c r="DU235" i="38"/>
  <c r="DT235" i="38"/>
  <c r="DS235" i="38"/>
  <c r="DR235" i="38"/>
  <c r="DQ235" i="38"/>
  <c r="DP235" i="38"/>
  <c r="DO235" i="38"/>
  <c r="DN235" i="38"/>
  <c r="DM235" i="38"/>
  <c r="DL235" i="38"/>
  <c r="DK235" i="38"/>
  <c r="DJ235" i="38"/>
  <c r="DI235" i="38"/>
  <c r="DH235" i="38"/>
  <c r="DG235" i="38"/>
  <c r="DF235" i="38"/>
  <c r="DE235" i="38"/>
  <c r="DD235" i="38"/>
  <c r="DC235" i="38"/>
  <c r="DB235" i="38"/>
  <c r="DA235" i="38"/>
  <c r="CZ235" i="38"/>
  <c r="CY235" i="38"/>
  <c r="CX235" i="38"/>
  <c r="CW235" i="38"/>
  <c r="CV235" i="38"/>
  <c r="CU235" i="38"/>
  <c r="CT235" i="38"/>
  <c r="CS235" i="38"/>
  <c r="CR235" i="38"/>
  <c r="CQ235" i="38"/>
  <c r="CP235" i="38"/>
  <c r="CO235" i="38"/>
  <c r="CN235" i="38"/>
  <c r="CM235" i="38"/>
  <c r="CL235" i="38"/>
  <c r="CK235" i="38"/>
  <c r="CJ235" i="38"/>
  <c r="CI235" i="38"/>
  <c r="CH235" i="38"/>
  <c r="CG235" i="38"/>
  <c r="CF235" i="38"/>
  <c r="CE235" i="38"/>
  <c r="CD235" i="38"/>
  <c r="CC235" i="38"/>
  <c r="CB235" i="38"/>
  <c r="CA235" i="38"/>
  <c r="BZ235" i="38"/>
  <c r="BY235" i="38"/>
  <c r="BX235" i="38"/>
  <c r="BW235" i="38"/>
  <c r="BV235" i="38"/>
  <c r="BU235" i="38"/>
  <c r="BT235" i="38"/>
  <c r="BS235" i="38"/>
  <c r="BR235" i="38"/>
  <c r="BQ235" i="38"/>
  <c r="BP235" i="38"/>
  <c r="BO235" i="38"/>
  <c r="BN235" i="38"/>
  <c r="BM235" i="38"/>
  <c r="BL235" i="38"/>
  <c r="BK235" i="38"/>
  <c r="BJ235" i="38"/>
  <c r="BI235" i="38"/>
  <c r="BH235" i="38"/>
  <c r="BG235" i="38"/>
  <c r="BF235" i="38"/>
  <c r="BE235" i="38"/>
  <c r="BD235" i="38"/>
  <c r="BC235" i="38"/>
  <c r="BB235" i="38"/>
  <c r="BA235" i="38"/>
  <c r="AZ235" i="38"/>
  <c r="AY235" i="38"/>
  <c r="AX235" i="38"/>
  <c r="AW235" i="38"/>
  <c r="AV235" i="38"/>
  <c r="AU235" i="38"/>
  <c r="AT235" i="38"/>
  <c r="AS235" i="38"/>
  <c r="AR235" i="38"/>
  <c r="AP235" i="38"/>
  <c r="AO235" i="38"/>
  <c r="AN235" i="38"/>
  <c r="AM235" i="38"/>
  <c r="AL235" i="38"/>
  <c r="AK235" i="38"/>
  <c r="AJ235" i="38"/>
  <c r="AI235" i="38"/>
  <c r="AH235" i="38"/>
  <c r="AG235" i="38"/>
  <c r="AF235" i="38"/>
  <c r="AE235" i="38"/>
  <c r="AD235" i="38"/>
  <c r="AC235" i="38"/>
  <c r="AB235" i="38"/>
  <c r="AA235" i="38"/>
  <c r="Z235" i="38"/>
  <c r="Y235" i="38"/>
  <c r="X235" i="38"/>
  <c r="W235" i="38"/>
  <c r="V235" i="38"/>
  <c r="U235" i="38"/>
  <c r="T235" i="38"/>
  <c r="S235" i="38"/>
  <c r="R235" i="38"/>
  <c r="Q235" i="38"/>
  <c r="P235" i="38"/>
  <c r="O235" i="38"/>
  <c r="N235" i="38"/>
  <c r="M235" i="38"/>
  <c r="L235" i="38"/>
  <c r="K235" i="38"/>
  <c r="J235" i="38"/>
  <c r="I235" i="38"/>
  <c r="H235" i="38"/>
  <c r="G235" i="38"/>
  <c r="F235" i="38"/>
  <c r="E235" i="38"/>
  <c r="D235" i="38"/>
  <c r="EE233" i="38"/>
  <c r="ED233" i="38"/>
  <c r="EC233" i="38"/>
  <c r="EB233" i="38"/>
  <c r="EA233" i="38"/>
  <c r="DZ233" i="38"/>
  <c r="DY233" i="38"/>
  <c r="DX233" i="38"/>
  <c r="DW233" i="38"/>
  <c r="DV233" i="38"/>
  <c r="DU233" i="38"/>
  <c r="DT233" i="38"/>
  <c r="DS233" i="38"/>
  <c r="DR233" i="38"/>
  <c r="DQ233" i="38"/>
  <c r="DP233" i="38"/>
  <c r="DO233" i="38"/>
  <c r="DN233" i="38"/>
  <c r="DM233" i="38"/>
  <c r="DL233" i="38"/>
  <c r="DK233" i="38"/>
  <c r="DJ233" i="38"/>
  <c r="DI233" i="38"/>
  <c r="DH233" i="38"/>
  <c r="DG233" i="38"/>
  <c r="DF233" i="38"/>
  <c r="DE233" i="38"/>
  <c r="DD233" i="38"/>
  <c r="DC233" i="38"/>
  <c r="DB233" i="38"/>
  <c r="DA233" i="38"/>
  <c r="CZ233" i="38"/>
  <c r="CY233" i="38"/>
  <c r="CX233" i="38"/>
  <c r="CW233" i="38"/>
  <c r="CV233" i="38"/>
  <c r="CU233" i="38"/>
  <c r="CT233" i="38"/>
  <c r="CS233" i="38"/>
  <c r="CR233" i="38"/>
  <c r="CQ233" i="38"/>
  <c r="CP233" i="38"/>
  <c r="CO233" i="38"/>
  <c r="CN233" i="38"/>
  <c r="CM233" i="38"/>
  <c r="CL233" i="38"/>
  <c r="CK233" i="38"/>
  <c r="CJ233" i="38"/>
  <c r="CI233" i="38"/>
  <c r="CH233" i="38"/>
  <c r="CG233" i="38"/>
  <c r="CF233" i="38"/>
  <c r="CE233" i="38"/>
  <c r="CD233" i="38"/>
  <c r="CC233" i="38"/>
  <c r="CB233" i="38"/>
  <c r="CA233" i="38"/>
  <c r="BZ233" i="38"/>
  <c r="BY233" i="38"/>
  <c r="BX233" i="38"/>
  <c r="BW233" i="38"/>
  <c r="BV233" i="38"/>
  <c r="BU233" i="38"/>
  <c r="BT233" i="38"/>
  <c r="BS233" i="38"/>
  <c r="BR233" i="38"/>
  <c r="BQ233" i="38"/>
  <c r="BP233" i="38"/>
  <c r="BO233" i="38"/>
  <c r="BN233" i="38"/>
  <c r="BM233" i="38"/>
  <c r="BL233" i="38"/>
  <c r="BK233" i="38"/>
  <c r="BJ233" i="38"/>
  <c r="BI233" i="38"/>
  <c r="BH233" i="38"/>
  <c r="BG233" i="38"/>
  <c r="BF233" i="38"/>
  <c r="BE233" i="38"/>
  <c r="BD233" i="38"/>
  <c r="BC233" i="38"/>
  <c r="BB233" i="38"/>
  <c r="BA233" i="38"/>
  <c r="AZ233" i="38"/>
  <c r="AY233" i="38"/>
  <c r="AX233" i="38"/>
  <c r="AW233" i="38"/>
  <c r="AV233" i="38"/>
  <c r="AU233" i="38"/>
  <c r="AT233" i="38"/>
  <c r="AS233" i="38"/>
  <c r="AR233" i="38"/>
  <c r="AP233" i="38"/>
  <c r="AO233" i="38"/>
  <c r="AN233" i="38"/>
  <c r="AM233" i="38"/>
  <c r="AL233" i="38"/>
  <c r="AK233" i="38"/>
  <c r="AJ233" i="38"/>
  <c r="AI233" i="38"/>
  <c r="AH233" i="38"/>
  <c r="AG233" i="38"/>
  <c r="AF233" i="38"/>
  <c r="AE233" i="38"/>
  <c r="AD233" i="38"/>
  <c r="AC233" i="38"/>
  <c r="AB233" i="38"/>
  <c r="AA233" i="38"/>
  <c r="Z233" i="38"/>
  <c r="Y233" i="38"/>
  <c r="X233" i="38"/>
  <c r="W233" i="38"/>
  <c r="V233" i="38"/>
  <c r="U233" i="38"/>
  <c r="T233" i="38"/>
  <c r="S233" i="38"/>
  <c r="R233" i="38"/>
  <c r="Q233" i="38"/>
  <c r="P233" i="38"/>
  <c r="O233" i="38"/>
  <c r="N233" i="38"/>
  <c r="M233" i="38"/>
  <c r="L233" i="38"/>
  <c r="K233" i="38"/>
  <c r="J233" i="38"/>
  <c r="I233" i="38"/>
  <c r="H233" i="38"/>
  <c r="G233" i="38"/>
  <c r="F233" i="38"/>
  <c r="E233" i="38"/>
  <c r="D233" i="38"/>
  <c r="EE231" i="38"/>
  <c r="ED231" i="38"/>
  <c r="EC231" i="38"/>
  <c r="EB231" i="38"/>
  <c r="EA231" i="38"/>
  <c r="DZ231" i="38"/>
  <c r="DY231" i="38"/>
  <c r="DX231" i="38"/>
  <c r="DW231" i="38"/>
  <c r="DV231" i="38"/>
  <c r="DU231" i="38"/>
  <c r="DT231" i="38"/>
  <c r="DS231" i="38"/>
  <c r="DR231" i="38"/>
  <c r="DQ231" i="38"/>
  <c r="DP231" i="38"/>
  <c r="DO231" i="38"/>
  <c r="DN231" i="38"/>
  <c r="DM231" i="38"/>
  <c r="DL231" i="38"/>
  <c r="DK231" i="38"/>
  <c r="DJ231" i="38"/>
  <c r="DI231" i="38"/>
  <c r="DH231" i="38"/>
  <c r="DG231" i="38"/>
  <c r="DF231" i="38"/>
  <c r="DE231" i="38"/>
  <c r="DD231" i="38"/>
  <c r="DC231" i="38"/>
  <c r="DB231" i="38"/>
  <c r="DA231" i="38"/>
  <c r="CZ231" i="38"/>
  <c r="CY231" i="38"/>
  <c r="CX231" i="38"/>
  <c r="CW231" i="38"/>
  <c r="CV231" i="38"/>
  <c r="CU231" i="38"/>
  <c r="CT231" i="38"/>
  <c r="CS231" i="38"/>
  <c r="CR231" i="38"/>
  <c r="CQ231" i="38"/>
  <c r="CP231" i="38"/>
  <c r="CO231" i="38"/>
  <c r="CN231" i="38"/>
  <c r="CM231" i="38"/>
  <c r="CL231" i="38"/>
  <c r="CK231" i="38"/>
  <c r="CJ231" i="38"/>
  <c r="CI231" i="38"/>
  <c r="CH231" i="38"/>
  <c r="CG231" i="38"/>
  <c r="CF231" i="38"/>
  <c r="CE231" i="38"/>
  <c r="CD231" i="38"/>
  <c r="CC231" i="38"/>
  <c r="CB231" i="38"/>
  <c r="CA231" i="38"/>
  <c r="BZ231" i="38"/>
  <c r="BY231" i="38"/>
  <c r="BX231" i="38"/>
  <c r="BW231" i="38"/>
  <c r="BV231" i="38"/>
  <c r="BU231" i="38"/>
  <c r="BT231" i="38"/>
  <c r="BS231" i="38"/>
  <c r="BR231" i="38"/>
  <c r="BQ231" i="38"/>
  <c r="BP231" i="38"/>
  <c r="BO231" i="38"/>
  <c r="BN231" i="38"/>
  <c r="BM231" i="38"/>
  <c r="BL231" i="38"/>
  <c r="BK231" i="38"/>
  <c r="BJ231" i="38"/>
  <c r="BI231" i="38"/>
  <c r="BH231" i="38"/>
  <c r="BG231" i="38"/>
  <c r="BF231" i="38"/>
  <c r="BE231" i="38"/>
  <c r="BD231" i="38"/>
  <c r="BC231" i="38"/>
  <c r="BB231" i="38"/>
  <c r="BA231" i="38"/>
  <c r="AZ231" i="38"/>
  <c r="AY231" i="38"/>
  <c r="AX231" i="38"/>
  <c r="AW231" i="38"/>
  <c r="AV231" i="38"/>
  <c r="AU231" i="38"/>
  <c r="AT231" i="38"/>
  <c r="AS231" i="38"/>
  <c r="AR231" i="38"/>
  <c r="AP231" i="38"/>
  <c r="AO231" i="38"/>
  <c r="AN231" i="38"/>
  <c r="AM231" i="38"/>
  <c r="AL231" i="38"/>
  <c r="AK231" i="38"/>
  <c r="AJ231" i="38"/>
  <c r="AI231" i="38"/>
  <c r="AH231" i="38"/>
  <c r="AG231" i="38"/>
  <c r="AF231" i="38"/>
  <c r="AE231" i="38"/>
  <c r="AD231" i="38"/>
  <c r="AC231" i="38"/>
  <c r="AB231" i="38"/>
  <c r="AA231" i="38"/>
  <c r="Z231" i="38"/>
  <c r="Y231" i="38"/>
  <c r="X231" i="38"/>
  <c r="W231" i="38"/>
  <c r="V231" i="38"/>
  <c r="U231" i="38"/>
  <c r="T231" i="38"/>
  <c r="S231" i="38"/>
  <c r="R231" i="38"/>
  <c r="Q231" i="38"/>
  <c r="P231" i="38"/>
  <c r="O231" i="38"/>
  <c r="N231" i="38"/>
  <c r="M231" i="38"/>
  <c r="L231" i="38"/>
  <c r="K231" i="38"/>
  <c r="J231" i="38"/>
  <c r="I231" i="38"/>
  <c r="H231" i="38"/>
  <c r="G231" i="38"/>
  <c r="F231" i="38"/>
  <c r="E231" i="38"/>
  <c r="D231" i="38"/>
  <c r="EE229" i="38"/>
  <c r="ED229" i="38"/>
  <c r="EC229" i="38"/>
  <c r="EB229" i="38"/>
  <c r="EA229" i="38"/>
  <c r="DZ229" i="38"/>
  <c r="DY229" i="38"/>
  <c r="DX229" i="38"/>
  <c r="DW229" i="38"/>
  <c r="DV229" i="38"/>
  <c r="DU229" i="38"/>
  <c r="DT229" i="38"/>
  <c r="DS229" i="38"/>
  <c r="DR229" i="38"/>
  <c r="DQ229" i="38"/>
  <c r="DP229" i="38"/>
  <c r="DO229" i="38"/>
  <c r="DN229" i="38"/>
  <c r="DM229" i="38"/>
  <c r="DL229" i="38"/>
  <c r="DK229" i="38"/>
  <c r="DJ229" i="38"/>
  <c r="DI229" i="38"/>
  <c r="DH229" i="38"/>
  <c r="DG229" i="38"/>
  <c r="DF229" i="38"/>
  <c r="DE229" i="38"/>
  <c r="DD229" i="38"/>
  <c r="DC229" i="38"/>
  <c r="DB229" i="38"/>
  <c r="DA229" i="38"/>
  <c r="CZ229" i="38"/>
  <c r="CY229" i="38"/>
  <c r="CX229" i="38"/>
  <c r="CW229" i="38"/>
  <c r="CV229" i="38"/>
  <c r="CU229" i="38"/>
  <c r="CT229" i="38"/>
  <c r="CS229" i="38"/>
  <c r="CR229" i="38"/>
  <c r="CQ229" i="38"/>
  <c r="CP229" i="38"/>
  <c r="CO229" i="38"/>
  <c r="CN229" i="38"/>
  <c r="CM229" i="38"/>
  <c r="CL229" i="38"/>
  <c r="CK229" i="38"/>
  <c r="CJ229" i="38"/>
  <c r="CI229" i="38"/>
  <c r="CH229" i="38"/>
  <c r="CG229" i="38"/>
  <c r="CF229" i="38"/>
  <c r="CE229" i="38"/>
  <c r="CD229" i="38"/>
  <c r="CC229" i="38"/>
  <c r="CB229" i="38"/>
  <c r="CA229" i="38"/>
  <c r="BZ229" i="38"/>
  <c r="BY229" i="38"/>
  <c r="BX229" i="38"/>
  <c r="BW229" i="38"/>
  <c r="BV229" i="38"/>
  <c r="BU229" i="38"/>
  <c r="BT229" i="38"/>
  <c r="BS229" i="38"/>
  <c r="BR229" i="38"/>
  <c r="BQ229" i="38"/>
  <c r="BP229" i="38"/>
  <c r="BO229" i="38"/>
  <c r="BN229" i="38"/>
  <c r="BM229" i="38"/>
  <c r="BL229" i="38"/>
  <c r="BK229" i="38"/>
  <c r="BJ229" i="38"/>
  <c r="BI229" i="38"/>
  <c r="BH229" i="38"/>
  <c r="BG229" i="38"/>
  <c r="BF229" i="38"/>
  <c r="BE229" i="38"/>
  <c r="BD229" i="38"/>
  <c r="BC229" i="38"/>
  <c r="BB229" i="38"/>
  <c r="BA229" i="38"/>
  <c r="AZ229" i="38"/>
  <c r="AY229" i="38"/>
  <c r="AX229" i="38"/>
  <c r="AW229" i="38"/>
  <c r="AV229" i="38"/>
  <c r="AU229" i="38"/>
  <c r="AT229" i="38"/>
  <c r="AS229" i="38"/>
  <c r="AR229" i="38"/>
  <c r="AP229" i="38"/>
  <c r="AO229" i="38"/>
  <c r="AN229" i="38"/>
  <c r="AM229" i="38"/>
  <c r="AL229" i="38"/>
  <c r="AK229" i="38"/>
  <c r="AJ229" i="38"/>
  <c r="AI229" i="38"/>
  <c r="AH229" i="38"/>
  <c r="AG229" i="38"/>
  <c r="AF229" i="38"/>
  <c r="AE229" i="38"/>
  <c r="AD229" i="38"/>
  <c r="AC229" i="38"/>
  <c r="AB229" i="38"/>
  <c r="AA229" i="38"/>
  <c r="Z229" i="38"/>
  <c r="Y229" i="38"/>
  <c r="X229" i="38"/>
  <c r="W229" i="38"/>
  <c r="V229" i="38"/>
  <c r="U229" i="38"/>
  <c r="T229" i="38"/>
  <c r="S229" i="38"/>
  <c r="R229" i="38"/>
  <c r="Q229" i="38"/>
  <c r="P229" i="38"/>
  <c r="O229" i="38"/>
  <c r="N229" i="38"/>
  <c r="M229" i="38"/>
  <c r="L229" i="38"/>
  <c r="K229" i="38"/>
  <c r="J229" i="38"/>
  <c r="I229" i="38"/>
  <c r="H229" i="38"/>
  <c r="G229" i="38"/>
  <c r="F229" i="38"/>
  <c r="E229" i="38"/>
  <c r="D229" i="38"/>
  <c r="EE225" i="38"/>
  <c r="ED225" i="38"/>
  <c r="EC225" i="38"/>
  <c r="EB225" i="38"/>
  <c r="EA225" i="38"/>
  <c r="DZ225" i="38"/>
  <c r="DY225" i="38"/>
  <c r="DX225" i="38"/>
  <c r="DW225" i="38"/>
  <c r="DV225" i="38"/>
  <c r="DU225" i="38"/>
  <c r="DT225" i="38"/>
  <c r="DS225" i="38"/>
  <c r="DR225" i="38"/>
  <c r="DQ225" i="38"/>
  <c r="DP225" i="38"/>
  <c r="DO225" i="38"/>
  <c r="DN225" i="38"/>
  <c r="DM225" i="38"/>
  <c r="DL225" i="38"/>
  <c r="DK225" i="38"/>
  <c r="DJ225" i="38"/>
  <c r="DI225" i="38"/>
  <c r="DH225" i="38"/>
  <c r="DG225" i="38"/>
  <c r="DF225" i="38"/>
  <c r="DE225" i="38"/>
  <c r="DD225" i="38"/>
  <c r="DC225" i="38"/>
  <c r="DB225" i="38"/>
  <c r="DA225" i="38"/>
  <c r="CZ225" i="38"/>
  <c r="CY225" i="38"/>
  <c r="CX225" i="38"/>
  <c r="CW225" i="38"/>
  <c r="CV225" i="38"/>
  <c r="CU225" i="38"/>
  <c r="CT225" i="38"/>
  <c r="CS225" i="38"/>
  <c r="CR225" i="38"/>
  <c r="CQ225" i="38"/>
  <c r="CP225" i="38"/>
  <c r="CO225" i="38"/>
  <c r="CN225" i="38"/>
  <c r="CM225" i="38"/>
  <c r="CL225" i="38"/>
  <c r="CK225" i="38"/>
  <c r="CJ225" i="38"/>
  <c r="CI225" i="38"/>
  <c r="CH225" i="38"/>
  <c r="CG225" i="38"/>
  <c r="CF225" i="38"/>
  <c r="CE225" i="38"/>
  <c r="CD225" i="38"/>
  <c r="CC225" i="38"/>
  <c r="CB225" i="38"/>
  <c r="CA225" i="38"/>
  <c r="BZ225" i="38"/>
  <c r="BY225" i="38"/>
  <c r="BX225" i="38"/>
  <c r="BW225" i="38"/>
  <c r="BV225" i="38"/>
  <c r="BU225" i="38"/>
  <c r="BT225" i="38"/>
  <c r="BS225" i="38"/>
  <c r="BR225" i="38"/>
  <c r="BQ225" i="38"/>
  <c r="BP225" i="38"/>
  <c r="BO225" i="38"/>
  <c r="BN225" i="38"/>
  <c r="BM225" i="38"/>
  <c r="BL225" i="38"/>
  <c r="BK225" i="38"/>
  <c r="BJ225" i="38"/>
  <c r="BI225" i="38"/>
  <c r="BH225" i="38"/>
  <c r="BG225" i="38"/>
  <c r="BF225" i="38"/>
  <c r="BE225" i="38"/>
  <c r="BD225" i="38"/>
  <c r="BC225" i="38"/>
  <c r="BB225" i="38"/>
  <c r="BA225" i="38"/>
  <c r="AZ225" i="38"/>
  <c r="AY225" i="38"/>
  <c r="AX225" i="38"/>
  <c r="AW225" i="38"/>
  <c r="AV225" i="38"/>
  <c r="AU225" i="38"/>
  <c r="AT225" i="38"/>
  <c r="AS225" i="38"/>
  <c r="AR225" i="38"/>
  <c r="AP225" i="38"/>
  <c r="AO225" i="38"/>
  <c r="AN225" i="38"/>
  <c r="AM225" i="38"/>
  <c r="AL225" i="38"/>
  <c r="AK225" i="38"/>
  <c r="AJ225" i="38"/>
  <c r="AI225" i="38"/>
  <c r="AH225" i="38"/>
  <c r="AG225" i="38"/>
  <c r="AF225" i="38"/>
  <c r="AE225" i="38"/>
  <c r="AD225" i="38"/>
  <c r="AC225" i="38"/>
  <c r="AB225" i="38"/>
  <c r="AA225" i="38"/>
  <c r="Z225" i="38"/>
  <c r="Y225" i="38"/>
  <c r="X225" i="38"/>
  <c r="W225" i="38"/>
  <c r="V225" i="38"/>
  <c r="U225" i="38"/>
  <c r="T225" i="38"/>
  <c r="S225" i="38"/>
  <c r="R225" i="38"/>
  <c r="Q225" i="38"/>
  <c r="P225" i="38"/>
  <c r="O225" i="38"/>
  <c r="N225" i="38"/>
  <c r="M225" i="38"/>
  <c r="L225" i="38"/>
  <c r="K225" i="38"/>
  <c r="J225" i="38"/>
  <c r="I225" i="38"/>
  <c r="H225" i="38"/>
  <c r="G225" i="38"/>
  <c r="F225" i="38"/>
  <c r="E225" i="38"/>
  <c r="D225" i="38"/>
  <c r="EE223" i="38"/>
  <c r="ED223" i="38"/>
  <c r="EC223" i="38"/>
  <c r="EB223" i="38"/>
  <c r="EA223" i="38"/>
  <c r="DZ223" i="38"/>
  <c r="DY223" i="38"/>
  <c r="DX223" i="38"/>
  <c r="DW223" i="38"/>
  <c r="DV223" i="38"/>
  <c r="DU223" i="38"/>
  <c r="DT223" i="38"/>
  <c r="DS223" i="38"/>
  <c r="DR223" i="38"/>
  <c r="DQ223" i="38"/>
  <c r="DP223" i="38"/>
  <c r="DO223" i="38"/>
  <c r="DN223" i="38"/>
  <c r="DM223" i="38"/>
  <c r="DL223" i="38"/>
  <c r="DK223" i="38"/>
  <c r="DJ223" i="38"/>
  <c r="DI223" i="38"/>
  <c r="DH223" i="38"/>
  <c r="DG223" i="38"/>
  <c r="DF223" i="38"/>
  <c r="DE223" i="38"/>
  <c r="DD223" i="38"/>
  <c r="DC223" i="38"/>
  <c r="DB223" i="38"/>
  <c r="DA223" i="38"/>
  <c r="CZ223" i="38"/>
  <c r="CY223" i="38"/>
  <c r="CX223" i="38"/>
  <c r="CW223" i="38"/>
  <c r="CV223" i="38"/>
  <c r="CU223" i="38"/>
  <c r="CT223" i="38"/>
  <c r="CS223" i="38"/>
  <c r="CR223" i="38"/>
  <c r="CQ223" i="38"/>
  <c r="CP223" i="38"/>
  <c r="CO223" i="38"/>
  <c r="CN223" i="38"/>
  <c r="CM223" i="38"/>
  <c r="CL223" i="38"/>
  <c r="CK223" i="38"/>
  <c r="CJ223" i="38"/>
  <c r="CI223" i="38"/>
  <c r="CH223" i="38"/>
  <c r="CG223" i="38"/>
  <c r="CF223" i="38"/>
  <c r="CE223" i="38"/>
  <c r="CD223" i="38"/>
  <c r="CC223" i="38"/>
  <c r="CB223" i="38"/>
  <c r="CA223" i="38"/>
  <c r="BZ223" i="38"/>
  <c r="BY223" i="38"/>
  <c r="BX223" i="38"/>
  <c r="BW223" i="38"/>
  <c r="BV223" i="38"/>
  <c r="BU223" i="38"/>
  <c r="BT223" i="38"/>
  <c r="BS223" i="38"/>
  <c r="BR223" i="38"/>
  <c r="BQ223" i="38"/>
  <c r="BP223" i="38"/>
  <c r="BO223" i="38"/>
  <c r="BN223" i="38"/>
  <c r="BM223" i="38"/>
  <c r="BL223" i="38"/>
  <c r="BK223" i="38"/>
  <c r="BJ223" i="38"/>
  <c r="BI223" i="38"/>
  <c r="BH223" i="38"/>
  <c r="BG223" i="38"/>
  <c r="BF223" i="38"/>
  <c r="BE223" i="38"/>
  <c r="BD223" i="38"/>
  <c r="BC223" i="38"/>
  <c r="BB223" i="38"/>
  <c r="BA223" i="38"/>
  <c r="AZ223" i="38"/>
  <c r="AY223" i="38"/>
  <c r="AX223" i="38"/>
  <c r="AW223" i="38"/>
  <c r="AV223" i="38"/>
  <c r="AU223" i="38"/>
  <c r="AT223" i="38"/>
  <c r="AS223" i="38"/>
  <c r="AR223" i="38"/>
  <c r="AP223" i="38"/>
  <c r="AO223" i="38"/>
  <c r="AN223" i="38"/>
  <c r="AM223" i="38"/>
  <c r="AL223" i="38"/>
  <c r="AK223" i="38"/>
  <c r="AJ223" i="38"/>
  <c r="AI223" i="38"/>
  <c r="AH223" i="38"/>
  <c r="AG223" i="38"/>
  <c r="AF223" i="38"/>
  <c r="AE223" i="38"/>
  <c r="AD223" i="38"/>
  <c r="AC223" i="38"/>
  <c r="AB223" i="38"/>
  <c r="AA223" i="38"/>
  <c r="Z223" i="38"/>
  <c r="Y223" i="38"/>
  <c r="X223" i="38"/>
  <c r="W223" i="38"/>
  <c r="V223" i="38"/>
  <c r="U223" i="38"/>
  <c r="T223" i="38"/>
  <c r="S223" i="38"/>
  <c r="R223" i="38"/>
  <c r="Q223" i="38"/>
  <c r="P223" i="38"/>
  <c r="O223" i="38"/>
  <c r="N223" i="38"/>
  <c r="M223" i="38"/>
  <c r="L223" i="38"/>
  <c r="K223" i="38"/>
  <c r="J223" i="38"/>
  <c r="I223" i="38"/>
  <c r="H223" i="38"/>
  <c r="G223" i="38"/>
  <c r="F223" i="38"/>
  <c r="E223" i="38"/>
  <c r="D223" i="38"/>
  <c r="EE221" i="38"/>
  <c r="ED221" i="38"/>
  <c r="EC221" i="38"/>
  <c r="EB221" i="38"/>
  <c r="EA221" i="38"/>
  <c r="DZ221" i="38"/>
  <c r="DY221" i="38"/>
  <c r="DX221" i="38"/>
  <c r="DW221" i="38"/>
  <c r="DV221" i="38"/>
  <c r="DU221" i="38"/>
  <c r="DT221" i="38"/>
  <c r="DS221" i="38"/>
  <c r="DR221" i="38"/>
  <c r="DQ221" i="38"/>
  <c r="DP221" i="38"/>
  <c r="DO221" i="38"/>
  <c r="DN221" i="38"/>
  <c r="DM221" i="38"/>
  <c r="DL221" i="38"/>
  <c r="DK221" i="38"/>
  <c r="DJ221" i="38"/>
  <c r="DI221" i="38"/>
  <c r="DH221" i="38"/>
  <c r="DG221" i="38"/>
  <c r="DF221" i="38"/>
  <c r="DE221" i="38"/>
  <c r="DD221" i="38"/>
  <c r="DC221" i="38"/>
  <c r="DB221" i="38"/>
  <c r="DA221" i="38"/>
  <c r="CZ221" i="38"/>
  <c r="CY221" i="38"/>
  <c r="CX221" i="38"/>
  <c r="CW221" i="38"/>
  <c r="CV221" i="38"/>
  <c r="CU221" i="38"/>
  <c r="CT221" i="38"/>
  <c r="CS221" i="38"/>
  <c r="CR221" i="38"/>
  <c r="CQ221" i="38"/>
  <c r="CP221" i="38"/>
  <c r="CO221" i="38"/>
  <c r="CN221" i="38"/>
  <c r="CM221" i="38"/>
  <c r="CL221" i="38"/>
  <c r="CK221" i="38"/>
  <c r="CJ221" i="38"/>
  <c r="CI221" i="38"/>
  <c r="CH221" i="38"/>
  <c r="CG221" i="38"/>
  <c r="CF221" i="38"/>
  <c r="CE221" i="38"/>
  <c r="CD221" i="38"/>
  <c r="CC221" i="38"/>
  <c r="CB221" i="38"/>
  <c r="CA221" i="38"/>
  <c r="BZ221" i="38"/>
  <c r="BY221" i="38"/>
  <c r="BX221" i="38"/>
  <c r="BW221" i="38"/>
  <c r="BV221" i="38"/>
  <c r="BU221" i="38"/>
  <c r="BT221" i="38"/>
  <c r="BS221" i="38"/>
  <c r="BR221" i="38"/>
  <c r="BQ221" i="38"/>
  <c r="BP221" i="38"/>
  <c r="BO221" i="38"/>
  <c r="BN221" i="38"/>
  <c r="BM221" i="38"/>
  <c r="BL221" i="38"/>
  <c r="BK221" i="38"/>
  <c r="BJ221" i="38"/>
  <c r="BI221" i="38"/>
  <c r="BH221" i="38"/>
  <c r="BG221" i="38"/>
  <c r="BF221" i="38"/>
  <c r="BE221" i="38"/>
  <c r="BD221" i="38"/>
  <c r="BC221" i="38"/>
  <c r="BB221" i="38"/>
  <c r="BA221" i="38"/>
  <c r="AZ221" i="38"/>
  <c r="AY221" i="38"/>
  <c r="AX221" i="38"/>
  <c r="AW221" i="38"/>
  <c r="AV221" i="38"/>
  <c r="AU221" i="38"/>
  <c r="AT221" i="38"/>
  <c r="AS221" i="38"/>
  <c r="AR221" i="38"/>
  <c r="AP221" i="38"/>
  <c r="AO221" i="38"/>
  <c r="AN221" i="38"/>
  <c r="AM221" i="38"/>
  <c r="AL221" i="38"/>
  <c r="AK221" i="38"/>
  <c r="AJ221" i="38"/>
  <c r="AI221" i="38"/>
  <c r="AH221" i="38"/>
  <c r="AG221" i="38"/>
  <c r="AF221" i="38"/>
  <c r="AE221" i="38"/>
  <c r="AD221" i="38"/>
  <c r="AC221" i="38"/>
  <c r="AB221" i="38"/>
  <c r="AA221" i="38"/>
  <c r="Z221" i="38"/>
  <c r="Y221" i="38"/>
  <c r="X221" i="38"/>
  <c r="W221" i="38"/>
  <c r="V221" i="38"/>
  <c r="U221" i="38"/>
  <c r="T221" i="38"/>
  <c r="S221" i="38"/>
  <c r="R221" i="38"/>
  <c r="Q221" i="38"/>
  <c r="P221" i="38"/>
  <c r="O221" i="38"/>
  <c r="N221" i="38"/>
  <c r="M221" i="38"/>
  <c r="L221" i="38"/>
  <c r="K221" i="38"/>
  <c r="J221" i="38"/>
  <c r="I221" i="38"/>
  <c r="H221" i="38"/>
  <c r="G221" i="38"/>
  <c r="F221" i="38"/>
  <c r="E221" i="38"/>
  <c r="D221" i="38"/>
  <c r="EE219" i="38"/>
  <c r="ED219" i="38"/>
  <c r="EC219" i="38"/>
  <c r="EB219" i="38"/>
  <c r="EA219" i="38"/>
  <c r="DZ219" i="38"/>
  <c r="DY219" i="38"/>
  <c r="DX219" i="38"/>
  <c r="DW219" i="38"/>
  <c r="DV219" i="38"/>
  <c r="DU219" i="38"/>
  <c r="DT219" i="38"/>
  <c r="DS219" i="38"/>
  <c r="DR219" i="38"/>
  <c r="DQ219" i="38"/>
  <c r="DP219" i="38"/>
  <c r="DO219" i="38"/>
  <c r="DN219" i="38"/>
  <c r="DM219" i="38"/>
  <c r="DL219" i="38"/>
  <c r="DK219" i="38"/>
  <c r="DJ219" i="38"/>
  <c r="DI219" i="38"/>
  <c r="DH219" i="38"/>
  <c r="DG219" i="38"/>
  <c r="DF219" i="38"/>
  <c r="DE219" i="38"/>
  <c r="DD219" i="38"/>
  <c r="DC219" i="38"/>
  <c r="DB219" i="38"/>
  <c r="DA219" i="38"/>
  <c r="CZ219" i="38"/>
  <c r="CY219" i="38"/>
  <c r="CX219" i="38"/>
  <c r="CW219" i="38"/>
  <c r="CV219" i="38"/>
  <c r="CU219" i="38"/>
  <c r="CT219" i="38"/>
  <c r="CS219" i="38"/>
  <c r="CR219" i="38"/>
  <c r="CQ219" i="38"/>
  <c r="CP219" i="38"/>
  <c r="CO219" i="38"/>
  <c r="CN219" i="38"/>
  <c r="CM219" i="38"/>
  <c r="CL219" i="38"/>
  <c r="CK219" i="38"/>
  <c r="CJ219" i="38"/>
  <c r="CI219" i="38"/>
  <c r="CH219" i="38"/>
  <c r="CG219" i="38"/>
  <c r="CF219" i="38"/>
  <c r="CE219" i="38"/>
  <c r="CD219" i="38"/>
  <c r="CC219" i="38"/>
  <c r="CB219" i="38"/>
  <c r="CA219" i="38"/>
  <c r="BZ219" i="38"/>
  <c r="BY219" i="38"/>
  <c r="BX219" i="38"/>
  <c r="BW219" i="38"/>
  <c r="BV219" i="38"/>
  <c r="BU219" i="38"/>
  <c r="BT219" i="38"/>
  <c r="BS219" i="38"/>
  <c r="BR219" i="38"/>
  <c r="BQ219" i="38"/>
  <c r="BP219" i="38"/>
  <c r="BO219" i="38"/>
  <c r="BN219" i="38"/>
  <c r="BM219" i="38"/>
  <c r="BL219" i="38"/>
  <c r="BK219" i="38"/>
  <c r="BJ219" i="38"/>
  <c r="BI219" i="38"/>
  <c r="BH219" i="38"/>
  <c r="BG219" i="38"/>
  <c r="BF219" i="38"/>
  <c r="BE219" i="38"/>
  <c r="BD219" i="38"/>
  <c r="BC219" i="38"/>
  <c r="BB219" i="38"/>
  <c r="BA219" i="38"/>
  <c r="AZ219" i="38"/>
  <c r="AY219" i="38"/>
  <c r="AX219" i="38"/>
  <c r="AW219" i="38"/>
  <c r="AV219" i="38"/>
  <c r="AU219" i="38"/>
  <c r="AT219" i="38"/>
  <c r="AS219" i="38"/>
  <c r="AR219" i="38"/>
  <c r="AP219" i="38"/>
  <c r="AO219" i="38"/>
  <c r="AN219" i="38"/>
  <c r="AM219" i="38"/>
  <c r="AL219" i="38"/>
  <c r="AK219" i="38"/>
  <c r="AJ219" i="38"/>
  <c r="AI219" i="38"/>
  <c r="AH219" i="38"/>
  <c r="AG219" i="38"/>
  <c r="AF219" i="38"/>
  <c r="AE219" i="38"/>
  <c r="AD219" i="38"/>
  <c r="AC219" i="38"/>
  <c r="AB219" i="38"/>
  <c r="AA219" i="38"/>
  <c r="Z219" i="38"/>
  <c r="Y219" i="38"/>
  <c r="X219" i="38"/>
  <c r="W219" i="38"/>
  <c r="V219" i="38"/>
  <c r="U219" i="38"/>
  <c r="T219" i="38"/>
  <c r="S219" i="38"/>
  <c r="R219" i="38"/>
  <c r="Q219" i="38"/>
  <c r="P219" i="38"/>
  <c r="O219" i="38"/>
  <c r="N219" i="38"/>
  <c r="M219" i="38"/>
  <c r="L219" i="38"/>
  <c r="K219" i="38"/>
  <c r="J219" i="38"/>
  <c r="I219" i="38"/>
  <c r="H219" i="38"/>
  <c r="G219" i="38"/>
  <c r="F219" i="38"/>
  <c r="E219" i="38"/>
  <c r="D219" i="38"/>
  <c r="C212" i="38"/>
  <c r="B43" i="24" s="1"/>
  <c r="C207" i="38"/>
  <c r="B36" i="24" s="1"/>
  <c r="B30" i="232" s="1"/>
  <c r="C205" i="38"/>
  <c r="B34" i="24" s="1"/>
  <c r="C202" i="38"/>
  <c r="B31" i="24" s="1"/>
  <c r="A15" i="31" s="1"/>
  <c r="A33" i="31" s="1"/>
  <c r="A51" i="31" s="1"/>
  <c r="A69" i="31" s="1"/>
  <c r="A87" i="31" s="1"/>
  <c r="AP196" i="38"/>
  <c r="AO196" i="38"/>
  <c r="AN196" i="38"/>
  <c r="AM196" i="38"/>
  <c r="AL196" i="38"/>
  <c r="AK196" i="38"/>
  <c r="AJ196" i="38"/>
  <c r="AI196" i="38"/>
  <c r="AH196" i="38"/>
  <c r="AG196" i="38"/>
  <c r="AF196" i="38"/>
  <c r="AE196" i="38"/>
  <c r="AD196" i="38"/>
  <c r="AC196" i="38"/>
  <c r="AB196" i="38"/>
  <c r="AA196" i="38"/>
  <c r="Z196" i="38"/>
  <c r="Y196" i="38"/>
  <c r="X196" i="38"/>
  <c r="W196" i="38"/>
  <c r="V196" i="38"/>
  <c r="U196" i="38"/>
  <c r="T196" i="38"/>
  <c r="S196" i="38"/>
  <c r="R196" i="38"/>
  <c r="Q196" i="38"/>
  <c r="P196" i="38"/>
  <c r="O196" i="38"/>
  <c r="N196" i="38"/>
  <c r="M196" i="38"/>
  <c r="L196" i="38"/>
  <c r="K196" i="38"/>
  <c r="J196" i="38"/>
  <c r="I196" i="38"/>
  <c r="H196" i="38"/>
  <c r="G196" i="38"/>
  <c r="F196" i="38"/>
  <c r="E196" i="38"/>
  <c r="D196" i="38"/>
  <c r="AP195" i="38"/>
  <c r="AO195" i="38"/>
  <c r="AN195" i="38"/>
  <c r="AM195" i="38"/>
  <c r="AL195" i="38"/>
  <c r="AK195" i="38"/>
  <c r="AJ195" i="38"/>
  <c r="AI195" i="38"/>
  <c r="AH195" i="38"/>
  <c r="AG195" i="38"/>
  <c r="AF195" i="38"/>
  <c r="AE195" i="38"/>
  <c r="AD195" i="38"/>
  <c r="AC195" i="38"/>
  <c r="AB195" i="38"/>
  <c r="AA195" i="38"/>
  <c r="Z195" i="38"/>
  <c r="Y195" i="38"/>
  <c r="X195" i="38"/>
  <c r="W195" i="38"/>
  <c r="V195" i="38"/>
  <c r="U195" i="38"/>
  <c r="T195" i="38"/>
  <c r="S195" i="38"/>
  <c r="R195" i="38"/>
  <c r="Q195" i="38"/>
  <c r="P195" i="38"/>
  <c r="O195" i="38"/>
  <c r="N195" i="38"/>
  <c r="M195" i="38"/>
  <c r="L195" i="38"/>
  <c r="K195" i="38"/>
  <c r="J195" i="38"/>
  <c r="I195" i="38"/>
  <c r="H195" i="38"/>
  <c r="G195" i="38"/>
  <c r="F195" i="38"/>
  <c r="E195" i="38"/>
  <c r="D195" i="38"/>
  <c r="AP194" i="38"/>
  <c r="AO194" i="38"/>
  <c r="AN194" i="38"/>
  <c r="AM194" i="38"/>
  <c r="AL194" i="38"/>
  <c r="AK194" i="38"/>
  <c r="AJ194" i="38"/>
  <c r="AI194" i="38"/>
  <c r="AH194" i="38"/>
  <c r="AG194" i="38"/>
  <c r="AF194" i="38"/>
  <c r="AE194" i="38"/>
  <c r="AD194" i="38"/>
  <c r="AC194" i="38"/>
  <c r="AB194" i="38"/>
  <c r="AA194" i="38"/>
  <c r="Z194" i="38"/>
  <c r="Y194" i="38"/>
  <c r="X194" i="38"/>
  <c r="W194" i="38"/>
  <c r="V194" i="38"/>
  <c r="U194" i="38"/>
  <c r="T194" i="38"/>
  <c r="S194" i="38"/>
  <c r="R194" i="38"/>
  <c r="Q194" i="38"/>
  <c r="P194" i="38"/>
  <c r="O194" i="38"/>
  <c r="N194" i="38"/>
  <c r="M194" i="38"/>
  <c r="L194" i="38"/>
  <c r="K194" i="38"/>
  <c r="J194" i="38"/>
  <c r="I194" i="38"/>
  <c r="H194" i="38"/>
  <c r="G194" i="38"/>
  <c r="F194" i="38"/>
  <c r="E194" i="38"/>
  <c r="D194" i="38"/>
  <c r="AP193" i="38"/>
  <c r="AO193" i="38"/>
  <c r="AN193" i="38"/>
  <c r="AM193" i="38"/>
  <c r="AL193" i="38"/>
  <c r="AK193" i="38"/>
  <c r="AJ193" i="38"/>
  <c r="AI193" i="38"/>
  <c r="AH193" i="38"/>
  <c r="AG193" i="38"/>
  <c r="AF193" i="38"/>
  <c r="AE193" i="38"/>
  <c r="AD193" i="38"/>
  <c r="AC193" i="38"/>
  <c r="AB193" i="38"/>
  <c r="AA193" i="38"/>
  <c r="Z193" i="38"/>
  <c r="Y193" i="38"/>
  <c r="X193" i="38"/>
  <c r="W193" i="38"/>
  <c r="V193" i="38"/>
  <c r="U193" i="38"/>
  <c r="T193" i="38"/>
  <c r="S193" i="38"/>
  <c r="R193" i="38"/>
  <c r="Q193" i="38"/>
  <c r="P193" i="38"/>
  <c r="O193" i="38"/>
  <c r="N193" i="38"/>
  <c r="M193" i="38"/>
  <c r="L193" i="38"/>
  <c r="K193" i="38"/>
  <c r="J193" i="38"/>
  <c r="I193" i="38"/>
  <c r="H193" i="38"/>
  <c r="G193" i="38"/>
  <c r="F193" i="38"/>
  <c r="E193" i="38"/>
  <c r="D193" i="38"/>
  <c r="AP192" i="38"/>
  <c r="AO192" i="38"/>
  <c r="AN192" i="38"/>
  <c r="AM192" i="38"/>
  <c r="AL192" i="38"/>
  <c r="AK192" i="38"/>
  <c r="AJ192" i="38"/>
  <c r="AI192" i="38"/>
  <c r="AH192" i="38"/>
  <c r="AG192" i="38"/>
  <c r="AF192" i="38"/>
  <c r="AE192" i="38"/>
  <c r="AD192" i="38"/>
  <c r="AC192" i="38"/>
  <c r="AB192" i="38"/>
  <c r="AA192" i="38"/>
  <c r="Z192" i="38"/>
  <c r="Y192" i="38"/>
  <c r="X192" i="38"/>
  <c r="W192" i="38"/>
  <c r="V192" i="38"/>
  <c r="U192" i="38"/>
  <c r="T192" i="38"/>
  <c r="S192" i="38"/>
  <c r="R192" i="38"/>
  <c r="Q192" i="38"/>
  <c r="P192" i="38"/>
  <c r="O192" i="38"/>
  <c r="N192" i="38"/>
  <c r="M192" i="38"/>
  <c r="L192" i="38"/>
  <c r="K192" i="38"/>
  <c r="J192" i="38"/>
  <c r="I192" i="38"/>
  <c r="H192" i="38"/>
  <c r="G192" i="38"/>
  <c r="F192" i="38"/>
  <c r="E192" i="38"/>
  <c r="D192" i="38"/>
  <c r="AP191" i="38"/>
  <c r="AO191" i="38"/>
  <c r="AN191" i="38"/>
  <c r="AM191" i="38"/>
  <c r="AL191" i="38"/>
  <c r="AK191" i="38"/>
  <c r="AJ191" i="38"/>
  <c r="AI191" i="38"/>
  <c r="AH191" i="38"/>
  <c r="AG191" i="38"/>
  <c r="AF191" i="38"/>
  <c r="AE191" i="38"/>
  <c r="AD191" i="38"/>
  <c r="AC191" i="38"/>
  <c r="AB191" i="38"/>
  <c r="AA191" i="38"/>
  <c r="Z191" i="38"/>
  <c r="Y191" i="38"/>
  <c r="X191" i="38"/>
  <c r="W191" i="38"/>
  <c r="V191" i="38"/>
  <c r="U191" i="38"/>
  <c r="T191" i="38"/>
  <c r="S191" i="38"/>
  <c r="R191" i="38"/>
  <c r="Q191" i="38"/>
  <c r="P191" i="38"/>
  <c r="O191" i="38"/>
  <c r="N191" i="38"/>
  <c r="M191" i="38"/>
  <c r="L191" i="38"/>
  <c r="K191" i="38"/>
  <c r="J191" i="38"/>
  <c r="I191" i="38"/>
  <c r="H191" i="38"/>
  <c r="G191" i="38"/>
  <c r="F191" i="38"/>
  <c r="E191" i="38"/>
  <c r="D191" i="38"/>
  <c r="AK156" i="38"/>
  <c r="AP190" i="38"/>
  <c r="AO190" i="38"/>
  <c r="AN190" i="38"/>
  <c r="AM190" i="38"/>
  <c r="AL190" i="38"/>
  <c r="AK190" i="38"/>
  <c r="AJ190" i="38"/>
  <c r="AI190" i="38"/>
  <c r="AH190" i="38"/>
  <c r="AG190" i="38"/>
  <c r="AF190" i="38"/>
  <c r="AE190" i="38"/>
  <c r="AD190" i="38"/>
  <c r="AC190" i="38"/>
  <c r="AB190" i="38"/>
  <c r="AA190" i="38"/>
  <c r="Z190" i="38"/>
  <c r="Y190" i="38"/>
  <c r="X190" i="38"/>
  <c r="W190" i="38"/>
  <c r="V190" i="38"/>
  <c r="U190" i="38"/>
  <c r="T190" i="38"/>
  <c r="S190" i="38"/>
  <c r="R190" i="38"/>
  <c r="Q190" i="38"/>
  <c r="P190" i="38"/>
  <c r="O190" i="38"/>
  <c r="N190" i="38"/>
  <c r="M190" i="38"/>
  <c r="L190" i="38"/>
  <c r="K190" i="38"/>
  <c r="J190" i="38"/>
  <c r="I190" i="38"/>
  <c r="H190" i="38"/>
  <c r="G190" i="38"/>
  <c r="F190" i="38"/>
  <c r="E190" i="38"/>
  <c r="D190" i="38"/>
  <c r="A190" i="38"/>
  <c r="AJ156" i="38" s="1"/>
  <c r="AP189" i="38"/>
  <c r="AO189" i="38"/>
  <c r="AN189" i="38"/>
  <c r="AM189" i="38"/>
  <c r="AL189" i="38"/>
  <c r="AK189" i="38"/>
  <c r="AJ189" i="38"/>
  <c r="AI189" i="38"/>
  <c r="AH189" i="38"/>
  <c r="AG189" i="38"/>
  <c r="AF189" i="38"/>
  <c r="AE189" i="38"/>
  <c r="AD189" i="38"/>
  <c r="AC189" i="38"/>
  <c r="AB189" i="38"/>
  <c r="AA189" i="38"/>
  <c r="Z189" i="38"/>
  <c r="Y189" i="38"/>
  <c r="X189" i="38"/>
  <c r="W189" i="38"/>
  <c r="V189" i="38"/>
  <c r="U189" i="38"/>
  <c r="T189" i="38"/>
  <c r="S189" i="38"/>
  <c r="R189" i="38"/>
  <c r="Q189" i="38"/>
  <c r="P189" i="38"/>
  <c r="O189" i="38"/>
  <c r="N189" i="38"/>
  <c r="M189" i="38"/>
  <c r="L189" i="38"/>
  <c r="K189" i="38"/>
  <c r="J189" i="38"/>
  <c r="I189" i="38"/>
  <c r="H189" i="38"/>
  <c r="G189" i="38"/>
  <c r="F189" i="38"/>
  <c r="E189" i="38"/>
  <c r="D189" i="38"/>
  <c r="A189" i="38"/>
  <c r="AP188" i="38"/>
  <c r="AO188" i="38"/>
  <c r="AN188" i="38"/>
  <c r="AM188" i="38"/>
  <c r="AL188" i="38"/>
  <c r="AK188" i="38"/>
  <c r="AJ188" i="38"/>
  <c r="AI188" i="38"/>
  <c r="AH188" i="38"/>
  <c r="AG188" i="38"/>
  <c r="AF188" i="38"/>
  <c r="AE188" i="38"/>
  <c r="AD188" i="38"/>
  <c r="AC188" i="38"/>
  <c r="AB188" i="38"/>
  <c r="AA188" i="38"/>
  <c r="Z188" i="38"/>
  <c r="Y188" i="38"/>
  <c r="X188" i="38"/>
  <c r="W188" i="38"/>
  <c r="V188" i="38"/>
  <c r="U188" i="38"/>
  <c r="T188" i="38"/>
  <c r="S188" i="38"/>
  <c r="R188" i="38"/>
  <c r="Q188" i="38"/>
  <c r="P188" i="38"/>
  <c r="O188" i="38"/>
  <c r="N188" i="38"/>
  <c r="M188" i="38"/>
  <c r="L188" i="38"/>
  <c r="K188" i="38"/>
  <c r="J188" i="38"/>
  <c r="I188" i="38"/>
  <c r="H188" i="38"/>
  <c r="G188" i="38"/>
  <c r="F188" i="38"/>
  <c r="E188" i="38"/>
  <c r="D188" i="38"/>
  <c r="A188" i="38"/>
  <c r="AH156" i="38" s="1"/>
  <c r="AP187" i="38"/>
  <c r="AO187" i="38"/>
  <c r="AN187" i="38"/>
  <c r="AM187" i="38"/>
  <c r="AL187" i="38"/>
  <c r="AK187" i="38"/>
  <c r="AJ187" i="38"/>
  <c r="AI187" i="38"/>
  <c r="AH187" i="38"/>
  <c r="AG187" i="38"/>
  <c r="AF187" i="38"/>
  <c r="AE187" i="38"/>
  <c r="AD187" i="38"/>
  <c r="AC187" i="38"/>
  <c r="AB187" i="38"/>
  <c r="AA187" i="38"/>
  <c r="Z187" i="38"/>
  <c r="Y187" i="38"/>
  <c r="X187" i="38"/>
  <c r="W187" i="38"/>
  <c r="V187" i="38"/>
  <c r="U187" i="38"/>
  <c r="T187" i="38"/>
  <c r="S187" i="38"/>
  <c r="R187" i="38"/>
  <c r="Q187" i="38"/>
  <c r="P187" i="38"/>
  <c r="O187" i="38"/>
  <c r="N187" i="38"/>
  <c r="M187" i="38"/>
  <c r="L187" i="38"/>
  <c r="K187" i="38"/>
  <c r="J187" i="38"/>
  <c r="I187" i="38"/>
  <c r="H187" i="38"/>
  <c r="G187" i="38"/>
  <c r="F187" i="38"/>
  <c r="E187" i="38"/>
  <c r="D187" i="38"/>
  <c r="A187" i="38"/>
  <c r="AG156" i="38" s="1"/>
  <c r="AP186" i="38"/>
  <c r="AO186" i="38"/>
  <c r="AN186" i="38"/>
  <c r="AM186" i="38"/>
  <c r="AL186" i="38"/>
  <c r="AK186" i="38"/>
  <c r="AJ186" i="38"/>
  <c r="AI186" i="38"/>
  <c r="AH186" i="38"/>
  <c r="AG186" i="38"/>
  <c r="AF186" i="38"/>
  <c r="AE186" i="38"/>
  <c r="AD186" i="38"/>
  <c r="AC186" i="38"/>
  <c r="AB186" i="38"/>
  <c r="AA186" i="38"/>
  <c r="Z186" i="38"/>
  <c r="Y186" i="38"/>
  <c r="X186" i="38"/>
  <c r="W186" i="38"/>
  <c r="V186" i="38"/>
  <c r="U186" i="38"/>
  <c r="T186" i="38"/>
  <c r="S186" i="38"/>
  <c r="R186" i="38"/>
  <c r="Q186" i="38"/>
  <c r="P186" i="38"/>
  <c r="O186" i="38"/>
  <c r="N186" i="38"/>
  <c r="M186" i="38"/>
  <c r="L186" i="38"/>
  <c r="K186" i="38"/>
  <c r="J186" i="38"/>
  <c r="I186" i="38"/>
  <c r="H186" i="38"/>
  <c r="G186" i="38"/>
  <c r="F186" i="38"/>
  <c r="E186" i="38"/>
  <c r="D186" i="38"/>
  <c r="A186" i="38"/>
  <c r="AF156" i="38" s="1"/>
  <c r="AP185" i="38"/>
  <c r="AO185" i="38"/>
  <c r="AN185" i="38"/>
  <c r="AM185" i="38"/>
  <c r="AL185" i="38"/>
  <c r="AK185" i="38"/>
  <c r="AJ185" i="38"/>
  <c r="AI185" i="38"/>
  <c r="AH185" i="38"/>
  <c r="AG185" i="38"/>
  <c r="AF185" i="38"/>
  <c r="AE185" i="38"/>
  <c r="AD185" i="38"/>
  <c r="AC185" i="38"/>
  <c r="AB185" i="38"/>
  <c r="AA185" i="38"/>
  <c r="Z185" i="38"/>
  <c r="Y185" i="38"/>
  <c r="X185" i="38"/>
  <c r="W185" i="38"/>
  <c r="V185" i="38"/>
  <c r="U185" i="38"/>
  <c r="T185" i="38"/>
  <c r="S185" i="38"/>
  <c r="R185" i="38"/>
  <c r="Q185" i="38"/>
  <c r="P185" i="38"/>
  <c r="O185" i="38"/>
  <c r="N185" i="38"/>
  <c r="M185" i="38"/>
  <c r="L185" i="38"/>
  <c r="K185" i="38"/>
  <c r="J185" i="38"/>
  <c r="I185" i="38"/>
  <c r="H185" i="38"/>
  <c r="G185" i="38"/>
  <c r="F185" i="38"/>
  <c r="E185" i="38"/>
  <c r="D185" i="38"/>
  <c r="A185" i="38"/>
  <c r="AE156" i="38" s="1"/>
  <c r="AP184" i="38"/>
  <c r="AO184" i="38"/>
  <c r="AN184" i="38"/>
  <c r="AM184" i="38"/>
  <c r="AL184" i="38"/>
  <c r="AK184" i="38"/>
  <c r="AJ184" i="38"/>
  <c r="AI184" i="38"/>
  <c r="AH184" i="38"/>
  <c r="AG184" i="38"/>
  <c r="AF184" i="38"/>
  <c r="AE184" i="38"/>
  <c r="AD184" i="38"/>
  <c r="AC184" i="38"/>
  <c r="AB184" i="38"/>
  <c r="AA184" i="38"/>
  <c r="Z184" i="38"/>
  <c r="Y184" i="38"/>
  <c r="X184" i="38"/>
  <c r="W184" i="38"/>
  <c r="V184" i="38"/>
  <c r="U184" i="38"/>
  <c r="T184" i="38"/>
  <c r="S184" i="38"/>
  <c r="R184" i="38"/>
  <c r="Q184" i="38"/>
  <c r="P184" i="38"/>
  <c r="O184" i="38"/>
  <c r="N184" i="38"/>
  <c r="M184" i="38"/>
  <c r="L184" i="38"/>
  <c r="K184" i="38"/>
  <c r="J184" i="38"/>
  <c r="I184" i="38"/>
  <c r="H184" i="38"/>
  <c r="G184" i="38"/>
  <c r="F184" i="38"/>
  <c r="E184" i="38"/>
  <c r="D184" i="38"/>
  <c r="A184" i="38"/>
  <c r="AD156" i="38" s="1"/>
  <c r="AP183" i="38"/>
  <c r="AO183" i="38"/>
  <c r="AN183" i="38"/>
  <c r="AM183" i="38"/>
  <c r="AL183" i="38"/>
  <c r="AK183" i="38"/>
  <c r="AJ183" i="38"/>
  <c r="AI183" i="38"/>
  <c r="AH183" i="38"/>
  <c r="AG183" i="38"/>
  <c r="AF183" i="38"/>
  <c r="AE183" i="38"/>
  <c r="AD183" i="38"/>
  <c r="AC183" i="38"/>
  <c r="AB183" i="38"/>
  <c r="AA183" i="38"/>
  <c r="Z183" i="38"/>
  <c r="Y183" i="38"/>
  <c r="X183" i="38"/>
  <c r="W183" i="38"/>
  <c r="V183" i="38"/>
  <c r="U183" i="38"/>
  <c r="T183" i="38"/>
  <c r="S183" i="38"/>
  <c r="R183" i="38"/>
  <c r="Q183" i="38"/>
  <c r="P183" i="38"/>
  <c r="O183" i="38"/>
  <c r="N183" i="38"/>
  <c r="M183" i="38"/>
  <c r="L183" i="38"/>
  <c r="K183" i="38"/>
  <c r="J183" i="38"/>
  <c r="I183" i="38"/>
  <c r="H183" i="38"/>
  <c r="G183" i="38"/>
  <c r="F183" i="38"/>
  <c r="E183" i="38"/>
  <c r="D183" i="38"/>
  <c r="A183" i="38"/>
  <c r="AC156" i="38" s="1"/>
  <c r="AP182" i="38"/>
  <c r="AO182" i="38"/>
  <c r="AN182" i="38"/>
  <c r="AM182" i="38"/>
  <c r="AL182" i="38"/>
  <c r="AK182" i="38"/>
  <c r="AJ182" i="38"/>
  <c r="AI182" i="38"/>
  <c r="AH182" i="38"/>
  <c r="AG182" i="38"/>
  <c r="AF182" i="38"/>
  <c r="AE182" i="38"/>
  <c r="AD182" i="38"/>
  <c r="AC182" i="38"/>
  <c r="AB182" i="38"/>
  <c r="AA182" i="38"/>
  <c r="Z182" i="38"/>
  <c r="Y182" i="38"/>
  <c r="X182" i="38"/>
  <c r="W182" i="38"/>
  <c r="V182" i="38"/>
  <c r="U182" i="38"/>
  <c r="T182" i="38"/>
  <c r="S182" i="38"/>
  <c r="R182" i="38"/>
  <c r="Q182" i="38"/>
  <c r="P182" i="38"/>
  <c r="O182" i="38"/>
  <c r="N182" i="38"/>
  <c r="M182" i="38"/>
  <c r="L182" i="38"/>
  <c r="K182" i="38"/>
  <c r="J182" i="38"/>
  <c r="I182" i="38"/>
  <c r="H182" i="38"/>
  <c r="G182" i="38"/>
  <c r="F182" i="38"/>
  <c r="E182" i="38"/>
  <c r="D182" i="38"/>
  <c r="A182" i="38"/>
  <c r="AB156" i="38" s="1"/>
  <c r="AP181" i="38"/>
  <c r="AO181" i="38"/>
  <c r="AN181" i="38"/>
  <c r="AM181" i="38"/>
  <c r="AL181" i="38"/>
  <c r="AK181" i="38"/>
  <c r="AJ181" i="38"/>
  <c r="AI181" i="38"/>
  <c r="AH181" i="38"/>
  <c r="AG181" i="38"/>
  <c r="AF181" i="38"/>
  <c r="AE181" i="38"/>
  <c r="AD181" i="38"/>
  <c r="AC181" i="38"/>
  <c r="AB181" i="38"/>
  <c r="AA181" i="38"/>
  <c r="Z181" i="38"/>
  <c r="Y181" i="38"/>
  <c r="X181" i="38"/>
  <c r="W181" i="38"/>
  <c r="V181" i="38"/>
  <c r="U181" i="38"/>
  <c r="T181" i="38"/>
  <c r="S181" i="38"/>
  <c r="R181" i="38"/>
  <c r="Q181" i="38"/>
  <c r="P181" i="38"/>
  <c r="O181" i="38"/>
  <c r="N181" i="38"/>
  <c r="M181" i="38"/>
  <c r="L181" i="38"/>
  <c r="K181" i="38"/>
  <c r="J181" i="38"/>
  <c r="I181" i="38"/>
  <c r="H181" i="38"/>
  <c r="G181" i="38"/>
  <c r="F181" i="38"/>
  <c r="E181" i="38"/>
  <c r="D181" i="38"/>
  <c r="A181" i="38"/>
  <c r="AA156" i="38" s="1"/>
  <c r="AP180" i="38"/>
  <c r="AO180" i="38"/>
  <c r="AN180" i="38"/>
  <c r="AM180" i="38"/>
  <c r="AL180" i="38"/>
  <c r="AK180" i="38"/>
  <c r="AJ180" i="38"/>
  <c r="AI180" i="38"/>
  <c r="AH180" i="38"/>
  <c r="AG180" i="38"/>
  <c r="AF180" i="38"/>
  <c r="AE180" i="38"/>
  <c r="AD180" i="38"/>
  <c r="AC180" i="38"/>
  <c r="AB180" i="38"/>
  <c r="AA180" i="38"/>
  <c r="Z180" i="38"/>
  <c r="Y180" i="38"/>
  <c r="X180" i="38"/>
  <c r="W180" i="38"/>
  <c r="V180" i="38"/>
  <c r="U180" i="38"/>
  <c r="T180" i="38"/>
  <c r="S180" i="38"/>
  <c r="R180" i="38"/>
  <c r="Q180" i="38"/>
  <c r="P180" i="38"/>
  <c r="O180" i="38"/>
  <c r="N180" i="38"/>
  <c r="M180" i="38"/>
  <c r="L180" i="38"/>
  <c r="K180" i="38"/>
  <c r="J180" i="38"/>
  <c r="I180" i="38"/>
  <c r="H180" i="38"/>
  <c r="G180" i="38"/>
  <c r="F180" i="38"/>
  <c r="E180" i="38"/>
  <c r="D180" i="38"/>
  <c r="A180" i="38"/>
  <c r="Z156" i="38" s="1"/>
  <c r="AP179" i="38"/>
  <c r="AO179" i="38"/>
  <c r="AN179" i="38"/>
  <c r="AM179" i="38"/>
  <c r="AL179" i="38"/>
  <c r="AK179" i="38"/>
  <c r="AJ179" i="38"/>
  <c r="AI179" i="38"/>
  <c r="AH179" i="38"/>
  <c r="AG179" i="38"/>
  <c r="AF179" i="38"/>
  <c r="AE179" i="38"/>
  <c r="AD179" i="38"/>
  <c r="AC179" i="38"/>
  <c r="AB179" i="38"/>
  <c r="AA179" i="38"/>
  <c r="Z179" i="38"/>
  <c r="Y179" i="38"/>
  <c r="X179" i="38"/>
  <c r="W179" i="38"/>
  <c r="V179" i="38"/>
  <c r="U179" i="38"/>
  <c r="T179" i="38"/>
  <c r="S179" i="38"/>
  <c r="R179" i="38"/>
  <c r="Q179" i="38"/>
  <c r="P179" i="38"/>
  <c r="O179" i="38"/>
  <c r="N179" i="38"/>
  <c r="M179" i="38"/>
  <c r="L179" i="38"/>
  <c r="K179" i="38"/>
  <c r="J179" i="38"/>
  <c r="I179" i="38"/>
  <c r="H179" i="38"/>
  <c r="G179" i="38"/>
  <c r="F179" i="38"/>
  <c r="E179" i="38"/>
  <c r="D179" i="38"/>
  <c r="A179" i="38"/>
  <c r="Y156" i="38" s="1"/>
  <c r="AP178" i="38"/>
  <c r="AO178" i="38"/>
  <c r="AN178" i="38"/>
  <c r="AM178" i="38"/>
  <c r="AL178" i="38"/>
  <c r="AK178" i="38"/>
  <c r="AJ178" i="38"/>
  <c r="AI178" i="38"/>
  <c r="AH178" i="38"/>
  <c r="AG178" i="38"/>
  <c r="AF178" i="38"/>
  <c r="AE178" i="38"/>
  <c r="AD178" i="38"/>
  <c r="AC178" i="38"/>
  <c r="AB178" i="38"/>
  <c r="AA178" i="38"/>
  <c r="Z178" i="38"/>
  <c r="Y178" i="38"/>
  <c r="X178" i="38"/>
  <c r="W178" i="38"/>
  <c r="V178" i="38"/>
  <c r="U178" i="38"/>
  <c r="T178" i="38"/>
  <c r="S178" i="38"/>
  <c r="R178" i="38"/>
  <c r="Q178" i="38"/>
  <c r="P178" i="38"/>
  <c r="O178" i="38"/>
  <c r="N178" i="38"/>
  <c r="M178" i="38"/>
  <c r="L178" i="38"/>
  <c r="K178" i="38"/>
  <c r="J178" i="38"/>
  <c r="I178" i="38"/>
  <c r="H178" i="38"/>
  <c r="G178" i="38"/>
  <c r="F178" i="38"/>
  <c r="E178" i="38"/>
  <c r="D178" i="38"/>
  <c r="A178" i="38"/>
  <c r="X156" i="38" s="1"/>
  <c r="AP177" i="38"/>
  <c r="AO177" i="38"/>
  <c r="AN177" i="38"/>
  <c r="AM177" i="38"/>
  <c r="AL177" i="38"/>
  <c r="AK177" i="38"/>
  <c r="AJ177" i="38"/>
  <c r="AI177" i="38"/>
  <c r="AH177" i="38"/>
  <c r="AG177" i="38"/>
  <c r="AF177" i="38"/>
  <c r="AE177" i="38"/>
  <c r="AD177" i="38"/>
  <c r="AC177" i="38"/>
  <c r="AB177" i="38"/>
  <c r="AA177" i="38"/>
  <c r="Z177" i="38"/>
  <c r="Y177" i="38"/>
  <c r="X177" i="38"/>
  <c r="W177" i="38"/>
  <c r="V177" i="38"/>
  <c r="U177" i="38"/>
  <c r="T177" i="38"/>
  <c r="S177" i="38"/>
  <c r="R177" i="38"/>
  <c r="Q177" i="38"/>
  <c r="P177" i="38"/>
  <c r="O177" i="38"/>
  <c r="N177" i="38"/>
  <c r="M177" i="38"/>
  <c r="L177" i="38"/>
  <c r="K177" i="38"/>
  <c r="J177" i="38"/>
  <c r="I177" i="38"/>
  <c r="H177" i="38"/>
  <c r="G177" i="38"/>
  <c r="F177" i="38"/>
  <c r="E177" i="38"/>
  <c r="D177" i="38"/>
  <c r="A177" i="38"/>
  <c r="W156" i="38" s="1"/>
  <c r="AP176" i="38"/>
  <c r="AO176" i="38"/>
  <c r="AN176" i="38"/>
  <c r="AM176" i="38"/>
  <c r="AL176" i="38"/>
  <c r="AK176" i="38"/>
  <c r="AJ176" i="38"/>
  <c r="AI176" i="38"/>
  <c r="AH176" i="38"/>
  <c r="AG176" i="38"/>
  <c r="AF176" i="38"/>
  <c r="AE176" i="38"/>
  <c r="AD176" i="38"/>
  <c r="AC176" i="38"/>
  <c r="AB176" i="38"/>
  <c r="AA176" i="38"/>
  <c r="Z176" i="38"/>
  <c r="Y176" i="38"/>
  <c r="X176" i="38"/>
  <c r="W176" i="38"/>
  <c r="V176" i="38"/>
  <c r="U176" i="38"/>
  <c r="T176" i="38"/>
  <c r="S176" i="38"/>
  <c r="R176" i="38"/>
  <c r="Q176" i="38"/>
  <c r="P176" i="38"/>
  <c r="O176" i="38"/>
  <c r="N176" i="38"/>
  <c r="M176" i="38"/>
  <c r="L176" i="38"/>
  <c r="K176" i="38"/>
  <c r="J176" i="38"/>
  <c r="I176" i="38"/>
  <c r="H176" i="38"/>
  <c r="G176" i="38"/>
  <c r="F176" i="38"/>
  <c r="E176" i="38"/>
  <c r="D176" i="38"/>
  <c r="A176" i="38"/>
  <c r="V156" i="38" s="1"/>
  <c r="AP175" i="38"/>
  <c r="AO175" i="38"/>
  <c r="AN175" i="38"/>
  <c r="AM175" i="38"/>
  <c r="AL175" i="38"/>
  <c r="AK175" i="38"/>
  <c r="AJ175" i="38"/>
  <c r="AI175" i="38"/>
  <c r="AH175" i="38"/>
  <c r="AG175" i="38"/>
  <c r="AF175" i="38"/>
  <c r="AE175" i="38"/>
  <c r="AD175" i="38"/>
  <c r="AC175" i="38"/>
  <c r="AB175" i="38"/>
  <c r="AA175" i="38"/>
  <c r="Z175" i="38"/>
  <c r="Y175" i="38"/>
  <c r="X175" i="38"/>
  <c r="W175" i="38"/>
  <c r="V175" i="38"/>
  <c r="U175" i="38"/>
  <c r="T175" i="38"/>
  <c r="S175" i="38"/>
  <c r="R175" i="38"/>
  <c r="Q175" i="38"/>
  <c r="P175" i="38"/>
  <c r="O175" i="38"/>
  <c r="N175" i="38"/>
  <c r="M175" i="38"/>
  <c r="L175" i="38"/>
  <c r="K175" i="38"/>
  <c r="J175" i="38"/>
  <c r="I175" i="38"/>
  <c r="H175" i="38"/>
  <c r="G175" i="38"/>
  <c r="F175" i="38"/>
  <c r="E175" i="38"/>
  <c r="D175" i="38"/>
  <c r="AP174" i="38"/>
  <c r="AO174" i="38"/>
  <c r="AN174" i="38"/>
  <c r="AM174" i="38"/>
  <c r="AL174" i="38"/>
  <c r="AK174" i="38"/>
  <c r="AJ174" i="38"/>
  <c r="AI174" i="38"/>
  <c r="AH174" i="38"/>
  <c r="AG174" i="38"/>
  <c r="AF174" i="38"/>
  <c r="AE174" i="38"/>
  <c r="AD174" i="38"/>
  <c r="AC174" i="38"/>
  <c r="AB174" i="38"/>
  <c r="AA174" i="38"/>
  <c r="Z174" i="38"/>
  <c r="Y174" i="38"/>
  <c r="X174" i="38"/>
  <c r="W174" i="38"/>
  <c r="V174" i="38"/>
  <c r="U174" i="38"/>
  <c r="T174" i="38"/>
  <c r="S174" i="38"/>
  <c r="R174" i="38"/>
  <c r="Q174" i="38"/>
  <c r="P174" i="38"/>
  <c r="O174" i="38"/>
  <c r="N174" i="38"/>
  <c r="M174" i="38"/>
  <c r="L174" i="38"/>
  <c r="K174" i="38"/>
  <c r="J174" i="38"/>
  <c r="I174" i="38"/>
  <c r="H174" i="38"/>
  <c r="G174" i="38"/>
  <c r="F174" i="38"/>
  <c r="E174" i="38"/>
  <c r="D174" i="38"/>
  <c r="A174" i="38"/>
  <c r="T156" i="38" s="1"/>
  <c r="AK173" i="38"/>
  <c r="AJ173" i="38"/>
  <c r="AI173" i="38"/>
  <c r="AH173" i="38"/>
  <c r="AG173" i="38"/>
  <c r="AF173" i="38"/>
  <c r="AE173" i="38"/>
  <c r="AD173" i="38"/>
  <c r="AC173" i="38"/>
  <c r="AB173" i="38"/>
  <c r="AA173" i="38"/>
  <c r="Z173" i="38"/>
  <c r="Y173" i="38"/>
  <c r="X173" i="38"/>
  <c r="W173" i="38"/>
  <c r="V173" i="38"/>
  <c r="U173" i="38"/>
  <c r="T173" i="38"/>
  <c r="S173" i="38"/>
  <c r="R173" i="38"/>
  <c r="Q173" i="38"/>
  <c r="P173" i="38"/>
  <c r="O173" i="38"/>
  <c r="N173" i="38"/>
  <c r="M173" i="38"/>
  <c r="L173" i="38"/>
  <c r="K173" i="38"/>
  <c r="J173" i="38"/>
  <c r="I173" i="38"/>
  <c r="H173" i="38"/>
  <c r="G173" i="38"/>
  <c r="F173" i="38"/>
  <c r="E173" i="38"/>
  <c r="D173" i="38"/>
  <c r="A173" i="38"/>
  <c r="S156" i="38" s="1"/>
  <c r="AP172" i="38"/>
  <c r="AO172" i="38"/>
  <c r="AN172" i="38"/>
  <c r="AM172" i="38"/>
  <c r="AL172" i="38"/>
  <c r="AK172" i="38"/>
  <c r="AJ172" i="38"/>
  <c r="AI172" i="38"/>
  <c r="AH172" i="38"/>
  <c r="AG172" i="38"/>
  <c r="AF172" i="38"/>
  <c r="AE172" i="38"/>
  <c r="AD172" i="38"/>
  <c r="AC172" i="38"/>
  <c r="AB172" i="38"/>
  <c r="AA172" i="38"/>
  <c r="Z172" i="38"/>
  <c r="Y172" i="38"/>
  <c r="X172" i="38"/>
  <c r="W172" i="38"/>
  <c r="V172" i="38"/>
  <c r="U172" i="38"/>
  <c r="T172" i="38"/>
  <c r="S172" i="38"/>
  <c r="R172" i="38"/>
  <c r="Q172" i="38"/>
  <c r="P172" i="38"/>
  <c r="O172" i="38"/>
  <c r="N172" i="38"/>
  <c r="M172" i="38"/>
  <c r="L172" i="38"/>
  <c r="K172" i="38"/>
  <c r="J172" i="38"/>
  <c r="I172" i="38"/>
  <c r="H172" i="38"/>
  <c r="G172" i="38"/>
  <c r="F172" i="38"/>
  <c r="E172" i="38"/>
  <c r="D172" i="38"/>
  <c r="A172" i="38"/>
  <c r="R156" i="38" s="1"/>
  <c r="AP171" i="38"/>
  <c r="AO171" i="38"/>
  <c r="AN171" i="38"/>
  <c r="AM171" i="38"/>
  <c r="AL171" i="38"/>
  <c r="AK171" i="38"/>
  <c r="AJ171" i="38"/>
  <c r="AI171" i="38"/>
  <c r="AH171" i="38"/>
  <c r="AG171" i="38"/>
  <c r="AF171" i="38"/>
  <c r="AE171" i="38"/>
  <c r="AD171" i="38"/>
  <c r="AC171" i="38"/>
  <c r="AB171" i="38"/>
  <c r="AA171" i="38"/>
  <c r="Z171" i="38"/>
  <c r="Y171" i="38"/>
  <c r="X171" i="38"/>
  <c r="W171" i="38"/>
  <c r="V171" i="38"/>
  <c r="U171" i="38"/>
  <c r="T171" i="38"/>
  <c r="S171" i="38"/>
  <c r="R171" i="38"/>
  <c r="Q171" i="38"/>
  <c r="P171" i="38"/>
  <c r="O171" i="38"/>
  <c r="N171" i="38"/>
  <c r="M171" i="38"/>
  <c r="L171" i="38"/>
  <c r="K171" i="38"/>
  <c r="J171" i="38"/>
  <c r="I171" i="38"/>
  <c r="H171" i="38"/>
  <c r="G171" i="38"/>
  <c r="F171" i="38"/>
  <c r="E171" i="38"/>
  <c r="D171" i="38"/>
  <c r="A171" i="38"/>
  <c r="Q156" i="38" s="1"/>
  <c r="AP170" i="38"/>
  <c r="AO170" i="38"/>
  <c r="AN170" i="38"/>
  <c r="AM170" i="38"/>
  <c r="AL170" i="38"/>
  <c r="AK170" i="38"/>
  <c r="AJ170" i="38"/>
  <c r="AI170" i="38"/>
  <c r="AH170" i="38"/>
  <c r="AG170" i="38"/>
  <c r="AF170" i="38"/>
  <c r="AE170" i="38"/>
  <c r="AD170" i="38"/>
  <c r="AC170" i="38"/>
  <c r="AB170" i="38"/>
  <c r="AA170" i="38"/>
  <c r="Z170" i="38"/>
  <c r="Y170" i="38"/>
  <c r="X170" i="38"/>
  <c r="W170" i="38"/>
  <c r="V170" i="38"/>
  <c r="U170" i="38"/>
  <c r="T170" i="38"/>
  <c r="S170" i="38"/>
  <c r="R170" i="38"/>
  <c r="Q170" i="38"/>
  <c r="P170" i="38"/>
  <c r="O170" i="38"/>
  <c r="N170" i="38"/>
  <c r="M170" i="38"/>
  <c r="L170" i="38"/>
  <c r="K170" i="38"/>
  <c r="J170" i="38"/>
  <c r="I170" i="38"/>
  <c r="H170" i="38"/>
  <c r="G170" i="38"/>
  <c r="F170" i="38"/>
  <c r="E170" i="38"/>
  <c r="D170" i="38"/>
  <c r="A170" i="38"/>
  <c r="P156" i="38" s="1"/>
  <c r="AP169" i="38"/>
  <c r="AO169" i="38"/>
  <c r="AN169" i="38"/>
  <c r="AM169" i="38"/>
  <c r="AL169" i="38"/>
  <c r="AK169" i="38"/>
  <c r="AJ169" i="38"/>
  <c r="AI169" i="38"/>
  <c r="AH169" i="38"/>
  <c r="AG169" i="38"/>
  <c r="AF169" i="38"/>
  <c r="AE169" i="38"/>
  <c r="AD169" i="38"/>
  <c r="AC169" i="38"/>
  <c r="AB169" i="38"/>
  <c r="AA169" i="38"/>
  <c r="Z169" i="38"/>
  <c r="Y169" i="38"/>
  <c r="X169" i="38"/>
  <c r="W169" i="38"/>
  <c r="V169" i="38"/>
  <c r="U169" i="38"/>
  <c r="T169" i="38"/>
  <c r="S169" i="38"/>
  <c r="R169" i="38"/>
  <c r="Q169" i="38"/>
  <c r="P169" i="38"/>
  <c r="O169" i="38"/>
  <c r="N169" i="38"/>
  <c r="M169" i="38"/>
  <c r="L169" i="38"/>
  <c r="K169" i="38"/>
  <c r="J169" i="38"/>
  <c r="I169" i="38"/>
  <c r="H169" i="38"/>
  <c r="G169" i="38"/>
  <c r="F169" i="38"/>
  <c r="E169" i="38"/>
  <c r="D169" i="38"/>
  <c r="A169" i="38"/>
  <c r="O156" i="38" s="1"/>
  <c r="AP168" i="38"/>
  <c r="AO168" i="38"/>
  <c r="AN168" i="38"/>
  <c r="AM168" i="38"/>
  <c r="AL168" i="38"/>
  <c r="AK168" i="38"/>
  <c r="AJ168" i="38"/>
  <c r="AI168" i="38"/>
  <c r="AH168" i="38"/>
  <c r="AG168" i="38"/>
  <c r="AF168" i="38"/>
  <c r="AE168" i="38"/>
  <c r="AD168" i="38"/>
  <c r="AC168" i="38"/>
  <c r="AB168" i="38"/>
  <c r="AA168" i="38"/>
  <c r="Z168" i="38"/>
  <c r="Y168" i="38"/>
  <c r="X168" i="38"/>
  <c r="W168" i="38"/>
  <c r="V168" i="38"/>
  <c r="U168" i="38"/>
  <c r="T168" i="38"/>
  <c r="S168" i="38"/>
  <c r="R168" i="38"/>
  <c r="Q168" i="38"/>
  <c r="P168" i="38"/>
  <c r="O168" i="38"/>
  <c r="N168" i="38"/>
  <c r="M168" i="38"/>
  <c r="L168" i="38"/>
  <c r="K168" i="38"/>
  <c r="J168" i="38"/>
  <c r="I168" i="38"/>
  <c r="H168" i="38"/>
  <c r="G168" i="38"/>
  <c r="F168" i="38"/>
  <c r="E168" i="38"/>
  <c r="D168" i="38"/>
  <c r="A168" i="38"/>
  <c r="N156" i="38" s="1"/>
  <c r="AP167" i="38"/>
  <c r="AO167" i="38"/>
  <c r="AN167" i="38"/>
  <c r="AM167" i="38"/>
  <c r="AL167" i="38"/>
  <c r="AK167" i="38"/>
  <c r="AJ167" i="38"/>
  <c r="AI167" i="38"/>
  <c r="AH167" i="38"/>
  <c r="AG167" i="38"/>
  <c r="AF167" i="38"/>
  <c r="AE167" i="38"/>
  <c r="AD167" i="38"/>
  <c r="AC167" i="38"/>
  <c r="AB167" i="38"/>
  <c r="AA167" i="38"/>
  <c r="Z167" i="38"/>
  <c r="Y167" i="38"/>
  <c r="X167" i="38"/>
  <c r="W167" i="38"/>
  <c r="V167" i="38"/>
  <c r="U167" i="38"/>
  <c r="T167" i="38"/>
  <c r="S167" i="38"/>
  <c r="R167" i="38"/>
  <c r="Q167" i="38"/>
  <c r="P167" i="38"/>
  <c r="O167" i="38"/>
  <c r="N167" i="38"/>
  <c r="M167" i="38"/>
  <c r="L167" i="38"/>
  <c r="K167" i="38"/>
  <c r="J167" i="38"/>
  <c r="I167" i="38"/>
  <c r="H167" i="38"/>
  <c r="G167" i="38"/>
  <c r="F167" i="38"/>
  <c r="E167" i="38"/>
  <c r="D167" i="38"/>
  <c r="AP166" i="38"/>
  <c r="AO166" i="38"/>
  <c r="AN166" i="38"/>
  <c r="AM166" i="38"/>
  <c r="AL166" i="38"/>
  <c r="AK166" i="38"/>
  <c r="AJ166" i="38"/>
  <c r="AI166" i="38"/>
  <c r="AH166" i="38"/>
  <c r="AG166" i="38"/>
  <c r="AF166" i="38"/>
  <c r="AE166" i="38"/>
  <c r="AD166" i="38"/>
  <c r="AC166" i="38"/>
  <c r="AB166" i="38"/>
  <c r="AA166" i="38"/>
  <c r="Z166" i="38"/>
  <c r="Y166" i="38"/>
  <c r="X166" i="38"/>
  <c r="W166" i="38"/>
  <c r="V166" i="38"/>
  <c r="U166" i="38"/>
  <c r="T166" i="38"/>
  <c r="S166" i="38"/>
  <c r="R166" i="38"/>
  <c r="Q166" i="38"/>
  <c r="P166" i="38"/>
  <c r="O166" i="38"/>
  <c r="N166" i="38"/>
  <c r="M166" i="38"/>
  <c r="L166" i="38"/>
  <c r="K166" i="38"/>
  <c r="J166" i="38"/>
  <c r="I166" i="38"/>
  <c r="H166" i="38"/>
  <c r="G166" i="38"/>
  <c r="F166" i="38"/>
  <c r="E166" i="38"/>
  <c r="D166" i="38"/>
  <c r="AP165" i="38"/>
  <c r="AO165" i="38"/>
  <c r="AN165" i="38"/>
  <c r="AM165" i="38"/>
  <c r="AL165" i="38"/>
  <c r="AK165" i="38"/>
  <c r="AJ165" i="38"/>
  <c r="AI165" i="38"/>
  <c r="AH165" i="38"/>
  <c r="AG165" i="38"/>
  <c r="AF165" i="38"/>
  <c r="AE165" i="38"/>
  <c r="AD165" i="38"/>
  <c r="AC165" i="38"/>
  <c r="AB165" i="38"/>
  <c r="AA165" i="38"/>
  <c r="Z165" i="38"/>
  <c r="Y165" i="38"/>
  <c r="X165" i="38"/>
  <c r="W165" i="38"/>
  <c r="V165" i="38"/>
  <c r="U165" i="38"/>
  <c r="T165" i="38"/>
  <c r="S165" i="38"/>
  <c r="R165" i="38"/>
  <c r="Q165" i="38"/>
  <c r="P165" i="38"/>
  <c r="O165" i="38"/>
  <c r="N165" i="38"/>
  <c r="M165" i="38"/>
  <c r="L165" i="38"/>
  <c r="K165" i="38"/>
  <c r="J165" i="38"/>
  <c r="I165" i="38"/>
  <c r="H165" i="38"/>
  <c r="G165" i="38"/>
  <c r="F165" i="38"/>
  <c r="E165" i="38"/>
  <c r="D165" i="38"/>
  <c r="A165" i="38"/>
  <c r="K156" i="38" s="1"/>
  <c r="AP164" i="38"/>
  <c r="AO164" i="38"/>
  <c r="AN164" i="38"/>
  <c r="AM164" i="38"/>
  <c r="AL164" i="38"/>
  <c r="AK164" i="38"/>
  <c r="AJ164" i="38"/>
  <c r="AI164" i="38"/>
  <c r="AH164" i="38"/>
  <c r="AG164" i="38"/>
  <c r="AF164" i="38"/>
  <c r="AE164" i="38"/>
  <c r="AD164" i="38"/>
  <c r="AC164" i="38"/>
  <c r="AB164" i="38"/>
  <c r="AA164" i="38"/>
  <c r="Z164" i="38"/>
  <c r="Y164" i="38"/>
  <c r="X164" i="38"/>
  <c r="W164" i="38"/>
  <c r="V164" i="38"/>
  <c r="U164" i="38"/>
  <c r="T164" i="38"/>
  <c r="S164" i="38"/>
  <c r="R164" i="38"/>
  <c r="Q164" i="38"/>
  <c r="P164" i="38"/>
  <c r="O164" i="38"/>
  <c r="N164" i="38"/>
  <c r="M164" i="38"/>
  <c r="L164" i="38"/>
  <c r="K164" i="38"/>
  <c r="J164" i="38"/>
  <c r="I164" i="38"/>
  <c r="H164" i="38"/>
  <c r="G164" i="38"/>
  <c r="F164" i="38"/>
  <c r="E164" i="38"/>
  <c r="D164" i="38"/>
  <c r="AP163" i="38"/>
  <c r="AO163" i="38"/>
  <c r="AN163" i="38"/>
  <c r="AM163" i="38"/>
  <c r="AL163" i="38"/>
  <c r="AK163" i="38"/>
  <c r="AJ163" i="38"/>
  <c r="AI163" i="38"/>
  <c r="AH163" i="38"/>
  <c r="AG163" i="38"/>
  <c r="AF163" i="38"/>
  <c r="AE163" i="38"/>
  <c r="AD163" i="38"/>
  <c r="AC163" i="38"/>
  <c r="AB163" i="38"/>
  <c r="AA163" i="38"/>
  <c r="Z163" i="38"/>
  <c r="Y163" i="38"/>
  <c r="X163" i="38"/>
  <c r="W163" i="38"/>
  <c r="V163" i="38"/>
  <c r="U163" i="38"/>
  <c r="T163" i="38"/>
  <c r="S163" i="38"/>
  <c r="R163" i="38"/>
  <c r="Q163" i="38"/>
  <c r="P163" i="38"/>
  <c r="O163" i="38"/>
  <c r="N163" i="38"/>
  <c r="M163" i="38"/>
  <c r="L163" i="38"/>
  <c r="K163" i="38"/>
  <c r="J163" i="38"/>
  <c r="I163" i="38"/>
  <c r="H163" i="38"/>
  <c r="G163" i="38"/>
  <c r="F163" i="38"/>
  <c r="E163" i="38"/>
  <c r="D163" i="38"/>
  <c r="A163" i="38"/>
  <c r="AS160" i="38" s="1"/>
  <c r="A36" i="7" s="1"/>
  <c r="AP162" i="38"/>
  <c r="AO162" i="38"/>
  <c r="AN162" i="38"/>
  <c r="AM162" i="38"/>
  <c r="AL162" i="38"/>
  <c r="AK162" i="38"/>
  <c r="AJ162" i="38"/>
  <c r="AI162" i="38"/>
  <c r="AH162" i="38"/>
  <c r="AG162" i="38"/>
  <c r="AF162" i="38"/>
  <c r="AE162" i="38"/>
  <c r="AD162" i="38"/>
  <c r="AC162" i="38"/>
  <c r="AB162" i="38"/>
  <c r="AA162" i="38"/>
  <c r="Z162" i="38"/>
  <c r="Y162" i="38"/>
  <c r="X162" i="38"/>
  <c r="W162" i="38"/>
  <c r="V162" i="38"/>
  <c r="U162" i="38"/>
  <c r="T162" i="38"/>
  <c r="S162" i="38"/>
  <c r="R162" i="38"/>
  <c r="Q162" i="38"/>
  <c r="P162" i="38"/>
  <c r="O162" i="38"/>
  <c r="N162" i="38"/>
  <c r="M162" i="38"/>
  <c r="L162" i="38"/>
  <c r="K162" i="38"/>
  <c r="J162" i="38"/>
  <c r="I162" i="38"/>
  <c r="H162" i="38"/>
  <c r="G162" i="38"/>
  <c r="F162" i="38"/>
  <c r="E162" i="38"/>
  <c r="D162" i="38"/>
  <c r="A162" i="38"/>
  <c r="H156" i="38"/>
  <c r="AP161" i="38"/>
  <c r="AO161" i="38"/>
  <c r="AN161" i="38"/>
  <c r="AM161" i="38"/>
  <c r="AL161" i="38"/>
  <c r="AK161" i="38"/>
  <c r="AJ161" i="38"/>
  <c r="AI161" i="38"/>
  <c r="AH161" i="38"/>
  <c r="AG161" i="38"/>
  <c r="AF161" i="38"/>
  <c r="AE161" i="38"/>
  <c r="AD161" i="38"/>
  <c r="AC161" i="38"/>
  <c r="AB161" i="38"/>
  <c r="AA161" i="38"/>
  <c r="Z161" i="38"/>
  <c r="Y161" i="38"/>
  <c r="X161" i="38"/>
  <c r="W161" i="38"/>
  <c r="V161" i="38"/>
  <c r="U161" i="38"/>
  <c r="T161" i="38"/>
  <c r="S161" i="38"/>
  <c r="R161" i="38"/>
  <c r="Q161" i="38"/>
  <c r="P161" i="38"/>
  <c r="O161" i="38"/>
  <c r="N161" i="38"/>
  <c r="M161" i="38"/>
  <c r="L161" i="38"/>
  <c r="K161" i="38"/>
  <c r="J161" i="38"/>
  <c r="I161" i="38"/>
  <c r="H161" i="38"/>
  <c r="G161" i="38"/>
  <c r="F161" i="38"/>
  <c r="E161" i="38"/>
  <c r="D161" i="38"/>
  <c r="A161" i="38"/>
  <c r="G156" i="38" s="1"/>
  <c r="AP160" i="38"/>
  <c r="AO160" i="38"/>
  <c r="AN160" i="38"/>
  <c r="AM160" i="38"/>
  <c r="AL160" i="38"/>
  <c r="AK160" i="38"/>
  <c r="AJ160" i="38"/>
  <c r="AI160" i="38"/>
  <c r="AH160" i="38"/>
  <c r="AG160" i="38"/>
  <c r="AF160" i="38"/>
  <c r="AE160" i="38"/>
  <c r="AD160" i="38"/>
  <c r="AC160" i="38"/>
  <c r="AB160" i="38"/>
  <c r="AA160" i="38"/>
  <c r="Z160" i="38"/>
  <c r="Y160" i="38"/>
  <c r="X160" i="38"/>
  <c r="W160" i="38"/>
  <c r="V160" i="38"/>
  <c r="U160" i="38"/>
  <c r="T160" i="38"/>
  <c r="S160" i="38"/>
  <c r="R160" i="38"/>
  <c r="Q160" i="38"/>
  <c r="P160" i="38"/>
  <c r="O160" i="38"/>
  <c r="N160" i="38"/>
  <c r="M160" i="38"/>
  <c r="L160" i="38"/>
  <c r="K160" i="38"/>
  <c r="J160" i="38"/>
  <c r="I160" i="38"/>
  <c r="H160" i="38"/>
  <c r="G160" i="38"/>
  <c r="F160" i="38"/>
  <c r="E160" i="38"/>
  <c r="D160" i="38"/>
  <c r="AP159" i="38"/>
  <c r="AO159" i="38"/>
  <c r="AN159" i="38"/>
  <c r="AM159" i="38"/>
  <c r="AL159" i="38"/>
  <c r="AK159" i="38"/>
  <c r="AJ159" i="38"/>
  <c r="AI159" i="38"/>
  <c r="AH159" i="38"/>
  <c r="AG159" i="38"/>
  <c r="AF159" i="38"/>
  <c r="AE159" i="38"/>
  <c r="AD159" i="38"/>
  <c r="AC159" i="38"/>
  <c r="AB159" i="38"/>
  <c r="AA159" i="38"/>
  <c r="Z159" i="38"/>
  <c r="Y159" i="38"/>
  <c r="X159" i="38"/>
  <c r="W159" i="38"/>
  <c r="V159" i="38"/>
  <c r="U159" i="38"/>
  <c r="T159" i="38"/>
  <c r="S159" i="38"/>
  <c r="R159" i="38"/>
  <c r="Q159" i="38"/>
  <c r="P159" i="38"/>
  <c r="O159" i="38"/>
  <c r="N159" i="38"/>
  <c r="M159" i="38"/>
  <c r="L159" i="38"/>
  <c r="K159" i="38"/>
  <c r="J159" i="38"/>
  <c r="I159" i="38"/>
  <c r="H159" i="38"/>
  <c r="G159" i="38"/>
  <c r="F159" i="38"/>
  <c r="E159" i="38"/>
  <c r="D159" i="38"/>
  <c r="A159" i="38"/>
  <c r="E156" i="38" s="1"/>
  <c r="AP158" i="38"/>
  <c r="AO158" i="38"/>
  <c r="AN158" i="38"/>
  <c r="AM158" i="38"/>
  <c r="AL158" i="38"/>
  <c r="AK158" i="38"/>
  <c r="AJ158" i="38"/>
  <c r="AI158" i="38"/>
  <c r="AH158" i="38"/>
  <c r="AG158" i="38"/>
  <c r="AF158" i="38"/>
  <c r="AE158" i="38"/>
  <c r="AD158" i="38"/>
  <c r="AC158" i="38"/>
  <c r="AB158" i="38"/>
  <c r="AA158" i="38"/>
  <c r="Z158" i="38"/>
  <c r="Y158" i="38"/>
  <c r="X158" i="38"/>
  <c r="W158" i="38"/>
  <c r="V158" i="38"/>
  <c r="U158" i="38"/>
  <c r="T158" i="38"/>
  <c r="S158" i="38"/>
  <c r="R158" i="38"/>
  <c r="Q158" i="38"/>
  <c r="P158" i="38"/>
  <c r="O158" i="38"/>
  <c r="N158" i="38"/>
  <c r="M158" i="38"/>
  <c r="L158" i="38"/>
  <c r="K158" i="38"/>
  <c r="J158" i="38"/>
  <c r="I158" i="38"/>
  <c r="H158" i="38"/>
  <c r="G158" i="38"/>
  <c r="F158" i="38"/>
  <c r="E158" i="38"/>
  <c r="D158" i="38"/>
  <c r="AP156" i="38"/>
  <c r="AO156" i="38"/>
  <c r="AN156" i="38"/>
  <c r="AM156" i="38"/>
  <c r="AL156" i="38"/>
  <c r="AI156" i="38"/>
  <c r="R137" i="38"/>
  <c r="Q137" i="38"/>
  <c r="P137" i="38"/>
  <c r="O137" i="38"/>
  <c r="N137" i="38"/>
  <c r="M137" i="38"/>
  <c r="L137" i="38"/>
  <c r="K137" i="38"/>
  <c r="J137" i="38"/>
  <c r="I137" i="38"/>
  <c r="H137" i="38"/>
  <c r="G137" i="38"/>
  <c r="F137" i="38"/>
  <c r="D60" i="3" s="1"/>
  <c r="D58" i="232" s="1"/>
  <c r="R136" i="38"/>
  <c r="Q136" i="38"/>
  <c r="P136" i="38"/>
  <c r="O136" i="38"/>
  <c r="N136" i="38"/>
  <c r="M136" i="38"/>
  <c r="L136" i="38"/>
  <c r="K136" i="38"/>
  <c r="J136" i="38"/>
  <c r="I136" i="38"/>
  <c r="H136" i="38"/>
  <c r="G136" i="38"/>
  <c r="R135" i="38"/>
  <c r="Q135" i="38"/>
  <c r="P135" i="38"/>
  <c r="O135" i="38"/>
  <c r="N135" i="38"/>
  <c r="M135" i="38"/>
  <c r="L135" i="38"/>
  <c r="K135" i="38"/>
  <c r="J135" i="38"/>
  <c r="I135" i="38"/>
  <c r="H135" i="38"/>
  <c r="G135" i="38"/>
  <c r="R134" i="38"/>
  <c r="Q134" i="38"/>
  <c r="P134" i="38"/>
  <c r="O134" i="38"/>
  <c r="N134" i="38"/>
  <c r="M134" i="38"/>
  <c r="L134" i="38"/>
  <c r="K134" i="38"/>
  <c r="J134" i="38"/>
  <c r="I134" i="38"/>
  <c r="H134" i="38"/>
  <c r="G134" i="38"/>
  <c r="F134" i="38"/>
  <c r="D57" i="3" s="1"/>
  <c r="D55" i="232" s="1"/>
  <c r="R133" i="38"/>
  <c r="Q133" i="38"/>
  <c r="P133" i="38"/>
  <c r="O133" i="38"/>
  <c r="N133" i="38"/>
  <c r="M133" i="38"/>
  <c r="L133" i="38"/>
  <c r="K133" i="38"/>
  <c r="J133" i="38"/>
  <c r="I133" i="38"/>
  <c r="H133" i="38"/>
  <c r="G133" i="38"/>
  <c r="R132" i="38"/>
  <c r="Q132" i="38"/>
  <c r="P132" i="38"/>
  <c r="O132" i="38"/>
  <c r="N132" i="38"/>
  <c r="M132" i="38"/>
  <c r="L132" i="38"/>
  <c r="K132" i="38"/>
  <c r="J132" i="38"/>
  <c r="I132" i="38"/>
  <c r="H132" i="38"/>
  <c r="G132" i="38"/>
  <c r="R131" i="38"/>
  <c r="Q131" i="38"/>
  <c r="P131" i="38"/>
  <c r="O131" i="38"/>
  <c r="N131" i="38"/>
  <c r="M131" i="38"/>
  <c r="L131" i="38"/>
  <c r="K131" i="38"/>
  <c r="J131" i="38"/>
  <c r="I131" i="38"/>
  <c r="H131" i="38"/>
  <c r="G131" i="38"/>
  <c r="R130" i="38"/>
  <c r="Q130" i="38"/>
  <c r="P130" i="38"/>
  <c r="O130" i="38"/>
  <c r="N130" i="38"/>
  <c r="M130" i="38"/>
  <c r="L130" i="38"/>
  <c r="K130" i="38"/>
  <c r="J130" i="38"/>
  <c r="I130" i="38"/>
  <c r="H130" i="38"/>
  <c r="G130" i="38"/>
  <c r="R129" i="38"/>
  <c r="Q129" i="38"/>
  <c r="P129" i="38"/>
  <c r="O129" i="38"/>
  <c r="N129" i="38"/>
  <c r="M129" i="38"/>
  <c r="L129" i="38"/>
  <c r="K129" i="38"/>
  <c r="J129" i="38"/>
  <c r="I129" i="38"/>
  <c r="H129" i="38"/>
  <c r="G129" i="38"/>
  <c r="R128" i="38"/>
  <c r="Q128" i="38"/>
  <c r="P128" i="38"/>
  <c r="O128" i="38"/>
  <c r="N128" i="38"/>
  <c r="M128" i="38"/>
  <c r="L128" i="38"/>
  <c r="K128" i="38"/>
  <c r="J128" i="38"/>
  <c r="I128" i="38"/>
  <c r="H128" i="38"/>
  <c r="G128" i="38"/>
  <c r="R127" i="38"/>
  <c r="Q127" i="38"/>
  <c r="P127" i="38"/>
  <c r="O127" i="38"/>
  <c r="N127" i="38"/>
  <c r="M127" i="38"/>
  <c r="L127" i="38"/>
  <c r="K127" i="38"/>
  <c r="J127" i="38"/>
  <c r="I127" i="38"/>
  <c r="H127" i="38"/>
  <c r="G127" i="38"/>
  <c r="F127" i="38"/>
  <c r="D46" i="3" s="1"/>
  <c r="D45" i="232" s="1"/>
  <c r="B33" i="38"/>
  <c r="A67" i="264" s="1"/>
  <c r="B28" i="38"/>
  <c r="A32" i="14" s="1"/>
  <c r="B20" i="38"/>
  <c r="B17" i="38"/>
  <c r="B16" i="38"/>
  <c r="B15" i="38"/>
  <c r="B14" i="38"/>
  <c r="B13" i="38"/>
  <c r="I33" i="13"/>
  <c r="G33" i="13"/>
  <c r="H46" i="34"/>
  <c r="D20" i="24" s="1"/>
  <c r="D19" i="3" s="1"/>
  <c r="D20" i="232" s="1"/>
  <c r="K50" i="35"/>
  <c r="K51" i="35" s="1"/>
  <c r="K52" i="35" s="1"/>
  <c r="K53" i="35" s="1"/>
  <c r="K54" i="35" s="1"/>
  <c r="K55" i="35" s="1"/>
  <c r="K56" i="35" s="1"/>
  <c r="K57" i="35" s="1"/>
  <c r="K58" i="35" s="1"/>
  <c r="K59" i="35" s="1"/>
  <c r="K60" i="35" s="1"/>
  <c r="K61" i="35" s="1"/>
  <c r="K62" i="35" s="1"/>
  <c r="K63" i="35" s="1"/>
  <c r="K64" i="35" s="1"/>
  <c r="K65" i="35" s="1"/>
  <c r="K66" i="35" s="1"/>
  <c r="K67" i="35" s="1"/>
  <c r="K68" i="35" s="1"/>
  <c r="K69" i="35" s="1"/>
  <c r="K70" i="35" s="1"/>
  <c r="K71" i="35" s="1"/>
  <c r="K72" i="35" s="1"/>
  <c r="K73" i="35" s="1"/>
  <c r="K74" i="35" s="1"/>
  <c r="K75" i="35" s="1"/>
  <c r="K76" i="35" s="1"/>
  <c r="K77" i="35" s="1"/>
  <c r="K78" i="35" s="1"/>
  <c r="AR90" i="231"/>
  <c r="A90" i="231"/>
  <c r="AZ88" i="231"/>
  <c r="AX88" i="231"/>
  <c r="AU88" i="231"/>
  <c r="AW88" i="231" s="1"/>
  <c r="AQ88" i="231"/>
  <c r="AM88" i="231"/>
  <c r="AI88" i="231"/>
  <c r="AK88" i="231" s="1"/>
  <c r="AE88" i="231"/>
  <c r="AH88" i="231" s="1"/>
  <c r="AD88" i="231"/>
  <c r="AA88" i="231"/>
  <c r="AC88" i="231" s="1"/>
  <c r="W88" i="231"/>
  <c r="Z88" i="231" s="1"/>
  <c r="S88" i="231"/>
  <c r="V88" i="231" s="1"/>
  <c r="O88" i="231"/>
  <c r="Q88" i="231" s="1"/>
  <c r="N88" i="231"/>
  <c r="K88" i="231"/>
  <c r="M88" i="231" s="1"/>
  <c r="G88" i="231"/>
  <c r="C88" i="231"/>
  <c r="E88" i="231" s="1"/>
  <c r="B88" i="231"/>
  <c r="AZ87" i="231"/>
  <c r="AU87" i="231"/>
  <c r="AW87" i="231" s="1"/>
  <c r="AQ87" i="231"/>
  <c r="AT87" i="231" s="1"/>
  <c r="AM87" i="231"/>
  <c r="AI87" i="231"/>
  <c r="AL87" i="231" s="1"/>
  <c r="AE87" i="231"/>
  <c r="AH87" i="231" s="1"/>
  <c r="AA87" i="231"/>
  <c r="AC87" i="231" s="1"/>
  <c r="W87" i="231"/>
  <c r="S87" i="231"/>
  <c r="O87" i="231"/>
  <c r="Q87" i="231" s="1"/>
  <c r="K87" i="231"/>
  <c r="N87" i="231" s="1"/>
  <c r="J87" i="231"/>
  <c r="G87" i="231"/>
  <c r="I87" i="231" s="1"/>
  <c r="C87" i="231"/>
  <c r="F87" i="231" s="1"/>
  <c r="AZ86" i="231"/>
  <c r="AU86" i="231"/>
  <c r="AX86" i="231" s="1"/>
  <c r="AQ86" i="231"/>
  <c r="AT86" i="231" s="1"/>
  <c r="AM86" i="231"/>
  <c r="AO86" i="231" s="1"/>
  <c r="AI86" i="231"/>
  <c r="AE86" i="231"/>
  <c r="AA86" i="231"/>
  <c r="AC86" i="231" s="1"/>
  <c r="W86" i="231"/>
  <c r="Z86" i="231" s="1"/>
  <c r="S86" i="231"/>
  <c r="U86" i="231" s="1"/>
  <c r="O86" i="231"/>
  <c r="R86" i="231" s="1"/>
  <c r="K86" i="231"/>
  <c r="N86" i="231" s="1"/>
  <c r="G86" i="231"/>
  <c r="I86" i="231" s="1"/>
  <c r="F86" i="231"/>
  <c r="C86" i="231"/>
  <c r="E86" i="231" s="1"/>
  <c r="AZ85" i="231"/>
  <c r="AU85" i="231"/>
  <c r="AX85" i="231" s="1"/>
  <c r="AQ85" i="231"/>
  <c r="AM85" i="231"/>
  <c r="AO85" i="231" s="1"/>
  <c r="AI85" i="231"/>
  <c r="AL85" i="231" s="1"/>
  <c r="AE85" i="231"/>
  <c r="AA85" i="231"/>
  <c r="AD85" i="231" s="1"/>
  <c r="Y85" i="231"/>
  <c r="W85" i="231"/>
  <c r="Z85" i="231" s="1"/>
  <c r="V85" i="231"/>
  <c r="S85" i="231"/>
  <c r="U85" i="231" s="1"/>
  <c r="O85" i="231"/>
  <c r="R85" i="231" s="1"/>
  <c r="K85" i="231"/>
  <c r="G85" i="231"/>
  <c r="I85" i="231" s="1"/>
  <c r="C85" i="231"/>
  <c r="AZ84" i="231"/>
  <c r="AU84" i="231"/>
  <c r="AX84" i="231" s="1"/>
  <c r="AQ84" i="231"/>
  <c r="AT84" i="231" s="1"/>
  <c r="AM84" i="231"/>
  <c r="AP84" i="231" s="1"/>
  <c r="AI84" i="231"/>
  <c r="AE84" i="231"/>
  <c r="AG84" i="231" s="1"/>
  <c r="AA84" i="231"/>
  <c r="AD84" i="231" s="1"/>
  <c r="W84" i="231"/>
  <c r="S84" i="231"/>
  <c r="U84" i="231" s="1"/>
  <c r="O84" i="231"/>
  <c r="R84" i="231" s="1"/>
  <c r="K84" i="231"/>
  <c r="N84" i="231" s="1"/>
  <c r="G84" i="231"/>
  <c r="J84" i="231" s="1"/>
  <c r="C84" i="231"/>
  <c r="E84" i="231" s="1"/>
  <c r="AZ83" i="231"/>
  <c r="AU83" i="231"/>
  <c r="AW83" i="231" s="1"/>
  <c r="AQ83" i="231"/>
  <c r="AT83" i="231" s="1"/>
  <c r="AM83" i="231"/>
  <c r="AK83" i="231"/>
  <c r="AI83" i="231"/>
  <c r="AL83" i="231" s="1"/>
  <c r="AE83" i="231"/>
  <c r="AD83" i="231"/>
  <c r="AA83" i="231"/>
  <c r="AC83" i="231" s="1"/>
  <c r="W83" i="231"/>
  <c r="Y83" i="231" s="1"/>
  <c r="S83" i="231"/>
  <c r="V83" i="231" s="1"/>
  <c r="O83" i="231"/>
  <c r="Q83" i="231" s="1"/>
  <c r="K83" i="231"/>
  <c r="N83" i="231" s="1"/>
  <c r="G83" i="231"/>
  <c r="AV78" i="231"/>
  <c r="AR78" i="231"/>
  <c r="AN78" i="231"/>
  <c r="AJ78" i="231"/>
  <c r="AF78" i="231"/>
  <c r="AB78" i="231"/>
  <c r="X78" i="231"/>
  <c r="T78" i="231"/>
  <c r="P78" i="231"/>
  <c r="L78" i="231"/>
  <c r="H78" i="231"/>
  <c r="D78" i="231"/>
  <c r="AZ75" i="231"/>
  <c r="C74" i="231"/>
  <c r="F74" i="231" s="1"/>
  <c r="AZ74" i="231"/>
  <c r="G74" i="231"/>
  <c r="C73" i="231"/>
  <c r="F73" i="231" s="1"/>
  <c r="AZ73" i="231"/>
  <c r="AU73" i="231"/>
  <c r="AX73" i="231" s="1"/>
  <c r="AQ73" i="231"/>
  <c r="AS73" i="231" s="1"/>
  <c r="AP73" i="231"/>
  <c r="AM73" i="231"/>
  <c r="AO73" i="231" s="1"/>
  <c r="AI73" i="231"/>
  <c r="AE73" i="231"/>
  <c r="AH73" i="231" s="1"/>
  <c r="AA73" i="231"/>
  <c r="AD73" i="231" s="1"/>
  <c r="Z73" i="231"/>
  <c r="Y73" i="231"/>
  <c r="W73" i="231"/>
  <c r="S73" i="231"/>
  <c r="V73" i="231" s="1"/>
  <c r="O73" i="231"/>
  <c r="K73" i="231"/>
  <c r="M73" i="231" s="1"/>
  <c r="I73" i="231"/>
  <c r="G73" i="231"/>
  <c r="J73" i="231" s="1"/>
  <c r="C72" i="231"/>
  <c r="AZ72" i="231"/>
  <c r="G72" i="231"/>
  <c r="I72" i="231" s="1"/>
  <c r="B72" i="231"/>
  <c r="C71" i="231"/>
  <c r="F71" i="231" s="1"/>
  <c r="AZ71" i="231"/>
  <c r="AW71" i="231"/>
  <c r="AU71" i="231"/>
  <c r="AX71" i="231" s="1"/>
  <c r="AQ71" i="231"/>
  <c r="AS71" i="231" s="1"/>
  <c r="AP71" i="231"/>
  <c r="AM71" i="231"/>
  <c r="AO71" i="231" s="1"/>
  <c r="AI71" i="231"/>
  <c r="AE71" i="231"/>
  <c r="AH71" i="231" s="1"/>
  <c r="AA71" i="231"/>
  <c r="AD71" i="231" s="1"/>
  <c r="Y71" i="231"/>
  <c r="W71" i="231"/>
  <c r="Z71" i="231" s="1"/>
  <c r="S71" i="231"/>
  <c r="V71" i="231" s="1"/>
  <c r="O71" i="231"/>
  <c r="N71" i="231"/>
  <c r="K71" i="231"/>
  <c r="M71" i="231" s="1"/>
  <c r="J71" i="231"/>
  <c r="I71" i="231"/>
  <c r="G71" i="231"/>
  <c r="B71" i="231"/>
  <c r="C70" i="231"/>
  <c r="F70" i="231" s="1"/>
  <c r="AZ70" i="231"/>
  <c r="I70" i="231"/>
  <c r="G70" i="231"/>
  <c r="J70" i="231" s="1"/>
  <c r="B70" i="231"/>
  <c r="AZ69" i="231"/>
  <c r="G69" i="231"/>
  <c r="J69" i="231" s="1"/>
  <c r="B69" i="231"/>
  <c r="A68" i="231"/>
  <c r="AZ67" i="231"/>
  <c r="AU67" i="231"/>
  <c r="AW67" i="231" s="1"/>
  <c r="AQ67" i="231"/>
  <c r="AT67" i="231" s="1"/>
  <c r="AM67" i="231"/>
  <c r="AI67" i="231"/>
  <c r="AK67" i="231" s="1"/>
  <c r="AE67" i="231"/>
  <c r="AH67" i="231" s="1"/>
  <c r="AA67" i="231"/>
  <c r="AD67" i="231" s="1"/>
  <c r="W67" i="231"/>
  <c r="Z67" i="231" s="1"/>
  <c r="S67" i="231"/>
  <c r="V67" i="231" s="1"/>
  <c r="O67" i="231"/>
  <c r="K67" i="231"/>
  <c r="N67" i="231" s="1"/>
  <c r="G67" i="231"/>
  <c r="B67" i="231"/>
  <c r="AZ66" i="231"/>
  <c r="G66" i="231"/>
  <c r="I66" i="231" s="1"/>
  <c r="B66" i="231"/>
  <c r="AZ65" i="231"/>
  <c r="AU65" i="231"/>
  <c r="AQ65" i="231"/>
  <c r="AS65" i="231" s="1"/>
  <c r="AM65" i="231"/>
  <c r="AP65" i="231" s="1"/>
  <c r="AI65" i="231"/>
  <c r="AK65" i="231" s="1"/>
  <c r="AE65" i="231"/>
  <c r="AH65" i="231" s="1"/>
  <c r="AA65" i="231"/>
  <c r="AD65" i="231" s="1"/>
  <c r="W65" i="231"/>
  <c r="Y65" i="231" s="1"/>
  <c r="S65" i="231"/>
  <c r="U65" i="231" s="1"/>
  <c r="O65" i="231"/>
  <c r="K65" i="231"/>
  <c r="M65" i="231" s="1"/>
  <c r="G65" i="231"/>
  <c r="J65" i="231" s="1"/>
  <c r="B65" i="231"/>
  <c r="AZ64" i="231"/>
  <c r="G64" i="231"/>
  <c r="I64" i="231" s="1"/>
  <c r="B64" i="231"/>
  <c r="AZ63" i="231"/>
  <c r="AU63" i="231"/>
  <c r="AX63" i="231" s="1"/>
  <c r="AQ63" i="231"/>
  <c r="AS63" i="231" s="1"/>
  <c r="AM63" i="231"/>
  <c r="AP63" i="231" s="1"/>
  <c r="AK63" i="231"/>
  <c r="AI63" i="231"/>
  <c r="AL63" i="231" s="1"/>
  <c r="AE63" i="231"/>
  <c r="AG63" i="231" s="1"/>
  <c r="AC63" i="231"/>
  <c r="AA63" i="231"/>
  <c r="AD63" i="231" s="1"/>
  <c r="W63" i="231"/>
  <c r="S63" i="231"/>
  <c r="U63" i="231" s="1"/>
  <c r="O63" i="231"/>
  <c r="R63" i="231" s="1"/>
  <c r="K63" i="231"/>
  <c r="G63" i="231"/>
  <c r="J63" i="231" s="1"/>
  <c r="B63" i="231"/>
  <c r="AZ62" i="231"/>
  <c r="G62" i="231"/>
  <c r="J62" i="231" s="1"/>
  <c r="B62" i="231"/>
  <c r="AZ61" i="231"/>
  <c r="G61" i="231"/>
  <c r="I61" i="231" s="1"/>
  <c r="B61" i="231"/>
  <c r="AZ60" i="231"/>
  <c r="G60" i="231"/>
  <c r="J60" i="231" s="1"/>
  <c r="B60" i="231"/>
  <c r="AZ59" i="231"/>
  <c r="B59" i="231"/>
  <c r="AZ58" i="231"/>
  <c r="B58" i="231"/>
  <c r="AZ57" i="231"/>
  <c r="G57" i="231"/>
  <c r="J57" i="231" s="1"/>
  <c r="B57" i="231"/>
  <c r="AZ56" i="231"/>
  <c r="AY56" i="231"/>
  <c r="AW56" i="231"/>
  <c r="AT56" i="231"/>
  <c r="AS56" i="231"/>
  <c r="AP56" i="231"/>
  <c r="AO56" i="231"/>
  <c r="AL56" i="231"/>
  <c r="AK56" i="231"/>
  <c r="AH56" i="231"/>
  <c r="AG56" i="231"/>
  <c r="AD56" i="231"/>
  <c r="AC56" i="231"/>
  <c r="Z56" i="231"/>
  <c r="Y56" i="231"/>
  <c r="V56" i="231"/>
  <c r="U56" i="231"/>
  <c r="R56" i="231"/>
  <c r="Q56" i="231"/>
  <c r="N56" i="231"/>
  <c r="M56" i="231"/>
  <c r="J56" i="231"/>
  <c r="I56" i="231"/>
  <c r="F56" i="231"/>
  <c r="E56" i="231"/>
  <c r="AZ55" i="231"/>
  <c r="B55" i="231"/>
  <c r="A54" i="231"/>
  <c r="AZ53" i="231"/>
  <c r="G53" i="231"/>
  <c r="J53" i="231" s="1"/>
  <c r="B53" i="231"/>
  <c r="AZ52" i="231"/>
  <c r="AU52" i="231"/>
  <c r="AX52" i="231" s="1"/>
  <c r="AQ52" i="231"/>
  <c r="AT52" i="231" s="1"/>
  <c r="AM52" i="231"/>
  <c r="AO52" i="231" s="1"/>
  <c r="AI52" i="231"/>
  <c r="AE52" i="231"/>
  <c r="AA52" i="231"/>
  <c r="AC52" i="231" s="1"/>
  <c r="W52" i="231"/>
  <c r="Z52" i="231" s="1"/>
  <c r="V52" i="231"/>
  <c r="S52" i="231"/>
  <c r="U52" i="231" s="1"/>
  <c r="O52" i="231"/>
  <c r="R52" i="231" s="1"/>
  <c r="K52" i="231"/>
  <c r="N52" i="231" s="1"/>
  <c r="J52" i="231"/>
  <c r="G52" i="231"/>
  <c r="I52" i="231" s="1"/>
  <c r="B52" i="231"/>
  <c r="AZ51" i="231"/>
  <c r="G51" i="231"/>
  <c r="B51" i="231"/>
  <c r="AZ50" i="231"/>
  <c r="AU50" i="231"/>
  <c r="AQ50" i="231"/>
  <c r="AT50" i="231" s="1"/>
  <c r="AM50" i="231"/>
  <c r="AI50" i="231"/>
  <c r="AK50" i="231" s="1"/>
  <c r="AE50" i="231"/>
  <c r="AH50" i="231" s="1"/>
  <c r="AC50" i="231"/>
  <c r="AA50" i="231"/>
  <c r="AD50" i="231" s="1"/>
  <c r="W50" i="231"/>
  <c r="Z50" i="231" s="1"/>
  <c r="S50" i="231"/>
  <c r="R50" i="231"/>
  <c r="O50" i="231"/>
  <c r="Q50" i="231" s="1"/>
  <c r="K50" i="231"/>
  <c r="N50" i="231" s="1"/>
  <c r="G50" i="231"/>
  <c r="B50" i="231"/>
  <c r="AZ49" i="231"/>
  <c r="G49" i="231"/>
  <c r="I49" i="231" s="1"/>
  <c r="B49" i="231"/>
  <c r="AZ48" i="231"/>
  <c r="G48" i="231"/>
  <c r="J48" i="231" s="1"/>
  <c r="AZ47" i="231"/>
  <c r="G47" i="231"/>
  <c r="J47" i="231" s="1"/>
  <c r="A46" i="231"/>
  <c r="AZ45" i="231"/>
  <c r="G45" i="231"/>
  <c r="J45" i="231" s="1"/>
  <c r="AZ44" i="231"/>
  <c r="AU44" i="231"/>
  <c r="AW44" i="231" s="1"/>
  <c r="AQ44" i="231"/>
  <c r="AT44" i="231" s="1"/>
  <c r="AM44" i="231"/>
  <c r="AI44" i="231"/>
  <c r="AK44" i="231" s="1"/>
  <c r="AE44" i="231"/>
  <c r="AH44" i="231" s="1"/>
  <c r="AA44" i="231"/>
  <c r="AD44" i="231" s="1"/>
  <c r="W44" i="231"/>
  <c r="Z44" i="231" s="1"/>
  <c r="S44" i="231"/>
  <c r="V44" i="231" s="1"/>
  <c r="O44" i="231"/>
  <c r="K44" i="231"/>
  <c r="N44" i="231" s="1"/>
  <c r="G44" i="231"/>
  <c r="B44" i="231"/>
  <c r="AZ43" i="231"/>
  <c r="G43" i="231"/>
  <c r="I43" i="231" s="1"/>
  <c r="B43" i="231"/>
  <c r="AZ42" i="231"/>
  <c r="AU42" i="231"/>
  <c r="AQ42" i="231"/>
  <c r="AS42" i="231" s="1"/>
  <c r="AM42" i="231"/>
  <c r="AP42" i="231" s="1"/>
  <c r="AL42" i="231"/>
  <c r="AK42" i="231"/>
  <c r="AI42" i="231"/>
  <c r="AE42" i="231"/>
  <c r="AH42" i="231" s="1"/>
  <c r="AA42" i="231"/>
  <c r="AD42" i="231" s="1"/>
  <c r="W42" i="231"/>
  <c r="U42" i="231"/>
  <c r="S42" i="231"/>
  <c r="V42" i="231" s="1"/>
  <c r="O42" i="231"/>
  <c r="K42" i="231"/>
  <c r="M42" i="231" s="1"/>
  <c r="G42" i="231"/>
  <c r="J42" i="231" s="1"/>
  <c r="AZ41" i="231"/>
  <c r="G41" i="231"/>
  <c r="I41" i="231" s="1"/>
  <c r="AZ40" i="231"/>
  <c r="AU40" i="231"/>
  <c r="AX40" i="231" s="1"/>
  <c r="AQ40" i="231"/>
  <c r="AS40" i="231" s="1"/>
  <c r="AM40" i="231"/>
  <c r="AP40" i="231" s="1"/>
  <c r="AI40" i="231"/>
  <c r="AL40" i="231" s="1"/>
  <c r="AE40" i="231"/>
  <c r="AG40" i="231" s="1"/>
  <c r="AA40" i="231"/>
  <c r="AC40" i="231" s="1"/>
  <c r="W40" i="231"/>
  <c r="S40" i="231"/>
  <c r="U40" i="231" s="1"/>
  <c r="O40" i="231"/>
  <c r="R40" i="231" s="1"/>
  <c r="K40" i="231"/>
  <c r="G40" i="231"/>
  <c r="J40" i="231" s="1"/>
  <c r="B40" i="231"/>
  <c r="AZ39" i="231"/>
  <c r="G39" i="231"/>
  <c r="J39" i="231" s="1"/>
  <c r="AZ38" i="231"/>
  <c r="AZ37" i="231"/>
  <c r="AZ36" i="231"/>
  <c r="K36" i="231"/>
  <c r="N36" i="231" s="1"/>
  <c r="I36" i="231"/>
  <c r="G36" i="231"/>
  <c r="J36" i="231" s="1"/>
  <c r="AZ35" i="231"/>
  <c r="G35" i="231"/>
  <c r="B35" i="231"/>
  <c r="AZ34" i="231"/>
  <c r="K34" i="231"/>
  <c r="M34" i="231" s="1"/>
  <c r="G34" i="231"/>
  <c r="J34" i="231" s="1"/>
  <c r="B34" i="231"/>
  <c r="AZ33" i="231"/>
  <c r="G33" i="231"/>
  <c r="J33" i="231" s="1"/>
  <c r="B33" i="231"/>
  <c r="AZ32" i="231"/>
  <c r="G32" i="231"/>
  <c r="I32" i="231" s="1"/>
  <c r="AZ31" i="231"/>
  <c r="G31" i="231"/>
  <c r="J31" i="231" s="1"/>
  <c r="AZ30" i="231"/>
  <c r="A29" i="231"/>
  <c r="AV26" i="231"/>
  <c r="AV90" i="231" s="1"/>
  <c r="AR26" i="231"/>
  <c r="AN26" i="231"/>
  <c r="AJ26" i="231"/>
  <c r="AF26" i="231"/>
  <c r="AB26" i="231"/>
  <c r="X26" i="231"/>
  <c r="T26" i="231"/>
  <c r="P26" i="231"/>
  <c r="P90" i="231" s="1"/>
  <c r="L26" i="231"/>
  <c r="L90" i="231" s="1"/>
  <c r="H26" i="231"/>
  <c r="D26" i="231"/>
  <c r="AZ23" i="231"/>
  <c r="AZ21" i="231"/>
  <c r="AZ18" i="231"/>
  <c r="A8" i="231"/>
  <c r="B68" i="232"/>
  <c r="D66" i="232"/>
  <c r="E66" i="232" s="1"/>
  <c r="F66" i="232" s="1"/>
  <c r="G66" i="232" s="1"/>
  <c r="H66" i="232" s="1"/>
  <c r="I66" i="232" s="1"/>
  <c r="J66" i="232" s="1"/>
  <c r="K66" i="232" s="1"/>
  <c r="L66" i="232" s="1"/>
  <c r="M66" i="232" s="1"/>
  <c r="N66" i="232" s="1"/>
  <c r="O66" i="232" s="1"/>
  <c r="P66" i="232" s="1"/>
  <c r="B66" i="232"/>
  <c r="F65" i="232"/>
  <c r="E65" i="232"/>
  <c r="B65" i="232"/>
  <c r="P64" i="232"/>
  <c r="O64" i="232"/>
  <c r="N64" i="232"/>
  <c r="M64" i="232"/>
  <c r="L64" i="232"/>
  <c r="K64" i="232"/>
  <c r="J64" i="232"/>
  <c r="I64" i="232"/>
  <c r="H64" i="232"/>
  <c r="G64" i="232"/>
  <c r="F64" i="232"/>
  <c r="B64" i="232"/>
  <c r="B63" i="232"/>
  <c r="B58" i="232"/>
  <c r="B54" i="232"/>
  <c r="B52" i="232"/>
  <c r="B51" i="232"/>
  <c r="B47" i="232"/>
  <c r="B46" i="232"/>
  <c r="B45" i="232"/>
  <c r="D44" i="232"/>
  <c r="B31" i="232"/>
  <c r="B29" i="232"/>
  <c r="A9" i="232"/>
  <c r="A67" i="226"/>
  <c r="K54" i="226"/>
  <c r="I54" i="226"/>
  <c r="G54" i="226"/>
  <c r="K45" i="226"/>
  <c r="I45" i="226"/>
  <c r="G45" i="226"/>
  <c r="K42" i="226"/>
  <c r="I42" i="226"/>
  <c r="G42" i="226"/>
  <c r="K39" i="226"/>
  <c r="I39" i="226"/>
  <c r="G39" i="226"/>
  <c r="K14" i="226"/>
  <c r="I14" i="226"/>
  <c r="G14" i="226"/>
  <c r="A8" i="226"/>
  <c r="H75" i="225"/>
  <c r="F75" i="225"/>
  <c r="D75" i="225"/>
  <c r="H70" i="225"/>
  <c r="F70" i="225"/>
  <c r="D70" i="225"/>
  <c r="B70" i="225"/>
  <c r="H69" i="225"/>
  <c r="F69" i="225"/>
  <c r="D69" i="225"/>
  <c r="H68" i="225"/>
  <c r="F68" i="225"/>
  <c r="D68" i="225"/>
  <c r="H67" i="225"/>
  <c r="F67" i="225"/>
  <c r="D67" i="225"/>
  <c r="H66" i="225"/>
  <c r="F66" i="225"/>
  <c r="D66" i="225"/>
  <c r="H65" i="225"/>
  <c r="F65" i="225"/>
  <c r="D65" i="225"/>
  <c r="H60" i="225"/>
  <c r="F60" i="225"/>
  <c r="D60" i="225"/>
  <c r="H56" i="225"/>
  <c r="F56" i="225"/>
  <c r="D56" i="225"/>
  <c r="H55" i="225"/>
  <c r="F55" i="225"/>
  <c r="D55" i="225"/>
  <c r="B55" i="225"/>
  <c r="H54" i="225"/>
  <c r="F54" i="225"/>
  <c r="D54" i="225"/>
  <c r="H53" i="225"/>
  <c r="F53" i="225"/>
  <c r="D53" i="225"/>
  <c r="B53" i="225"/>
  <c r="A52" i="225"/>
  <c r="H51" i="225"/>
  <c r="F51" i="225"/>
  <c r="D51" i="225"/>
  <c r="B51" i="225"/>
  <c r="H50" i="225"/>
  <c r="F50" i="225"/>
  <c r="D50" i="225"/>
  <c r="B50" i="225"/>
  <c r="H49" i="225"/>
  <c r="F49" i="225"/>
  <c r="D49" i="225"/>
  <c r="B49" i="225"/>
  <c r="H48" i="225"/>
  <c r="F48" i="225"/>
  <c r="D48" i="225"/>
  <c r="B48" i="225"/>
  <c r="H47" i="225"/>
  <c r="F47" i="225"/>
  <c r="D47" i="225"/>
  <c r="B47" i="225"/>
  <c r="H46" i="225"/>
  <c r="F46" i="225"/>
  <c r="D46" i="225"/>
  <c r="B46" i="225"/>
  <c r="H45" i="225"/>
  <c r="F45" i="225"/>
  <c r="D45" i="225"/>
  <c r="H44" i="225"/>
  <c r="F44" i="225"/>
  <c r="D44" i="225"/>
  <c r="B44" i="225"/>
  <c r="A43" i="225"/>
  <c r="H42" i="225"/>
  <c r="F42" i="225"/>
  <c r="D42" i="225"/>
  <c r="B42" i="225"/>
  <c r="H41" i="225"/>
  <c r="F41" i="225"/>
  <c r="D41" i="225"/>
  <c r="H40" i="225"/>
  <c r="F40" i="225"/>
  <c r="D40" i="225"/>
  <c r="B40" i="225"/>
  <c r="A39" i="225"/>
  <c r="H38" i="225"/>
  <c r="F38" i="225"/>
  <c r="D38" i="225"/>
  <c r="H37" i="225"/>
  <c r="F37" i="225"/>
  <c r="D37" i="225"/>
  <c r="H36" i="225"/>
  <c r="F36" i="225"/>
  <c r="D36" i="225"/>
  <c r="B36" i="225"/>
  <c r="H35" i="225"/>
  <c r="F35" i="225"/>
  <c r="D35" i="225"/>
  <c r="H34" i="225"/>
  <c r="F34" i="225"/>
  <c r="D34" i="225"/>
  <c r="B34" i="225"/>
  <c r="H33" i="225"/>
  <c r="F33" i="225"/>
  <c r="D33" i="225"/>
  <c r="B33" i="225"/>
  <c r="H32" i="225"/>
  <c r="F32" i="225"/>
  <c r="D32" i="225"/>
  <c r="B32" i="225"/>
  <c r="H31" i="225"/>
  <c r="F31" i="225"/>
  <c r="D31" i="225"/>
  <c r="H30" i="225"/>
  <c r="F30" i="225"/>
  <c r="D30" i="225"/>
  <c r="H29" i="225"/>
  <c r="F29" i="225"/>
  <c r="D29" i="225"/>
  <c r="A28" i="225"/>
  <c r="A27" i="225"/>
  <c r="G25" i="225"/>
  <c r="G72" i="225" s="1"/>
  <c r="E25" i="225"/>
  <c r="C25" i="225"/>
  <c r="I67" i="226" s="1"/>
  <c r="H22" i="225"/>
  <c r="F22" i="225"/>
  <c r="D22" i="225"/>
  <c r="H20" i="225"/>
  <c r="F20" i="225"/>
  <c r="D20" i="225"/>
  <c r="A8" i="225"/>
  <c r="I70" i="224"/>
  <c r="G70" i="224"/>
  <c r="E70" i="224"/>
  <c r="E60" i="224"/>
  <c r="E61" i="224" s="1"/>
  <c r="G17" i="226" s="1"/>
  <c r="I58" i="224"/>
  <c r="I60" i="224" s="1"/>
  <c r="G58" i="224"/>
  <c r="G60" i="224" s="1"/>
  <c r="E58" i="224"/>
  <c r="I47" i="224"/>
  <c r="G47" i="224"/>
  <c r="I28" i="226" s="1"/>
  <c r="E47" i="224"/>
  <c r="I35" i="224"/>
  <c r="G35" i="224"/>
  <c r="E35" i="224"/>
  <c r="I20" i="224"/>
  <c r="G20" i="224"/>
  <c r="E20" i="224"/>
  <c r="A8" i="224"/>
  <c r="B260" i="22"/>
  <c r="E260" i="22" s="1"/>
  <c r="G260" i="22" s="1"/>
  <c r="B248" i="22"/>
  <c r="E248" i="22" s="1"/>
  <c r="G248" i="22" s="1"/>
  <c r="B244" i="22"/>
  <c r="E244" i="22" s="1"/>
  <c r="G244" i="22" s="1"/>
  <c r="B240" i="22"/>
  <c r="E240" i="22" s="1"/>
  <c r="G240" i="22" s="1"/>
  <c r="B236" i="22"/>
  <c r="E236" i="22" s="1"/>
  <c r="G236" i="22" s="1"/>
  <c r="B232" i="22"/>
  <c r="E232" i="22" s="1"/>
  <c r="G232" i="22" s="1"/>
  <c r="B228" i="22"/>
  <c r="E228" i="22" s="1"/>
  <c r="G228" i="22" s="1"/>
  <c r="B216" i="22"/>
  <c r="E216" i="22" s="1"/>
  <c r="G216" i="22" s="1"/>
  <c r="B212" i="22"/>
  <c r="E212" i="22" s="1"/>
  <c r="G212" i="22" s="1"/>
  <c r="B208" i="22"/>
  <c r="E208" i="22" s="1"/>
  <c r="G208" i="22" s="1"/>
  <c r="B204" i="22"/>
  <c r="E204" i="22" s="1"/>
  <c r="G204" i="22" s="1"/>
  <c r="B200" i="22"/>
  <c r="E200" i="22" s="1"/>
  <c r="G200" i="22" s="1"/>
  <c r="B196" i="22"/>
  <c r="E196" i="22" s="1"/>
  <c r="G196" i="22" s="1"/>
  <c r="B184" i="22"/>
  <c r="E184" i="22" s="1"/>
  <c r="G184" i="22" s="1"/>
  <c r="B180" i="22"/>
  <c r="E180" i="22" s="1"/>
  <c r="G180" i="22" s="1"/>
  <c r="B176" i="22"/>
  <c r="E176" i="22" s="1"/>
  <c r="G176" i="22" s="1"/>
  <c r="B172" i="22"/>
  <c r="E172" i="22" s="1"/>
  <c r="G172" i="22" s="1"/>
  <c r="B168" i="22"/>
  <c r="E168" i="22" s="1"/>
  <c r="G168" i="22" s="1"/>
  <c r="B164" i="22"/>
  <c r="E164" i="22" s="1"/>
  <c r="G164" i="22" s="1"/>
  <c r="B152" i="22"/>
  <c r="E152" i="22" s="1"/>
  <c r="G152" i="22" s="1"/>
  <c r="B148" i="22"/>
  <c r="E148" i="22" s="1"/>
  <c r="G148" i="22" s="1"/>
  <c r="B144" i="22"/>
  <c r="E144" i="22" s="1"/>
  <c r="G144" i="22" s="1"/>
  <c r="B140" i="22"/>
  <c r="E140" i="22" s="1"/>
  <c r="G140" i="22" s="1"/>
  <c r="B136" i="22"/>
  <c r="E136" i="22" s="1"/>
  <c r="G136" i="22" s="1"/>
  <c r="B132" i="22"/>
  <c r="E132" i="22" s="1"/>
  <c r="G132" i="22" s="1"/>
  <c r="B120" i="22"/>
  <c r="E120" i="22" s="1"/>
  <c r="G120" i="22" s="1"/>
  <c r="B116" i="22"/>
  <c r="E116" i="22" s="1"/>
  <c r="G116" i="22" s="1"/>
  <c r="B112" i="22"/>
  <c r="E112" i="22" s="1"/>
  <c r="G112" i="22" s="1"/>
  <c r="B108" i="22"/>
  <c r="E108" i="22" s="1"/>
  <c r="G108" i="22" s="1"/>
  <c r="B104" i="22"/>
  <c r="E104" i="22" s="1"/>
  <c r="G104" i="22" s="1"/>
  <c r="B100" i="22"/>
  <c r="E100" i="22" s="1"/>
  <c r="G100" i="22" s="1"/>
  <c r="B88" i="22"/>
  <c r="E88" i="22" s="1"/>
  <c r="G88" i="22" s="1"/>
  <c r="B84" i="22"/>
  <c r="E84" i="22" s="1"/>
  <c r="G84" i="22" s="1"/>
  <c r="B80" i="22"/>
  <c r="E80" i="22" s="1"/>
  <c r="G80" i="22" s="1"/>
  <c r="B76" i="22"/>
  <c r="E76" i="22" s="1"/>
  <c r="G76" i="22" s="1"/>
  <c r="B262" i="22"/>
  <c r="E262" i="22" s="1"/>
  <c r="G262" i="22" s="1"/>
  <c r="B258" i="22"/>
  <c r="E258" i="22" s="1"/>
  <c r="G258" i="22" s="1"/>
  <c r="B246" i="22"/>
  <c r="E246" i="22" s="1"/>
  <c r="G246" i="22" s="1"/>
  <c r="B242" i="22"/>
  <c r="E242" i="22" s="1"/>
  <c r="G242" i="22" s="1"/>
  <c r="B238" i="22"/>
  <c r="E238" i="22" s="1"/>
  <c r="G238" i="22" s="1"/>
  <c r="B234" i="22"/>
  <c r="E234" i="22" s="1"/>
  <c r="G234" i="22" s="1"/>
  <c r="B230" i="22"/>
  <c r="E230" i="22" s="1"/>
  <c r="G230" i="22" s="1"/>
  <c r="B226" i="22"/>
  <c r="E226" i="22" s="1"/>
  <c r="G226" i="22" s="1"/>
  <c r="B214" i="22"/>
  <c r="E214" i="22" s="1"/>
  <c r="G214" i="22" s="1"/>
  <c r="B210" i="22"/>
  <c r="E210" i="22" s="1"/>
  <c r="G210" i="22" s="1"/>
  <c r="B206" i="22"/>
  <c r="E206" i="22" s="1"/>
  <c r="G206" i="22" s="1"/>
  <c r="B202" i="22"/>
  <c r="E202" i="22" s="1"/>
  <c r="G202" i="22" s="1"/>
  <c r="B198" i="22"/>
  <c r="E198" i="22" s="1"/>
  <c r="G198" i="22" s="1"/>
  <c r="B186" i="22"/>
  <c r="E186" i="22" s="1"/>
  <c r="G186" i="22" s="1"/>
  <c r="B182" i="22"/>
  <c r="E182" i="22" s="1"/>
  <c r="G182" i="22" s="1"/>
  <c r="B178" i="22"/>
  <c r="E178" i="22" s="1"/>
  <c r="G178" i="22" s="1"/>
  <c r="B174" i="22"/>
  <c r="E174" i="22" s="1"/>
  <c r="G174" i="22" s="1"/>
  <c r="B170" i="22"/>
  <c r="E170" i="22" s="1"/>
  <c r="G170" i="22" s="1"/>
  <c r="B166" i="22"/>
  <c r="E166" i="22" s="1"/>
  <c r="G166" i="22" s="1"/>
  <c r="B154" i="22"/>
  <c r="E154" i="22" s="1"/>
  <c r="G154" i="22" s="1"/>
  <c r="B150" i="22"/>
  <c r="E150" i="22" s="1"/>
  <c r="G150" i="22" s="1"/>
  <c r="B146" i="22"/>
  <c r="E146" i="22" s="1"/>
  <c r="G146" i="22" s="1"/>
  <c r="B142" i="22"/>
  <c r="E142" i="22" s="1"/>
  <c r="G142" i="22" s="1"/>
  <c r="B138" i="22"/>
  <c r="E138" i="22" s="1"/>
  <c r="G138" i="22" s="1"/>
  <c r="B134" i="22"/>
  <c r="E134" i="22" s="1"/>
  <c r="G134" i="22" s="1"/>
  <c r="B122" i="22"/>
  <c r="E122" i="22" s="1"/>
  <c r="G122" i="22" s="1"/>
  <c r="B118" i="22"/>
  <c r="E118" i="22" s="1"/>
  <c r="G118" i="22" s="1"/>
  <c r="B114" i="22"/>
  <c r="E114" i="22" s="1"/>
  <c r="G114" i="22" s="1"/>
  <c r="B110" i="22"/>
  <c r="E110" i="22" s="1"/>
  <c r="G110" i="22" s="1"/>
  <c r="B106" i="22"/>
  <c r="E106" i="22" s="1"/>
  <c r="G106" i="22" s="1"/>
  <c r="B102" i="22"/>
  <c r="E102" i="22" s="1"/>
  <c r="G102" i="22" s="1"/>
  <c r="B90" i="22"/>
  <c r="E90" i="22" s="1"/>
  <c r="G90" i="22" s="1"/>
  <c r="B86" i="22"/>
  <c r="E86" i="22" s="1"/>
  <c r="G86" i="22" s="1"/>
  <c r="B82" i="22"/>
  <c r="E82" i="22" s="1"/>
  <c r="G82" i="22" s="1"/>
  <c r="B78" i="22"/>
  <c r="E78" i="22" s="1"/>
  <c r="G78" i="22" s="1"/>
  <c r="B74" i="22"/>
  <c r="E74" i="22" s="1"/>
  <c r="G74" i="22" s="1"/>
  <c r="B257" i="22"/>
  <c r="E257" i="22" s="1"/>
  <c r="G257" i="22" s="1"/>
  <c r="B253" i="22"/>
  <c r="E253" i="22" s="1"/>
  <c r="G253" i="22" s="1"/>
  <c r="B249" i="22"/>
  <c r="E249" i="22" s="1"/>
  <c r="G249" i="22" s="1"/>
  <c r="B245" i="22"/>
  <c r="E245" i="22" s="1"/>
  <c r="G245" i="22" s="1"/>
  <c r="B241" i="22"/>
  <c r="E241" i="22" s="1"/>
  <c r="G241" i="22" s="1"/>
  <c r="B237" i="22"/>
  <c r="E237" i="22" s="1"/>
  <c r="G237" i="22" s="1"/>
  <c r="B225" i="22"/>
  <c r="E225" i="22" s="1"/>
  <c r="G225" i="22" s="1"/>
  <c r="B221" i="22"/>
  <c r="E221" i="22" s="1"/>
  <c r="G221" i="22" s="1"/>
  <c r="B217" i="22"/>
  <c r="E217" i="22" s="1"/>
  <c r="G217" i="22" s="1"/>
  <c r="B213" i="22"/>
  <c r="E213" i="22" s="1"/>
  <c r="G213" i="22" s="1"/>
  <c r="B209" i="22"/>
  <c r="E209" i="22" s="1"/>
  <c r="G209" i="22" s="1"/>
  <c r="B205" i="22"/>
  <c r="E205" i="22" s="1"/>
  <c r="G205" i="22" s="1"/>
  <c r="B193" i="22"/>
  <c r="E193" i="22" s="1"/>
  <c r="G193" i="22" s="1"/>
  <c r="B189" i="22"/>
  <c r="E189" i="22" s="1"/>
  <c r="G189" i="22" s="1"/>
  <c r="B185" i="22"/>
  <c r="E185" i="22" s="1"/>
  <c r="G185" i="22" s="1"/>
  <c r="B181" i="22"/>
  <c r="E181" i="22" s="1"/>
  <c r="G181" i="22" s="1"/>
  <c r="B177" i="22"/>
  <c r="E177" i="22" s="1"/>
  <c r="G177" i="22" s="1"/>
  <c r="B173" i="22"/>
  <c r="E173" i="22" s="1"/>
  <c r="G173" i="22" s="1"/>
  <c r="B161" i="22"/>
  <c r="E161" i="22" s="1"/>
  <c r="G161" i="22" s="1"/>
  <c r="B157" i="22"/>
  <c r="E157" i="22" s="1"/>
  <c r="G157" i="22" s="1"/>
  <c r="B153" i="22"/>
  <c r="E153" i="22" s="1"/>
  <c r="G153" i="22" s="1"/>
  <c r="B149" i="22"/>
  <c r="E149" i="22" s="1"/>
  <c r="G149" i="22" s="1"/>
  <c r="B145" i="22"/>
  <c r="E145" i="22" s="1"/>
  <c r="G145" i="22" s="1"/>
  <c r="B141" i="22"/>
  <c r="E141" i="22" s="1"/>
  <c r="G141" i="22" s="1"/>
  <c r="B129" i="22"/>
  <c r="E129" i="22" s="1"/>
  <c r="G129" i="22" s="1"/>
  <c r="B125" i="22"/>
  <c r="E125" i="22" s="1"/>
  <c r="G125" i="22" s="1"/>
  <c r="B121" i="22"/>
  <c r="E121" i="22" s="1"/>
  <c r="G121" i="22" s="1"/>
  <c r="B117" i="22"/>
  <c r="E117" i="22" s="1"/>
  <c r="G117" i="22" s="1"/>
  <c r="B113" i="22"/>
  <c r="E113" i="22" s="1"/>
  <c r="G113" i="22" s="1"/>
  <c r="B109" i="22"/>
  <c r="E109" i="22" s="1"/>
  <c r="G109" i="22" s="1"/>
  <c r="B127" i="22"/>
  <c r="E127" i="22" s="1"/>
  <c r="G127" i="22" s="1"/>
  <c r="B135" i="22"/>
  <c r="E135" i="22" s="1"/>
  <c r="G135" i="22" s="1"/>
  <c r="B143" i="22"/>
  <c r="E143" i="22" s="1"/>
  <c r="G143" i="22" s="1"/>
  <c r="B151" i="22"/>
  <c r="E151" i="22" s="1"/>
  <c r="G151" i="22" s="1"/>
  <c r="B159" i="22"/>
  <c r="E159" i="22" s="1"/>
  <c r="G159" i="22" s="1"/>
  <c r="B167" i="22"/>
  <c r="E167" i="22" s="1"/>
  <c r="G167" i="22" s="1"/>
  <c r="B191" i="22"/>
  <c r="E191" i="22" s="1"/>
  <c r="G191" i="22" s="1"/>
  <c r="B199" i="22"/>
  <c r="E199" i="22" s="1"/>
  <c r="G199" i="22" s="1"/>
  <c r="B207" i="22"/>
  <c r="E207" i="22" s="1"/>
  <c r="G207" i="22" s="1"/>
  <c r="B215" i="22"/>
  <c r="E215" i="22" s="1"/>
  <c r="G215" i="22" s="1"/>
  <c r="B231" i="22"/>
  <c r="E231" i="22" s="1"/>
  <c r="G231" i="22" s="1"/>
  <c r="B239" i="22"/>
  <c r="E239" i="22" s="1"/>
  <c r="G239" i="22" s="1"/>
  <c r="B263" i="22"/>
  <c r="E263" i="22" s="1"/>
  <c r="G263" i="22" s="1"/>
  <c r="I156" i="38"/>
  <c r="B55" i="18"/>
  <c r="E55" i="18" s="1"/>
  <c r="G55" i="18" s="1"/>
  <c r="B59" i="18"/>
  <c r="E59" i="18" s="1"/>
  <c r="G59" i="18" s="1"/>
  <c r="B43" i="22"/>
  <c r="E43" i="22" s="1"/>
  <c r="G43" i="22" s="1"/>
  <c r="B75" i="22"/>
  <c r="E75" i="22" s="1"/>
  <c r="G75" i="22" s="1"/>
  <c r="B81" i="22"/>
  <c r="E81" i="22" s="1"/>
  <c r="G81" i="22" s="1"/>
  <c r="B83" i="22"/>
  <c r="E83" i="22" s="1"/>
  <c r="G83" i="22" s="1"/>
  <c r="B85" i="22"/>
  <c r="E85" i="22" s="1"/>
  <c r="G85" i="22" s="1"/>
  <c r="B87" i="22"/>
  <c r="E87" i="22" s="1"/>
  <c r="G87" i="22" s="1"/>
  <c r="B89" i="22"/>
  <c r="E89" i="22" s="1"/>
  <c r="G89" i="22" s="1"/>
  <c r="B91" i="22"/>
  <c r="E91" i="22" s="1"/>
  <c r="G91" i="22" s="1"/>
  <c r="B97" i="22"/>
  <c r="E97" i="22" s="1"/>
  <c r="G97" i="22" s="1"/>
  <c r="B99" i="22"/>
  <c r="E99" i="22" s="1"/>
  <c r="G99" i="22" s="1"/>
  <c r="B101" i="22"/>
  <c r="E101" i="22" s="1"/>
  <c r="G101" i="22" s="1"/>
  <c r="B103" i="22"/>
  <c r="E103" i="22" s="1"/>
  <c r="G103" i="22" s="1"/>
  <c r="B105" i="22"/>
  <c r="E105" i="22" s="1"/>
  <c r="G105" i="22" s="1"/>
  <c r="B51" i="23"/>
  <c r="E51" i="23" s="1"/>
  <c r="G51" i="23" s="1"/>
  <c r="B26" i="232"/>
  <c r="B26" i="19"/>
  <c r="E26" i="19" s="1"/>
  <c r="G26" i="19" s="1"/>
  <c r="B33" i="232"/>
  <c r="E32" i="17"/>
  <c r="E48" i="17"/>
  <c r="B52" i="18"/>
  <c r="E52" i="18" s="1"/>
  <c r="G52" i="18" s="1"/>
  <c r="B56" i="18"/>
  <c r="E56" i="18" s="1"/>
  <c r="G56" i="18" s="1"/>
  <c r="B60" i="18"/>
  <c r="E60" i="18" s="1"/>
  <c r="G60" i="18" s="1"/>
  <c r="B51" i="19"/>
  <c r="E51" i="19" s="1"/>
  <c r="G51" i="19" s="1"/>
  <c r="B55" i="19"/>
  <c r="E55" i="19" s="1"/>
  <c r="G55" i="19" s="1"/>
  <c r="B59" i="19"/>
  <c r="E59" i="19" s="1"/>
  <c r="G59" i="19" s="1"/>
  <c r="B41" i="22"/>
  <c r="E41" i="22" s="1"/>
  <c r="G41" i="22" s="1"/>
  <c r="B72" i="22"/>
  <c r="E72" i="22" s="1"/>
  <c r="G72" i="22" s="1"/>
  <c r="B68" i="22"/>
  <c r="E68" i="22" s="1"/>
  <c r="G68" i="22" s="1"/>
  <c r="B64" i="22"/>
  <c r="E64" i="22" s="1"/>
  <c r="G64" i="22" s="1"/>
  <c r="B70" i="22"/>
  <c r="E70" i="22" s="1"/>
  <c r="G70" i="22" s="1"/>
  <c r="B66" i="22"/>
  <c r="E66" i="22" s="1"/>
  <c r="G66" i="22" s="1"/>
  <c r="B107" i="22"/>
  <c r="E107" i="22" s="1"/>
  <c r="G107" i="22" s="1"/>
  <c r="B115" i="22"/>
  <c r="E115" i="22" s="1"/>
  <c r="G115" i="22" s="1"/>
  <c r="B123" i="22"/>
  <c r="E123" i="22" s="1"/>
  <c r="G123" i="22" s="1"/>
  <c r="B131" i="22"/>
  <c r="E131" i="22" s="1"/>
  <c r="G131" i="22" s="1"/>
  <c r="B139" i="22"/>
  <c r="E139" i="22" s="1"/>
  <c r="G139" i="22" s="1"/>
  <c r="B147" i="22"/>
  <c r="E147" i="22" s="1"/>
  <c r="G147" i="22" s="1"/>
  <c r="B171" i="22"/>
  <c r="E171" i="22" s="1"/>
  <c r="G171" i="22" s="1"/>
  <c r="B179" i="22"/>
  <c r="E179" i="22" s="1"/>
  <c r="G179" i="22" s="1"/>
  <c r="B187" i="22"/>
  <c r="E187" i="22" s="1"/>
  <c r="G187" i="22" s="1"/>
  <c r="B195" i="22"/>
  <c r="E195" i="22" s="1"/>
  <c r="G195" i="22" s="1"/>
  <c r="B203" i="22"/>
  <c r="E203" i="22" s="1"/>
  <c r="G203" i="22" s="1"/>
  <c r="B211" i="22"/>
  <c r="E211" i="22" s="1"/>
  <c r="G211" i="22" s="1"/>
  <c r="B235" i="22"/>
  <c r="E235" i="22" s="1"/>
  <c r="G235" i="22" s="1"/>
  <c r="B243" i="22"/>
  <c r="E243" i="22" s="1"/>
  <c r="G243" i="22" s="1"/>
  <c r="B251" i="22"/>
  <c r="E251" i="22" s="1"/>
  <c r="G251" i="22" s="1"/>
  <c r="B259" i="22"/>
  <c r="E259" i="22" s="1"/>
  <c r="G259" i="22" s="1"/>
  <c r="B27" i="23"/>
  <c r="E27" i="23" s="1"/>
  <c r="G27" i="23" s="1"/>
  <c r="B26" i="18"/>
  <c r="E26" i="18" s="1"/>
  <c r="G26" i="18" s="1"/>
  <c r="B53" i="18"/>
  <c r="E53" i="18" s="1"/>
  <c r="G53" i="18" s="1"/>
  <c r="B57" i="18"/>
  <c r="E57" i="18" s="1"/>
  <c r="G57" i="18" s="1"/>
  <c r="B61" i="18"/>
  <c r="E61" i="18" s="1"/>
  <c r="G61" i="18" s="1"/>
  <c r="B52" i="19"/>
  <c r="E52" i="19" s="1"/>
  <c r="G52" i="19" s="1"/>
  <c r="B56" i="19"/>
  <c r="E56" i="19" s="1"/>
  <c r="G56" i="19" s="1"/>
  <c r="I56" i="19" s="1"/>
  <c r="H56" i="19" s="1"/>
  <c r="N56" i="19" s="1"/>
  <c r="B60" i="19"/>
  <c r="E60" i="19" s="1"/>
  <c r="G60" i="19" s="1"/>
  <c r="I60" i="19" s="1"/>
  <c r="H60" i="19" s="1"/>
  <c r="B39" i="22"/>
  <c r="E39" i="22" s="1"/>
  <c r="G39" i="22" s="1"/>
  <c r="B47" i="22"/>
  <c r="E47" i="22" s="1"/>
  <c r="G47" i="22" s="1"/>
  <c r="B63" i="22"/>
  <c r="E63" i="22" s="1"/>
  <c r="G63" i="22" s="1"/>
  <c r="B67" i="22"/>
  <c r="E67" i="22" s="1"/>
  <c r="G67" i="22" s="1"/>
  <c r="B71" i="22"/>
  <c r="E71" i="22" s="1"/>
  <c r="G71" i="22" s="1"/>
  <c r="B60" i="210"/>
  <c r="E60" i="210" s="1"/>
  <c r="G60" i="210" s="1"/>
  <c r="B56" i="210"/>
  <c r="E56" i="210" s="1"/>
  <c r="G56" i="210" s="1"/>
  <c r="B52" i="210"/>
  <c r="E52" i="210" s="1"/>
  <c r="G52" i="210" s="1"/>
  <c r="B58" i="210"/>
  <c r="E58" i="210" s="1"/>
  <c r="G58" i="210" s="1"/>
  <c r="B54" i="210"/>
  <c r="E54" i="210" s="1"/>
  <c r="G54" i="210" s="1"/>
  <c r="B38" i="227"/>
  <c r="E38" i="227" s="1"/>
  <c r="G38" i="227" s="1"/>
  <c r="B46" i="227"/>
  <c r="E46" i="227" s="1"/>
  <c r="G46" i="227" s="1"/>
  <c r="B64" i="18"/>
  <c r="E64" i="18" s="1"/>
  <c r="G64" i="18" s="1"/>
  <c r="B65" i="18"/>
  <c r="E65" i="18" s="1"/>
  <c r="G65" i="18" s="1"/>
  <c r="B66" i="18"/>
  <c r="E66" i="18" s="1"/>
  <c r="G66" i="18" s="1"/>
  <c r="B67" i="18"/>
  <c r="E67" i="18" s="1"/>
  <c r="G67" i="18" s="1"/>
  <c r="B68" i="18"/>
  <c r="E68" i="18" s="1"/>
  <c r="G68" i="18" s="1"/>
  <c r="B69" i="18"/>
  <c r="E69" i="18" s="1"/>
  <c r="G69" i="18" s="1"/>
  <c r="B70" i="18"/>
  <c r="E70" i="18" s="1"/>
  <c r="G70" i="18" s="1"/>
  <c r="B71" i="18"/>
  <c r="E71" i="18" s="1"/>
  <c r="G71" i="18" s="1"/>
  <c r="B72" i="18"/>
  <c r="E72" i="18" s="1"/>
  <c r="G72" i="18" s="1"/>
  <c r="B26" i="23"/>
  <c r="E26" i="23" s="1"/>
  <c r="G26" i="23" s="1"/>
  <c r="B55" i="210"/>
  <c r="E55" i="210" s="1"/>
  <c r="G55" i="210" s="1"/>
  <c r="B59" i="210"/>
  <c r="E59" i="210" s="1"/>
  <c r="G59" i="210" s="1"/>
  <c r="B62" i="227"/>
  <c r="E62" i="227" s="1"/>
  <c r="G62" i="227" s="1"/>
  <c r="B42" i="227"/>
  <c r="E42" i="227" s="1"/>
  <c r="G42" i="227" s="1"/>
  <c r="B40" i="228"/>
  <c r="E40" i="228" s="1"/>
  <c r="G40" i="228" s="1"/>
  <c r="B60" i="229"/>
  <c r="E60" i="229" s="1"/>
  <c r="G60" i="229" s="1"/>
  <c r="B56" i="229"/>
  <c r="E56" i="229" s="1"/>
  <c r="G56" i="229" s="1"/>
  <c r="B52" i="229"/>
  <c r="E52" i="229" s="1"/>
  <c r="G52" i="229" s="1"/>
  <c r="B58" i="229"/>
  <c r="E58" i="229" s="1"/>
  <c r="G58" i="229" s="1"/>
  <c r="B54" i="229"/>
  <c r="E54" i="229" s="1"/>
  <c r="G54" i="229" s="1"/>
  <c r="B59" i="229"/>
  <c r="E59" i="229" s="1"/>
  <c r="G59" i="229" s="1"/>
  <c r="B55" i="229"/>
  <c r="E55" i="229" s="1"/>
  <c r="G55" i="229" s="1"/>
  <c r="B61" i="229"/>
  <c r="E61" i="229" s="1"/>
  <c r="G61" i="229" s="1"/>
  <c r="B57" i="229"/>
  <c r="E57" i="229" s="1"/>
  <c r="G57" i="229" s="1"/>
  <c r="B53" i="229"/>
  <c r="E53" i="229" s="1"/>
  <c r="G53" i="229" s="1"/>
  <c r="B64" i="19"/>
  <c r="E64" i="19" s="1"/>
  <c r="G64" i="19" s="1"/>
  <c r="B65" i="19"/>
  <c r="E65" i="19" s="1"/>
  <c r="G65" i="19" s="1"/>
  <c r="I65" i="19" s="1"/>
  <c r="H65" i="19" s="1"/>
  <c r="B66" i="19"/>
  <c r="E66" i="19" s="1"/>
  <c r="G66" i="19" s="1"/>
  <c r="B67" i="19"/>
  <c r="E67" i="19" s="1"/>
  <c r="G67" i="19" s="1"/>
  <c r="B68" i="19"/>
  <c r="E68" i="19" s="1"/>
  <c r="G68" i="19" s="1"/>
  <c r="I68" i="19" s="1"/>
  <c r="H68" i="19" s="1"/>
  <c r="B69" i="19"/>
  <c r="E69" i="19" s="1"/>
  <c r="G69" i="19" s="1"/>
  <c r="B70" i="19"/>
  <c r="E70" i="19" s="1"/>
  <c r="G70" i="19" s="1"/>
  <c r="I70" i="19" s="1"/>
  <c r="H70" i="19" s="1"/>
  <c r="B71" i="19"/>
  <c r="E71" i="19" s="1"/>
  <c r="G71" i="19" s="1"/>
  <c r="B72" i="19"/>
  <c r="E72" i="19" s="1"/>
  <c r="G72" i="19" s="1"/>
  <c r="B53" i="210"/>
  <c r="E53" i="210" s="1"/>
  <c r="G53" i="210" s="1"/>
  <c r="B57" i="210"/>
  <c r="E57" i="210" s="1"/>
  <c r="G57" i="210" s="1"/>
  <c r="B61" i="210"/>
  <c r="E61" i="210" s="1"/>
  <c r="G61" i="210" s="1"/>
  <c r="B75" i="23"/>
  <c r="E75" i="23" s="1"/>
  <c r="G75" i="23" s="1"/>
  <c r="B79" i="23"/>
  <c r="E79" i="23" s="1"/>
  <c r="G79" i="23" s="1"/>
  <c r="B83" i="23"/>
  <c r="E83" i="23" s="1"/>
  <c r="G83" i="23" s="1"/>
  <c r="B87" i="23"/>
  <c r="E87" i="23" s="1"/>
  <c r="G87" i="23" s="1"/>
  <c r="B163" i="23"/>
  <c r="E163" i="23" s="1"/>
  <c r="G163" i="23" s="1"/>
  <c r="B167" i="23"/>
  <c r="E167" i="23" s="1"/>
  <c r="G167" i="23" s="1"/>
  <c r="B171" i="23"/>
  <c r="E171" i="23" s="1"/>
  <c r="G171" i="23" s="1"/>
  <c r="B175" i="23"/>
  <c r="E175" i="23" s="1"/>
  <c r="G175" i="23" s="1"/>
  <c r="B179" i="23"/>
  <c r="E179" i="23" s="1"/>
  <c r="G179" i="23" s="1"/>
  <c r="B183" i="23"/>
  <c r="E183" i="23" s="1"/>
  <c r="G183" i="23" s="1"/>
  <c r="B187" i="23"/>
  <c r="E187" i="23" s="1"/>
  <c r="G187" i="23" s="1"/>
  <c r="B191" i="23"/>
  <c r="E191" i="23" s="1"/>
  <c r="G191" i="23" s="1"/>
  <c r="B195" i="23"/>
  <c r="E195" i="23" s="1"/>
  <c r="G195" i="23" s="1"/>
  <c r="B199" i="23"/>
  <c r="E199" i="23" s="1"/>
  <c r="G199" i="23" s="1"/>
  <c r="B203" i="23"/>
  <c r="E203" i="23" s="1"/>
  <c r="G203" i="23" s="1"/>
  <c r="B207" i="23"/>
  <c r="E207" i="23" s="1"/>
  <c r="G207" i="23" s="1"/>
  <c r="B211" i="23"/>
  <c r="E211" i="23" s="1"/>
  <c r="G211" i="23" s="1"/>
  <c r="B215" i="23"/>
  <c r="E215" i="23" s="1"/>
  <c r="G215" i="23" s="1"/>
  <c r="B219" i="23"/>
  <c r="E219" i="23" s="1"/>
  <c r="G219" i="23" s="1"/>
  <c r="B223" i="23"/>
  <c r="E223" i="23" s="1"/>
  <c r="G223" i="23" s="1"/>
  <c r="B227" i="23"/>
  <c r="E227" i="23" s="1"/>
  <c r="G227" i="23" s="1"/>
  <c r="B231" i="23"/>
  <c r="E231" i="23" s="1"/>
  <c r="G231" i="23" s="1"/>
  <c r="B235" i="23"/>
  <c r="E235" i="23" s="1"/>
  <c r="G235" i="23" s="1"/>
  <c r="B239" i="23"/>
  <c r="E239" i="23" s="1"/>
  <c r="G239" i="23" s="1"/>
  <c r="B243" i="23"/>
  <c r="E243" i="23" s="1"/>
  <c r="G243" i="23" s="1"/>
  <c r="B247" i="23"/>
  <c r="E247" i="23" s="1"/>
  <c r="G247" i="23" s="1"/>
  <c r="B251" i="23"/>
  <c r="E251" i="23" s="1"/>
  <c r="G251" i="23" s="1"/>
  <c r="B255" i="23"/>
  <c r="E255" i="23" s="1"/>
  <c r="G255" i="23" s="1"/>
  <c r="B259" i="23"/>
  <c r="E259" i="23" s="1"/>
  <c r="G259" i="23" s="1"/>
  <c r="B52" i="22"/>
  <c r="E52" i="22" s="1"/>
  <c r="G52" i="22" s="1"/>
  <c r="B53" i="22"/>
  <c r="E53" i="22" s="1"/>
  <c r="G53" i="22" s="1"/>
  <c r="B54" i="22"/>
  <c r="E54" i="22" s="1"/>
  <c r="G54" i="22" s="1"/>
  <c r="B55" i="22"/>
  <c r="E55" i="22" s="1"/>
  <c r="G55" i="22" s="1"/>
  <c r="B56" i="22"/>
  <c r="E56" i="22" s="1"/>
  <c r="G56" i="22" s="1"/>
  <c r="B57" i="22"/>
  <c r="E57" i="22" s="1"/>
  <c r="G57" i="22" s="1"/>
  <c r="B58" i="22"/>
  <c r="E58" i="22" s="1"/>
  <c r="G58" i="22" s="1"/>
  <c r="B59" i="22"/>
  <c r="E59" i="22" s="1"/>
  <c r="G59" i="22" s="1"/>
  <c r="B60" i="22"/>
  <c r="E60" i="22" s="1"/>
  <c r="G60" i="22" s="1"/>
  <c r="B64" i="23"/>
  <c r="E64" i="23" s="1"/>
  <c r="G64" i="23" s="1"/>
  <c r="B65" i="23"/>
  <c r="E65" i="23" s="1"/>
  <c r="G65" i="23" s="1"/>
  <c r="B66" i="23"/>
  <c r="E66" i="23" s="1"/>
  <c r="G66" i="23" s="1"/>
  <c r="B67" i="23"/>
  <c r="E67" i="23" s="1"/>
  <c r="G67" i="23" s="1"/>
  <c r="B68" i="23"/>
  <c r="E68" i="23" s="1"/>
  <c r="G68" i="23" s="1"/>
  <c r="B69" i="23"/>
  <c r="E69" i="23" s="1"/>
  <c r="G69" i="23" s="1"/>
  <c r="B70" i="23"/>
  <c r="E70" i="23" s="1"/>
  <c r="G70" i="23" s="1"/>
  <c r="B71" i="23"/>
  <c r="E71" i="23" s="1"/>
  <c r="G71" i="23" s="1"/>
  <c r="B72" i="23"/>
  <c r="E72" i="23" s="1"/>
  <c r="G72" i="23" s="1"/>
  <c r="B262" i="23"/>
  <c r="E262" i="23" s="1"/>
  <c r="G262" i="23" s="1"/>
  <c r="B258" i="23"/>
  <c r="E258" i="23" s="1"/>
  <c r="G258" i="23" s="1"/>
  <c r="B254" i="23"/>
  <c r="E254" i="23" s="1"/>
  <c r="G254" i="23" s="1"/>
  <c r="B250" i="23"/>
  <c r="E250" i="23" s="1"/>
  <c r="G250" i="23" s="1"/>
  <c r="B246" i="23"/>
  <c r="E246" i="23" s="1"/>
  <c r="G246" i="23" s="1"/>
  <c r="B242" i="23"/>
  <c r="E242" i="23" s="1"/>
  <c r="G242" i="23" s="1"/>
  <c r="B238" i="23"/>
  <c r="E238" i="23" s="1"/>
  <c r="G238" i="23" s="1"/>
  <c r="B234" i="23"/>
  <c r="E234" i="23" s="1"/>
  <c r="G234" i="23" s="1"/>
  <c r="B230" i="23"/>
  <c r="E230" i="23" s="1"/>
  <c r="G230" i="23" s="1"/>
  <c r="B226" i="23"/>
  <c r="E226" i="23" s="1"/>
  <c r="G226" i="23" s="1"/>
  <c r="B222" i="23"/>
  <c r="E222" i="23" s="1"/>
  <c r="G222" i="23" s="1"/>
  <c r="B218" i="23"/>
  <c r="E218" i="23" s="1"/>
  <c r="G218" i="23" s="1"/>
  <c r="B214" i="23"/>
  <c r="E214" i="23" s="1"/>
  <c r="G214" i="23" s="1"/>
  <c r="B210" i="23"/>
  <c r="E210" i="23" s="1"/>
  <c r="G210" i="23" s="1"/>
  <c r="B206" i="23"/>
  <c r="E206" i="23" s="1"/>
  <c r="G206" i="23" s="1"/>
  <c r="B202" i="23"/>
  <c r="E202" i="23" s="1"/>
  <c r="G202" i="23" s="1"/>
  <c r="B198" i="23"/>
  <c r="E198" i="23" s="1"/>
  <c r="G198" i="23" s="1"/>
  <c r="B194" i="23"/>
  <c r="E194" i="23" s="1"/>
  <c r="G194" i="23" s="1"/>
  <c r="B190" i="23"/>
  <c r="E190" i="23" s="1"/>
  <c r="G190" i="23" s="1"/>
  <c r="B186" i="23"/>
  <c r="E186" i="23" s="1"/>
  <c r="G186" i="23" s="1"/>
  <c r="B182" i="23"/>
  <c r="E182" i="23" s="1"/>
  <c r="G182" i="23" s="1"/>
  <c r="B178" i="23"/>
  <c r="E178" i="23" s="1"/>
  <c r="G178" i="23" s="1"/>
  <c r="B174" i="23"/>
  <c r="E174" i="23" s="1"/>
  <c r="G174" i="23" s="1"/>
  <c r="B170" i="23"/>
  <c r="E170" i="23" s="1"/>
  <c r="G170" i="23" s="1"/>
  <c r="B166" i="23"/>
  <c r="E166" i="23" s="1"/>
  <c r="G166" i="23" s="1"/>
  <c r="B162" i="23"/>
  <c r="E162" i="23" s="1"/>
  <c r="G162" i="23" s="1"/>
  <c r="B264" i="23"/>
  <c r="E264" i="23" s="1"/>
  <c r="G264" i="23" s="1"/>
  <c r="B260" i="23"/>
  <c r="E260" i="23" s="1"/>
  <c r="G260" i="23" s="1"/>
  <c r="B256" i="23"/>
  <c r="E256" i="23" s="1"/>
  <c r="G256" i="23" s="1"/>
  <c r="B252" i="23"/>
  <c r="E252" i="23" s="1"/>
  <c r="G252" i="23" s="1"/>
  <c r="B248" i="23"/>
  <c r="E248" i="23" s="1"/>
  <c r="G248" i="23" s="1"/>
  <c r="B244" i="23"/>
  <c r="E244" i="23" s="1"/>
  <c r="G244" i="23" s="1"/>
  <c r="B240" i="23"/>
  <c r="E240" i="23" s="1"/>
  <c r="G240" i="23" s="1"/>
  <c r="B236" i="23"/>
  <c r="E236" i="23" s="1"/>
  <c r="G236" i="23" s="1"/>
  <c r="B232" i="23"/>
  <c r="E232" i="23" s="1"/>
  <c r="G232" i="23" s="1"/>
  <c r="B228" i="23"/>
  <c r="E228" i="23" s="1"/>
  <c r="G228" i="23" s="1"/>
  <c r="B224" i="23"/>
  <c r="E224" i="23" s="1"/>
  <c r="G224" i="23" s="1"/>
  <c r="B220" i="23"/>
  <c r="E220" i="23" s="1"/>
  <c r="G220" i="23" s="1"/>
  <c r="B216" i="23"/>
  <c r="E216" i="23" s="1"/>
  <c r="G216" i="23" s="1"/>
  <c r="B212" i="23"/>
  <c r="E212" i="23" s="1"/>
  <c r="G212" i="23" s="1"/>
  <c r="B208" i="23"/>
  <c r="E208" i="23" s="1"/>
  <c r="G208" i="23" s="1"/>
  <c r="B204" i="23"/>
  <c r="E204" i="23" s="1"/>
  <c r="G204" i="23" s="1"/>
  <c r="B200" i="23"/>
  <c r="E200" i="23" s="1"/>
  <c r="G200" i="23" s="1"/>
  <c r="B196" i="23"/>
  <c r="E196" i="23" s="1"/>
  <c r="G196" i="23" s="1"/>
  <c r="B192" i="23"/>
  <c r="E192" i="23" s="1"/>
  <c r="G192" i="23" s="1"/>
  <c r="B188" i="23"/>
  <c r="E188" i="23" s="1"/>
  <c r="G188" i="23" s="1"/>
  <c r="B184" i="23"/>
  <c r="E184" i="23" s="1"/>
  <c r="G184" i="23" s="1"/>
  <c r="B180" i="23"/>
  <c r="E180" i="23" s="1"/>
  <c r="G180" i="23" s="1"/>
  <c r="B176" i="23"/>
  <c r="E176" i="23" s="1"/>
  <c r="G176" i="23" s="1"/>
  <c r="B172" i="23"/>
  <c r="E172" i="23" s="1"/>
  <c r="G172" i="23" s="1"/>
  <c r="B168" i="23"/>
  <c r="E168" i="23" s="1"/>
  <c r="G168" i="23" s="1"/>
  <c r="B164" i="23"/>
  <c r="E164" i="23" s="1"/>
  <c r="G164" i="23" s="1"/>
  <c r="B160" i="23"/>
  <c r="E160" i="23" s="1"/>
  <c r="G160" i="23" s="1"/>
  <c r="B156" i="23"/>
  <c r="E156" i="23" s="1"/>
  <c r="G156" i="23" s="1"/>
  <c r="B152" i="23"/>
  <c r="E152" i="23" s="1"/>
  <c r="G152" i="23" s="1"/>
  <c r="B148" i="23"/>
  <c r="E148" i="23" s="1"/>
  <c r="G148" i="23" s="1"/>
  <c r="B144" i="23"/>
  <c r="E144" i="23" s="1"/>
  <c r="G144" i="23" s="1"/>
  <c r="B140" i="23"/>
  <c r="E140" i="23" s="1"/>
  <c r="G140" i="23" s="1"/>
  <c r="B136" i="23"/>
  <c r="E136" i="23" s="1"/>
  <c r="G136" i="23" s="1"/>
  <c r="B132" i="23"/>
  <c r="E132" i="23" s="1"/>
  <c r="G132" i="23" s="1"/>
  <c r="B128" i="23"/>
  <c r="E128" i="23" s="1"/>
  <c r="G128" i="23" s="1"/>
  <c r="B124" i="23"/>
  <c r="E124" i="23" s="1"/>
  <c r="G124" i="23" s="1"/>
  <c r="B120" i="23"/>
  <c r="E120" i="23" s="1"/>
  <c r="G120" i="23" s="1"/>
  <c r="B116" i="23"/>
  <c r="E116" i="23" s="1"/>
  <c r="G116" i="23" s="1"/>
  <c r="B112" i="23"/>
  <c r="E112" i="23" s="1"/>
  <c r="G112" i="23" s="1"/>
  <c r="B108" i="23"/>
  <c r="E108" i="23" s="1"/>
  <c r="G108" i="23" s="1"/>
  <c r="B104" i="23"/>
  <c r="E104" i="23" s="1"/>
  <c r="G104" i="23" s="1"/>
  <c r="B100" i="23"/>
  <c r="E100" i="23" s="1"/>
  <c r="G100" i="23" s="1"/>
  <c r="B96" i="23"/>
  <c r="E96" i="23" s="1"/>
  <c r="G96" i="23" s="1"/>
  <c r="B92" i="23"/>
  <c r="E92" i="23" s="1"/>
  <c r="G92" i="23" s="1"/>
  <c r="B77" i="23"/>
  <c r="E77" i="23" s="1"/>
  <c r="G77" i="23" s="1"/>
  <c r="B81" i="23"/>
  <c r="E81" i="23" s="1"/>
  <c r="G81" i="23" s="1"/>
  <c r="B85" i="23"/>
  <c r="E85" i="23" s="1"/>
  <c r="G85" i="23" s="1"/>
  <c r="B89" i="23"/>
  <c r="E89" i="23" s="1"/>
  <c r="G89" i="23" s="1"/>
  <c r="B91" i="23"/>
  <c r="E91" i="23" s="1"/>
  <c r="G91" i="23" s="1"/>
  <c r="B93" i="23"/>
  <c r="E93" i="23" s="1"/>
  <c r="G93" i="23" s="1"/>
  <c r="B95" i="23"/>
  <c r="E95" i="23" s="1"/>
  <c r="G95" i="23" s="1"/>
  <c r="B97" i="23"/>
  <c r="E97" i="23" s="1"/>
  <c r="G97" i="23" s="1"/>
  <c r="B99" i="23"/>
  <c r="E99" i="23" s="1"/>
  <c r="G99" i="23" s="1"/>
  <c r="B101" i="23"/>
  <c r="E101" i="23" s="1"/>
  <c r="G101" i="23" s="1"/>
  <c r="B103" i="23"/>
  <c r="E103" i="23" s="1"/>
  <c r="G103" i="23" s="1"/>
  <c r="B105" i="23"/>
  <c r="E105" i="23" s="1"/>
  <c r="G105" i="23" s="1"/>
  <c r="B107" i="23"/>
  <c r="E107" i="23" s="1"/>
  <c r="G107" i="23" s="1"/>
  <c r="B109" i="23"/>
  <c r="E109" i="23" s="1"/>
  <c r="G109" i="23" s="1"/>
  <c r="B111" i="23"/>
  <c r="E111" i="23" s="1"/>
  <c r="G111" i="23" s="1"/>
  <c r="B113" i="23"/>
  <c r="E113" i="23" s="1"/>
  <c r="G113" i="23" s="1"/>
  <c r="B115" i="23"/>
  <c r="E115" i="23" s="1"/>
  <c r="G115" i="23" s="1"/>
  <c r="B117" i="23"/>
  <c r="E117" i="23" s="1"/>
  <c r="G117" i="23" s="1"/>
  <c r="B119" i="23"/>
  <c r="E119" i="23" s="1"/>
  <c r="G119" i="23" s="1"/>
  <c r="B121" i="23"/>
  <c r="E121" i="23" s="1"/>
  <c r="G121" i="23" s="1"/>
  <c r="B123" i="23"/>
  <c r="E123" i="23" s="1"/>
  <c r="G123" i="23" s="1"/>
  <c r="B125" i="23"/>
  <c r="E125" i="23" s="1"/>
  <c r="G125" i="23" s="1"/>
  <c r="B127" i="23"/>
  <c r="E127" i="23" s="1"/>
  <c r="G127" i="23" s="1"/>
  <c r="B129" i="23"/>
  <c r="E129" i="23" s="1"/>
  <c r="G129" i="23" s="1"/>
  <c r="B131" i="23"/>
  <c r="E131" i="23" s="1"/>
  <c r="G131" i="23" s="1"/>
  <c r="B133" i="23"/>
  <c r="E133" i="23" s="1"/>
  <c r="G133" i="23" s="1"/>
  <c r="B135" i="23"/>
  <c r="E135" i="23" s="1"/>
  <c r="G135" i="23" s="1"/>
  <c r="B137" i="23"/>
  <c r="E137" i="23" s="1"/>
  <c r="G137" i="23" s="1"/>
  <c r="B139" i="23"/>
  <c r="E139" i="23" s="1"/>
  <c r="G139" i="23" s="1"/>
  <c r="B141" i="23"/>
  <c r="E141" i="23" s="1"/>
  <c r="G141" i="23" s="1"/>
  <c r="B143" i="23"/>
  <c r="E143" i="23" s="1"/>
  <c r="G143" i="23" s="1"/>
  <c r="B145" i="23"/>
  <c r="E145" i="23" s="1"/>
  <c r="G145" i="23" s="1"/>
  <c r="B147" i="23"/>
  <c r="E147" i="23" s="1"/>
  <c r="G147" i="23" s="1"/>
  <c r="B149" i="23"/>
  <c r="E149" i="23" s="1"/>
  <c r="G149" i="23" s="1"/>
  <c r="B151" i="23"/>
  <c r="E151" i="23" s="1"/>
  <c r="G151" i="23" s="1"/>
  <c r="B153" i="23"/>
  <c r="E153" i="23" s="1"/>
  <c r="G153" i="23" s="1"/>
  <c r="B155" i="23"/>
  <c r="E155" i="23" s="1"/>
  <c r="G155" i="23" s="1"/>
  <c r="B157" i="23"/>
  <c r="E157" i="23" s="1"/>
  <c r="G157" i="23" s="1"/>
  <c r="B159" i="23"/>
  <c r="E159" i="23" s="1"/>
  <c r="G159" i="23" s="1"/>
  <c r="B161" i="23"/>
  <c r="E161" i="23" s="1"/>
  <c r="G161" i="23" s="1"/>
  <c r="B165" i="23"/>
  <c r="E165" i="23" s="1"/>
  <c r="G165" i="23" s="1"/>
  <c r="B169" i="23"/>
  <c r="E169" i="23" s="1"/>
  <c r="G169" i="23" s="1"/>
  <c r="B173" i="23"/>
  <c r="E173" i="23" s="1"/>
  <c r="G173" i="23" s="1"/>
  <c r="B177" i="23"/>
  <c r="E177" i="23" s="1"/>
  <c r="G177" i="23" s="1"/>
  <c r="B181" i="23"/>
  <c r="E181" i="23" s="1"/>
  <c r="G181" i="23" s="1"/>
  <c r="B185" i="23"/>
  <c r="E185" i="23" s="1"/>
  <c r="G185" i="23" s="1"/>
  <c r="B189" i="23"/>
  <c r="E189" i="23" s="1"/>
  <c r="G189" i="23" s="1"/>
  <c r="B193" i="23"/>
  <c r="E193" i="23" s="1"/>
  <c r="G193" i="23" s="1"/>
  <c r="B197" i="23"/>
  <c r="E197" i="23" s="1"/>
  <c r="G197" i="23" s="1"/>
  <c r="B201" i="23"/>
  <c r="E201" i="23" s="1"/>
  <c r="G201" i="23" s="1"/>
  <c r="B205" i="23"/>
  <c r="E205" i="23" s="1"/>
  <c r="G205" i="23" s="1"/>
  <c r="B209" i="23"/>
  <c r="E209" i="23" s="1"/>
  <c r="G209" i="23" s="1"/>
  <c r="B213" i="23"/>
  <c r="E213" i="23" s="1"/>
  <c r="G213" i="23" s="1"/>
  <c r="B217" i="23"/>
  <c r="E217" i="23" s="1"/>
  <c r="G217" i="23" s="1"/>
  <c r="B221" i="23"/>
  <c r="E221" i="23" s="1"/>
  <c r="G221" i="23" s="1"/>
  <c r="B225" i="23"/>
  <c r="E225" i="23" s="1"/>
  <c r="G225" i="23" s="1"/>
  <c r="B229" i="23"/>
  <c r="E229" i="23" s="1"/>
  <c r="G229" i="23" s="1"/>
  <c r="B233" i="23"/>
  <c r="E233" i="23" s="1"/>
  <c r="G233" i="23" s="1"/>
  <c r="B237" i="23"/>
  <c r="E237" i="23" s="1"/>
  <c r="G237" i="23" s="1"/>
  <c r="B241" i="23"/>
  <c r="E241" i="23" s="1"/>
  <c r="G241" i="23" s="1"/>
  <c r="B245" i="23"/>
  <c r="E245" i="23" s="1"/>
  <c r="G245" i="23" s="1"/>
  <c r="B249" i="23"/>
  <c r="E249" i="23" s="1"/>
  <c r="G249" i="23" s="1"/>
  <c r="B253" i="23"/>
  <c r="E253" i="23" s="1"/>
  <c r="G253" i="23" s="1"/>
  <c r="B257" i="23"/>
  <c r="E257" i="23" s="1"/>
  <c r="G257" i="23" s="1"/>
  <c r="B261" i="23"/>
  <c r="E261" i="23" s="1"/>
  <c r="G261" i="23" s="1"/>
  <c r="B265" i="23"/>
  <c r="E265" i="23" s="1"/>
  <c r="G265" i="23" s="1"/>
  <c r="B67" i="210"/>
  <c r="E67" i="210" s="1"/>
  <c r="G67" i="210" s="1"/>
  <c r="B68" i="210"/>
  <c r="E68" i="210" s="1"/>
  <c r="G68" i="210" s="1"/>
  <c r="B263" i="210"/>
  <c r="E263" i="210" s="1"/>
  <c r="G263" i="210" s="1"/>
  <c r="B259" i="210"/>
  <c r="E259" i="210" s="1"/>
  <c r="G259" i="210" s="1"/>
  <c r="B255" i="210"/>
  <c r="E255" i="210" s="1"/>
  <c r="G255" i="210" s="1"/>
  <c r="B251" i="210"/>
  <c r="E251" i="210" s="1"/>
  <c r="G251" i="210" s="1"/>
  <c r="B247" i="210"/>
  <c r="E247" i="210" s="1"/>
  <c r="G247" i="210" s="1"/>
  <c r="B243" i="210"/>
  <c r="E243" i="210" s="1"/>
  <c r="G243" i="210" s="1"/>
  <c r="B239" i="210"/>
  <c r="E239" i="210" s="1"/>
  <c r="G239" i="210" s="1"/>
  <c r="B235" i="210"/>
  <c r="E235" i="210" s="1"/>
  <c r="G235" i="210" s="1"/>
  <c r="B231" i="210"/>
  <c r="E231" i="210" s="1"/>
  <c r="G231" i="210" s="1"/>
  <c r="B227" i="210"/>
  <c r="E227" i="210" s="1"/>
  <c r="G227" i="210" s="1"/>
  <c r="B223" i="210"/>
  <c r="E223" i="210" s="1"/>
  <c r="G223" i="210" s="1"/>
  <c r="B219" i="210"/>
  <c r="E219" i="210" s="1"/>
  <c r="G219" i="210" s="1"/>
  <c r="B215" i="210"/>
  <c r="E215" i="210" s="1"/>
  <c r="G215" i="210" s="1"/>
  <c r="B211" i="210"/>
  <c r="E211" i="210" s="1"/>
  <c r="G211" i="210" s="1"/>
  <c r="B207" i="210"/>
  <c r="E207" i="210" s="1"/>
  <c r="G207" i="210" s="1"/>
  <c r="B203" i="210"/>
  <c r="E203" i="210" s="1"/>
  <c r="G203" i="210" s="1"/>
  <c r="B199" i="210"/>
  <c r="E199" i="210" s="1"/>
  <c r="G199" i="210" s="1"/>
  <c r="B195" i="210"/>
  <c r="E195" i="210" s="1"/>
  <c r="G195" i="210" s="1"/>
  <c r="B191" i="210"/>
  <c r="E191" i="210" s="1"/>
  <c r="G191" i="210" s="1"/>
  <c r="B187" i="210"/>
  <c r="E187" i="210" s="1"/>
  <c r="G187" i="210" s="1"/>
  <c r="B183" i="210"/>
  <c r="E183" i="210" s="1"/>
  <c r="G183" i="210" s="1"/>
  <c r="B179" i="210"/>
  <c r="E179" i="210" s="1"/>
  <c r="G179" i="210" s="1"/>
  <c r="B175" i="210"/>
  <c r="E175" i="210" s="1"/>
  <c r="G175" i="210" s="1"/>
  <c r="B171" i="210"/>
  <c r="E171" i="210" s="1"/>
  <c r="G171" i="210" s="1"/>
  <c r="B167" i="210"/>
  <c r="E167" i="210" s="1"/>
  <c r="G167" i="210" s="1"/>
  <c r="B163" i="210"/>
  <c r="E163" i="210" s="1"/>
  <c r="G163" i="210" s="1"/>
  <c r="B265" i="210"/>
  <c r="E265" i="210" s="1"/>
  <c r="G265" i="210" s="1"/>
  <c r="B261" i="210"/>
  <c r="E261" i="210" s="1"/>
  <c r="G261" i="210" s="1"/>
  <c r="B257" i="210"/>
  <c r="E257" i="210" s="1"/>
  <c r="G257" i="210" s="1"/>
  <c r="B253" i="210"/>
  <c r="E253" i="210" s="1"/>
  <c r="G253" i="210" s="1"/>
  <c r="B249" i="210"/>
  <c r="E249" i="210" s="1"/>
  <c r="G249" i="210" s="1"/>
  <c r="B245" i="210"/>
  <c r="E245" i="210" s="1"/>
  <c r="G245" i="210" s="1"/>
  <c r="B241" i="210"/>
  <c r="E241" i="210" s="1"/>
  <c r="G241" i="210" s="1"/>
  <c r="B237" i="210"/>
  <c r="E237" i="210" s="1"/>
  <c r="G237" i="210" s="1"/>
  <c r="B233" i="210"/>
  <c r="E233" i="210" s="1"/>
  <c r="G233" i="210" s="1"/>
  <c r="B229" i="210"/>
  <c r="E229" i="210" s="1"/>
  <c r="G229" i="210" s="1"/>
  <c r="B225" i="210"/>
  <c r="E225" i="210" s="1"/>
  <c r="G225" i="210" s="1"/>
  <c r="B221" i="210"/>
  <c r="E221" i="210" s="1"/>
  <c r="G221" i="210" s="1"/>
  <c r="B217" i="210"/>
  <c r="E217" i="210" s="1"/>
  <c r="G217" i="210" s="1"/>
  <c r="B213" i="210"/>
  <c r="E213" i="210" s="1"/>
  <c r="G213" i="210" s="1"/>
  <c r="B209" i="210"/>
  <c r="E209" i="210" s="1"/>
  <c r="G209" i="210" s="1"/>
  <c r="B205" i="210"/>
  <c r="E205" i="210" s="1"/>
  <c r="G205" i="210" s="1"/>
  <c r="B201" i="210"/>
  <c r="E201" i="210" s="1"/>
  <c r="G201" i="210" s="1"/>
  <c r="B197" i="210"/>
  <c r="E197" i="210" s="1"/>
  <c r="G197" i="210" s="1"/>
  <c r="B193" i="210"/>
  <c r="E193" i="210" s="1"/>
  <c r="G193" i="210" s="1"/>
  <c r="B189" i="210"/>
  <c r="E189" i="210" s="1"/>
  <c r="G189" i="210" s="1"/>
  <c r="B185" i="210"/>
  <c r="E185" i="210" s="1"/>
  <c r="G185" i="210" s="1"/>
  <c r="B181" i="210"/>
  <c r="E181" i="210" s="1"/>
  <c r="G181" i="210" s="1"/>
  <c r="B177" i="210"/>
  <c r="E177" i="210" s="1"/>
  <c r="G177" i="210" s="1"/>
  <c r="B173" i="210"/>
  <c r="E173" i="210" s="1"/>
  <c r="G173" i="210" s="1"/>
  <c r="B169" i="210"/>
  <c r="E169" i="210" s="1"/>
  <c r="G169" i="210" s="1"/>
  <c r="B165" i="210"/>
  <c r="E165" i="210" s="1"/>
  <c r="G165" i="210" s="1"/>
  <c r="B161" i="210"/>
  <c r="E161" i="210" s="1"/>
  <c r="G161" i="210" s="1"/>
  <c r="B157" i="210"/>
  <c r="E157" i="210" s="1"/>
  <c r="G157" i="210" s="1"/>
  <c r="B153" i="210"/>
  <c r="E153" i="210" s="1"/>
  <c r="G153" i="210" s="1"/>
  <c r="B149" i="210"/>
  <c r="E149" i="210" s="1"/>
  <c r="G149" i="210" s="1"/>
  <c r="B145" i="210"/>
  <c r="E145" i="210" s="1"/>
  <c r="G145" i="210" s="1"/>
  <c r="B141" i="210"/>
  <c r="E141" i="210" s="1"/>
  <c r="G141" i="210" s="1"/>
  <c r="B137" i="210"/>
  <c r="E137" i="210" s="1"/>
  <c r="G137" i="210" s="1"/>
  <c r="B133" i="210"/>
  <c r="E133" i="210" s="1"/>
  <c r="G133" i="210" s="1"/>
  <c r="B129" i="210"/>
  <c r="E129" i="210" s="1"/>
  <c r="G129" i="210" s="1"/>
  <c r="B125" i="210"/>
  <c r="E125" i="210" s="1"/>
  <c r="G125" i="210" s="1"/>
  <c r="B121" i="210"/>
  <c r="E121" i="210" s="1"/>
  <c r="G121" i="210" s="1"/>
  <c r="B117" i="210"/>
  <c r="E117" i="210" s="1"/>
  <c r="G117" i="210" s="1"/>
  <c r="B77" i="210"/>
  <c r="E77" i="210" s="1"/>
  <c r="G77" i="210" s="1"/>
  <c r="B81" i="210"/>
  <c r="E81" i="210" s="1"/>
  <c r="G81" i="210" s="1"/>
  <c r="B85" i="210"/>
  <c r="E85" i="210" s="1"/>
  <c r="G85" i="210" s="1"/>
  <c r="B89" i="210"/>
  <c r="E89" i="210" s="1"/>
  <c r="G89" i="210" s="1"/>
  <c r="B93" i="210"/>
  <c r="E93" i="210" s="1"/>
  <c r="G93" i="210" s="1"/>
  <c r="B97" i="210"/>
  <c r="E97" i="210" s="1"/>
  <c r="G97" i="210" s="1"/>
  <c r="B101" i="210"/>
  <c r="E101" i="210" s="1"/>
  <c r="G101" i="210" s="1"/>
  <c r="B105" i="210"/>
  <c r="E105" i="210" s="1"/>
  <c r="G105" i="210" s="1"/>
  <c r="B109" i="210"/>
  <c r="E109" i="210" s="1"/>
  <c r="G109" i="210" s="1"/>
  <c r="B113" i="210"/>
  <c r="E113" i="210" s="1"/>
  <c r="G113" i="210" s="1"/>
  <c r="B160" i="210"/>
  <c r="E160" i="210" s="1"/>
  <c r="G160" i="210" s="1"/>
  <c r="B164" i="210"/>
  <c r="E164" i="210" s="1"/>
  <c r="G164" i="210" s="1"/>
  <c r="B168" i="210"/>
  <c r="E168" i="210" s="1"/>
  <c r="G168" i="210" s="1"/>
  <c r="B172" i="210"/>
  <c r="E172" i="210" s="1"/>
  <c r="G172" i="210" s="1"/>
  <c r="B176" i="210"/>
  <c r="E176" i="210" s="1"/>
  <c r="G176" i="210" s="1"/>
  <c r="B180" i="210"/>
  <c r="E180" i="210" s="1"/>
  <c r="G180" i="210" s="1"/>
  <c r="B184" i="210"/>
  <c r="E184" i="210" s="1"/>
  <c r="G184" i="210" s="1"/>
  <c r="B188" i="210"/>
  <c r="E188" i="210" s="1"/>
  <c r="G188" i="210" s="1"/>
  <c r="B192" i="210"/>
  <c r="E192" i="210" s="1"/>
  <c r="G192" i="210" s="1"/>
  <c r="B196" i="210"/>
  <c r="E196" i="210" s="1"/>
  <c r="G196" i="210" s="1"/>
  <c r="B200" i="210"/>
  <c r="E200" i="210" s="1"/>
  <c r="G200" i="210" s="1"/>
  <c r="B204" i="210"/>
  <c r="E204" i="210" s="1"/>
  <c r="G204" i="210" s="1"/>
  <c r="B208" i="210"/>
  <c r="E208" i="210" s="1"/>
  <c r="G208" i="210" s="1"/>
  <c r="B212" i="210"/>
  <c r="E212" i="210" s="1"/>
  <c r="G212" i="210" s="1"/>
  <c r="B216" i="210"/>
  <c r="E216" i="210" s="1"/>
  <c r="G216" i="210" s="1"/>
  <c r="B220" i="210"/>
  <c r="E220" i="210" s="1"/>
  <c r="G220" i="210" s="1"/>
  <c r="B224" i="210"/>
  <c r="E224" i="210" s="1"/>
  <c r="G224" i="210" s="1"/>
  <c r="B228" i="210"/>
  <c r="E228" i="210" s="1"/>
  <c r="G228" i="210" s="1"/>
  <c r="B232" i="210"/>
  <c r="E232" i="210" s="1"/>
  <c r="G232" i="210" s="1"/>
  <c r="B236" i="210"/>
  <c r="E236" i="210" s="1"/>
  <c r="G236" i="210" s="1"/>
  <c r="B240" i="210"/>
  <c r="E240" i="210" s="1"/>
  <c r="G240" i="210" s="1"/>
  <c r="B244" i="210"/>
  <c r="E244" i="210" s="1"/>
  <c r="G244" i="210" s="1"/>
  <c r="B248" i="210"/>
  <c r="E248" i="210" s="1"/>
  <c r="G248" i="210" s="1"/>
  <c r="B252" i="210"/>
  <c r="E252" i="210" s="1"/>
  <c r="G252" i="210" s="1"/>
  <c r="B256" i="210"/>
  <c r="E256" i="210" s="1"/>
  <c r="G256" i="210" s="1"/>
  <c r="B260" i="210"/>
  <c r="E260" i="210" s="1"/>
  <c r="G260" i="210" s="1"/>
  <c r="B264" i="210"/>
  <c r="E264" i="210" s="1"/>
  <c r="G264" i="210" s="1"/>
  <c r="B67" i="227"/>
  <c r="E67" i="227" s="1"/>
  <c r="G67" i="227" s="1"/>
  <c r="B71" i="227"/>
  <c r="E71" i="227" s="1"/>
  <c r="G71" i="227" s="1"/>
  <c r="B75" i="227"/>
  <c r="E75" i="227" s="1"/>
  <c r="G75" i="227" s="1"/>
  <c r="B79" i="227"/>
  <c r="E79" i="227" s="1"/>
  <c r="G79" i="227" s="1"/>
  <c r="B91" i="227"/>
  <c r="E91" i="227" s="1"/>
  <c r="G91" i="227" s="1"/>
  <c r="B95" i="227"/>
  <c r="E95" i="227" s="1"/>
  <c r="G95" i="227" s="1"/>
  <c r="B107" i="227"/>
  <c r="E107" i="227" s="1"/>
  <c r="G107" i="227" s="1"/>
  <c r="B111" i="227"/>
  <c r="E111" i="227" s="1"/>
  <c r="G111" i="227" s="1"/>
  <c r="B123" i="227"/>
  <c r="E123" i="227" s="1"/>
  <c r="G123" i="227" s="1"/>
  <c r="B127" i="227"/>
  <c r="E127" i="227" s="1"/>
  <c r="G127" i="227" s="1"/>
  <c r="B139" i="227"/>
  <c r="E139" i="227" s="1"/>
  <c r="G139" i="227" s="1"/>
  <c r="B143" i="227"/>
  <c r="E143" i="227" s="1"/>
  <c r="G143" i="227" s="1"/>
  <c r="B155" i="227"/>
  <c r="E155" i="227" s="1"/>
  <c r="G155" i="227" s="1"/>
  <c r="B159" i="227"/>
  <c r="E159" i="227" s="1"/>
  <c r="G159" i="227" s="1"/>
  <c r="B144" i="210"/>
  <c r="E144" i="210" s="1"/>
  <c r="G144" i="210" s="1"/>
  <c r="B146" i="210"/>
  <c r="E146" i="210" s="1"/>
  <c r="G146" i="210" s="1"/>
  <c r="B148" i="210"/>
  <c r="E148" i="210" s="1"/>
  <c r="G148" i="210" s="1"/>
  <c r="B150" i="210"/>
  <c r="E150" i="210" s="1"/>
  <c r="G150" i="210" s="1"/>
  <c r="B152" i="210"/>
  <c r="E152" i="210" s="1"/>
  <c r="G152" i="210" s="1"/>
  <c r="B154" i="210"/>
  <c r="E154" i="210" s="1"/>
  <c r="G154" i="210" s="1"/>
  <c r="B156" i="210"/>
  <c r="E156" i="210" s="1"/>
  <c r="G156" i="210" s="1"/>
  <c r="B158" i="210"/>
  <c r="E158" i="210" s="1"/>
  <c r="G158" i="210" s="1"/>
  <c r="B162" i="210"/>
  <c r="E162" i="210" s="1"/>
  <c r="G162" i="210" s="1"/>
  <c r="B166" i="210"/>
  <c r="E166" i="210" s="1"/>
  <c r="G166" i="210" s="1"/>
  <c r="B170" i="210"/>
  <c r="E170" i="210" s="1"/>
  <c r="G170" i="210" s="1"/>
  <c r="B174" i="210"/>
  <c r="E174" i="210" s="1"/>
  <c r="G174" i="210" s="1"/>
  <c r="B178" i="210"/>
  <c r="E178" i="210" s="1"/>
  <c r="G178" i="210" s="1"/>
  <c r="B182" i="210"/>
  <c r="E182" i="210" s="1"/>
  <c r="G182" i="210" s="1"/>
  <c r="B186" i="210"/>
  <c r="E186" i="210" s="1"/>
  <c r="G186" i="210" s="1"/>
  <c r="B190" i="210"/>
  <c r="E190" i="210" s="1"/>
  <c r="G190" i="210" s="1"/>
  <c r="B194" i="210"/>
  <c r="E194" i="210" s="1"/>
  <c r="G194" i="210" s="1"/>
  <c r="B198" i="210"/>
  <c r="E198" i="210" s="1"/>
  <c r="G198" i="210" s="1"/>
  <c r="B202" i="210"/>
  <c r="E202" i="210" s="1"/>
  <c r="G202" i="210" s="1"/>
  <c r="B206" i="210"/>
  <c r="E206" i="210" s="1"/>
  <c r="G206" i="210" s="1"/>
  <c r="B210" i="210"/>
  <c r="E210" i="210" s="1"/>
  <c r="G210" i="210" s="1"/>
  <c r="B214" i="210"/>
  <c r="E214" i="210" s="1"/>
  <c r="G214" i="210" s="1"/>
  <c r="B218" i="210"/>
  <c r="E218" i="210" s="1"/>
  <c r="G218" i="210" s="1"/>
  <c r="B222" i="210"/>
  <c r="E222" i="210" s="1"/>
  <c r="G222" i="210" s="1"/>
  <c r="B226" i="210"/>
  <c r="E226" i="210" s="1"/>
  <c r="G226" i="210" s="1"/>
  <c r="B230" i="210"/>
  <c r="E230" i="210" s="1"/>
  <c r="G230" i="210" s="1"/>
  <c r="B234" i="210"/>
  <c r="E234" i="210" s="1"/>
  <c r="G234" i="210" s="1"/>
  <c r="B238" i="210"/>
  <c r="E238" i="210" s="1"/>
  <c r="G238" i="210" s="1"/>
  <c r="B242" i="210"/>
  <c r="E242" i="210" s="1"/>
  <c r="G242" i="210" s="1"/>
  <c r="B246" i="210"/>
  <c r="E246" i="210" s="1"/>
  <c r="G246" i="210" s="1"/>
  <c r="B250" i="210"/>
  <c r="E250" i="210" s="1"/>
  <c r="G250" i="210" s="1"/>
  <c r="B254" i="210"/>
  <c r="E254" i="210" s="1"/>
  <c r="G254" i="210" s="1"/>
  <c r="B258" i="210"/>
  <c r="E258" i="210" s="1"/>
  <c r="G258" i="210" s="1"/>
  <c r="B262" i="210"/>
  <c r="E262" i="210" s="1"/>
  <c r="G262" i="210" s="1"/>
  <c r="B265" i="227"/>
  <c r="E265" i="227" s="1"/>
  <c r="G265" i="227" s="1"/>
  <c r="B253" i="227"/>
  <c r="E253" i="227" s="1"/>
  <c r="G253" i="227" s="1"/>
  <c r="B249" i="227"/>
  <c r="E249" i="227" s="1"/>
  <c r="G249" i="227" s="1"/>
  <c r="B237" i="227"/>
  <c r="E237" i="227" s="1"/>
  <c r="G237" i="227" s="1"/>
  <c r="B263" i="227"/>
  <c r="E263" i="227" s="1"/>
  <c r="G263" i="227" s="1"/>
  <c r="B251" i="227"/>
  <c r="E251" i="227" s="1"/>
  <c r="G251" i="227" s="1"/>
  <c r="B247" i="227"/>
  <c r="E247" i="227" s="1"/>
  <c r="G247" i="227" s="1"/>
  <c r="B235" i="227"/>
  <c r="E235" i="227" s="1"/>
  <c r="G235" i="227" s="1"/>
  <c r="B231" i="227"/>
  <c r="E231" i="227" s="1"/>
  <c r="G231" i="227" s="1"/>
  <c r="B219" i="227"/>
  <c r="E219" i="227" s="1"/>
  <c r="G219" i="227" s="1"/>
  <c r="B215" i="227"/>
  <c r="E215" i="227" s="1"/>
  <c r="G215" i="227" s="1"/>
  <c r="B203" i="227"/>
  <c r="E203" i="227" s="1"/>
  <c r="G203" i="227" s="1"/>
  <c r="B199" i="227"/>
  <c r="E199" i="227" s="1"/>
  <c r="G199" i="227" s="1"/>
  <c r="B187" i="227"/>
  <c r="E187" i="227" s="1"/>
  <c r="G187" i="227" s="1"/>
  <c r="B183" i="227"/>
  <c r="E183" i="227" s="1"/>
  <c r="G183" i="227" s="1"/>
  <c r="B171" i="227"/>
  <c r="E171" i="227" s="1"/>
  <c r="G171" i="227" s="1"/>
  <c r="B236" i="227"/>
  <c r="E236" i="227" s="1"/>
  <c r="G236" i="227" s="1"/>
  <c r="B230" i="227"/>
  <c r="E230" i="227" s="1"/>
  <c r="G230" i="227" s="1"/>
  <c r="B228" i="227"/>
  <c r="E228" i="227" s="1"/>
  <c r="G228" i="227" s="1"/>
  <c r="B222" i="227"/>
  <c r="E222" i="227" s="1"/>
  <c r="G222" i="227" s="1"/>
  <c r="B220" i="227"/>
  <c r="E220" i="227" s="1"/>
  <c r="G220" i="227" s="1"/>
  <c r="B214" i="227"/>
  <c r="E214" i="227" s="1"/>
  <c r="G214" i="227" s="1"/>
  <c r="B212" i="227"/>
  <c r="E212" i="227" s="1"/>
  <c r="G212" i="227" s="1"/>
  <c r="B206" i="227"/>
  <c r="E206" i="227" s="1"/>
  <c r="G206" i="227" s="1"/>
  <c r="B204" i="227"/>
  <c r="E204" i="227" s="1"/>
  <c r="G204" i="227" s="1"/>
  <c r="B198" i="227"/>
  <c r="E198" i="227" s="1"/>
  <c r="G198" i="227" s="1"/>
  <c r="B196" i="227"/>
  <c r="E196" i="227" s="1"/>
  <c r="G196" i="227" s="1"/>
  <c r="B190" i="227"/>
  <c r="E190" i="227" s="1"/>
  <c r="G190" i="227" s="1"/>
  <c r="B188" i="227"/>
  <c r="E188" i="227" s="1"/>
  <c r="G188" i="227" s="1"/>
  <c r="B182" i="227"/>
  <c r="E182" i="227" s="1"/>
  <c r="G182" i="227" s="1"/>
  <c r="B180" i="227"/>
  <c r="E180" i="227" s="1"/>
  <c r="G180" i="227" s="1"/>
  <c r="B174" i="227"/>
  <c r="E174" i="227" s="1"/>
  <c r="G174" i="227" s="1"/>
  <c r="B172" i="227"/>
  <c r="E172" i="227" s="1"/>
  <c r="G172" i="227" s="1"/>
  <c r="B164" i="227"/>
  <c r="E164" i="227" s="1"/>
  <c r="G164" i="227" s="1"/>
  <c r="B160" i="227"/>
  <c r="E160" i="227" s="1"/>
  <c r="G160" i="227" s="1"/>
  <c r="B148" i="227"/>
  <c r="E148" i="227" s="1"/>
  <c r="G148" i="227" s="1"/>
  <c r="B144" i="227"/>
  <c r="E144" i="227" s="1"/>
  <c r="G144" i="227" s="1"/>
  <c r="B132" i="227"/>
  <c r="E132" i="227" s="1"/>
  <c r="G132" i="227" s="1"/>
  <c r="B128" i="227"/>
  <c r="E128" i="227" s="1"/>
  <c r="G128" i="227" s="1"/>
  <c r="B116" i="227"/>
  <c r="E116" i="227" s="1"/>
  <c r="G116" i="227" s="1"/>
  <c r="B112" i="227"/>
  <c r="E112" i="227" s="1"/>
  <c r="G112" i="227" s="1"/>
  <c r="B100" i="227"/>
  <c r="E100" i="227" s="1"/>
  <c r="G100" i="227" s="1"/>
  <c r="B96" i="227"/>
  <c r="E96" i="227" s="1"/>
  <c r="G96" i="227" s="1"/>
  <c r="B84" i="227"/>
  <c r="E84" i="227" s="1"/>
  <c r="G84" i="227" s="1"/>
  <c r="B80" i="227"/>
  <c r="E80" i="227" s="1"/>
  <c r="G80" i="227" s="1"/>
  <c r="B162" i="227"/>
  <c r="E162" i="227" s="1"/>
  <c r="G162" i="227" s="1"/>
  <c r="B158" i="227"/>
  <c r="E158" i="227" s="1"/>
  <c r="G158" i="227" s="1"/>
  <c r="B146" i="227"/>
  <c r="E146" i="227" s="1"/>
  <c r="G146" i="227" s="1"/>
  <c r="B142" i="227"/>
  <c r="E142" i="227" s="1"/>
  <c r="G142" i="227" s="1"/>
  <c r="B130" i="227"/>
  <c r="E130" i="227" s="1"/>
  <c r="G130" i="227" s="1"/>
  <c r="B126" i="227"/>
  <c r="E126" i="227" s="1"/>
  <c r="G126" i="227" s="1"/>
  <c r="B114" i="227"/>
  <c r="E114" i="227" s="1"/>
  <c r="G114" i="227" s="1"/>
  <c r="B110" i="227"/>
  <c r="E110" i="227" s="1"/>
  <c r="G110" i="227" s="1"/>
  <c r="B98" i="227"/>
  <c r="E98" i="227" s="1"/>
  <c r="G98" i="227" s="1"/>
  <c r="B94" i="227"/>
  <c r="E94" i="227" s="1"/>
  <c r="G94" i="227" s="1"/>
  <c r="B82" i="227"/>
  <c r="E82" i="227" s="1"/>
  <c r="G82" i="227" s="1"/>
  <c r="B78" i="227"/>
  <c r="E78" i="227" s="1"/>
  <c r="G78" i="227" s="1"/>
  <c r="B81" i="227"/>
  <c r="E81" i="227" s="1"/>
  <c r="G81" i="227" s="1"/>
  <c r="B85" i="227"/>
  <c r="E85" i="227" s="1"/>
  <c r="G85" i="227" s="1"/>
  <c r="B97" i="227"/>
  <c r="E97" i="227" s="1"/>
  <c r="G97" i="227" s="1"/>
  <c r="B101" i="227"/>
  <c r="E101" i="227" s="1"/>
  <c r="G101" i="227" s="1"/>
  <c r="B113" i="227"/>
  <c r="E113" i="227" s="1"/>
  <c r="G113" i="227" s="1"/>
  <c r="B117" i="227"/>
  <c r="E117" i="227" s="1"/>
  <c r="G117" i="227" s="1"/>
  <c r="B129" i="227"/>
  <c r="E129" i="227" s="1"/>
  <c r="G129" i="227" s="1"/>
  <c r="B133" i="227"/>
  <c r="E133" i="227" s="1"/>
  <c r="G133" i="227" s="1"/>
  <c r="B145" i="227"/>
  <c r="E145" i="227" s="1"/>
  <c r="G145" i="227" s="1"/>
  <c r="B149" i="227"/>
  <c r="E149" i="227" s="1"/>
  <c r="G149" i="227" s="1"/>
  <c r="B161" i="227"/>
  <c r="E161" i="227" s="1"/>
  <c r="G161" i="227" s="1"/>
  <c r="B165" i="227"/>
  <c r="E165" i="227" s="1"/>
  <c r="G165" i="227" s="1"/>
  <c r="B242" i="227"/>
  <c r="E242" i="227" s="1"/>
  <c r="G242" i="227" s="1"/>
  <c r="B244" i="227"/>
  <c r="E244" i="227" s="1"/>
  <c r="G244" i="227" s="1"/>
  <c r="B250" i="227"/>
  <c r="E250" i="227" s="1"/>
  <c r="G250" i="227" s="1"/>
  <c r="B252" i="227"/>
  <c r="E252" i="227" s="1"/>
  <c r="G252" i="227" s="1"/>
  <c r="B256" i="227"/>
  <c r="E256" i="227" s="1"/>
  <c r="G256" i="227" s="1"/>
  <c r="B258" i="227"/>
  <c r="E258" i="227" s="1"/>
  <c r="G258" i="227" s="1"/>
  <c r="B260" i="227"/>
  <c r="E260" i="227" s="1"/>
  <c r="G260" i="227" s="1"/>
  <c r="B262" i="227"/>
  <c r="E262" i="227" s="1"/>
  <c r="G262" i="227" s="1"/>
  <c r="B264" i="227"/>
  <c r="E264" i="227" s="1"/>
  <c r="G264" i="227" s="1"/>
  <c r="B65" i="228"/>
  <c r="E65" i="228" s="1"/>
  <c r="G65" i="228" s="1"/>
  <c r="B69" i="228"/>
  <c r="E69" i="228" s="1"/>
  <c r="G69" i="228" s="1"/>
  <c r="B264" i="228"/>
  <c r="E264" i="228" s="1"/>
  <c r="G264" i="228" s="1"/>
  <c r="B260" i="228"/>
  <c r="E260" i="228" s="1"/>
  <c r="G260" i="228" s="1"/>
  <c r="B262" i="228"/>
  <c r="E262" i="228" s="1"/>
  <c r="G262" i="228" s="1"/>
  <c r="B258" i="228"/>
  <c r="E258" i="228" s="1"/>
  <c r="G258" i="228" s="1"/>
  <c r="B254" i="228"/>
  <c r="E254" i="228" s="1"/>
  <c r="G254" i="228" s="1"/>
  <c r="B250" i="228"/>
  <c r="E250" i="228" s="1"/>
  <c r="G250" i="228" s="1"/>
  <c r="B246" i="228"/>
  <c r="E246" i="228" s="1"/>
  <c r="G246" i="228" s="1"/>
  <c r="B242" i="228"/>
  <c r="E242" i="228" s="1"/>
  <c r="G242" i="228" s="1"/>
  <c r="B238" i="228"/>
  <c r="E238" i="228" s="1"/>
  <c r="G238" i="228" s="1"/>
  <c r="B234" i="228"/>
  <c r="E234" i="228" s="1"/>
  <c r="G234" i="228" s="1"/>
  <c r="B230" i="228"/>
  <c r="E230" i="228" s="1"/>
  <c r="G230" i="228" s="1"/>
  <c r="B265" i="228"/>
  <c r="E265" i="228" s="1"/>
  <c r="G265" i="228" s="1"/>
  <c r="B261" i="228"/>
  <c r="E261" i="228" s="1"/>
  <c r="G261" i="228" s="1"/>
  <c r="B227" i="228"/>
  <c r="E227" i="228" s="1"/>
  <c r="G227" i="228" s="1"/>
  <c r="B223" i="228"/>
  <c r="E223" i="228" s="1"/>
  <c r="G223" i="228" s="1"/>
  <c r="B219" i="228"/>
  <c r="E219" i="228" s="1"/>
  <c r="G219" i="228" s="1"/>
  <c r="B215" i="228"/>
  <c r="E215" i="228" s="1"/>
  <c r="G215" i="228" s="1"/>
  <c r="B211" i="228"/>
  <c r="E211" i="228" s="1"/>
  <c r="G211" i="228" s="1"/>
  <c r="B207" i="228"/>
  <c r="E207" i="228" s="1"/>
  <c r="G207" i="228" s="1"/>
  <c r="B203" i="228"/>
  <c r="E203" i="228" s="1"/>
  <c r="G203" i="228" s="1"/>
  <c r="B199" i="228"/>
  <c r="E199" i="228" s="1"/>
  <c r="G199" i="228" s="1"/>
  <c r="B195" i="228"/>
  <c r="E195" i="228" s="1"/>
  <c r="G195" i="228" s="1"/>
  <c r="B191" i="228"/>
  <c r="E191" i="228" s="1"/>
  <c r="G191" i="228" s="1"/>
  <c r="B187" i="228"/>
  <c r="E187" i="228" s="1"/>
  <c r="G187" i="228" s="1"/>
  <c r="B183" i="228"/>
  <c r="E183" i="228" s="1"/>
  <c r="G183" i="228" s="1"/>
  <c r="B179" i="228"/>
  <c r="E179" i="228" s="1"/>
  <c r="G179" i="228" s="1"/>
  <c r="B175" i="228"/>
  <c r="E175" i="228" s="1"/>
  <c r="G175" i="228" s="1"/>
  <c r="B171" i="228"/>
  <c r="E171" i="228" s="1"/>
  <c r="G171" i="228" s="1"/>
  <c r="B167" i="228"/>
  <c r="E167" i="228" s="1"/>
  <c r="G167" i="228" s="1"/>
  <c r="B163" i="228"/>
  <c r="E163" i="228" s="1"/>
  <c r="G163" i="228" s="1"/>
  <c r="B159" i="228"/>
  <c r="E159" i="228" s="1"/>
  <c r="G159" i="228" s="1"/>
  <c r="B155" i="228"/>
  <c r="E155" i="228" s="1"/>
  <c r="G155" i="228" s="1"/>
  <c r="B151" i="228"/>
  <c r="E151" i="228" s="1"/>
  <c r="G151" i="228" s="1"/>
  <c r="B147" i="228"/>
  <c r="E147" i="228" s="1"/>
  <c r="G147" i="228" s="1"/>
  <c r="B143" i="228"/>
  <c r="E143" i="228" s="1"/>
  <c r="G143" i="228" s="1"/>
  <c r="B263" i="228"/>
  <c r="E263" i="228" s="1"/>
  <c r="G263" i="228" s="1"/>
  <c r="B259" i="228"/>
  <c r="E259" i="228" s="1"/>
  <c r="G259" i="228" s="1"/>
  <c r="B257" i="228"/>
  <c r="E257" i="228" s="1"/>
  <c r="G257" i="228" s="1"/>
  <c r="B255" i="228"/>
  <c r="E255" i="228" s="1"/>
  <c r="G255" i="228" s="1"/>
  <c r="B253" i="228"/>
  <c r="E253" i="228" s="1"/>
  <c r="G253" i="228" s="1"/>
  <c r="B251" i="228"/>
  <c r="E251" i="228" s="1"/>
  <c r="G251" i="228" s="1"/>
  <c r="B249" i="228"/>
  <c r="E249" i="228" s="1"/>
  <c r="G249" i="228" s="1"/>
  <c r="B247" i="228"/>
  <c r="E247" i="228" s="1"/>
  <c r="G247" i="228" s="1"/>
  <c r="B245" i="228"/>
  <c r="E245" i="228" s="1"/>
  <c r="G245" i="228" s="1"/>
  <c r="B243" i="228"/>
  <c r="E243" i="228" s="1"/>
  <c r="G243" i="228" s="1"/>
  <c r="B241" i="228"/>
  <c r="E241" i="228" s="1"/>
  <c r="G241" i="228" s="1"/>
  <c r="B239" i="228"/>
  <c r="E239" i="228" s="1"/>
  <c r="G239" i="228" s="1"/>
  <c r="B237" i="228"/>
  <c r="E237" i="228" s="1"/>
  <c r="G237" i="228" s="1"/>
  <c r="B235" i="228"/>
  <c r="E235" i="228" s="1"/>
  <c r="G235" i="228" s="1"/>
  <c r="B233" i="228"/>
  <c r="E233" i="228" s="1"/>
  <c r="G233" i="228" s="1"/>
  <c r="B231" i="228"/>
  <c r="E231" i="228" s="1"/>
  <c r="G231" i="228" s="1"/>
  <c r="B229" i="228"/>
  <c r="E229" i="228" s="1"/>
  <c r="G229" i="228" s="1"/>
  <c r="B225" i="228"/>
  <c r="E225" i="228" s="1"/>
  <c r="G225" i="228" s="1"/>
  <c r="B221" i="228"/>
  <c r="E221" i="228" s="1"/>
  <c r="G221" i="228" s="1"/>
  <c r="B217" i="228"/>
  <c r="E217" i="228" s="1"/>
  <c r="G217" i="228" s="1"/>
  <c r="B213" i="228"/>
  <c r="E213" i="228" s="1"/>
  <c r="G213" i="228" s="1"/>
  <c r="B209" i="228"/>
  <c r="E209" i="228" s="1"/>
  <c r="G209" i="228" s="1"/>
  <c r="B205" i="228"/>
  <c r="E205" i="228" s="1"/>
  <c r="G205" i="228" s="1"/>
  <c r="B201" i="228"/>
  <c r="E201" i="228" s="1"/>
  <c r="G201" i="228" s="1"/>
  <c r="B197" i="228"/>
  <c r="E197" i="228" s="1"/>
  <c r="G197" i="228" s="1"/>
  <c r="B193" i="228"/>
  <c r="E193" i="228" s="1"/>
  <c r="G193" i="228" s="1"/>
  <c r="B189" i="228"/>
  <c r="E189" i="228" s="1"/>
  <c r="G189" i="228" s="1"/>
  <c r="B185" i="228"/>
  <c r="E185" i="228"/>
  <c r="G185" i="228" s="1"/>
  <c r="B181" i="228"/>
  <c r="E181" i="228" s="1"/>
  <c r="G181" i="228" s="1"/>
  <c r="B177" i="228"/>
  <c r="E177" i="228" s="1"/>
  <c r="G177" i="228" s="1"/>
  <c r="B173" i="228"/>
  <c r="E173" i="228" s="1"/>
  <c r="G173" i="228" s="1"/>
  <c r="B169" i="228"/>
  <c r="E169" i="228" s="1"/>
  <c r="G169" i="228" s="1"/>
  <c r="B165" i="228"/>
  <c r="E165" i="228" s="1"/>
  <c r="G165" i="228" s="1"/>
  <c r="B161" i="228"/>
  <c r="E161" i="228" s="1"/>
  <c r="G161" i="228" s="1"/>
  <c r="B157" i="228"/>
  <c r="E157" i="228" s="1"/>
  <c r="G157" i="228" s="1"/>
  <c r="B153" i="228"/>
  <c r="E153" i="228" s="1"/>
  <c r="G153" i="228" s="1"/>
  <c r="B149" i="228"/>
  <c r="E149" i="228" s="1"/>
  <c r="G149" i="228" s="1"/>
  <c r="B145" i="228"/>
  <c r="E145" i="228" s="1"/>
  <c r="G145" i="228" s="1"/>
  <c r="B141" i="228"/>
  <c r="E141" i="228" s="1"/>
  <c r="G141" i="228" s="1"/>
  <c r="B137" i="228"/>
  <c r="E137" i="228" s="1"/>
  <c r="G137" i="228" s="1"/>
  <c r="B133" i="228"/>
  <c r="E133" i="228" s="1"/>
  <c r="G133" i="228" s="1"/>
  <c r="B129" i="228"/>
  <c r="E129" i="228" s="1"/>
  <c r="G129" i="228" s="1"/>
  <c r="B125" i="228"/>
  <c r="E125" i="228" s="1"/>
  <c r="G125" i="228" s="1"/>
  <c r="B121" i="228"/>
  <c r="E121" i="228" s="1"/>
  <c r="G121" i="228" s="1"/>
  <c r="B117" i="228"/>
  <c r="E117" i="228" s="1"/>
  <c r="G117" i="228" s="1"/>
  <c r="B113" i="228"/>
  <c r="E113" i="228" s="1"/>
  <c r="G113" i="228" s="1"/>
  <c r="B109" i="228"/>
  <c r="E109" i="228" s="1"/>
  <c r="G109" i="228" s="1"/>
  <c r="B105" i="228"/>
  <c r="E105" i="228" s="1"/>
  <c r="G105" i="228" s="1"/>
  <c r="B101" i="228"/>
  <c r="E101" i="228" s="1"/>
  <c r="G101" i="228" s="1"/>
  <c r="B97" i="228"/>
  <c r="E97" i="228" s="1"/>
  <c r="G97" i="228" s="1"/>
  <c r="B93" i="228"/>
  <c r="E93" i="228" s="1"/>
  <c r="G93" i="228" s="1"/>
  <c r="B89" i="228"/>
  <c r="E89" i="228" s="1"/>
  <c r="G89" i="228" s="1"/>
  <c r="B85" i="228"/>
  <c r="E85" i="228" s="1"/>
  <c r="G85" i="228" s="1"/>
  <c r="B81" i="228"/>
  <c r="E81" i="228" s="1"/>
  <c r="G81" i="228" s="1"/>
  <c r="B256" i="228"/>
  <c r="E256" i="228" s="1"/>
  <c r="G256" i="228" s="1"/>
  <c r="B252" i="228"/>
  <c r="E252" i="228" s="1"/>
  <c r="G252" i="228" s="1"/>
  <c r="B248" i="228"/>
  <c r="E248" i="228" s="1"/>
  <c r="G248" i="228" s="1"/>
  <c r="B244" i="228"/>
  <c r="E244" i="228" s="1"/>
  <c r="G244" i="228" s="1"/>
  <c r="B240" i="228"/>
  <c r="E240" i="228" s="1"/>
  <c r="G240" i="228" s="1"/>
  <c r="B236" i="228"/>
  <c r="E236" i="228" s="1"/>
  <c r="G236" i="228" s="1"/>
  <c r="B232" i="228"/>
  <c r="E232" i="228" s="1"/>
  <c r="G232" i="228" s="1"/>
  <c r="B228" i="228"/>
  <c r="E228" i="228" s="1"/>
  <c r="G228" i="228" s="1"/>
  <c r="B224" i="228"/>
  <c r="E224" i="228" s="1"/>
  <c r="G224" i="228" s="1"/>
  <c r="B220" i="228"/>
  <c r="E220" i="228" s="1"/>
  <c r="G220" i="228" s="1"/>
  <c r="B216" i="228"/>
  <c r="E216" i="228" s="1"/>
  <c r="G216" i="228" s="1"/>
  <c r="B212" i="228"/>
  <c r="E212" i="228" s="1"/>
  <c r="G212" i="228" s="1"/>
  <c r="B208" i="228"/>
  <c r="E208" i="228" s="1"/>
  <c r="G208" i="228" s="1"/>
  <c r="B204" i="228"/>
  <c r="E204" i="228" s="1"/>
  <c r="G204" i="228" s="1"/>
  <c r="B200" i="228"/>
  <c r="E200" i="228" s="1"/>
  <c r="G200" i="228" s="1"/>
  <c r="B196" i="228"/>
  <c r="E196" i="228" s="1"/>
  <c r="G196" i="228" s="1"/>
  <c r="B192" i="228"/>
  <c r="E192" i="228" s="1"/>
  <c r="G192" i="228" s="1"/>
  <c r="B188" i="228"/>
  <c r="E188" i="228" s="1"/>
  <c r="G188" i="228" s="1"/>
  <c r="B184" i="228"/>
  <c r="E184" i="228" s="1"/>
  <c r="G184" i="228" s="1"/>
  <c r="B180" i="228"/>
  <c r="E180" i="228" s="1"/>
  <c r="G180" i="228" s="1"/>
  <c r="B176" i="228"/>
  <c r="E176" i="228" s="1"/>
  <c r="G176" i="228" s="1"/>
  <c r="B172" i="228"/>
  <c r="E172" i="228" s="1"/>
  <c r="G172" i="228" s="1"/>
  <c r="B168" i="228"/>
  <c r="E168" i="228" s="1"/>
  <c r="G168" i="228" s="1"/>
  <c r="B164" i="228"/>
  <c r="E164" i="228" s="1"/>
  <c r="G164" i="228" s="1"/>
  <c r="B160" i="228"/>
  <c r="E160" i="228" s="1"/>
  <c r="G160" i="228" s="1"/>
  <c r="B156" i="228"/>
  <c r="E156" i="228" s="1"/>
  <c r="G156" i="228" s="1"/>
  <c r="B152" i="228"/>
  <c r="E152" i="228" s="1"/>
  <c r="G152" i="228" s="1"/>
  <c r="B148" i="228"/>
  <c r="E148" i="228" s="1"/>
  <c r="G148" i="228" s="1"/>
  <c r="B144" i="228"/>
  <c r="E144" i="228" s="1"/>
  <c r="G144" i="228" s="1"/>
  <c r="B142" i="228"/>
  <c r="E142" i="228" s="1"/>
  <c r="G142" i="228" s="1"/>
  <c r="B140" i="228"/>
  <c r="E140" i="228" s="1"/>
  <c r="G140" i="228" s="1"/>
  <c r="B138" i="228"/>
  <c r="E138" i="228" s="1"/>
  <c r="G138" i="228" s="1"/>
  <c r="B136" i="228"/>
  <c r="E136" i="228" s="1"/>
  <c r="G136" i="228" s="1"/>
  <c r="B134" i="228"/>
  <c r="E134" i="228" s="1"/>
  <c r="G134" i="228" s="1"/>
  <c r="B132" i="228"/>
  <c r="E132" i="228" s="1"/>
  <c r="G132" i="228" s="1"/>
  <c r="B130" i="228"/>
  <c r="E130" i="228" s="1"/>
  <c r="G130" i="228" s="1"/>
  <c r="B128" i="228"/>
  <c r="E128" i="228" s="1"/>
  <c r="G128" i="228" s="1"/>
  <c r="B126" i="228"/>
  <c r="E126" i="228" s="1"/>
  <c r="G126" i="228" s="1"/>
  <c r="B124" i="228"/>
  <c r="E124" i="228" s="1"/>
  <c r="G124" i="228" s="1"/>
  <c r="B122" i="228"/>
  <c r="E122" i="228" s="1"/>
  <c r="G122" i="228" s="1"/>
  <c r="B120" i="228"/>
  <c r="E120" i="228" s="1"/>
  <c r="G120" i="228" s="1"/>
  <c r="B118" i="228"/>
  <c r="E118" i="228" s="1"/>
  <c r="G118" i="228" s="1"/>
  <c r="B116" i="228"/>
  <c r="E116" i="228" s="1"/>
  <c r="G116" i="228" s="1"/>
  <c r="B114" i="228"/>
  <c r="E114" i="228" s="1"/>
  <c r="G114" i="228" s="1"/>
  <c r="B112" i="228"/>
  <c r="E112" i="228" s="1"/>
  <c r="G112" i="228" s="1"/>
  <c r="B110" i="228"/>
  <c r="E110" i="228" s="1"/>
  <c r="G110" i="228" s="1"/>
  <c r="B108" i="228"/>
  <c r="E108" i="228" s="1"/>
  <c r="G108" i="228" s="1"/>
  <c r="B106" i="228"/>
  <c r="E106" i="228" s="1"/>
  <c r="G106" i="228" s="1"/>
  <c r="B104" i="228"/>
  <c r="E104" i="228" s="1"/>
  <c r="G104" i="228" s="1"/>
  <c r="B102" i="228"/>
  <c r="E102" i="228" s="1"/>
  <c r="G102" i="228" s="1"/>
  <c r="B100" i="228"/>
  <c r="E100" i="228" s="1"/>
  <c r="G100" i="228" s="1"/>
  <c r="B98" i="228"/>
  <c r="E98" i="228" s="1"/>
  <c r="G98" i="228" s="1"/>
  <c r="B96" i="228"/>
  <c r="E96" i="228" s="1"/>
  <c r="G96" i="228" s="1"/>
  <c r="B94" i="228"/>
  <c r="E94" i="228" s="1"/>
  <c r="G94" i="228" s="1"/>
  <c r="B92" i="228"/>
  <c r="E92" i="228" s="1"/>
  <c r="G92" i="228" s="1"/>
  <c r="B90" i="228"/>
  <c r="E90" i="228" s="1"/>
  <c r="G90" i="228" s="1"/>
  <c r="B88" i="228"/>
  <c r="E88" i="228" s="1"/>
  <c r="G88" i="228" s="1"/>
  <c r="B86" i="228"/>
  <c r="E86" i="228" s="1"/>
  <c r="G86" i="228" s="1"/>
  <c r="B84" i="228"/>
  <c r="E84" i="228" s="1"/>
  <c r="G84" i="228" s="1"/>
  <c r="B82" i="228"/>
  <c r="E82" i="228"/>
  <c r="G82" i="228" s="1"/>
  <c r="B78" i="228"/>
  <c r="E78" i="228" s="1"/>
  <c r="G78" i="228" s="1"/>
  <c r="B74" i="228"/>
  <c r="E74" i="228" s="1"/>
  <c r="G74" i="228" s="1"/>
  <c r="B226" i="228"/>
  <c r="E226" i="228" s="1"/>
  <c r="G226" i="228" s="1"/>
  <c r="B222" i="228"/>
  <c r="E222" i="228" s="1"/>
  <c r="G222" i="228" s="1"/>
  <c r="B218" i="228"/>
  <c r="E218" i="228" s="1"/>
  <c r="G218" i="228" s="1"/>
  <c r="B214" i="228"/>
  <c r="E214" i="228" s="1"/>
  <c r="G214" i="228" s="1"/>
  <c r="B210" i="228"/>
  <c r="E210" i="228" s="1"/>
  <c r="G210" i="228" s="1"/>
  <c r="B206" i="228"/>
  <c r="E206" i="228" s="1"/>
  <c r="G206" i="228" s="1"/>
  <c r="B202" i="228"/>
  <c r="E202" i="228" s="1"/>
  <c r="G202" i="228" s="1"/>
  <c r="B198" i="228"/>
  <c r="E198" i="228" s="1"/>
  <c r="G198" i="228" s="1"/>
  <c r="B194" i="228"/>
  <c r="E194" i="228" s="1"/>
  <c r="G194" i="228" s="1"/>
  <c r="B190" i="228"/>
  <c r="E190" i="228" s="1"/>
  <c r="G190" i="228" s="1"/>
  <c r="B186" i="228"/>
  <c r="E186" i="228" s="1"/>
  <c r="G186" i="228" s="1"/>
  <c r="B182" i="228"/>
  <c r="E182" i="228" s="1"/>
  <c r="G182" i="228" s="1"/>
  <c r="B178" i="228"/>
  <c r="E178" i="228" s="1"/>
  <c r="G178" i="228" s="1"/>
  <c r="B174" i="228"/>
  <c r="E174" i="228" s="1"/>
  <c r="G174" i="228" s="1"/>
  <c r="B170" i="228"/>
  <c r="E170" i="228" s="1"/>
  <c r="G170" i="228" s="1"/>
  <c r="B166" i="228"/>
  <c r="E166" i="228" s="1"/>
  <c r="G166" i="228" s="1"/>
  <c r="B162" i="228"/>
  <c r="E162" i="228" s="1"/>
  <c r="G162" i="228" s="1"/>
  <c r="B158" i="228"/>
  <c r="E158" i="228" s="1"/>
  <c r="G158" i="228" s="1"/>
  <c r="B154" i="228"/>
  <c r="E154" i="228" s="1"/>
  <c r="G154" i="228" s="1"/>
  <c r="B150" i="228"/>
  <c r="E150" i="228" s="1"/>
  <c r="G150" i="228" s="1"/>
  <c r="B146" i="228"/>
  <c r="E146" i="228" s="1"/>
  <c r="G146" i="228" s="1"/>
  <c r="B80" i="228"/>
  <c r="E80" i="228" s="1"/>
  <c r="G80" i="228" s="1"/>
  <c r="B76" i="228"/>
  <c r="E76" i="228" s="1"/>
  <c r="G76" i="228" s="1"/>
  <c r="B77" i="228"/>
  <c r="E77" i="228" s="1"/>
  <c r="G77" i="228" s="1"/>
  <c r="B30" i="229"/>
  <c r="E30" i="229" s="1"/>
  <c r="G30" i="229" s="1"/>
  <c r="B52" i="227"/>
  <c r="E52" i="227" s="1"/>
  <c r="G52" i="227" s="1"/>
  <c r="B53" i="227"/>
  <c r="E53" i="227" s="1"/>
  <c r="G53" i="227" s="1"/>
  <c r="B54" i="227"/>
  <c r="E54" i="227" s="1"/>
  <c r="G54" i="227" s="1"/>
  <c r="B55" i="227"/>
  <c r="E55" i="227" s="1"/>
  <c r="G55" i="227" s="1"/>
  <c r="B56" i="227"/>
  <c r="E56" i="227" s="1"/>
  <c r="G56" i="227" s="1"/>
  <c r="B57" i="227"/>
  <c r="E57" i="227" s="1"/>
  <c r="G57" i="227" s="1"/>
  <c r="B58" i="227"/>
  <c r="E58" i="227" s="1"/>
  <c r="G58" i="227" s="1"/>
  <c r="B59" i="227"/>
  <c r="E59" i="227" s="1"/>
  <c r="G59" i="227" s="1"/>
  <c r="B60" i="227"/>
  <c r="E60" i="227" s="1"/>
  <c r="G60" i="227" s="1"/>
  <c r="B67" i="228"/>
  <c r="E67" i="228" s="1"/>
  <c r="G67" i="228" s="1"/>
  <c r="B71" i="228"/>
  <c r="E71" i="228" s="1"/>
  <c r="G71" i="228" s="1"/>
  <c r="B26" i="229"/>
  <c r="E26" i="229" s="1"/>
  <c r="G26" i="229" s="1"/>
  <c r="B52" i="228"/>
  <c r="E52" i="228" s="1"/>
  <c r="G52" i="228" s="1"/>
  <c r="B53" i="228"/>
  <c r="E53" i="228" s="1"/>
  <c r="G53" i="228" s="1"/>
  <c r="B54" i="228"/>
  <c r="E54" i="228" s="1"/>
  <c r="G54" i="228" s="1"/>
  <c r="B55" i="228"/>
  <c r="E55" i="228" s="1"/>
  <c r="G55" i="228" s="1"/>
  <c r="B56" i="228"/>
  <c r="E56" i="228" s="1"/>
  <c r="G56" i="228" s="1"/>
  <c r="B57" i="228"/>
  <c r="E57" i="228" s="1"/>
  <c r="G57" i="228" s="1"/>
  <c r="B58" i="228"/>
  <c r="E58" i="228" s="1"/>
  <c r="G58" i="228" s="1"/>
  <c r="B59" i="228"/>
  <c r="E59" i="228" s="1"/>
  <c r="G59" i="228" s="1"/>
  <c r="B60" i="228"/>
  <c r="E60" i="228" s="1"/>
  <c r="G60" i="228" s="1"/>
  <c r="B264" i="229"/>
  <c r="E264" i="229" s="1"/>
  <c r="G264" i="229" s="1"/>
  <c r="B260" i="229"/>
  <c r="E260" i="229" s="1"/>
  <c r="G260" i="229" s="1"/>
  <c r="B256" i="229"/>
  <c r="E256" i="229" s="1"/>
  <c r="G256" i="229" s="1"/>
  <c r="B252" i="229"/>
  <c r="E252" i="229" s="1"/>
  <c r="G252" i="229" s="1"/>
  <c r="B248" i="229"/>
  <c r="E248" i="229" s="1"/>
  <c r="G248" i="229" s="1"/>
  <c r="B262" i="229"/>
  <c r="E262" i="229" s="1"/>
  <c r="G262" i="229" s="1"/>
  <c r="B258" i="229"/>
  <c r="E258" i="229" s="1"/>
  <c r="G258" i="229" s="1"/>
  <c r="B254" i="229"/>
  <c r="E254" i="229" s="1"/>
  <c r="G254" i="229" s="1"/>
  <c r="B250" i="229"/>
  <c r="E250" i="229" s="1"/>
  <c r="G250" i="229" s="1"/>
  <c r="B246" i="229"/>
  <c r="E246" i="229" s="1"/>
  <c r="G246" i="229" s="1"/>
  <c r="B242" i="229"/>
  <c r="E242" i="229" s="1"/>
  <c r="G242" i="229" s="1"/>
  <c r="B238" i="229"/>
  <c r="E238" i="229" s="1"/>
  <c r="G238" i="229" s="1"/>
  <c r="B263" i="229"/>
  <c r="E263" i="229" s="1"/>
  <c r="G263" i="229" s="1"/>
  <c r="B259" i="229"/>
  <c r="E259" i="229" s="1"/>
  <c r="G259" i="229" s="1"/>
  <c r="B255" i="229"/>
  <c r="E255" i="229" s="1"/>
  <c r="G255" i="229" s="1"/>
  <c r="B251" i="229"/>
  <c r="E251" i="229" s="1"/>
  <c r="G251" i="229" s="1"/>
  <c r="B247" i="229"/>
  <c r="E247" i="229" s="1"/>
  <c r="G247" i="229" s="1"/>
  <c r="B235" i="229"/>
  <c r="E235" i="229" s="1"/>
  <c r="G235" i="229" s="1"/>
  <c r="B231" i="229"/>
  <c r="E231" i="229" s="1"/>
  <c r="G231" i="229" s="1"/>
  <c r="B265" i="229"/>
  <c r="E265" i="229" s="1"/>
  <c r="G265" i="229" s="1"/>
  <c r="B261" i="229"/>
  <c r="E261" i="229" s="1"/>
  <c r="G261" i="229" s="1"/>
  <c r="B257" i="229"/>
  <c r="E257" i="229" s="1"/>
  <c r="G257" i="229" s="1"/>
  <c r="B253" i="229"/>
  <c r="E253" i="229" s="1"/>
  <c r="G253" i="229" s="1"/>
  <c r="B249" i="229"/>
  <c r="E249" i="229" s="1"/>
  <c r="G249" i="229" s="1"/>
  <c r="B244" i="229"/>
  <c r="E244" i="229" s="1"/>
  <c r="G244" i="229" s="1"/>
  <c r="B240" i="229"/>
  <c r="E240" i="229" s="1"/>
  <c r="G240" i="229" s="1"/>
  <c r="B237" i="229"/>
  <c r="E237" i="229" s="1"/>
  <c r="G237" i="229" s="1"/>
  <c r="B233" i="229"/>
  <c r="E233" i="229" s="1"/>
  <c r="G233" i="229" s="1"/>
  <c r="B229" i="229"/>
  <c r="E229" i="229" s="1"/>
  <c r="G229" i="229" s="1"/>
  <c r="B225" i="229"/>
  <c r="E225" i="229" s="1"/>
  <c r="G225" i="229" s="1"/>
  <c r="B221" i="229"/>
  <c r="E221" i="229" s="1"/>
  <c r="G221" i="229" s="1"/>
  <c r="B217" i="229"/>
  <c r="E217" i="229" s="1"/>
  <c r="G217" i="229" s="1"/>
  <c r="B213" i="229"/>
  <c r="E213" i="229" s="1"/>
  <c r="G213" i="229" s="1"/>
  <c r="B245" i="229"/>
  <c r="E245" i="229" s="1"/>
  <c r="G245" i="229" s="1"/>
  <c r="B241" i="229"/>
  <c r="E241" i="229" s="1"/>
  <c r="G241" i="229" s="1"/>
  <c r="B236" i="229"/>
  <c r="E236" i="229" s="1"/>
  <c r="G236" i="229" s="1"/>
  <c r="B232" i="229"/>
  <c r="E232" i="229" s="1"/>
  <c r="G232" i="229" s="1"/>
  <c r="B227" i="229"/>
  <c r="E227" i="229" s="1"/>
  <c r="G227" i="229" s="1"/>
  <c r="B223" i="229"/>
  <c r="E223" i="229" s="1"/>
  <c r="G223" i="229" s="1"/>
  <c r="B219" i="229"/>
  <c r="E219" i="229" s="1"/>
  <c r="G219" i="229" s="1"/>
  <c r="B215" i="229"/>
  <c r="E215" i="229" s="1"/>
  <c r="G215" i="229" s="1"/>
  <c r="B234" i="229"/>
  <c r="E234" i="229" s="1"/>
  <c r="G234" i="229" s="1"/>
  <c r="B230" i="229"/>
  <c r="E230" i="229" s="1"/>
  <c r="G230" i="229" s="1"/>
  <c r="B207" i="229"/>
  <c r="E207" i="229" s="1"/>
  <c r="G207" i="229" s="1"/>
  <c r="B203" i="229"/>
  <c r="E203" i="229" s="1"/>
  <c r="G203" i="229" s="1"/>
  <c r="B199" i="229"/>
  <c r="E199" i="229" s="1"/>
  <c r="G199" i="229" s="1"/>
  <c r="B195" i="229"/>
  <c r="E195" i="229" s="1"/>
  <c r="G195" i="229" s="1"/>
  <c r="B191" i="229"/>
  <c r="E191" i="229" s="1"/>
  <c r="G191" i="229" s="1"/>
  <c r="B187" i="229"/>
  <c r="E187" i="229" s="1"/>
  <c r="G187" i="229" s="1"/>
  <c r="B183" i="229"/>
  <c r="E183" i="229" s="1"/>
  <c r="G183" i="229" s="1"/>
  <c r="B179" i="229"/>
  <c r="E179" i="229" s="1"/>
  <c r="G179" i="229" s="1"/>
  <c r="B243" i="229"/>
  <c r="E243" i="229" s="1"/>
  <c r="G243" i="229" s="1"/>
  <c r="B174" i="229"/>
  <c r="E174" i="229" s="1"/>
  <c r="G174" i="229" s="1"/>
  <c r="B170" i="229"/>
  <c r="E170" i="229" s="1"/>
  <c r="G170" i="229" s="1"/>
  <c r="B166" i="229"/>
  <c r="E166" i="229" s="1"/>
  <c r="G166" i="229" s="1"/>
  <c r="B162" i="229"/>
  <c r="E162" i="229" s="1"/>
  <c r="G162" i="229" s="1"/>
  <c r="B158" i="229"/>
  <c r="E158" i="229" s="1"/>
  <c r="G158" i="229" s="1"/>
  <c r="B239" i="229"/>
  <c r="E239" i="229" s="1"/>
  <c r="G239" i="229" s="1"/>
  <c r="B226" i="229"/>
  <c r="E226" i="229" s="1"/>
  <c r="G226" i="229" s="1"/>
  <c r="B222" i="229"/>
  <c r="E222" i="229" s="1"/>
  <c r="G222" i="229" s="1"/>
  <c r="B218" i="229"/>
  <c r="E218" i="229" s="1"/>
  <c r="G218" i="229" s="1"/>
  <c r="B214" i="229"/>
  <c r="E214" i="229" s="1"/>
  <c r="G214" i="229" s="1"/>
  <c r="B209" i="229"/>
  <c r="E209" i="229" s="1"/>
  <c r="G209" i="229" s="1"/>
  <c r="B205" i="229"/>
  <c r="E205" i="229" s="1"/>
  <c r="G205" i="229" s="1"/>
  <c r="B201" i="229"/>
  <c r="E201" i="229" s="1"/>
  <c r="G201" i="229" s="1"/>
  <c r="B197" i="229"/>
  <c r="E197" i="229" s="1"/>
  <c r="G197" i="229" s="1"/>
  <c r="B193" i="229"/>
  <c r="E193" i="229" s="1"/>
  <c r="G193" i="229" s="1"/>
  <c r="B189" i="229"/>
  <c r="E189" i="229" s="1"/>
  <c r="G189" i="229" s="1"/>
  <c r="B185" i="229"/>
  <c r="E185" i="229" s="1"/>
  <c r="G185" i="229" s="1"/>
  <c r="B181" i="229"/>
  <c r="E181" i="229" s="1"/>
  <c r="G181" i="229" s="1"/>
  <c r="B177" i="229"/>
  <c r="E177" i="229" s="1"/>
  <c r="G177" i="229" s="1"/>
  <c r="B176" i="229"/>
  <c r="E176" i="229" s="1"/>
  <c r="G176" i="229" s="1"/>
  <c r="B172" i="229"/>
  <c r="E172" i="229" s="1"/>
  <c r="G172" i="229" s="1"/>
  <c r="B168" i="229"/>
  <c r="E168" i="229" s="1"/>
  <c r="G168" i="229" s="1"/>
  <c r="B164" i="229"/>
  <c r="E164" i="229" s="1"/>
  <c r="G164" i="229" s="1"/>
  <c r="B160" i="229"/>
  <c r="E160" i="229" s="1"/>
  <c r="G160" i="229" s="1"/>
  <c r="B156" i="229"/>
  <c r="E156" i="229" s="1"/>
  <c r="G156" i="229" s="1"/>
  <c r="B152" i="229"/>
  <c r="E152" i="229" s="1"/>
  <c r="G152" i="229" s="1"/>
  <c r="B148" i="229"/>
  <c r="E148" i="229" s="1"/>
  <c r="G148" i="229" s="1"/>
  <c r="B144" i="229"/>
  <c r="E144" i="229" s="1"/>
  <c r="G144" i="229" s="1"/>
  <c r="B140" i="229"/>
  <c r="E140" i="229" s="1"/>
  <c r="G140" i="229" s="1"/>
  <c r="B136" i="229"/>
  <c r="E136" i="229" s="1"/>
  <c r="G136" i="229" s="1"/>
  <c r="B132" i="229"/>
  <c r="E132" i="229" s="1"/>
  <c r="G132" i="229" s="1"/>
  <c r="B128" i="229"/>
  <c r="E128" i="229" s="1"/>
  <c r="G128" i="229" s="1"/>
  <c r="B124" i="229"/>
  <c r="E124" i="229" s="1"/>
  <c r="G124" i="229" s="1"/>
  <c r="B211" i="229"/>
  <c r="E211" i="229" s="1"/>
  <c r="G211" i="229" s="1"/>
  <c r="B208" i="229"/>
  <c r="E208" i="229" s="1"/>
  <c r="G208" i="229" s="1"/>
  <c r="B204" i="229"/>
  <c r="E204" i="229" s="1"/>
  <c r="G204" i="229" s="1"/>
  <c r="B200" i="229"/>
  <c r="E200" i="229" s="1"/>
  <c r="G200" i="229" s="1"/>
  <c r="B196" i="229"/>
  <c r="E196" i="229" s="1"/>
  <c r="G196" i="229" s="1"/>
  <c r="B192" i="229"/>
  <c r="E192" i="229" s="1"/>
  <c r="G192" i="229" s="1"/>
  <c r="B188" i="229"/>
  <c r="E188" i="229" s="1"/>
  <c r="G188" i="229" s="1"/>
  <c r="B184" i="229"/>
  <c r="E184" i="229" s="1"/>
  <c r="G184" i="229" s="1"/>
  <c r="B180" i="229"/>
  <c r="E180" i="229" s="1"/>
  <c r="G180" i="229" s="1"/>
  <c r="B153" i="229"/>
  <c r="E153" i="229" s="1"/>
  <c r="G153" i="229" s="1"/>
  <c r="B151" i="229"/>
  <c r="E151" i="229" s="1"/>
  <c r="G151" i="229" s="1"/>
  <c r="B149" i="229"/>
  <c r="E149" i="229" s="1"/>
  <c r="G149" i="229" s="1"/>
  <c r="B147" i="229"/>
  <c r="E147" i="229" s="1"/>
  <c r="G147" i="229" s="1"/>
  <c r="B145" i="229"/>
  <c r="E145" i="229" s="1"/>
  <c r="G145" i="229" s="1"/>
  <c r="B143" i="229"/>
  <c r="E143" i="229" s="1"/>
  <c r="G143" i="229" s="1"/>
  <c r="B141" i="229"/>
  <c r="E141" i="229" s="1"/>
  <c r="G141" i="229" s="1"/>
  <c r="B139" i="229"/>
  <c r="E139" i="229" s="1"/>
  <c r="G139" i="229" s="1"/>
  <c r="B137" i="229"/>
  <c r="E137" i="229" s="1"/>
  <c r="G137" i="229" s="1"/>
  <c r="B135" i="229"/>
  <c r="E135" i="229" s="1"/>
  <c r="G135" i="229" s="1"/>
  <c r="B133" i="229"/>
  <c r="E133" i="229" s="1"/>
  <c r="G133" i="229" s="1"/>
  <c r="B131" i="229"/>
  <c r="E131" i="229" s="1"/>
  <c r="G131" i="229" s="1"/>
  <c r="B129" i="229"/>
  <c r="E129" i="229" s="1"/>
  <c r="G129" i="229" s="1"/>
  <c r="B127" i="229"/>
  <c r="E127" i="229" s="1"/>
  <c r="G127" i="229" s="1"/>
  <c r="B125" i="229"/>
  <c r="E125" i="229" s="1"/>
  <c r="G125" i="229" s="1"/>
  <c r="B123" i="229"/>
  <c r="E123" i="229" s="1"/>
  <c r="G123" i="229" s="1"/>
  <c r="B118" i="229"/>
  <c r="E118" i="229" s="1"/>
  <c r="G118" i="229" s="1"/>
  <c r="B114" i="229"/>
  <c r="E114" i="229" s="1"/>
  <c r="G114" i="229" s="1"/>
  <c r="B110" i="229"/>
  <c r="E110" i="229" s="1"/>
  <c r="G110" i="229" s="1"/>
  <c r="B120" i="229"/>
  <c r="E120" i="229" s="1"/>
  <c r="G120" i="229" s="1"/>
  <c r="B116" i="229"/>
  <c r="E116" i="229" s="1"/>
  <c r="G116" i="229" s="1"/>
  <c r="B112" i="229"/>
  <c r="E112" i="229" s="1"/>
  <c r="G112" i="229" s="1"/>
  <c r="B108" i="229"/>
  <c r="E108" i="229" s="1"/>
  <c r="G108" i="229" s="1"/>
  <c r="B104" i="229"/>
  <c r="E104" i="229" s="1"/>
  <c r="G104" i="229" s="1"/>
  <c r="B100" i="229"/>
  <c r="E100" i="229" s="1"/>
  <c r="G100" i="229" s="1"/>
  <c r="B96" i="229"/>
  <c r="E96" i="229" s="1"/>
  <c r="G96" i="229" s="1"/>
  <c r="B92" i="229"/>
  <c r="E92" i="229" s="1"/>
  <c r="G92" i="229" s="1"/>
  <c r="B88" i="229"/>
  <c r="E88" i="229"/>
  <c r="G88" i="229" s="1"/>
  <c r="B84" i="229"/>
  <c r="E84" i="229" s="1"/>
  <c r="G84" i="229" s="1"/>
  <c r="B80" i="229"/>
  <c r="E80" i="229" s="1"/>
  <c r="G80" i="229" s="1"/>
  <c r="B76" i="229"/>
  <c r="E76" i="229" s="1"/>
  <c r="G76" i="229" s="1"/>
  <c r="B109" i="229"/>
  <c r="E109" i="229" s="1"/>
  <c r="G109" i="229" s="1"/>
  <c r="B113" i="229"/>
  <c r="E113" i="229" s="1"/>
  <c r="G113" i="229" s="1"/>
  <c r="B117" i="229"/>
  <c r="E117" i="229" s="1"/>
  <c r="G117" i="229" s="1"/>
  <c r="B121" i="229"/>
  <c r="E121" i="229" s="1"/>
  <c r="G121" i="229" s="1"/>
  <c r="B64" i="229"/>
  <c r="E64" i="229" s="1"/>
  <c r="G64" i="229" s="1"/>
  <c r="B65" i="229"/>
  <c r="E65" i="229" s="1"/>
  <c r="G65" i="229" s="1"/>
  <c r="B66" i="229"/>
  <c r="E66" i="229" s="1"/>
  <c r="G66" i="229" s="1"/>
  <c r="B67" i="229"/>
  <c r="E67" i="229" s="1"/>
  <c r="G67" i="229" s="1"/>
  <c r="B68" i="229"/>
  <c r="E68" i="229" s="1"/>
  <c r="G68" i="229" s="1"/>
  <c r="B69" i="229"/>
  <c r="E69" i="229" s="1"/>
  <c r="G69" i="229" s="1"/>
  <c r="B70" i="229"/>
  <c r="E70" i="229" s="1"/>
  <c r="G70" i="229" s="1"/>
  <c r="B71" i="229"/>
  <c r="E71" i="229" s="1"/>
  <c r="G71" i="229" s="1"/>
  <c r="B72" i="229"/>
  <c r="E72" i="229" s="1"/>
  <c r="G72" i="229" s="1"/>
  <c r="B115" i="229"/>
  <c r="E115" i="229" s="1"/>
  <c r="G115" i="229" s="1"/>
  <c r="B119" i="229"/>
  <c r="E119" i="229" s="1"/>
  <c r="G119" i="229" s="1"/>
  <c r="B155" i="229"/>
  <c r="E155" i="229" s="1"/>
  <c r="G155" i="229" s="1"/>
  <c r="B157" i="229"/>
  <c r="E157" i="229" s="1"/>
  <c r="G157" i="229" s="1"/>
  <c r="B159" i="229"/>
  <c r="E159" i="229" s="1"/>
  <c r="G159" i="229" s="1"/>
  <c r="B161" i="229"/>
  <c r="E161" i="229" s="1"/>
  <c r="G161" i="229" s="1"/>
  <c r="B163" i="229"/>
  <c r="E163" i="229" s="1"/>
  <c r="G163" i="229" s="1"/>
  <c r="B165" i="229"/>
  <c r="E165" i="229" s="1"/>
  <c r="G165" i="229" s="1"/>
  <c r="B167" i="229"/>
  <c r="E167" i="229" s="1"/>
  <c r="G167" i="229" s="1"/>
  <c r="B169" i="229"/>
  <c r="E169" i="229" s="1"/>
  <c r="G169" i="229" s="1"/>
  <c r="B171" i="229"/>
  <c r="E171" i="229" s="1"/>
  <c r="G171" i="229" s="1"/>
  <c r="B173" i="229"/>
  <c r="E173" i="229" s="1"/>
  <c r="G173" i="229" s="1"/>
  <c r="B175" i="229"/>
  <c r="E175" i="229" s="1"/>
  <c r="G175" i="229" s="1"/>
  <c r="D67" i="232"/>
  <c r="P26" i="215"/>
  <c r="J72" i="3"/>
  <c r="L72" i="3" s="1"/>
  <c r="N72" i="3" s="1"/>
  <c r="A37" i="14"/>
  <c r="A36" i="1" s="1"/>
  <c r="A23" i="263"/>
  <c r="A62" i="265"/>
  <c r="A34" i="262"/>
  <c r="A78" i="262"/>
  <c r="A67" i="265"/>
  <c r="A20" i="31"/>
  <c r="A38" i="31" s="1"/>
  <c r="A56" i="31" s="1"/>
  <c r="A74" i="31" s="1"/>
  <c r="A92" i="31" s="1"/>
  <c r="A33" i="276"/>
  <c r="A33" i="220"/>
  <c r="A33" i="16"/>
  <c r="A33" i="221" s="1"/>
  <c r="A14" i="219"/>
  <c r="A14" i="233" s="1"/>
  <c r="A14" i="234" s="1"/>
  <c r="A14" i="235" s="1"/>
  <c r="A42" i="220"/>
  <c r="A40" i="276"/>
  <c r="B21" i="269"/>
  <c r="B32" i="10" s="1"/>
  <c r="A124" i="252"/>
  <c r="A25" i="270"/>
  <c r="A25" i="273"/>
  <c r="A124" i="249"/>
  <c r="F12" i="214"/>
  <c r="F28" i="10"/>
  <c r="F14" i="232"/>
  <c r="F14" i="29"/>
  <c r="E14" i="216"/>
  <c r="C14" i="263" s="1"/>
  <c r="C14" i="264" s="1"/>
  <c r="C14" i="265" s="1"/>
  <c r="F48" i="10"/>
  <c r="G48" i="10" s="1"/>
  <c r="H48" i="10" s="1"/>
  <c r="O131" i="252"/>
  <c r="O131" i="253"/>
  <c r="C21" i="16"/>
  <c r="D21" i="221" s="1"/>
  <c r="A38" i="249"/>
  <c r="B29" i="2"/>
  <c r="A38" i="253"/>
  <c r="A38" i="252"/>
  <c r="B29" i="225"/>
  <c r="B30" i="231"/>
  <c r="G14" i="232"/>
  <c r="Q18" i="267" l="1"/>
  <c r="Q18" i="266" s="1"/>
  <c r="Q30" i="268"/>
  <c r="Q26" i="268"/>
  <c r="O82" i="10"/>
  <c r="I27" i="267"/>
  <c r="I27" i="266" s="1"/>
  <c r="K57" i="10"/>
  <c r="N77" i="10"/>
  <c r="Z22" i="266"/>
  <c r="U30" i="268"/>
  <c r="U26" i="268"/>
  <c r="U18" i="267"/>
  <c r="U18" i="266" s="1"/>
  <c r="P55" i="213"/>
  <c r="L71" i="213"/>
  <c r="Q93" i="240"/>
  <c r="W18" i="268"/>
  <c r="F123" i="210"/>
  <c r="I39" i="10"/>
  <c r="AG71" i="231"/>
  <c r="J86" i="231"/>
  <c r="Q56" i="213"/>
  <c r="M68" i="214"/>
  <c r="B111" i="210"/>
  <c r="E111" i="210" s="1"/>
  <c r="G111" i="210" s="1"/>
  <c r="F181" i="210"/>
  <c r="F225" i="210"/>
  <c r="P57" i="10"/>
  <c r="I41" i="10"/>
  <c r="Q71" i="213"/>
  <c r="N68" i="214"/>
  <c r="E68" i="218"/>
  <c r="K60" i="231" s="1"/>
  <c r="M60" i="231" s="1"/>
  <c r="F124" i="210"/>
  <c r="L20" i="10"/>
  <c r="A45" i="265"/>
  <c r="X90" i="231"/>
  <c r="I39" i="231"/>
  <c r="A78" i="264"/>
  <c r="AP52" i="231"/>
  <c r="N57" i="213"/>
  <c r="F74" i="210"/>
  <c r="D39" i="10"/>
  <c r="L39" i="10" s="1"/>
  <c r="F197" i="210"/>
  <c r="F241" i="210"/>
  <c r="K39" i="10"/>
  <c r="L22" i="10"/>
  <c r="M50" i="231"/>
  <c r="AS52" i="231"/>
  <c r="V86" i="231"/>
  <c r="B27" i="232"/>
  <c r="BA56" i="231"/>
  <c r="AT71" i="231"/>
  <c r="R88" i="231"/>
  <c r="A23" i="262"/>
  <c r="A34" i="263"/>
  <c r="B27" i="3"/>
  <c r="F75" i="214"/>
  <c r="E20" i="218"/>
  <c r="K33" i="231" s="1"/>
  <c r="N33" i="231" s="1"/>
  <c r="F89" i="210"/>
  <c r="F113" i="210"/>
  <c r="F141" i="210"/>
  <c r="F213" i="210"/>
  <c r="F257" i="210"/>
  <c r="A78" i="263"/>
  <c r="D66" i="219"/>
  <c r="D26" i="17"/>
  <c r="E26" i="17" s="1"/>
  <c r="D34" i="17"/>
  <c r="H49" i="17"/>
  <c r="I49" i="17" s="1"/>
  <c r="F155" i="210"/>
  <c r="Y27" i="266"/>
  <c r="D107" i="10" s="1"/>
  <c r="I28" i="268"/>
  <c r="I28" i="267" s="1"/>
  <c r="I28" i="266" s="1"/>
  <c r="M20" i="10"/>
  <c r="H19" i="10"/>
  <c r="F22" i="10"/>
  <c r="A47" i="217"/>
  <c r="A56" i="265"/>
  <c r="O42" i="213"/>
  <c r="W21" i="269"/>
  <c r="E21" i="276"/>
  <c r="H21" i="221" s="1"/>
  <c r="B50" i="18"/>
  <c r="E50" i="18" s="1"/>
  <c r="G50" i="18" s="1"/>
  <c r="F76" i="210"/>
  <c r="M19" i="10"/>
  <c r="H22" i="10"/>
  <c r="I83" i="213"/>
  <c r="F90" i="210"/>
  <c r="F142" i="210"/>
  <c r="F185" i="210"/>
  <c r="F229" i="210"/>
  <c r="F41" i="10"/>
  <c r="M22" i="10"/>
  <c r="AP86" i="231"/>
  <c r="F128" i="210"/>
  <c r="Y20" i="268"/>
  <c r="D50" i="10" s="1"/>
  <c r="H12" i="10"/>
  <c r="F12" i="10"/>
  <c r="N20" i="10"/>
  <c r="M17" i="10"/>
  <c r="AK40" i="231"/>
  <c r="G59" i="231"/>
  <c r="AS86" i="231"/>
  <c r="F16" i="214"/>
  <c r="G75" i="217"/>
  <c r="F91" i="210"/>
  <c r="F245" i="210"/>
  <c r="Z20" i="268"/>
  <c r="N19" i="10"/>
  <c r="M16" i="10"/>
  <c r="H16" i="10"/>
  <c r="F17" i="10"/>
  <c r="AA21" i="268"/>
  <c r="AA21" i="267" s="1"/>
  <c r="AA21" i="266" s="1"/>
  <c r="N22" i="10"/>
  <c r="I19" i="10"/>
  <c r="H46" i="3"/>
  <c r="F78" i="210"/>
  <c r="F105" i="210"/>
  <c r="F144" i="210"/>
  <c r="F173" i="210"/>
  <c r="I22" i="10"/>
  <c r="Q31" i="212"/>
  <c r="J46" i="3"/>
  <c r="E19" i="16"/>
  <c r="D28" i="17"/>
  <c r="E28" i="17" s="1"/>
  <c r="D36" i="17"/>
  <c r="J58" i="17"/>
  <c r="F92" i="210"/>
  <c r="F217" i="210"/>
  <c r="Q17" i="213"/>
  <c r="N12" i="10"/>
  <c r="I12" i="10"/>
  <c r="H82" i="213"/>
  <c r="K81" i="213"/>
  <c r="D74" i="219"/>
  <c r="W29" i="269"/>
  <c r="I74" i="19"/>
  <c r="N74" i="19" s="1"/>
  <c r="F106" i="210"/>
  <c r="O19" i="10"/>
  <c r="N16" i="10"/>
  <c r="I17" i="10"/>
  <c r="H56" i="213"/>
  <c r="H60" i="213" s="1"/>
  <c r="AS164" i="38"/>
  <c r="A40" i="7" s="1"/>
  <c r="AS44" i="231"/>
  <c r="L82" i="213"/>
  <c r="W24" i="269"/>
  <c r="W30" i="269"/>
  <c r="E21" i="16"/>
  <c r="F93" i="210"/>
  <c r="F233" i="210"/>
  <c r="O22" i="10"/>
  <c r="H43" i="213"/>
  <c r="AS163" i="38"/>
  <c r="A39" i="7" s="1"/>
  <c r="N68" i="213"/>
  <c r="F80" i="210"/>
  <c r="G36" i="224"/>
  <c r="I48" i="226" s="1"/>
  <c r="AL65" i="231"/>
  <c r="Q68" i="213"/>
  <c r="M83" i="213"/>
  <c r="D106" i="218"/>
  <c r="H59" i="17"/>
  <c r="I59" i="17" s="1"/>
  <c r="F161" i="210"/>
  <c r="F205" i="210"/>
  <c r="O17" i="10"/>
  <c r="J19" i="10"/>
  <c r="AS161" i="38"/>
  <c r="A37" i="7" s="1"/>
  <c r="I69" i="213"/>
  <c r="Q29" i="213"/>
  <c r="J69" i="213"/>
  <c r="E47" i="218"/>
  <c r="K47" i="231" s="1"/>
  <c r="N47" i="231" s="1"/>
  <c r="F108" i="210"/>
  <c r="P22" i="10"/>
  <c r="O15" i="10"/>
  <c r="J21" i="10"/>
  <c r="J45" i="213"/>
  <c r="AD87" i="231"/>
  <c r="O69" i="213"/>
  <c r="D30" i="17"/>
  <c r="E30" i="17" s="1"/>
  <c r="D38" i="17"/>
  <c r="E38" i="17" s="1"/>
  <c r="F177" i="210"/>
  <c r="F265" i="210"/>
  <c r="Y24" i="268"/>
  <c r="R30" i="213"/>
  <c r="R69" i="213"/>
  <c r="N84" i="213"/>
  <c r="F121" i="210"/>
  <c r="AS158" i="38"/>
  <c r="A34" i="7" s="1"/>
  <c r="I36" i="224"/>
  <c r="K48" i="226" s="1"/>
  <c r="AZ26" i="231"/>
  <c r="I47" i="231"/>
  <c r="AG87" i="231"/>
  <c r="N31" i="213"/>
  <c r="J70" i="213"/>
  <c r="X30" i="269"/>
  <c r="T41" i="10" s="1"/>
  <c r="F109" i="210"/>
  <c r="B135" i="210"/>
  <c r="E135" i="210" s="1"/>
  <c r="G135" i="210" s="1"/>
  <c r="F149" i="210"/>
  <c r="O24" i="268"/>
  <c r="P17" i="10"/>
  <c r="J16" i="10"/>
  <c r="K70" i="213"/>
  <c r="F96" i="210"/>
  <c r="F193" i="210"/>
  <c r="P16" i="10"/>
  <c r="G19" i="10"/>
  <c r="Q19" i="10" s="1"/>
  <c r="R19" i="10" s="1"/>
  <c r="E63" i="29"/>
  <c r="F122" i="210"/>
  <c r="H86" i="213"/>
  <c r="D55" i="219"/>
  <c r="A23" i="265"/>
  <c r="AT73" i="231"/>
  <c r="P70" i="213"/>
  <c r="H61" i="17"/>
  <c r="I61" i="17" s="1"/>
  <c r="F110" i="210"/>
  <c r="G18" i="10"/>
  <c r="G55" i="213"/>
  <c r="G60" i="213" s="1"/>
  <c r="Y31" i="268"/>
  <c r="J42" i="213"/>
  <c r="N54" i="214"/>
  <c r="M50" i="216" s="1"/>
  <c r="M52" i="216" s="1"/>
  <c r="M43" i="216" s="1"/>
  <c r="I29" i="213"/>
  <c r="K19" i="213"/>
  <c r="F40" i="214"/>
  <c r="H54" i="214"/>
  <c r="H45" i="214" s="1"/>
  <c r="O54" i="214"/>
  <c r="P54" i="214"/>
  <c r="P45" i="214" s="1"/>
  <c r="E37" i="29"/>
  <c r="E39" i="29" s="1"/>
  <c r="I31" i="213"/>
  <c r="J30" i="213"/>
  <c r="F32" i="214"/>
  <c r="H30" i="213"/>
  <c r="K31" i="213"/>
  <c r="G40" i="214"/>
  <c r="F37" i="216" s="1"/>
  <c r="F39" i="216" s="1"/>
  <c r="F30" i="216" s="1"/>
  <c r="F34" i="216" s="1"/>
  <c r="D71" i="276" s="1"/>
  <c r="D38" i="236"/>
  <c r="J32" i="213"/>
  <c r="H17" i="213"/>
  <c r="H21" i="213" s="1"/>
  <c r="Q18" i="213"/>
  <c r="P17" i="213"/>
  <c r="F27" i="21"/>
  <c r="F71" i="3"/>
  <c r="B28" i="269"/>
  <c r="B28" i="268" s="1"/>
  <c r="B28" i="267" s="1"/>
  <c r="F73" i="10"/>
  <c r="G73" i="10" s="1"/>
  <c r="H73" i="10" s="1"/>
  <c r="I73" i="10" s="1"/>
  <c r="J73" i="10" s="1"/>
  <c r="K73" i="10" s="1"/>
  <c r="L73" i="10" s="1"/>
  <c r="M73" i="10" s="1"/>
  <c r="N73" i="10" s="1"/>
  <c r="O73" i="10" s="1"/>
  <c r="P73" i="10" s="1"/>
  <c r="E98" i="10"/>
  <c r="F98" i="10" s="1"/>
  <c r="G98" i="10" s="1"/>
  <c r="H98" i="10" s="1"/>
  <c r="I98" i="10" s="1"/>
  <c r="J98" i="10" s="1"/>
  <c r="K98" i="10" s="1"/>
  <c r="L98" i="10" s="1"/>
  <c r="M98" i="10" s="1"/>
  <c r="N98" i="10" s="1"/>
  <c r="O98" i="10" s="1"/>
  <c r="P98" i="10" s="1"/>
  <c r="I14" i="232"/>
  <c r="I12" i="213"/>
  <c r="C19" i="4"/>
  <c r="F9" i="10"/>
  <c r="C15" i="231"/>
  <c r="S15" i="231"/>
  <c r="D19" i="268"/>
  <c r="D19" i="267" s="1"/>
  <c r="D19" i="266" s="1"/>
  <c r="G15" i="231"/>
  <c r="E14" i="232"/>
  <c r="K15" i="231"/>
  <c r="U44" i="231"/>
  <c r="Z87" i="231"/>
  <c r="Y87" i="231"/>
  <c r="AD40" i="231"/>
  <c r="AW73" i="231"/>
  <c r="U88" i="231"/>
  <c r="O50" i="29"/>
  <c r="M45" i="217" s="1"/>
  <c r="R43" i="213"/>
  <c r="Q42" i="213"/>
  <c r="G48" i="214"/>
  <c r="H76" i="214"/>
  <c r="R68" i="213"/>
  <c r="A34" i="265"/>
  <c r="J32" i="231"/>
  <c r="Y42" i="231"/>
  <c r="Z42" i="231"/>
  <c r="Q44" i="231"/>
  <c r="R44" i="231"/>
  <c r="AT63" i="231"/>
  <c r="AP87" i="231"/>
  <c r="AO87" i="231"/>
  <c r="L68" i="214"/>
  <c r="N61" i="214" s="1"/>
  <c r="G75" i="214"/>
  <c r="Q95" i="236"/>
  <c r="Q95" i="237" s="1"/>
  <c r="Q96" i="214"/>
  <c r="AL84" i="231"/>
  <c r="AK84" i="231"/>
  <c r="AH85" i="231"/>
  <c r="AG85" i="231"/>
  <c r="L37" i="29"/>
  <c r="P31" i="213"/>
  <c r="O30" i="213"/>
  <c r="N29" i="213"/>
  <c r="K63" i="29"/>
  <c r="I53" i="217" s="1"/>
  <c r="N56" i="213"/>
  <c r="O57" i="213"/>
  <c r="M55" i="213"/>
  <c r="K68" i="214"/>
  <c r="N62" i="214" s="1"/>
  <c r="K67" i="236"/>
  <c r="K67" i="237" s="1"/>
  <c r="A16" i="270"/>
  <c r="A16" i="271" s="1"/>
  <c r="A16" i="272" s="1"/>
  <c r="A16" i="273" s="1"/>
  <c r="B66" i="225"/>
  <c r="B84" i="231"/>
  <c r="R32" i="213"/>
  <c r="P30" i="213"/>
  <c r="P58" i="213"/>
  <c r="F58" i="214"/>
  <c r="E18" i="219"/>
  <c r="K32" i="231"/>
  <c r="E30" i="218"/>
  <c r="K38" i="231" s="1"/>
  <c r="G38" i="231"/>
  <c r="E17" i="220"/>
  <c r="E56" i="220"/>
  <c r="H50" i="17"/>
  <c r="I50" i="17" s="1"/>
  <c r="J50" i="17"/>
  <c r="AT40" i="231"/>
  <c r="J61" i="231"/>
  <c r="N63" i="231"/>
  <c r="M63" i="231"/>
  <c r="U83" i="231"/>
  <c r="Q85" i="231"/>
  <c r="AT88" i="231"/>
  <c r="AS88" i="231"/>
  <c r="J31" i="213"/>
  <c r="J34" i="213" s="1"/>
  <c r="K32" i="213"/>
  <c r="N37" i="29"/>
  <c r="L31" i="217" s="1"/>
  <c r="R31" i="213"/>
  <c r="R34" i="213" s="1"/>
  <c r="P29" i="213"/>
  <c r="M63" i="29"/>
  <c r="K55" i="217" s="1"/>
  <c r="Q57" i="213"/>
  <c r="R58" i="213"/>
  <c r="F90" i="214"/>
  <c r="N89" i="29"/>
  <c r="P81" i="213"/>
  <c r="C55" i="1"/>
  <c r="C47" i="233"/>
  <c r="C55" i="249" s="1"/>
  <c r="E21" i="220"/>
  <c r="P24" i="14"/>
  <c r="C83" i="231"/>
  <c r="A39" i="1"/>
  <c r="B31" i="231"/>
  <c r="A49" i="249"/>
  <c r="A49" i="252"/>
  <c r="B41" i="231"/>
  <c r="A53" i="1"/>
  <c r="A53" i="253"/>
  <c r="B44" i="2"/>
  <c r="B45" i="231"/>
  <c r="A64" i="253"/>
  <c r="B56" i="231"/>
  <c r="A81" i="253"/>
  <c r="B73" i="231"/>
  <c r="A77" i="249"/>
  <c r="G21" i="220"/>
  <c r="G24" i="220"/>
  <c r="J37" i="17"/>
  <c r="F46" i="3"/>
  <c r="H37" i="17"/>
  <c r="I37" i="17" s="1"/>
  <c r="H45" i="17"/>
  <c r="I45" i="17" s="1"/>
  <c r="J45" i="17"/>
  <c r="E72" i="224"/>
  <c r="V50" i="231"/>
  <c r="U50" i="231"/>
  <c r="G28" i="226"/>
  <c r="G25" i="226"/>
  <c r="I33" i="231"/>
  <c r="AL52" i="231"/>
  <c r="AK52" i="231"/>
  <c r="V65" i="231"/>
  <c r="AS84" i="231"/>
  <c r="G50" i="29"/>
  <c r="J43" i="213"/>
  <c r="K69" i="213"/>
  <c r="K73" i="213" s="1"/>
  <c r="M71" i="213"/>
  <c r="J68" i="213"/>
  <c r="O39" i="236"/>
  <c r="O39" i="237" s="1"/>
  <c r="O40" i="214"/>
  <c r="N37" i="216" s="1"/>
  <c r="N39" i="216" s="1"/>
  <c r="N30" i="216" s="1"/>
  <c r="N34" i="216" s="1"/>
  <c r="L71" i="16" s="1"/>
  <c r="A72" i="214"/>
  <c r="A62" i="217"/>
  <c r="C62" i="217" s="1"/>
  <c r="E67" i="14"/>
  <c r="D64" i="219"/>
  <c r="E64" i="218"/>
  <c r="K58" i="231" s="1"/>
  <c r="B30" i="225"/>
  <c r="D90" i="231"/>
  <c r="AJ90" i="231"/>
  <c r="J35" i="231"/>
  <c r="I35" i="231"/>
  <c r="I45" i="231"/>
  <c r="M52" i="231"/>
  <c r="J64" i="231"/>
  <c r="Q67" i="231"/>
  <c r="R67" i="231"/>
  <c r="J72" i="231"/>
  <c r="N73" i="231"/>
  <c r="AG73" i="231"/>
  <c r="AL86" i="231"/>
  <c r="AK86" i="231"/>
  <c r="K239" i="38"/>
  <c r="AA241" i="38"/>
  <c r="AR239" i="38"/>
  <c r="AZ241" i="38"/>
  <c r="BH239" i="38"/>
  <c r="BP239" i="38"/>
  <c r="CN239" i="38"/>
  <c r="CV241" i="38"/>
  <c r="C39" i="24" s="1"/>
  <c r="DD239" i="38"/>
  <c r="DL239" i="38"/>
  <c r="Q30" i="213"/>
  <c r="P56" i="213"/>
  <c r="H39" i="236"/>
  <c r="H39" i="237" s="1"/>
  <c r="H40" i="214"/>
  <c r="P39" i="236"/>
  <c r="P40" i="214"/>
  <c r="O37" i="216" s="1"/>
  <c r="M29" i="262" s="1"/>
  <c r="E93" i="218"/>
  <c r="C74" i="1"/>
  <c r="C80" i="233"/>
  <c r="C74" i="249" s="1"/>
  <c r="D117" i="276"/>
  <c r="C117" i="276"/>
  <c r="C118" i="276" s="1"/>
  <c r="D116" i="276"/>
  <c r="E116" i="276" s="1"/>
  <c r="D37" i="17"/>
  <c r="K36" i="17" s="1"/>
  <c r="D41" i="17"/>
  <c r="N34" i="231"/>
  <c r="AW50" i="231"/>
  <c r="AX50" i="231"/>
  <c r="C20" i="14"/>
  <c r="D68" i="3"/>
  <c r="D63" i="232" s="1"/>
  <c r="E14" i="239"/>
  <c r="R73" i="231"/>
  <c r="Q73" i="231"/>
  <c r="AW85" i="231"/>
  <c r="B33" i="3"/>
  <c r="A23" i="31"/>
  <c r="A41" i="31" s="1"/>
  <c r="A59" i="31" s="1"/>
  <c r="A77" i="31" s="1"/>
  <c r="A95" i="31" s="1"/>
  <c r="H29" i="213"/>
  <c r="N45" i="213"/>
  <c r="K42" i="213"/>
  <c r="I39" i="236"/>
  <c r="I40" i="214"/>
  <c r="H37" i="216" s="1"/>
  <c r="Q39" i="236"/>
  <c r="Q40" i="214"/>
  <c r="E58" i="14"/>
  <c r="E51" i="218"/>
  <c r="K49" i="231" s="1"/>
  <c r="A50" i="1"/>
  <c r="A50" i="249"/>
  <c r="B42" i="231"/>
  <c r="A55" i="1"/>
  <c r="B47" i="231"/>
  <c r="A78" i="1"/>
  <c r="A78" i="252"/>
  <c r="B54" i="225"/>
  <c r="A82" i="249"/>
  <c r="B74" i="231"/>
  <c r="A82" i="252"/>
  <c r="R71" i="231"/>
  <c r="Q71" i="231"/>
  <c r="N31" i="231"/>
  <c r="M31" i="231"/>
  <c r="B45" i="225"/>
  <c r="G34" i="226"/>
  <c r="N40" i="231"/>
  <c r="M40" i="231"/>
  <c r="I60" i="231"/>
  <c r="Z65" i="231"/>
  <c r="AS67" i="231"/>
  <c r="M86" i="231"/>
  <c r="F14" i="216"/>
  <c r="A36" i="217"/>
  <c r="A45" i="264"/>
  <c r="J41" i="231"/>
  <c r="J51" i="231"/>
  <c r="I51" i="231"/>
  <c r="G58" i="231"/>
  <c r="I58" i="231" s="1"/>
  <c r="U67" i="231"/>
  <c r="T90" i="231"/>
  <c r="AY84" i="231"/>
  <c r="AC84" i="231"/>
  <c r="AY85" i="231"/>
  <c r="BB85" i="231" s="1"/>
  <c r="M44" i="213"/>
  <c r="K81" i="236"/>
  <c r="K82" i="214"/>
  <c r="J76" i="216" s="1"/>
  <c r="J78" i="216" s="1"/>
  <c r="J69" i="216" s="1"/>
  <c r="M82" i="214"/>
  <c r="M45" i="231"/>
  <c r="N45" i="231"/>
  <c r="E76" i="14"/>
  <c r="D82" i="219"/>
  <c r="B40" i="22"/>
  <c r="E40" i="22" s="1"/>
  <c r="G40" i="22" s="1"/>
  <c r="B223" i="22"/>
  <c r="E223" i="22" s="1"/>
  <c r="G223" i="22" s="1"/>
  <c r="B264" i="22"/>
  <c r="E264" i="22" s="1"/>
  <c r="G264" i="22" s="1"/>
  <c r="H90" i="231"/>
  <c r="AN90" i="231"/>
  <c r="AY87" i="231"/>
  <c r="K37" i="29"/>
  <c r="M29" i="213"/>
  <c r="O31" i="213"/>
  <c r="N30" i="213"/>
  <c r="H50" i="29"/>
  <c r="M45" i="213"/>
  <c r="G47" i="214"/>
  <c r="R42" i="213"/>
  <c r="L63" i="29"/>
  <c r="O56" i="213"/>
  <c r="O60" i="213" s="1"/>
  <c r="J82" i="214"/>
  <c r="J81" i="236"/>
  <c r="J81" i="237" s="1"/>
  <c r="M53" i="236"/>
  <c r="M53" i="237" s="1"/>
  <c r="X26" i="269"/>
  <c r="T37" i="10" s="1"/>
  <c r="A59" i="1"/>
  <c r="A59" i="249"/>
  <c r="J55" i="17"/>
  <c r="H55" i="17"/>
  <c r="I55" i="17" s="1"/>
  <c r="J57" i="17"/>
  <c r="H57" i="17"/>
  <c r="I57" i="17" s="1"/>
  <c r="B61" i="22"/>
  <c r="E61" i="22" s="1"/>
  <c r="G61" i="22" s="1"/>
  <c r="F262" i="22"/>
  <c r="F259" i="22"/>
  <c r="F214" i="22"/>
  <c r="F182" i="22"/>
  <c r="F150" i="22"/>
  <c r="F123" i="22"/>
  <c r="F120" i="22"/>
  <c r="F107" i="22"/>
  <c r="F104" i="22"/>
  <c r="F91" i="22"/>
  <c r="F88" i="22"/>
  <c r="F75" i="22"/>
  <c r="F251" i="22"/>
  <c r="F203" i="22"/>
  <c r="F171" i="22"/>
  <c r="F126" i="22"/>
  <c r="F113" i="22"/>
  <c r="F110" i="22"/>
  <c r="F97" i="22"/>
  <c r="F94" i="22"/>
  <c r="F81" i="22"/>
  <c r="F78" i="22"/>
  <c r="F243" i="22"/>
  <c r="F206" i="22"/>
  <c r="F174" i="22"/>
  <c r="F139" i="22"/>
  <c r="F129" i="22"/>
  <c r="F222" i="22"/>
  <c r="F211" i="22"/>
  <c r="F179" i="22"/>
  <c r="F147" i="22"/>
  <c r="F137" i="22"/>
  <c r="F227" i="22"/>
  <c r="F155" i="22"/>
  <c r="F118" i="22"/>
  <c r="F86" i="22"/>
  <c r="F158" i="22"/>
  <c r="F121" i="22"/>
  <c r="F89" i="22"/>
  <c r="F195" i="22"/>
  <c r="F96" i="22"/>
  <c r="F190" i="22"/>
  <c r="F145" i="22"/>
  <c r="F134" i="22"/>
  <c r="F105" i="22"/>
  <c r="F73" i="22"/>
  <c r="F235" i="22"/>
  <c r="F166" i="22"/>
  <c r="F115" i="22"/>
  <c r="F83" i="22"/>
  <c r="F112" i="22"/>
  <c r="B31" i="22"/>
  <c r="E31" i="22" s="1"/>
  <c r="G31" i="22" s="1"/>
  <c r="B48" i="22"/>
  <c r="E48" i="22" s="1"/>
  <c r="G48" i="22" s="1"/>
  <c r="B34" i="22"/>
  <c r="E34" i="22" s="1"/>
  <c r="G34" i="22" s="1"/>
  <c r="B26" i="22"/>
  <c r="E26" i="22" s="1"/>
  <c r="G26" i="22" s="1"/>
  <c r="P25" i="22"/>
  <c r="O26" i="22" s="1"/>
  <c r="D104" i="14" s="1"/>
  <c r="B28" i="22"/>
  <c r="E28" i="22" s="1"/>
  <c r="G28" i="22" s="1"/>
  <c r="K89" i="29"/>
  <c r="I79" i="217" s="1"/>
  <c r="N82" i="213"/>
  <c r="N86" i="213" s="1"/>
  <c r="P84" i="213"/>
  <c r="M81" i="213"/>
  <c r="N46" i="214"/>
  <c r="E71" i="14"/>
  <c r="D72" i="219"/>
  <c r="D70" i="1" s="1"/>
  <c r="B35" i="22"/>
  <c r="E35" i="22" s="1"/>
  <c r="G35" i="22" s="1"/>
  <c r="F99" i="22"/>
  <c r="B227" i="22"/>
  <c r="E227" i="22" s="1"/>
  <c r="G227" i="22" s="1"/>
  <c r="B163" i="22"/>
  <c r="E163" i="22" s="1"/>
  <c r="G163" i="22" s="1"/>
  <c r="B95" i="22"/>
  <c r="E95" i="22" s="1"/>
  <c r="G95" i="22" s="1"/>
  <c r="B79" i="22"/>
  <c r="E79" i="22" s="1"/>
  <c r="G79" i="22" s="1"/>
  <c r="B255" i="22"/>
  <c r="E255" i="22" s="1"/>
  <c r="G255" i="22" s="1"/>
  <c r="B183" i="22"/>
  <c r="E183" i="22" s="1"/>
  <c r="G183" i="22" s="1"/>
  <c r="B119" i="22"/>
  <c r="E119" i="22" s="1"/>
  <c r="G119" i="22" s="1"/>
  <c r="B133" i="22"/>
  <c r="E133" i="22" s="1"/>
  <c r="G133" i="22" s="1"/>
  <c r="B165" i="22"/>
  <c r="E165" i="22" s="1"/>
  <c r="G165" i="22" s="1"/>
  <c r="B197" i="22"/>
  <c r="E197" i="22" s="1"/>
  <c r="G197" i="22" s="1"/>
  <c r="B229" i="22"/>
  <c r="E229" i="22" s="1"/>
  <c r="G229" i="22" s="1"/>
  <c r="B261" i="22"/>
  <c r="E261" i="22" s="1"/>
  <c r="G261" i="22" s="1"/>
  <c r="B94" i="22"/>
  <c r="E94" i="22" s="1"/>
  <c r="G94" i="22" s="1"/>
  <c r="B126" i="22"/>
  <c r="E126" i="22" s="1"/>
  <c r="G126" i="22" s="1"/>
  <c r="B158" i="22"/>
  <c r="E158" i="22" s="1"/>
  <c r="G158" i="22" s="1"/>
  <c r="B190" i="22"/>
  <c r="E190" i="22" s="1"/>
  <c r="G190" i="22" s="1"/>
  <c r="B218" i="22"/>
  <c r="E218" i="22" s="1"/>
  <c r="G218" i="22" s="1"/>
  <c r="B250" i="22"/>
  <c r="E250" i="22" s="1"/>
  <c r="G250" i="22" s="1"/>
  <c r="B92" i="22"/>
  <c r="E92" i="22" s="1"/>
  <c r="G92" i="22" s="1"/>
  <c r="B124" i="22"/>
  <c r="E124" i="22" s="1"/>
  <c r="G124" i="22" s="1"/>
  <c r="B156" i="22"/>
  <c r="E156" i="22" s="1"/>
  <c r="G156" i="22" s="1"/>
  <c r="B188" i="22"/>
  <c r="E188" i="22" s="1"/>
  <c r="G188" i="22" s="1"/>
  <c r="B220" i="22"/>
  <c r="E220" i="22" s="1"/>
  <c r="G220" i="22" s="1"/>
  <c r="B252" i="22"/>
  <c r="E252" i="22" s="1"/>
  <c r="G252" i="22" s="1"/>
  <c r="G61" i="224"/>
  <c r="I20" i="226" s="1"/>
  <c r="AB90" i="231"/>
  <c r="AH40" i="231"/>
  <c r="M44" i="231"/>
  <c r="AC44" i="231"/>
  <c r="AZ78" i="231"/>
  <c r="AS50" i="231"/>
  <c r="AH63" i="231"/>
  <c r="AC65" i="231"/>
  <c r="M67" i="231"/>
  <c r="AC67" i="231"/>
  <c r="Z83" i="231"/>
  <c r="M84" i="231"/>
  <c r="N76" i="29"/>
  <c r="L64" i="217" s="1"/>
  <c r="R70" i="213"/>
  <c r="Q69" i="213"/>
  <c r="P68" i="213"/>
  <c r="L89" i="29"/>
  <c r="O82" i="213"/>
  <c r="E59" i="218"/>
  <c r="E72" i="218"/>
  <c r="K62" i="231" s="1"/>
  <c r="N62" i="231" s="1"/>
  <c r="E85" i="218"/>
  <c r="K69" i="231" s="1"/>
  <c r="F80" i="22"/>
  <c r="B219" i="22"/>
  <c r="E219" i="22" s="1"/>
  <c r="G219" i="22" s="1"/>
  <c r="B155" i="22"/>
  <c r="E155" i="22" s="1"/>
  <c r="G155" i="22" s="1"/>
  <c r="B93" i="22"/>
  <c r="E93" i="22" s="1"/>
  <c r="G93" i="22" s="1"/>
  <c r="B77" i="22"/>
  <c r="E77" i="22" s="1"/>
  <c r="G77" i="22" s="1"/>
  <c r="B247" i="22"/>
  <c r="E247" i="22" s="1"/>
  <c r="G247" i="22" s="1"/>
  <c r="B175" i="22"/>
  <c r="E175" i="22" s="1"/>
  <c r="G175" i="22" s="1"/>
  <c r="B111" i="22"/>
  <c r="E111" i="22" s="1"/>
  <c r="G111" i="22" s="1"/>
  <c r="B137" i="22"/>
  <c r="E137" i="22" s="1"/>
  <c r="G137" i="22" s="1"/>
  <c r="B169" i="22"/>
  <c r="E169" i="22" s="1"/>
  <c r="G169" i="22" s="1"/>
  <c r="B201" i="22"/>
  <c r="E201" i="22" s="1"/>
  <c r="G201" i="22" s="1"/>
  <c r="B233" i="22"/>
  <c r="E233" i="22" s="1"/>
  <c r="G233" i="22" s="1"/>
  <c r="B265" i="22"/>
  <c r="E265" i="22" s="1"/>
  <c r="G265" i="22" s="1"/>
  <c r="B98" i="22"/>
  <c r="E98" i="22" s="1"/>
  <c r="G98" i="22" s="1"/>
  <c r="B130" i="22"/>
  <c r="E130" i="22" s="1"/>
  <c r="G130" i="22" s="1"/>
  <c r="B162" i="22"/>
  <c r="E162" i="22" s="1"/>
  <c r="G162" i="22" s="1"/>
  <c r="B194" i="22"/>
  <c r="E194" i="22" s="1"/>
  <c r="G194" i="22" s="1"/>
  <c r="B222" i="22"/>
  <c r="E222" i="22" s="1"/>
  <c r="G222" i="22" s="1"/>
  <c r="B254" i="22"/>
  <c r="E254" i="22" s="1"/>
  <c r="G254" i="22" s="1"/>
  <c r="B96" i="22"/>
  <c r="E96" i="22" s="1"/>
  <c r="G96" i="22" s="1"/>
  <c r="B128" i="22"/>
  <c r="E128" i="22" s="1"/>
  <c r="G128" i="22" s="1"/>
  <c r="B160" i="22"/>
  <c r="E160" i="22" s="1"/>
  <c r="G160" i="22" s="1"/>
  <c r="B192" i="22"/>
  <c r="E192" i="22" s="1"/>
  <c r="G192" i="22" s="1"/>
  <c r="B224" i="22"/>
  <c r="E224" i="22" s="1"/>
  <c r="G224" i="22" s="1"/>
  <c r="B256" i="22"/>
  <c r="E256" i="22" s="1"/>
  <c r="G256" i="22" s="1"/>
  <c r="K51" i="226"/>
  <c r="I61" i="224"/>
  <c r="AF90" i="231"/>
  <c r="AC42" i="231"/>
  <c r="AX44" i="231"/>
  <c r="I53" i="231"/>
  <c r="N60" i="231"/>
  <c r="I62" i="231"/>
  <c r="AX67" i="231"/>
  <c r="AH84" i="231"/>
  <c r="K43" i="213"/>
  <c r="K45" i="213"/>
  <c r="J44" i="213"/>
  <c r="H42" i="213"/>
  <c r="H47" i="213" s="1"/>
  <c r="N50" i="29"/>
  <c r="L44" i="217" s="1"/>
  <c r="Q43" i="213"/>
  <c r="P42" i="213"/>
  <c r="N55" i="213"/>
  <c r="J63" i="29"/>
  <c r="M56" i="213"/>
  <c r="L55" i="213"/>
  <c r="H68" i="213"/>
  <c r="H73" i="213" s="1"/>
  <c r="M89" i="29"/>
  <c r="K78" i="217" s="1"/>
  <c r="Q83" i="213"/>
  <c r="P82" i="213"/>
  <c r="J39" i="237"/>
  <c r="E57" i="14"/>
  <c r="D49" i="219"/>
  <c r="I75" i="19"/>
  <c r="N75" i="19" s="1"/>
  <c r="F142" i="22"/>
  <c r="P25" i="23"/>
  <c r="O26" i="23" s="1"/>
  <c r="N40" i="214"/>
  <c r="G54" i="214"/>
  <c r="M31" i="212"/>
  <c r="B57" i="2"/>
  <c r="F21" i="276"/>
  <c r="F24" i="276"/>
  <c r="B37" i="22"/>
  <c r="E37" i="22" s="1"/>
  <c r="G37" i="22" s="1"/>
  <c r="B46" i="22"/>
  <c r="E46" i="22" s="1"/>
  <c r="G46" i="22" s="1"/>
  <c r="B34" i="23"/>
  <c r="E34" i="23" s="1"/>
  <c r="G34" i="23" s="1"/>
  <c r="B43" i="23"/>
  <c r="E43" i="23" s="1"/>
  <c r="G43" i="23" s="1"/>
  <c r="B27" i="210"/>
  <c r="E27" i="210" s="1"/>
  <c r="G27" i="210" s="1"/>
  <c r="Z30" i="266"/>
  <c r="B46" i="210"/>
  <c r="E46" i="210" s="1"/>
  <c r="G46" i="210" s="1"/>
  <c r="B49" i="210"/>
  <c r="E49" i="210" s="1"/>
  <c r="G49" i="210" s="1"/>
  <c r="B135" i="228"/>
  <c r="E135" i="228" s="1"/>
  <c r="G135" i="228" s="1"/>
  <c r="B28" i="23"/>
  <c r="E28" i="23" s="1"/>
  <c r="G28" i="23" s="1"/>
  <c r="B31" i="23"/>
  <c r="E31" i="23" s="1"/>
  <c r="G31" i="23" s="1"/>
  <c r="B28" i="210"/>
  <c r="E28" i="210" s="1"/>
  <c r="G28" i="210" s="1"/>
  <c r="B31" i="210"/>
  <c r="E31" i="210" s="1"/>
  <c r="G31" i="210" s="1"/>
  <c r="B29" i="228"/>
  <c r="E29" i="228" s="1"/>
  <c r="G29" i="228" s="1"/>
  <c r="B47" i="228"/>
  <c r="E47" i="228" s="1"/>
  <c r="G47" i="228" s="1"/>
  <c r="B32" i="23"/>
  <c r="E32" i="23" s="1"/>
  <c r="G32" i="23" s="1"/>
  <c r="B45" i="23"/>
  <c r="E45" i="23" s="1"/>
  <c r="G45" i="23" s="1"/>
  <c r="B38" i="210"/>
  <c r="E38" i="210" s="1"/>
  <c r="G38" i="210" s="1"/>
  <c r="B41" i="210"/>
  <c r="E41" i="210" s="1"/>
  <c r="G41" i="210" s="1"/>
  <c r="B44" i="210"/>
  <c r="E44" i="210" s="1"/>
  <c r="G44" i="210" s="1"/>
  <c r="B47" i="210"/>
  <c r="E47" i="210" s="1"/>
  <c r="G47" i="210" s="1"/>
  <c r="G34" i="214"/>
  <c r="Q93" i="241"/>
  <c r="D91" i="219"/>
  <c r="D80" i="1" s="1"/>
  <c r="P23" i="14"/>
  <c r="B29" i="22"/>
  <c r="E29" i="22" s="1"/>
  <c r="G29" i="22" s="1"/>
  <c r="B45" i="22"/>
  <c r="E45" i="22" s="1"/>
  <c r="G45" i="22" s="1"/>
  <c r="B45" i="227"/>
  <c r="E45" i="227" s="1"/>
  <c r="G45" i="227" s="1"/>
  <c r="B48" i="227"/>
  <c r="E48" i="227" s="1"/>
  <c r="G48" i="227" s="1"/>
  <c r="R45" i="213"/>
  <c r="I60" i="213"/>
  <c r="F30" i="214"/>
  <c r="E76" i="218"/>
  <c r="K66" i="231" s="1"/>
  <c r="W30" i="268"/>
  <c r="W28" i="269"/>
  <c r="W26" i="269"/>
  <c r="A41" i="249"/>
  <c r="B30" i="267"/>
  <c r="B85" i="10" s="1"/>
  <c r="B63" i="18"/>
  <c r="E63" i="18" s="1"/>
  <c r="G63" i="18" s="1"/>
  <c r="I69" i="19"/>
  <c r="H69" i="19" s="1"/>
  <c r="M69" i="19" s="1"/>
  <c r="P25" i="21"/>
  <c r="B62" i="22"/>
  <c r="E62" i="22" s="1"/>
  <c r="G62" i="22" s="1"/>
  <c r="B46" i="23"/>
  <c r="E46" i="23" s="1"/>
  <c r="G46" i="23" s="1"/>
  <c r="B40" i="227"/>
  <c r="E40" i="227" s="1"/>
  <c r="G40" i="227" s="1"/>
  <c r="B43" i="227"/>
  <c r="E43" i="227" s="1"/>
  <c r="G43" i="227" s="1"/>
  <c r="P82" i="10"/>
  <c r="N27" i="266"/>
  <c r="R57" i="213"/>
  <c r="O68" i="213"/>
  <c r="O73" i="213" s="1"/>
  <c r="P69" i="213"/>
  <c r="P73" i="213" s="1"/>
  <c r="Q70" i="213"/>
  <c r="Q73" i="213" s="1"/>
  <c r="R71" i="213"/>
  <c r="L81" i="213"/>
  <c r="O84" i="213"/>
  <c r="E55" i="218"/>
  <c r="K53" i="231" s="1"/>
  <c r="N53" i="231" s="1"/>
  <c r="E89" i="218"/>
  <c r="K72" i="231" s="1"/>
  <c r="N72" i="231" s="1"/>
  <c r="E104" i="218"/>
  <c r="D57" i="219"/>
  <c r="D60" i="1" s="1"/>
  <c r="F21" i="16"/>
  <c r="B23" i="267"/>
  <c r="B49" i="22"/>
  <c r="E49" i="22" s="1"/>
  <c r="G49" i="22" s="1"/>
  <c r="B37" i="23"/>
  <c r="E37" i="23" s="1"/>
  <c r="G37" i="23" s="1"/>
  <c r="B40" i="23"/>
  <c r="E40" i="23" s="1"/>
  <c r="G40" i="23" s="1"/>
  <c r="B30" i="210"/>
  <c r="E30" i="210" s="1"/>
  <c r="G30" i="210" s="1"/>
  <c r="B33" i="210"/>
  <c r="E33" i="210" s="1"/>
  <c r="G33" i="210" s="1"/>
  <c r="B36" i="210"/>
  <c r="E36" i="210" s="1"/>
  <c r="G36" i="210" s="1"/>
  <c r="B39" i="210"/>
  <c r="E39" i="210" s="1"/>
  <c r="G39" i="210" s="1"/>
  <c r="Z29" i="266"/>
  <c r="P25" i="18"/>
  <c r="O26" i="18" s="1"/>
  <c r="B42" i="22"/>
  <c r="E42" i="22" s="1"/>
  <c r="G42" i="22" s="1"/>
  <c r="B39" i="23"/>
  <c r="E39" i="23" s="1"/>
  <c r="G39" i="23" s="1"/>
  <c r="B42" i="23"/>
  <c r="E42" i="23" s="1"/>
  <c r="G42" i="23" s="1"/>
  <c r="B48" i="23"/>
  <c r="E48" i="23" s="1"/>
  <c r="G48" i="23" s="1"/>
  <c r="B73" i="23"/>
  <c r="E73" i="23" s="1"/>
  <c r="G73" i="23" s="1"/>
  <c r="B35" i="210"/>
  <c r="E35" i="210" s="1"/>
  <c r="G35" i="210" s="1"/>
  <c r="B43" i="210"/>
  <c r="E43" i="210" s="1"/>
  <c r="G43" i="210" s="1"/>
  <c r="B31" i="227"/>
  <c r="E31" i="227" s="1"/>
  <c r="G31" i="227" s="1"/>
  <c r="B35" i="227"/>
  <c r="E35" i="227" s="1"/>
  <c r="G35" i="227" s="1"/>
  <c r="B46" i="228"/>
  <c r="E46" i="228" s="1"/>
  <c r="G46" i="228" s="1"/>
  <c r="B49" i="228"/>
  <c r="E49" i="228" s="1"/>
  <c r="G49" i="228" s="1"/>
  <c r="B31" i="229"/>
  <c r="E31" i="229" s="1"/>
  <c r="G31" i="229" s="1"/>
  <c r="M82" i="10"/>
  <c r="K27" i="266"/>
  <c r="H82" i="10"/>
  <c r="AA30" i="268"/>
  <c r="AA30" i="267" s="1"/>
  <c r="AA30" i="266" s="1"/>
  <c r="Y23" i="267"/>
  <c r="M52" i="10"/>
  <c r="K22" i="267"/>
  <c r="L52" i="10"/>
  <c r="J22" i="267"/>
  <c r="D30" i="268"/>
  <c r="D30" i="267" s="1"/>
  <c r="D30" i="266" s="1"/>
  <c r="Z25" i="268"/>
  <c r="M26" i="267"/>
  <c r="M26" i="266" s="1"/>
  <c r="M37" i="10"/>
  <c r="K26" i="268"/>
  <c r="J40" i="10"/>
  <c r="H29" i="268"/>
  <c r="H29" i="267" s="1"/>
  <c r="H29" i="266" s="1"/>
  <c r="H40" i="10"/>
  <c r="F29" i="268"/>
  <c r="F29" i="267" s="1"/>
  <c r="F29" i="266" s="1"/>
  <c r="H36" i="10"/>
  <c r="F25" i="268"/>
  <c r="F25" i="267" s="1"/>
  <c r="F25" i="266" s="1"/>
  <c r="B141" i="10"/>
  <c r="B145" i="10" s="1"/>
  <c r="E36" i="10"/>
  <c r="D34" i="10"/>
  <c r="N15" i="10"/>
  <c r="K21" i="10"/>
  <c r="J14" i="10"/>
  <c r="I21" i="10"/>
  <c r="G132" i="10" s="1"/>
  <c r="G133" i="10" s="1"/>
  <c r="M31" i="267"/>
  <c r="M31" i="266" s="1"/>
  <c r="P41" i="10"/>
  <c r="S41" i="10" s="1"/>
  <c r="O36" i="10"/>
  <c r="N39" i="10"/>
  <c r="N37" i="10"/>
  <c r="K37" i="10"/>
  <c r="I40" i="10"/>
  <c r="K40" i="10"/>
  <c r="N40" i="10"/>
  <c r="E31" i="10"/>
  <c r="G36" i="10"/>
  <c r="N36" i="10"/>
  <c r="I36" i="10"/>
  <c r="K36" i="10"/>
  <c r="J36" i="10"/>
  <c r="L36" i="10"/>
  <c r="M21" i="10"/>
  <c r="L15" i="10"/>
  <c r="B36" i="228"/>
  <c r="E36" i="228" s="1"/>
  <c r="G36" i="228" s="1"/>
  <c r="B39" i="228"/>
  <c r="E39" i="228" s="1"/>
  <c r="G39" i="228" s="1"/>
  <c r="B43" i="228"/>
  <c r="E43" i="228" s="1"/>
  <c r="G43" i="228" s="1"/>
  <c r="Y22" i="266"/>
  <c r="D102" i="10" s="1"/>
  <c r="D56" i="10"/>
  <c r="M25" i="267"/>
  <c r="M25" i="266" s="1"/>
  <c r="F40" i="10"/>
  <c r="Z23" i="268"/>
  <c r="E53" i="10" s="1"/>
  <c r="L16" i="213"/>
  <c r="N18" i="213"/>
  <c r="O19" i="213"/>
  <c r="J16" i="213"/>
  <c r="K17" i="213"/>
  <c r="G82" i="10"/>
  <c r="J82" i="10"/>
  <c r="E82" i="10"/>
  <c r="K31" i="267"/>
  <c r="K31" i="266" s="1"/>
  <c r="D60" i="10"/>
  <c r="Y30" i="267"/>
  <c r="D32" i="10"/>
  <c r="I32" i="10" s="1"/>
  <c r="P31" i="10"/>
  <c r="F31" i="10"/>
  <c r="I31" i="10"/>
  <c r="K31" i="10"/>
  <c r="J130" i="10"/>
  <c r="J131" i="10" s="1"/>
  <c r="B29" i="227"/>
  <c r="E29" i="227" s="1"/>
  <c r="G29" i="227" s="1"/>
  <c r="B33" i="227"/>
  <c r="E33" i="227" s="1"/>
  <c r="G33" i="227" s="1"/>
  <c r="B37" i="227"/>
  <c r="E37" i="227" s="1"/>
  <c r="G37" i="227" s="1"/>
  <c r="B44" i="228"/>
  <c r="E44" i="228" s="1"/>
  <c r="G44" i="228" s="1"/>
  <c r="F265" i="228"/>
  <c r="F79" i="228"/>
  <c r="F84" i="228"/>
  <c r="F73" i="228"/>
  <c r="G77" i="10"/>
  <c r="J77" i="10"/>
  <c r="E77" i="10"/>
  <c r="C54" i="10"/>
  <c r="O24" i="267"/>
  <c r="H52" i="10"/>
  <c r="F52" i="10"/>
  <c r="J52" i="10"/>
  <c r="P52" i="10"/>
  <c r="E52" i="10"/>
  <c r="D51" i="10"/>
  <c r="Y21" i="267"/>
  <c r="E37" i="10"/>
  <c r="O37" i="10"/>
  <c r="J37" i="10"/>
  <c r="L37" i="10"/>
  <c r="G37" i="10"/>
  <c r="Z26" i="268"/>
  <c r="L56" i="10" s="1"/>
  <c r="F37" i="10"/>
  <c r="F15" i="10"/>
  <c r="G15" i="10"/>
  <c r="H15" i="10"/>
  <c r="J15" i="10"/>
  <c r="A30" i="252"/>
  <c r="B38" i="22"/>
  <c r="E38" i="22" s="1"/>
  <c r="G38" i="22" s="1"/>
  <c r="B29" i="23"/>
  <c r="E29" i="23" s="1"/>
  <c r="G29" i="23" s="1"/>
  <c r="B35" i="23"/>
  <c r="E35" i="23" s="1"/>
  <c r="G35" i="23" s="1"/>
  <c r="B38" i="23"/>
  <c r="E38" i="23" s="1"/>
  <c r="G38" i="23" s="1"/>
  <c r="B44" i="23"/>
  <c r="E44" i="23" s="1"/>
  <c r="G44" i="23" s="1"/>
  <c r="B26" i="210"/>
  <c r="E26" i="210" s="1"/>
  <c r="G26" i="210" s="1"/>
  <c r="P25" i="210"/>
  <c r="O26" i="210" s="1"/>
  <c r="D110" i="14" s="1"/>
  <c r="B34" i="210"/>
  <c r="E34" i="210" s="1"/>
  <c r="G34" i="210" s="1"/>
  <c r="B42" i="210"/>
  <c r="E42" i="210" s="1"/>
  <c r="G42" i="210" s="1"/>
  <c r="B50" i="210"/>
  <c r="E50" i="210" s="1"/>
  <c r="G50" i="210" s="1"/>
  <c r="B41" i="227"/>
  <c r="E41" i="227" s="1"/>
  <c r="G41" i="227" s="1"/>
  <c r="B70" i="227"/>
  <c r="E70" i="227" s="1"/>
  <c r="G70" i="227" s="1"/>
  <c r="B72" i="227"/>
  <c r="E72" i="227" s="1"/>
  <c r="G72" i="227" s="1"/>
  <c r="B69" i="227"/>
  <c r="E69" i="227" s="1"/>
  <c r="G69" i="227" s="1"/>
  <c r="B37" i="228"/>
  <c r="E37" i="228" s="1"/>
  <c r="G37" i="228" s="1"/>
  <c r="B33" i="229"/>
  <c r="E33" i="229" s="1"/>
  <c r="G33" i="229" s="1"/>
  <c r="B37" i="229"/>
  <c r="E37" i="229" s="1"/>
  <c r="G37" i="229" s="1"/>
  <c r="B41" i="229"/>
  <c r="E41" i="229" s="1"/>
  <c r="G41" i="229" s="1"/>
  <c r="B45" i="229"/>
  <c r="E45" i="229" s="1"/>
  <c r="G45" i="229" s="1"/>
  <c r="B49" i="229"/>
  <c r="E49" i="229" s="1"/>
  <c r="G49" i="229" s="1"/>
  <c r="N29" i="266"/>
  <c r="H77" i="10"/>
  <c r="Y29" i="267"/>
  <c r="Z31" i="267"/>
  <c r="K25" i="267"/>
  <c r="K25" i="266" s="1"/>
  <c r="K52" i="10"/>
  <c r="O28" i="268"/>
  <c r="AA28" i="268"/>
  <c r="AA28" i="267" s="1"/>
  <c r="AA28" i="266" s="1"/>
  <c r="O31" i="10"/>
  <c r="K21" i="268"/>
  <c r="K21" i="267" s="1"/>
  <c r="H31" i="10"/>
  <c r="G40" i="10"/>
  <c r="E39" i="10"/>
  <c r="O39" i="10"/>
  <c r="F39" i="10"/>
  <c r="P39" i="10"/>
  <c r="K32" i="10"/>
  <c r="Z21" i="268"/>
  <c r="Z21" i="267" s="1"/>
  <c r="P32" i="10"/>
  <c r="P15" i="10"/>
  <c r="M15" i="10"/>
  <c r="L21" i="10"/>
  <c r="K15" i="10"/>
  <c r="I15" i="10"/>
  <c r="G20" i="10"/>
  <c r="H20" i="10"/>
  <c r="I20" i="10"/>
  <c r="J20" i="10"/>
  <c r="P20" i="10"/>
  <c r="F20" i="10"/>
  <c r="K20" i="10"/>
  <c r="I134" i="10" s="1"/>
  <c r="N18" i="10"/>
  <c r="P18" i="10"/>
  <c r="I18" i="10"/>
  <c r="K18" i="10"/>
  <c r="H18" i="10"/>
  <c r="J18" i="10"/>
  <c r="L18" i="10"/>
  <c r="M18" i="10"/>
  <c r="O18" i="10"/>
  <c r="P19" i="14"/>
  <c r="J25" i="17"/>
  <c r="B36" i="22"/>
  <c r="E36" i="22" s="1"/>
  <c r="G36" i="22" s="1"/>
  <c r="B44" i="22"/>
  <c r="E44" i="22" s="1"/>
  <c r="G44" i="22" s="1"/>
  <c r="B51" i="22"/>
  <c r="E51" i="22" s="1"/>
  <c r="G51" i="22" s="1"/>
  <c r="B33" i="23"/>
  <c r="E33" i="23" s="1"/>
  <c r="G33" i="23" s="1"/>
  <c r="B47" i="23"/>
  <c r="E47" i="23" s="1"/>
  <c r="G47" i="23" s="1"/>
  <c r="B50" i="23"/>
  <c r="E50" i="23" s="1"/>
  <c r="G50" i="23" s="1"/>
  <c r="B37" i="210"/>
  <c r="E37" i="210" s="1"/>
  <c r="G37" i="210" s="1"/>
  <c r="B45" i="210"/>
  <c r="E45" i="210" s="1"/>
  <c r="G45" i="210" s="1"/>
  <c r="B30" i="227"/>
  <c r="E30" i="227" s="1"/>
  <c r="G30" i="227" s="1"/>
  <c r="B34" i="227"/>
  <c r="E34" i="227" s="1"/>
  <c r="G34" i="227" s="1"/>
  <c r="B28" i="228"/>
  <c r="E28" i="228" s="1"/>
  <c r="G28" i="228" s="1"/>
  <c r="B31" i="228"/>
  <c r="E31" i="228" s="1"/>
  <c r="G31" i="228" s="1"/>
  <c r="B34" i="228"/>
  <c r="E34" i="228" s="1"/>
  <c r="G34" i="228" s="1"/>
  <c r="Z27" i="266"/>
  <c r="Y20" i="267"/>
  <c r="D81" i="10"/>
  <c r="O53" i="10"/>
  <c r="L26" i="267"/>
  <c r="L26" i="266" s="1"/>
  <c r="K24" i="267"/>
  <c r="K24" i="266" s="1"/>
  <c r="L57" i="10"/>
  <c r="J27" i="267"/>
  <c r="F57" i="10"/>
  <c r="J57" i="10"/>
  <c r="P37" i="10"/>
  <c r="O40" i="10"/>
  <c r="N31" i="10"/>
  <c r="N53" i="10"/>
  <c r="M31" i="10"/>
  <c r="K20" i="268"/>
  <c r="K20" i="267" s="1"/>
  <c r="L40" i="10"/>
  <c r="L31" i="10"/>
  <c r="J31" i="10"/>
  <c r="F36" i="10"/>
  <c r="D58" i="10"/>
  <c r="Y28" i="267"/>
  <c r="J41" i="10"/>
  <c r="L41" i="10"/>
  <c r="G41" i="10"/>
  <c r="N41" i="10"/>
  <c r="O41" i="10"/>
  <c r="C44" i="217"/>
  <c r="C47" i="217"/>
  <c r="E52" i="29"/>
  <c r="E43" i="29" s="1"/>
  <c r="E47" i="29" s="1"/>
  <c r="C45" i="217"/>
  <c r="C42" i="217"/>
  <c r="C43" i="217"/>
  <c r="C46" i="217"/>
  <c r="X24" i="4"/>
  <c r="T15" i="10" s="1"/>
  <c r="S15" i="10" s="1"/>
  <c r="X25" i="4"/>
  <c r="T16" i="10" s="1"/>
  <c r="S16" i="10" s="1"/>
  <c r="X26" i="4"/>
  <c r="T17" i="10" s="1"/>
  <c r="S17" i="10" s="1"/>
  <c r="D116" i="16"/>
  <c r="F52" i="276"/>
  <c r="D27" i="17"/>
  <c r="D31" i="17"/>
  <c r="D33" i="17"/>
  <c r="K33" i="17" s="1"/>
  <c r="J34" i="17" s="1"/>
  <c r="H34" i="17" s="1"/>
  <c r="I34" i="17" s="1"/>
  <c r="D46" i="17"/>
  <c r="E46" i="17" s="1"/>
  <c r="I74" i="18"/>
  <c r="N74" i="18" s="1"/>
  <c r="B30" i="22"/>
  <c r="E30" i="22" s="1"/>
  <c r="G30" i="22" s="1"/>
  <c r="B33" i="22"/>
  <c r="E33" i="22" s="1"/>
  <c r="G33" i="22" s="1"/>
  <c r="B65" i="22"/>
  <c r="E65" i="22" s="1"/>
  <c r="G65" i="22" s="1"/>
  <c r="B30" i="23"/>
  <c r="E30" i="23" s="1"/>
  <c r="G30" i="23" s="1"/>
  <c r="B36" i="23"/>
  <c r="E36" i="23" s="1"/>
  <c r="G36" i="23" s="1"/>
  <c r="B32" i="210"/>
  <c r="E32" i="210" s="1"/>
  <c r="G32" i="210" s="1"/>
  <c r="B40" i="210"/>
  <c r="E40" i="210" s="1"/>
  <c r="G40" i="210" s="1"/>
  <c r="B48" i="210"/>
  <c r="E48" i="210" s="1"/>
  <c r="G48" i="210" s="1"/>
  <c r="F264" i="210"/>
  <c r="F253" i="210"/>
  <c r="F221" i="210"/>
  <c r="F189" i="210"/>
  <c r="F261" i="210"/>
  <c r="F79" i="210"/>
  <c r="F95" i="210"/>
  <c r="F130" i="210"/>
  <c r="F137" i="210"/>
  <c r="F165" i="210"/>
  <c r="F201" i="210"/>
  <c r="F237" i="210"/>
  <c r="B27" i="227"/>
  <c r="E27" i="227" s="1"/>
  <c r="G27" i="227" s="1"/>
  <c r="B47" i="227"/>
  <c r="E47" i="227" s="1"/>
  <c r="G47" i="227" s="1"/>
  <c r="B26" i="228"/>
  <c r="E26" i="228" s="1"/>
  <c r="G26" i="228" s="1"/>
  <c r="P25" i="228"/>
  <c r="O26" i="228" s="1"/>
  <c r="B62" i="228"/>
  <c r="E62" i="228" s="1"/>
  <c r="G62" i="228" s="1"/>
  <c r="B28" i="229"/>
  <c r="E28" i="229" s="1"/>
  <c r="G28" i="229" s="1"/>
  <c r="B34" i="229"/>
  <c r="E34" i="229" s="1"/>
  <c r="G34" i="229" s="1"/>
  <c r="B38" i="229"/>
  <c r="E38" i="229" s="1"/>
  <c r="G38" i="229" s="1"/>
  <c r="B42" i="229"/>
  <c r="E42" i="229" s="1"/>
  <c r="G42" i="229" s="1"/>
  <c r="B46" i="229"/>
  <c r="E46" i="229" s="1"/>
  <c r="G46" i="229" s="1"/>
  <c r="B50" i="229"/>
  <c r="E50" i="229" s="1"/>
  <c r="G50" i="229" s="1"/>
  <c r="B73" i="229"/>
  <c r="E73" i="229" s="1"/>
  <c r="G73" i="229" s="1"/>
  <c r="L27" i="267"/>
  <c r="Z20" i="267"/>
  <c r="N23" i="266"/>
  <c r="O52" i="10"/>
  <c r="M22" i="267"/>
  <c r="L25" i="267"/>
  <c r="L25" i="266" s="1"/>
  <c r="K23" i="267"/>
  <c r="F20" i="268"/>
  <c r="F20" i="267" s="1"/>
  <c r="F20" i="266" s="1"/>
  <c r="P18" i="268"/>
  <c r="Y25" i="268"/>
  <c r="N28" i="266"/>
  <c r="N52" i="10"/>
  <c r="M57" i="10"/>
  <c r="H37" i="10"/>
  <c r="F26" i="268"/>
  <c r="F26" i="267" s="1"/>
  <c r="F26" i="266" s="1"/>
  <c r="G39" i="10"/>
  <c r="E40" i="10"/>
  <c r="P21" i="10"/>
  <c r="N132" i="10" s="1"/>
  <c r="N133" i="10" s="1"/>
  <c r="D130" i="10"/>
  <c r="B26" i="227"/>
  <c r="E26" i="227" s="1"/>
  <c r="G26" i="227" s="1"/>
  <c r="P25" i="227"/>
  <c r="O26" i="227" s="1"/>
  <c r="B33" i="228"/>
  <c r="E33" i="228" s="1"/>
  <c r="G33" i="228" s="1"/>
  <c r="B42" i="228"/>
  <c r="E42" i="228" s="1"/>
  <c r="G42" i="228" s="1"/>
  <c r="P25" i="229"/>
  <c r="O26" i="229" s="1"/>
  <c r="B62" i="229"/>
  <c r="E62" i="229" s="1"/>
  <c r="G62" i="229" s="1"/>
  <c r="O23" i="1"/>
  <c r="G57" i="10"/>
  <c r="M41" i="10"/>
  <c r="H32" i="10"/>
  <c r="I44" i="213"/>
  <c r="C57" i="217"/>
  <c r="G42" i="213"/>
  <c r="G47" i="213" s="1"/>
  <c r="B61" i="227"/>
  <c r="E61" i="227" s="1"/>
  <c r="G61" i="227" s="1"/>
  <c r="B32" i="228"/>
  <c r="E32" i="228" s="1"/>
  <c r="G32" i="228" s="1"/>
  <c r="B27" i="229"/>
  <c r="E27" i="229" s="1"/>
  <c r="G27" i="229" s="1"/>
  <c r="B35" i="229"/>
  <c r="E35" i="229" s="1"/>
  <c r="G35" i="229" s="1"/>
  <c r="B39" i="229"/>
  <c r="E39" i="229" s="1"/>
  <c r="G39" i="229" s="1"/>
  <c r="B43" i="229"/>
  <c r="E43" i="229" s="1"/>
  <c r="G43" i="229" s="1"/>
  <c r="B47" i="229"/>
  <c r="E47" i="229" s="1"/>
  <c r="G47" i="229" s="1"/>
  <c r="O57" i="10"/>
  <c r="B155" i="10"/>
  <c r="B159" i="10" s="1"/>
  <c r="M40" i="10"/>
  <c r="M36" i="10"/>
  <c r="J39" i="10"/>
  <c r="H39" i="10"/>
  <c r="B143" i="10"/>
  <c r="B147" i="10" s="1"/>
  <c r="C58" i="217"/>
  <c r="B35" i="228"/>
  <c r="E35" i="228" s="1"/>
  <c r="G35" i="228" s="1"/>
  <c r="B41" i="228"/>
  <c r="E41" i="228" s="1"/>
  <c r="G41" i="228" s="1"/>
  <c r="B45" i="228"/>
  <c r="E45" i="228" s="1"/>
  <c r="G45" i="228" s="1"/>
  <c r="B61" i="228"/>
  <c r="E61" i="228" s="1"/>
  <c r="G61" i="228" s="1"/>
  <c r="B66" i="228"/>
  <c r="E66" i="228" s="1"/>
  <c r="G66" i="228" s="1"/>
  <c r="B32" i="229"/>
  <c r="E32" i="229" s="1"/>
  <c r="G32" i="229" s="1"/>
  <c r="J31" i="267"/>
  <c r="J31" i="266" s="1"/>
  <c r="Z24" i="267"/>
  <c r="Z24" i="266" s="1"/>
  <c r="P40" i="10"/>
  <c r="M39" i="10"/>
  <c r="H34" i="10"/>
  <c r="E41" i="10"/>
  <c r="R18" i="213"/>
  <c r="O12" i="10"/>
  <c r="O23" i="10" s="1"/>
  <c r="M12" i="10"/>
  <c r="L19" i="213"/>
  <c r="J17" i="10"/>
  <c r="J18" i="213"/>
  <c r="H17" i="10"/>
  <c r="F16" i="10"/>
  <c r="Q16" i="10" s="1"/>
  <c r="R16" i="10" s="1"/>
  <c r="A158" i="38"/>
  <c r="D156" i="38" s="1"/>
  <c r="C55" i="217"/>
  <c r="B28" i="227"/>
  <c r="E28" i="227" s="1"/>
  <c r="G28" i="227" s="1"/>
  <c r="B32" i="227"/>
  <c r="E32" i="227" s="1"/>
  <c r="G32" i="227" s="1"/>
  <c r="B36" i="227"/>
  <c r="E36" i="227" s="1"/>
  <c r="G36" i="227" s="1"/>
  <c r="B49" i="227"/>
  <c r="E49" i="227" s="1"/>
  <c r="G49" i="227" s="1"/>
  <c r="B30" i="228"/>
  <c r="E30" i="228" s="1"/>
  <c r="G30" i="228" s="1"/>
  <c r="B38" i="228"/>
  <c r="E38" i="228" s="1"/>
  <c r="G38" i="228" s="1"/>
  <c r="B48" i="228"/>
  <c r="E48" i="228" s="1"/>
  <c r="G48" i="228" s="1"/>
  <c r="B36" i="229"/>
  <c r="E36" i="229" s="1"/>
  <c r="G36" i="229" s="1"/>
  <c r="B40" i="229"/>
  <c r="E40" i="229" s="1"/>
  <c r="G40" i="229" s="1"/>
  <c r="B44" i="229"/>
  <c r="E44" i="229" s="1"/>
  <c r="G44" i="229" s="1"/>
  <c r="B48" i="229"/>
  <c r="E48" i="229" s="1"/>
  <c r="G48" i="229" s="1"/>
  <c r="O26" i="267"/>
  <c r="B153" i="10"/>
  <c r="B157" i="10" s="1"/>
  <c r="O31" i="268"/>
  <c r="H41" i="10"/>
  <c r="E38" i="10"/>
  <c r="C14" i="262"/>
  <c r="D12" i="271"/>
  <c r="E12" i="215"/>
  <c r="F12" i="215" s="1"/>
  <c r="G12" i="215" s="1"/>
  <c r="H12" i="215" s="1"/>
  <c r="I12" i="215" s="1"/>
  <c r="J12" i="215" s="1"/>
  <c r="K12" i="215" s="1"/>
  <c r="L12" i="215" s="1"/>
  <c r="M12" i="215" s="1"/>
  <c r="N12" i="215" s="1"/>
  <c r="O12" i="215" s="1"/>
  <c r="I57" i="18"/>
  <c r="H57" i="18" s="1"/>
  <c r="I55" i="18"/>
  <c r="H55" i="18" s="1"/>
  <c r="M55" i="18" s="1"/>
  <c r="I61" i="18"/>
  <c r="H61" i="18" s="1"/>
  <c r="I55" i="19"/>
  <c r="H55" i="19" s="1"/>
  <c r="M55" i="19" s="1"/>
  <c r="I69" i="18"/>
  <c r="H69" i="18" s="1"/>
  <c r="I60" i="18"/>
  <c r="H60" i="18" s="1"/>
  <c r="M60" i="18" s="1"/>
  <c r="I72" i="18"/>
  <c r="H72" i="18" s="1"/>
  <c r="B26" i="20"/>
  <c r="E26" i="20" s="1"/>
  <c r="G26" i="20" s="1"/>
  <c r="P25" i="20"/>
  <c r="O26" i="20" s="1"/>
  <c r="G138" i="38"/>
  <c r="F24" i="215" s="1"/>
  <c r="O138" i="38"/>
  <c r="D24" i="271" s="1"/>
  <c r="C21" i="249" s="1"/>
  <c r="O21" i="249" s="1"/>
  <c r="F27" i="20"/>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A43" i="220"/>
  <c r="G27" i="213"/>
  <c r="B30" i="38"/>
  <c r="A40" i="16"/>
  <c r="A40" i="221" s="1"/>
  <c r="A48" i="14"/>
  <c r="B39" i="231" s="1"/>
  <c r="C97" i="219"/>
  <c r="A124" i="253"/>
  <c r="C29" i="29"/>
  <c r="A30" i="265"/>
  <c r="A30" i="219"/>
  <c r="A30" i="233" s="1"/>
  <c r="A30" i="234" s="1"/>
  <c r="A30" i="235" s="1"/>
  <c r="A72" i="236"/>
  <c r="A56" i="264"/>
  <c r="A80" i="217"/>
  <c r="A58" i="236"/>
  <c r="A30" i="214"/>
  <c r="A27" i="262" s="1"/>
  <c r="C27" i="262" s="1"/>
  <c r="A34" i="264"/>
  <c r="A67" i="262"/>
  <c r="A69" i="217"/>
  <c r="A23" i="264"/>
  <c r="A78" i="265"/>
  <c r="F36" i="31"/>
  <c r="F54" i="31" s="1"/>
  <c r="C20" i="38"/>
  <c r="B83" i="2"/>
  <c r="A42" i="276"/>
  <c r="G84" i="214"/>
  <c r="G40" i="213"/>
  <c r="B20" i="269"/>
  <c r="B20" i="268" s="1"/>
  <c r="B50" i="10" s="1"/>
  <c r="B29" i="269"/>
  <c r="A40" i="220"/>
  <c r="A42" i="16"/>
  <c r="A42" i="221" s="1"/>
  <c r="A45" i="263"/>
  <c r="A58" i="217"/>
  <c r="A73" i="217"/>
  <c r="C73" i="217" s="1"/>
  <c r="A52" i="264"/>
  <c r="A67" i="263"/>
  <c r="A56" i="262"/>
  <c r="A56" i="263"/>
  <c r="A45" i="262"/>
  <c r="F20" i="38"/>
  <c r="G66" i="213"/>
  <c r="C68" i="29"/>
  <c r="A16" i="214"/>
  <c r="A16" i="236" s="1"/>
  <c r="F72" i="31"/>
  <c r="L25" i="9"/>
  <c r="D97" i="218"/>
  <c r="G30" i="231"/>
  <c r="C16" i="239"/>
  <c r="E16" i="216"/>
  <c r="B58" i="10"/>
  <c r="B69" i="225"/>
  <c r="B21" i="268"/>
  <c r="A25" i="215"/>
  <c r="A25" i="272"/>
  <c r="A47" i="253"/>
  <c r="A19" i="263"/>
  <c r="G42" i="214"/>
  <c r="D20" i="38"/>
  <c r="A18" i="270"/>
  <c r="A18" i="271" s="1"/>
  <c r="A18" i="272" s="1"/>
  <c r="A18" i="273" s="1"/>
  <c r="A49" i="262"/>
  <c r="A51" i="217"/>
  <c r="C51" i="217" s="1"/>
  <c r="B67" i="225"/>
  <c r="B68" i="225"/>
  <c r="A73" i="263"/>
  <c r="G53" i="213"/>
  <c r="B86" i="231"/>
  <c r="B87" i="231"/>
  <c r="E20" i="38"/>
  <c r="G14" i="213"/>
  <c r="A32" i="219"/>
  <c r="A32" i="233" s="1"/>
  <c r="A32" i="234" s="1"/>
  <c r="A32" i="235" s="1"/>
  <c r="B27" i="268"/>
  <c r="B57" i="10" s="1"/>
  <c r="A31" i="1"/>
  <c r="A31" i="253"/>
  <c r="A31" i="252"/>
  <c r="A18" i="262"/>
  <c r="A63" i="265"/>
  <c r="A30" i="262"/>
  <c r="A41" i="263"/>
  <c r="A19" i="265"/>
  <c r="A63" i="264"/>
  <c r="A41" i="262"/>
  <c r="A41" i="264"/>
  <c r="A43" i="217"/>
  <c r="A76" i="217"/>
  <c r="A63" i="263"/>
  <c r="A74" i="264"/>
  <c r="A74" i="263"/>
  <c r="A19" i="264"/>
  <c r="A65" i="217"/>
  <c r="A52" i="263"/>
  <c r="A54" i="217"/>
  <c r="A52" i="262"/>
  <c r="A74" i="262"/>
  <c r="A33" i="14"/>
  <c r="A74" i="265"/>
  <c r="A63" i="262"/>
  <c r="A32" i="217"/>
  <c r="A38" i="264"/>
  <c r="A30" i="264"/>
  <c r="A29" i="265"/>
  <c r="A52" i="265"/>
  <c r="A75" i="217"/>
  <c r="A53" i="217"/>
  <c r="A40" i="265"/>
  <c r="A73" i="262"/>
  <c r="A18" i="265"/>
  <c r="A51" i="262"/>
  <c r="A40" i="264"/>
  <c r="A51" i="265"/>
  <c r="A29" i="263"/>
  <c r="A62" i="263"/>
  <c r="A29" i="264"/>
  <c r="A62" i="262"/>
  <c r="A51" i="264"/>
  <c r="A29" i="262"/>
  <c r="A73" i="264"/>
  <c r="A64" i="217"/>
  <c r="A51" i="263"/>
  <c r="A62" i="264"/>
  <c r="A40" i="262"/>
  <c r="A42" i="217"/>
  <c r="A73" i="265"/>
  <c r="A18" i="264"/>
  <c r="L31" i="9"/>
  <c r="B32" i="38"/>
  <c r="B38" i="225"/>
  <c r="A47" i="252"/>
  <c r="A41" i="14"/>
  <c r="A160" i="38"/>
  <c r="F156" i="38" s="1"/>
  <c r="A35" i="16"/>
  <c r="A35" i="221" s="1"/>
  <c r="A18" i="219"/>
  <c r="A18" i="233" s="1"/>
  <c r="A18" i="234" s="1"/>
  <c r="A18" i="235" s="1"/>
  <c r="A35" i="276"/>
  <c r="A47" i="249"/>
  <c r="A18" i="263"/>
  <c r="A31" i="217"/>
  <c r="A41" i="265"/>
  <c r="C55" i="216"/>
  <c r="E55" i="216" s="1"/>
  <c r="A40" i="263"/>
  <c r="A19" i="262"/>
  <c r="A71" i="263"/>
  <c r="A71" i="264" s="1"/>
  <c r="C71" i="262"/>
  <c r="A43" i="16"/>
  <c r="A43" i="221" s="1"/>
  <c r="C38" i="262"/>
  <c r="C81" i="29"/>
  <c r="C81" i="216" s="1"/>
  <c r="G79" i="213"/>
  <c r="A86" i="236"/>
  <c r="A44" i="236"/>
  <c r="A40" i="217"/>
  <c r="C40" i="217" s="1"/>
  <c r="J73" i="216"/>
  <c r="A43" i="276"/>
  <c r="B30" i="3"/>
  <c r="G20" i="38"/>
  <c r="B31" i="38"/>
  <c r="M47" i="216"/>
  <c r="B86" i="2"/>
  <c r="C42" i="29"/>
  <c r="B27" i="267"/>
  <c r="I67" i="19"/>
  <c r="H67" i="19" s="1"/>
  <c r="I62" i="19"/>
  <c r="H62" i="19" s="1"/>
  <c r="N60" i="19"/>
  <c r="M60" i="19"/>
  <c r="E37" i="17"/>
  <c r="J38" i="17"/>
  <c r="H72" i="17"/>
  <c r="I72" i="17" s="1"/>
  <c r="B52" i="23"/>
  <c r="E52" i="23" s="1"/>
  <c r="G52" i="23" s="1"/>
  <c r="B60" i="23"/>
  <c r="E60" i="23" s="1"/>
  <c r="G60" i="23" s="1"/>
  <c r="B61" i="23"/>
  <c r="E61" i="23" s="1"/>
  <c r="G61" i="23" s="1"/>
  <c r="B59" i="23"/>
  <c r="E59" i="23" s="1"/>
  <c r="G59" i="23" s="1"/>
  <c r="B53" i="23"/>
  <c r="E53" i="23" s="1"/>
  <c r="G53" i="23" s="1"/>
  <c r="A36" i="249"/>
  <c r="H52" i="17"/>
  <c r="I52" i="17" s="1"/>
  <c r="J52" i="17"/>
  <c r="D56" i="17"/>
  <c r="D64" i="17"/>
  <c r="D72" i="17"/>
  <c r="B65" i="210"/>
  <c r="E65" i="210" s="1"/>
  <c r="G65" i="210" s="1"/>
  <c r="B69" i="210"/>
  <c r="E69" i="210" s="1"/>
  <c r="G69" i="210" s="1"/>
  <c r="B66" i="210"/>
  <c r="E66" i="210" s="1"/>
  <c r="G66" i="210" s="1"/>
  <c r="B70" i="210"/>
  <c r="E70" i="210" s="1"/>
  <c r="G70" i="210" s="1"/>
  <c r="B50" i="227"/>
  <c r="E50" i="227" s="1"/>
  <c r="G50" i="227" s="1"/>
  <c r="B51" i="227"/>
  <c r="E51" i="227" s="1"/>
  <c r="G51" i="227" s="1"/>
  <c r="B51" i="228"/>
  <c r="E51" i="228" s="1"/>
  <c r="G51" i="228" s="1"/>
  <c r="B50" i="228"/>
  <c r="E50" i="228" s="1"/>
  <c r="G50" i="228" s="1"/>
  <c r="A36" i="252"/>
  <c r="B72" i="210"/>
  <c r="E72" i="210" s="1"/>
  <c r="G72" i="210" s="1"/>
  <c r="B64" i="210"/>
  <c r="E64" i="210" s="1"/>
  <c r="G64" i="210" s="1"/>
  <c r="D52" i="17"/>
  <c r="H68" i="17"/>
  <c r="I68" i="17" s="1"/>
  <c r="B26" i="21"/>
  <c r="E26" i="21" s="1"/>
  <c r="G26" i="21" s="1"/>
  <c r="B197" i="227"/>
  <c r="E197" i="227" s="1"/>
  <c r="G197" i="227" s="1"/>
  <c r="B83" i="227"/>
  <c r="E83" i="227" s="1"/>
  <c r="G83" i="227" s="1"/>
  <c r="B99" i="227"/>
  <c r="E99" i="227" s="1"/>
  <c r="G99" i="227" s="1"/>
  <c r="B115" i="227"/>
  <c r="E115" i="227" s="1"/>
  <c r="G115" i="227" s="1"/>
  <c r="B131" i="227"/>
  <c r="E131" i="227" s="1"/>
  <c r="G131" i="227" s="1"/>
  <c r="B147" i="227"/>
  <c r="E147" i="227" s="1"/>
  <c r="G147" i="227" s="1"/>
  <c r="B163" i="227"/>
  <c r="E163" i="227" s="1"/>
  <c r="G163" i="227" s="1"/>
  <c r="B261" i="227"/>
  <c r="E261" i="227" s="1"/>
  <c r="G261" i="227" s="1"/>
  <c r="B245" i="227"/>
  <c r="E245" i="227" s="1"/>
  <c r="G245" i="227" s="1"/>
  <c r="B259" i="227"/>
  <c r="E259" i="227" s="1"/>
  <c r="G259" i="227" s="1"/>
  <c r="B243" i="227"/>
  <c r="E243" i="227" s="1"/>
  <c r="G243" i="227" s="1"/>
  <c r="B227" i="227"/>
  <c r="E227" i="227" s="1"/>
  <c r="G227" i="227" s="1"/>
  <c r="B211" i="227"/>
  <c r="E211" i="227" s="1"/>
  <c r="G211" i="227" s="1"/>
  <c r="B195" i="227"/>
  <c r="E195" i="227" s="1"/>
  <c r="G195" i="227" s="1"/>
  <c r="B179" i="227"/>
  <c r="E179" i="227" s="1"/>
  <c r="G179" i="227" s="1"/>
  <c r="B234" i="227"/>
  <c r="E234" i="227" s="1"/>
  <c r="G234" i="227" s="1"/>
  <c r="B226" i="227"/>
  <c r="E226" i="227" s="1"/>
  <c r="G226" i="227" s="1"/>
  <c r="B218" i="227"/>
  <c r="E218" i="227" s="1"/>
  <c r="G218" i="227" s="1"/>
  <c r="B210" i="227"/>
  <c r="E210" i="227" s="1"/>
  <c r="G210" i="227" s="1"/>
  <c r="B202" i="227"/>
  <c r="E202" i="227" s="1"/>
  <c r="G202" i="227" s="1"/>
  <c r="B194" i="227"/>
  <c r="E194" i="227" s="1"/>
  <c r="G194" i="227" s="1"/>
  <c r="B186" i="227"/>
  <c r="E186" i="227" s="1"/>
  <c r="G186" i="227" s="1"/>
  <c r="B178" i="227"/>
  <c r="E178" i="227" s="1"/>
  <c r="G178" i="227" s="1"/>
  <c r="B170" i="227"/>
  <c r="E170" i="227" s="1"/>
  <c r="G170" i="227" s="1"/>
  <c r="B156" i="227"/>
  <c r="E156" i="227" s="1"/>
  <c r="G156" i="227" s="1"/>
  <c r="B140" i="227"/>
  <c r="E140" i="227" s="1"/>
  <c r="G140" i="227" s="1"/>
  <c r="B124" i="227"/>
  <c r="E124" i="227" s="1"/>
  <c r="G124" i="227" s="1"/>
  <c r="B108" i="227"/>
  <c r="E108" i="227" s="1"/>
  <c r="G108" i="227" s="1"/>
  <c r="B92" i="227"/>
  <c r="E92" i="227" s="1"/>
  <c r="G92" i="227" s="1"/>
  <c r="B76" i="227"/>
  <c r="E76" i="227" s="1"/>
  <c r="G76" i="227" s="1"/>
  <c r="B154" i="227"/>
  <c r="E154" i="227" s="1"/>
  <c r="G154" i="227" s="1"/>
  <c r="B138" i="227"/>
  <c r="E138" i="227" s="1"/>
  <c r="G138" i="227" s="1"/>
  <c r="B122" i="227"/>
  <c r="E122" i="227" s="1"/>
  <c r="G122" i="227" s="1"/>
  <c r="B106" i="227"/>
  <c r="E106" i="227" s="1"/>
  <c r="G106" i="227" s="1"/>
  <c r="B90" i="227"/>
  <c r="E90" i="227" s="1"/>
  <c r="G90" i="227" s="1"/>
  <c r="B74" i="227"/>
  <c r="E74" i="227" s="1"/>
  <c r="G74" i="227" s="1"/>
  <c r="B89" i="227"/>
  <c r="E89" i="227" s="1"/>
  <c r="G89" i="227" s="1"/>
  <c r="B105" i="227"/>
  <c r="E105" i="227" s="1"/>
  <c r="G105" i="227" s="1"/>
  <c r="B121" i="227"/>
  <c r="E121" i="227" s="1"/>
  <c r="G121" i="227" s="1"/>
  <c r="B137" i="227"/>
  <c r="E137" i="227" s="1"/>
  <c r="G137" i="227" s="1"/>
  <c r="B153" i="227"/>
  <c r="E153" i="227" s="1"/>
  <c r="G153" i="227" s="1"/>
  <c r="B238" i="227"/>
  <c r="E238" i="227" s="1"/>
  <c r="G238" i="227" s="1"/>
  <c r="B246" i="227"/>
  <c r="E246" i="227" s="1"/>
  <c r="G246" i="227" s="1"/>
  <c r="B254" i="227"/>
  <c r="E254" i="227" s="1"/>
  <c r="G254" i="227" s="1"/>
  <c r="B209" i="227"/>
  <c r="E209" i="227" s="1"/>
  <c r="G209" i="227" s="1"/>
  <c r="B87" i="227"/>
  <c r="E87" i="227" s="1"/>
  <c r="G87" i="227" s="1"/>
  <c r="B103" i="227"/>
  <c r="E103" i="227" s="1"/>
  <c r="G103" i="227" s="1"/>
  <c r="B119" i="227"/>
  <c r="E119" i="227" s="1"/>
  <c r="G119" i="227" s="1"/>
  <c r="B135" i="227"/>
  <c r="E135" i="227" s="1"/>
  <c r="G135" i="227" s="1"/>
  <c r="B151" i="227"/>
  <c r="E151" i="227" s="1"/>
  <c r="G151" i="227" s="1"/>
  <c r="B257" i="227"/>
  <c r="E257" i="227" s="1"/>
  <c r="G257" i="227" s="1"/>
  <c r="B241" i="227"/>
  <c r="E241" i="227" s="1"/>
  <c r="G241" i="227" s="1"/>
  <c r="B255" i="227"/>
  <c r="E255" i="227" s="1"/>
  <c r="G255" i="227" s="1"/>
  <c r="B239" i="227"/>
  <c r="E239" i="227" s="1"/>
  <c r="G239" i="227" s="1"/>
  <c r="B223" i="227"/>
  <c r="E223" i="227" s="1"/>
  <c r="G223" i="227" s="1"/>
  <c r="B207" i="227"/>
  <c r="E207" i="227" s="1"/>
  <c r="G207" i="227" s="1"/>
  <c r="B191" i="227"/>
  <c r="E191" i="227" s="1"/>
  <c r="G191" i="227" s="1"/>
  <c r="B175" i="227"/>
  <c r="E175" i="227" s="1"/>
  <c r="G175" i="227" s="1"/>
  <c r="B232" i="227"/>
  <c r="E232" i="227" s="1"/>
  <c r="G232" i="227" s="1"/>
  <c r="B224" i="227"/>
  <c r="E224" i="227" s="1"/>
  <c r="G224" i="227" s="1"/>
  <c r="B216" i="227"/>
  <c r="E216" i="227" s="1"/>
  <c r="G216" i="227" s="1"/>
  <c r="B208" i="227"/>
  <c r="E208" i="227" s="1"/>
  <c r="G208" i="227" s="1"/>
  <c r="B200" i="227"/>
  <c r="E200" i="227" s="1"/>
  <c r="G200" i="227" s="1"/>
  <c r="B192" i="227"/>
  <c r="E192" i="227" s="1"/>
  <c r="G192" i="227" s="1"/>
  <c r="B184" i="227"/>
  <c r="E184" i="227" s="1"/>
  <c r="G184" i="227" s="1"/>
  <c r="B176" i="227"/>
  <c r="E176" i="227" s="1"/>
  <c r="G176" i="227" s="1"/>
  <c r="B168" i="227"/>
  <c r="E168" i="227" s="1"/>
  <c r="G168" i="227" s="1"/>
  <c r="B152" i="227"/>
  <c r="E152" i="227" s="1"/>
  <c r="G152" i="227" s="1"/>
  <c r="B136" i="227"/>
  <c r="E136" i="227" s="1"/>
  <c r="G136" i="227" s="1"/>
  <c r="B120" i="227"/>
  <c r="E120" i="227" s="1"/>
  <c r="G120" i="227" s="1"/>
  <c r="B104" i="227"/>
  <c r="E104" i="227" s="1"/>
  <c r="G104" i="227" s="1"/>
  <c r="B88" i="227"/>
  <c r="E88" i="227" s="1"/>
  <c r="G88" i="227" s="1"/>
  <c r="B166" i="227"/>
  <c r="E166" i="227" s="1"/>
  <c r="G166" i="227" s="1"/>
  <c r="B150" i="227"/>
  <c r="E150" i="227" s="1"/>
  <c r="G150" i="227" s="1"/>
  <c r="B134" i="227"/>
  <c r="E134" i="227" s="1"/>
  <c r="G134" i="227" s="1"/>
  <c r="B118" i="227"/>
  <c r="E118" i="227" s="1"/>
  <c r="G118" i="227" s="1"/>
  <c r="B102" i="227"/>
  <c r="E102" i="227" s="1"/>
  <c r="G102" i="227" s="1"/>
  <c r="B86" i="227"/>
  <c r="E86" i="227" s="1"/>
  <c r="G86" i="227" s="1"/>
  <c r="B77" i="227"/>
  <c r="E77" i="227" s="1"/>
  <c r="G77" i="227" s="1"/>
  <c r="B93" i="227"/>
  <c r="E93" i="227" s="1"/>
  <c r="G93" i="227" s="1"/>
  <c r="B109" i="227"/>
  <c r="E109" i="227" s="1"/>
  <c r="G109" i="227" s="1"/>
  <c r="B125" i="227"/>
  <c r="E125" i="227" s="1"/>
  <c r="G125" i="227" s="1"/>
  <c r="B141" i="227"/>
  <c r="E141" i="227" s="1"/>
  <c r="G141" i="227" s="1"/>
  <c r="B157" i="227"/>
  <c r="E157" i="227" s="1"/>
  <c r="G157" i="227" s="1"/>
  <c r="B240" i="227"/>
  <c r="E240" i="227" s="1"/>
  <c r="G240" i="227" s="1"/>
  <c r="B248" i="227"/>
  <c r="E248" i="227" s="1"/>
  <c r="G248" i="227" s="1"/>
  <c r="B177" i="227"/>
  <c r="E177" i="227" s="1"/>
  <c r="G177" i="227" s="1"/>
  <c r="H57" i="7"/>
  <c r="P135" i="14"/>
  <c r="AB197" i="38"/>
  <c r="H56" i="17"/>
  <c r="I56" i="17" s="1"/>
  <c r="J56" i="17"/>
  <c r="H64" i="17"/>
  <c r="I64" i="17" s="1"/>
  <c r="B25" i="232"/>
  <c r="B55" i="23"/>
  <c r="E55" i="23" s="1"/>
  <c r="G55" i="23" s="1"/>
  <c r="A31" i="249"/>
  <c r="A36" i="253"/>
  <c r="B25" i="3"/>
  <c r="B71" i="210"/>
  <c r="E71" i="210" s="1"/>
  <c r="G71" i="210" s="1"/>
  <c r="B57" i="23"/>
  <c r="E57" i="23" s="1"/>
  <c r="G57" i="23" s="1"/>
  <c r="I56" i="18"/>
  <c r="H56" i="18" s="1"/>
  <c r="N56" i="18" s="1"/>
  <c r="B26" i="3"/>
  <c r="H38" i="17"/>
  <c r="I38" i="17" s="1"/>
  <c r="H41" i="17"/>
  <c r="I41" i="17" s="1"/>
  <c r="J41" i="17"/>
  <c r="J44" i="17"/>
  <c r="D44" i="17"/>
  <c r="E44" i="17" s="1"/>
  <c r="H44" i="17"/>
  <c r="I44" i="17" s="1"/>
  <c r="H60" i="17"/>
  <c r="I60" i="17" s="1"/>
  <c r="J60" i="17"/>
  <c r="D68" i="17"/>
  <c r="I66" i="18"/>
  <c r="H66" i="18" s="1"/>
  <c r="I59" i="18"/>
  <c r="H59" i="18" s="1"/>
  <c r="M59" i="18" s="1"/>
  <c r="D45" i="17"/>
  <c r="E45" i="17" s="1"/>
  <c r="H62" i="17"/>
  <c r="I62" i="17" s="1"/>
  <c r="H66" i="17"/>
  <c r="I66" i="17" s="1"/>
  <c r="H70" i="17"/>
  <c r="I70" i="17" s="1"/>
  <c r="B53" i="19"/>
  <c r="E53" i="19" s="1"/>
  <c r="G53" i="19" s="1"/>
  <c r="B57" i="19"/>
  <c r="E57" i="19" s="1"/>
  <c r="G57" i="19" s="1"/>
  <c r="I57" i="19" s="1"/>
  <c r="H57" i="19" s="1"/>
  <c r="N57" i="19" s="1"/>
  <c r="B58" i="19"/>
  <c r="E58" i="19" s="1"/>
  <c r="G58" i="19" s="1"/>
  <c r="I58" i="19" s="1"/>
  <c r="H58" i="19" s="1"/>
  <c r="N58" i="19" s="1"/>
  <c r="B155" i="210"/>
  <c r="E155" i="210" s="1"/>
  <c r="G155" i="210" s="1"/>
  <c r="B131" i="210"/>
  <c r="E131" i="210" s="1"/>
  <c r="G131" i="210" s="1"/>
  <c r="B119" i="210"/>
  <c r="E119" i="210" s="1"/>
  <c r="G119" i="210" s="1"/>
  <c r="B107" i="210"/>
  <c r="E107" i="210" s="1"/>
  <c r="G107" i="210" s="1"/>
  <c r="B106" i="210"/>
  <c r="E106" i="210" s="1"/>
  <c r="G106" i="210" s="1"/>
  <c r="B102" i="210"/>
  <c r="E102" i="210" s="1"/>
  <c r="G102" i="210" s="1"/>
  <c r="B88" i="210"/>
  <c r="E88" i="210" s="1"/>
  <c r="G88" i="210" s="1"/>
  <c r="B76" i="210"/>
  <c r="E76" i="210" s="1"/>
  <c r="G76" i="210" s="1"/>
  <c r="B75" i="210"/>
  <c r="E75" i="210" s="1"/>
  <c r="G75" i="210" s="1"/>
  <c r="B74" i="210"/>
  <c r="E74" i="210" s="1"/>
  <c r="G74" i="210" s="1"/>
  <c r="B138" i="210"/>
  <c r="E138" i="210" s="1"/>
  <c r="G138" i="210" s="1"/>
  <c r="B134" i="210"/>
  <c r="E134" i="210" s="1"/>
  <c r="G134" i="210" s="1"/>
  <c r="B120" i="210"/>
  <c r="E120" i="210" s="1"/>
  <c r="G120" i="210" s="1"/>
  <c r="B114" i="210"/>
  <c r="E114" i="210" s="1"/>
  <c r="G114" i="210" s="1"/>
  <c r="B108" i="210"/>
  <c r="E108" i="210" s="1"/>
  <c r="G108" i="210" s="1"/>
  <c r="B103" i="210"/>
  <c r="E103" i="210" s="1"/>
  <c r="G103" i="210" s="1"/>
  <c r="B87" i="210"/>
  <c r="E87" i="210" s="1"/>
  <c r="G87" i="210" s="1"/>
  <c r="B90" i="210"/>
  <c r="E90" i="210" s="1"/>
  <c r="G90" i="210" s="1"/>
  <c r="B91" i="210"/>
  <c r="E91" i="210" s="1"/>
  <c r="G91" i="210" s="1"/>
  <c r="B92" i="210"/>
  <c r="E92" i="210" s="1"/>
  <c r="G92" i="210" s="1"/>
  <c r="B140" i="210"/>
  <c r="E140" i="210" s="1"/>
  <c r="G140" i="210" s="1"/>
  <c r="I68" i="18"/>
  <c r="H68" i="18" s="1"/>
  <c r="M68" i="18" s="1"/>
  <c r="A21" i="31"/>
  <c r="A39" i="31" s="1"/>
  <c r="A57" i="31" s="1"/>
  <c r="A75" i="31" s="1"/>
  <c r="A93" i="31" s="1"/>
  <c r="B31" i="3"/>
  <c r="J48" i="17"/>
  <c r="D50" i="17"/>
  <c r="E50" i="17" s="1"/>
  <c r="D54" i="17"/>
  <c r="D58" i="17"/>
  <c r="E58" i="17" s="1"/>
  <c r="D62" i="17"/>
  <c r="D66" i="17"/>
  <c r="D70" i="17"/>
  <c r="B146" i="23"/>
  <c r="E146" i="23" s="1"/>
  <c r="G146" i="23" s="1"/>
  <c r="B76" i="23"/>
  <c r="E76" i="23" s="1"/>
  <c r="G76" i="23" s="1"/>
  <c r="B86" i="210"/>
  <c r="E86" i="210" s="1"/>
  <c r="G86" i="210" s="1"/>
  <c r="B118" i="210"/>
  <c r="E118" i="210" s="1"/>
  <c r="G118" i="210" s="1"/>
  <c r="B136" i="210"/>
  <c r="E136" i="210" s="1"/>
  <c r="G136" i="210" s="1"/>
  <c r="B139" i="210"/>
  <c r="E139" i="210" s="1"/>
  <c r="G139" i="210" s="1"/>
  <c r="B143" i="210"/>
  <c r="E143" i="210" s="1"/>
  <c r="G143" i="210" s="1"/>
  <c r="L138" i="38"/>
  <c r="I24" i="270" s="1"/>
  <c r="H21" i="1" s="1"/>
  <c r="M197" i="38"/>
  <c r="D29" i="17"/>
  <c r="K29" i="17" s="1"/>
  <c r="J30" i="17" s="1"/>
  <c r="H30" i="17" s="1"/>
  <c r="I30" i="17" s="1"/>
  <c r="J46" i="17"/>
  <c r="H63" i="17"/>
  <c r="I63" i="17" s="1"/>
  <c r="H65" i="17"/>
  <c r="I65" i="17" s="1"/>
  <c r="H67" i="17"/>
  <c r="I67" i="17" s="1"/>
  <c r="H69" i="17"/>
  <c r="I69" i="17" s="1"/>
  <c r="H71" i="17"/>
  <c r="I71" i="17" s="1"/>
  <c r="B63" i="227"/>
  <c r="E63" i="227" s="1"/>
  <c r="G63" i="227" s="1"/>
  <c r="B73" i="228"/>
  <c r="E73" i="228" s="1"/>
  <c r="G73" i="228" s="1"/>
  <c r="B72" i="228"/>
  <c r="E72" i="228" s="1"/>
  <c r="G72" i="228" s="1"/>
  <c r="H197" i="38"/>
  <c r="P197" i="38"/>
  <c r="X197" i="38"/>
  <c r="AF197" i="38"/>
  <c r="AN197" i="38"/>
  <c r="D49" i="17"/>
  <c r="D51" i="17"/>
  <c r="D53" i="17"/>
  <c r="D55" i="17"/>
  <c r="D57" i="17"/>
  <c r="D59" i="17"/>
  <c r="D61" i="17"/>
  <c r="D63" i="17"/>
  <c r="D65" i="17"/>
  <c r="D67" i="17"/>
  <c r="D69" i="17"/>
  <c r="D71" i="17"/>
  <c r="B73" i="227"/>
  <c r="E73" i="227" s="1"/>
  <c r="G73" i="227" s="1"/>
  <c r="I17" i="226"/>
  <c r="J12" i="213"/>
  <c r="E15" i="16"/>
  <c r="E15" i="220" s="1"/>
  <c r="E15" i="276" s="1"/>
  <c r="E36" i="224"/>
  <c r="G48" i="226" s="1"/>
  <c r="G51" i="226"/>
  <c r="N49" i="231"/>
  <c r="M49" i="231"/>
  <c r="K25" i="226"/>
  <c r="K34" i="226"/>
  <c r="K28" i="226"/>
  <c r="G72" i="224"/>
  <c r="Z40" i="231"/>
  <c r="Y40" i="231"/>
  <c r="AX42" i="231"/>
  <c r="AW42" i="231"/>
  <c r="AP44" i="231"/>
  <c r="AO44" i="231"/>
  <c r="AX65" i="231"/>
  <c r="AW65" i="231"/>
  <c r="AP67" i="231"/>
  <c r="AO67" i="231"/>
  <c r="N85" i="231"/>
  <c r="M85" i="231"/>
  <c r="B28" i="3"/>
  <c r="A18" i="31"/>
  <c r="A36" i="31" s="1"/>
  <c r="A54" i="31" s="1"/>
  <c r="A72" i="31" s="1"/>
  <c r="A90" i="31" s="1"/>
  <c r="B28" i="232"/>
  <c r="P18" i="30"/>
  <c r="O24" i="30"/>
  <c r="R42" i="231"/>
  <c r="Q42" i="231"/>
  <c r="J59" i="231"/>
  <c r="I59" i="231"/>
  <c r="BB87" i="231"/>
  <c r="BA87" i="231"/>
  <c r="E14" i="240"/>
  <c r="F14" i="239"/>
  <c r="G14" i="239" s="1"/>
  <c r="H14" i="239" s="1"/>
  <c r="I14" i="239" s="1"/>
  <c r="J14" i="239" s="1"/>
  <c r="K14" i="239" s="1"/>
  <c r="L14" i="239" s="1"/>
  <c r="M14" i="239" s="1"/>
  <c r="N14" i="239" s="1"/>
  <c r="O14" i="239" s="1"/>
  <c r="P14" i="239" s="1"/>
  <c r="G12" i="214"/>
  <c r="C63" i="16"/>
  <c r="C63" i="276"/>
  <c r="L50" i="29"/>
  <c r="O43" i="213"/>
  <c r="N42" i="213"/>
  <c r="Q45" i="213"/>
  <c r="Q47" i="213" s="1"/>
  <c r="P44" i="213"/>
  <c r="H63" i="29"/>
  <c r="L57" i="213"/>
  <c r="K56" i="213"/>
  <c r="M58" i="213"/>
  <c r="M60" i="213" s="1"/>
  <c r="R65" i="231"/>
  <c r="Q65" i="231"/>
  <c r="H72" i="225"/>
  <c r="G78" i="225"/>
  <c r="G83" i="225" s="1"/>
  <c r="H83" i="225" s="1"/>
  <c r="D14" i="217"/>
  <c r="G14" i="29"/>
  <c r="F12" i="236"/>
  <c r="I51" i="226"/>
  <c r="N58" i="231"/>
  <c r="M58" i="231"/>
  <c r="N66" i="231"/>
  <c r="M66" i="231"/>
  <c r="AL73" i="231"/>
  <c r="AK73" i="231"/>
  <c r="BA85" i="231"/>
  <c r="V87" i="231"/>
  <c r="U87" i="231"/>
  <c r="AP88" i="231"/>
  <c r="AO88" i="231"/>
  <c r="B35" i="3"/>
  <c r="A25" i="31"/>
  <c r="A43" i="31" s="1"/>
  <c r="A61" i="31" s="1"/>
  <c r="A79" i="31" s="1"/>
  <c r="A97" i="31" s="1"/>
  <c r="B35" i="232"/>
  <c r="N17" i="30"/>
  <c r="N22" i="30" s="1"/>
  <c r="N24" i="30" s="1"/>
  <c r="N21" i="30"/>
  <c r="N23" i="30" s="1"/>
  <c r="O16" i="30"/>
  <c r="O81" i="238"/>
  <c r="J50" i="231"/>
  <c r="I50" i="231"/>
  <c r="Z63" i="231"/>
  <c r="Y63" i="231"/>
  <c r="O95" i="237"/>
  <c r="E72" i="225"/>
  <c r="E78" i="225" s="1"/>
  <c r="F25" i="225"/>
  <c r="H25" i="225" s="1"/>
  <c r="J44" i="231"/>
  <c r="I44" i="231"/>
  <c r="AH52" i="231"/>
  <c r="AG52" i="231"/>
  <c r="J67" i="231"/>
  <c r="I67" i="231"/>
  <c r="AZ90" i="231"/>
  <c r="D19" i="31"/>
  <c r="C35" i="24"/>
  <c r="D23" i="31"/>
  <c r="H81" i="236"/>
  <c r="H82" i="214"/>
  <c r="P81" i="236"/>
  <c r="P82" i="214"/>
  <c r="J39" i="238"/>
  <c r="AH86" i="231"/>
  <c r="AG86" i="231"/>
  <c r="Q53" i="238"/>
  <c r="E19" i="268"/>
  <c r="E19" i="267" s="1"/>
  <c r="E19" i="266" s="1"/>
  <c r="Z84" i="231"/>
  <c r="Y84" i="231"/>
  <c r="AY86" i="231"/>
  <c r="BB86" i="231" s="1"/>
  <c r="J88" i="231"/>
  <c r="I88" i="231"/>
  <c r="N138" i="38"/>
  <c r="O24" i="270" s="1"/>
  <c r="N21" i="1" s="1"/>
  <c r="P34" i="213"/>
  <c r="I37" i="29"/>
  <c r="M31" i="213"/>
  <c r="L30" i="213"/>
  <c r="N32" i="213"/>
  <c r="K29" i="213"/>
  <c r="I39" i="237"/>
  <c r="Q39" i="237"/>
  <c r="Q40" i="236"/>
  <c r="H67" i="238"/>
  <c r="E72" i="236"/>
  <c r="E72" i="237" s="1"/>
  <c r="E72" i="238" s="1"/>
  <c r="F72" i="214"/>
  <c r="H95" i="238"/>
  <c r="AL71" i="231"/>
  <c r="AK71" i="231"/>
  <c r="P63" i="29"/>
  <c r="H62" i="214"/>
  <c r="F60" i="214"/>
  <c r="G61" i="214"/>
  <c r="R55" i="213"/>
  <c r="G95" i="237"/>
  <c r="K17" i="226"/>
  <c r="K20" i="226"/>
  <c r="I72" i="224"/>
  <c r="C63" i="220"/>
  <c r="I48" i="10"/>
  <c r="F19" i="268"/>
  <c r="F19" i="267" s="1"/>
  <c r="F19" i="266" s="1"/>
  <c r="AP50" i="231"/>
  <c r="AO50" i="231"/>
  <c r="J74" i="231"/>
  <c r="I74" i="231"/>
  <c r="AT85" i="231"/>
  <c r="AS85" i="231"/>
  <c r="J138" i="38"/>
  <c r="R138" i="38"/>
  <c r="L50" i="216"/>
  <c r="J43" i="262" s="1"/>
  <c r="O47" i="214"/>
  <c r="M45" i="214"/>
  <c r="P48" i="214"/>
  <c r="N50" i="216"/>
  <c r="L45" i="262" s="1"/>
  <c r="P46" i="214"/>
  <c r="F48" i="236"/>
  <c r="Q47" i="214"/>
  <c r="O45" i="214"/>
  <c r="I67" i="236"/>
  <c r="I68" i="214"/>
  <c r="R67" i="214"/>
  <c r="Q67" i="236"/>
  <c r="Q68" i="214"/>
  <c r="D12" i="219"/>
  <c r="E12" i="219" s="1"/>
  <c r="F12" i="219" s="1"/>
  <c r="G12" i="219" s="1"/>
  <c r="H12" i="219" s="1"/>
  <c r="I12" i="219" s="1"/>
  <c r="J12" i="219" s="1"/>
  <c r="K12" i="219" s="1"/>
  <c r="L12" i="219" s="1"/>
  <c r="M12" i="219" s="1"/>
  <c r="N12" i="219" s="1"/>
  <c r="C12" i="233"/>
  <c r="G20" i="226"/>
  <c r="V40" i="231"/>
  <c r="N42" i="231"/>
  <c r="AT42" i="231"/>
  <c r="J43" i="231"/>
  <c r="AL44" i="231"/>
  <c r="J49" i="231"/>
  <c r="AL50" i="231"/>
  <c r="AD52" i="231"/>
  <c r="J58" i="231"/>
  <c r="V63" i="231"/>
  <c r="N65" i="231"/>
  <c r="AT65" i="231"/>
  <c r="J66" i="231"/>
  <c r="AL67" i="231"/>
  <c r="E74" i="231"/>
  <c r="V84" i="231"/>
  <c r="J85" i="231"/>
  <c r="AP85" i="231"/>
  <c r="AD86" i="231"/>
  <c r="R87" i="231"/>
  <c r="AX87" i="231"/>
  <c r="F88" i="231"/>
  <c r="AL88" i="231"/>
  <c r="M138" i="38"/>
  <c r="L24" i="270" s="1"/>
  <c r="K21" i="1" s="1"/>
  <c r="J239" i="38"/>
  <c r="AP239" i="38"/>
  <c r="AY241" i="38"/>
  <c r="G90" i="31" s="1"/>
  <c r="G98" i="31" s="1"/>
  <c r="L36" i="8" s="1"/>
  <c r="BG239" i="38"/>
  <c r="BW241" i="38"/>
  <c r="CM239" i="38"/>
  <c r="CU241" i="38"/>
  <c r="DC239" i="38"/>
  <c r="DS241" i="38"/>
  <c r="N19" i="30"/>
  <c r="A92" i="1"/>
  <c r="B48" i="3"/>
  <c r="A92" i="252"/>
  <c r="A94" i="14"/>
  <c r="A92" i="249"/>
  <c r="A92" i="253"/>
  <c r="H37" i="29"/>
  <c r="M32" i="213"/>
  <c r="L31" i="213"/>
  <c r="K30" i="213"/>
  <c r="P37" i="29"/>
  <c r="G33" i="214"/>
  <c r="K50" i="29"/>
  <c r="O44" i="213"/>
  <c r="N43" i="213"/>
  <c r="G63" i="29"/>
  <c r="L58" i="213"/>
  <c r="K57" i="213"/>
  <c r="J56" i="213"/>
  <c r="J60" i="213" s="1"/>
  <c r="O63" i="29"/>
  <c r="G62" i="214"/>
  <c r="R56" i="213"/>
  <c r="F61" i="214"/>
  <c r="M84" i="213"/>
  <c r="M86" i="213" s="1"/>
  <c r="P39" i="237"/>
  <c r="L54" i="214"/>
  <c r="L53" i="236"/>
  <c r="F96" i="214"/>
  <c r="D94" i="236"/>
  <c r="J96" i="236" s="1"/>
  <c r="P96" i="214"/>
  <c r="H96" i="214"/>
  <c r="N95" i="236"/>
  <c r="N96" i="214"/>
  <c r="B30" i="236"/>
  <c r="B44" i="237"/>
  <c r="N91" i="29"/>
  <c r="N82" i="29" s="1"/>
  <c r="N86" i="29" s="1"/>
  <c r="L77" i="217"/>
  <c r="L75" i="217"/>
  <c r="L79" i="217"/>
  <c r="L80" i="217"/>
  <c r="L78" i="217"/>
  <c r="L76" i="217"/>
  <c r="B29" i="264"/>
  <c r="F56" i="14"/>
  <c r="E47" i="219"/>
  <c r="F47" i="218"/>
  <c r="I34" i="226"/>
  <c r="AY88" i="231"/>
  <c r="BB88" i="231" s="1"/>
  <c r="I197" i="38"/>
  <c r="D241" i="38"/>
  <c r="L239" i="38"/>
  <c r="AS239" i="38"/>
  <c r="BA239" i="38"/>
  <c r="BI241" i="38"/>
  <c r="G55" i="31" s="1"/>
  <c r="BQ239" i="38"/>
  <c r="BY239" i="38"/>
  <c r="CO239" i="38"/>
  <c r="CW239" i="38"/>
  <c r="DE241" i="38"/>
  <c r="G59" i="31" s="1"/>
  <c r="DM239" i="38"/>
  <c r="DU239" i="38"/>
  <c r="J37" i="29"/>
  <c r="M30" i="213"/>
  <c r="L29" i="213"/>
  <c r="I63" i="29"/>
  <c r="L56" i="213"/>
  <c r="K55" i="213"/>
  <c r="K60" i="213" s="1"/>
  <c r="K83" i="213"/>
  <c r="J82" i="213"/>
  <c r="G89" i="29"/>
  <c r="L84" i="213"/>
  <c r="L86" i="213" s="1"/>
  <c r="R82" i="213"/>
  <c r="F89" i="214"/>
  <c r="O89" i="29"/>
  <c r="G90" i="214"/>
  <c r="F26" i="214"/>
  <c r="I20" i="214" s="1"/>
  <c r="J26" i="214"/>
  <c r="J17" i="214" s="1"/>
  <c r="L26" i="214"/>
  <c r="L17" i="214" s="1"/>
  <c r="O26" i="214"/>
  <c r="P18" i="214" s="1"/>
  <c r="D24" i="236"/>
  <c r="N53" i="237"/>
  <c r="O50" i="216"/>
  <c r="M45" i="262" s="1"/>
  <c r="Q46" i="214"/>
  <c r="J68" i="214"/>
  <c r="J67" i="236"/>
  <c r="I82" i="214"/>
  <c r="I81" i="236"/>
  <c r="R81" i="236" s="1"/>
  <c r="Q82" i="214"/>
  <c r="Q81" i="236"/>
  <c r="K67" i="238"/>
  <c r="I95" i="238"/>
  <c r="E46" i="16"/>
  <c r="F51" i="14"/>
  <c r="E38" i="219"/>
  <c r="F38" i="218"/>
  <c r="F71" i="14"/>
  <c r="E72" i="219"/>
  <c r="F72" i="218"/>
  <c r="H138" i="38"/>
  <c r="I21" i="14" s="1"/>
  <c r="P138" i="38"/>
  <c r="D24" i="272" s="1"/>
  <c r="C21" i="252" s="1"/>
  <c r="O21" i="252" s="1"/>
  <c r="Z197" i="38"/>
  <c r="AH197" i="38"/>
  <c r="E239" i="38"/>
  <c r="M241" i="38"/>
  <c r="U239" i="38"/>
  <c r="AC239" i="38"/>
  <c r="AT239" i="38"/>
  <c r="BB239" i="38"/>
  <c r="BJ241" i="38"/>
  <c r="BR239" i="38"/>
  <c r="BZ239" i="38"/>
  <c r="CP239" i="38"/>
  <c r="CX239" i="38"/>
  <c r="DF241" i="38"/>
  <c r="DN239" i="38"/>
  <c r="DV239" i="38"/>
  <c r="K39" i="29"/>
  <c r="K30" i="29" s="1"/>
  <c r="K34" i="29" s="1"/>
  <c r="I36" i="217"/>
  <c r="I31" i="217"/>
  <c r="I33" i="217"/>
  <c r="I35" i="217"/>
  <c r="I34" i="217"/>
  <c r="I32" i="217"/>
  <c r="N71" i="213"/>
  <c r="M70" i="213"/>
  <c r="L69" i="213"/>
  <c r="L73" i="213" s="1"/>
  <c r="I76" i="29"/>
  <c r="H89" i="29"/>
  <c r="K82" i="213"/>
  <c r="J81" i="213"/>
  <c r="P89" i="29"/>
  <c r="G89" i="214"/>
  <c r="R81" i="213"/>
  <c r="K39" i="237"/>
  <c r="K40" i="236"/>
  <c r="G37" i="216"/>
  <c r="E33" i="262" s="1"/>
  <c r="K34" i="214"/>
  <c r="I32" i="214"/>
  <c r="J33" i="214"/>
  <c r="H31" i="214"/>
  <c r="G53" i="237"/>
  <c r="O53" i="237"/>
  <c r="M61" i="214"/>
  <c r="K59" i="214"/>
  <c r="J63" i="216"/>
  <c r="I76" i="216"/>
  <c r="L75" i="214"/>
  <c r="J73" i="214"/>
  <c r="H90" i="214"/>
  <c r="L67" i="237"/>
  <c r="J95" i="237"/>
  <c r="I53" i="238"/>
  <c r="B31" i="263"/>
  <c r="I25" i="226"/>
  <c r="M35" i="231"/>
  <c r="Q40" i="231"/>
  <c r="AW40" i="231"/>
  <c r="M41" i="231"/>
  <c r="I42" i="231"/>
  <c r="AO42" i="231"/>
  <c r="AG44" i="231"/>
  <c r="M47" i="231"/>
  <c r="I48" i="231"/>
  <c r="AG50" i="231"/>
  <c r="Y52" i="231"/>
  <c r="I57" i="231"/>
  <c r="Q63" i="231"/>
  <c r="AW63" i="231"/>
  <c r="I65" i="231"/>
  <c r="AO65" i="231"/>
  <c r="AG67" i="231"/>
  <c r="AC71" i="231"/>
  <c r="M72" i="231"/>
  <c r="AC73" i="231"/>
  <c r="M83" i="231"/>
  <c r="AS83" i="231"/>
  <c r="F84" i="231"/>
  <c r="Q84" i="231"/>
  <c r="AW84" i="231"/>
  <c r="E85" i="231"/>
  <c r="AK85" i="231"/>
  <c r="Y86" i="231"/>
  <c r="M87" i="231"/>
  <c r="AS87" i="231"/>
  <c r="AG88" i="231"/>
  <c r="I138" i="38"/>
  <c r="L21" i="14" s="1"/>
  <c r="Q138" i="38"/>
  <c r="D24" i="273" s="1"/>
  <c r="C21" i="253" s="1"/>
  <c r="O21" i="253" s="1"/>
  <c r="F239" i="38"/>
  <c r="N241" i="38"/>
  <c r="V239" i="38"/>
  <c r="AD239" i="38"/>
  <c r="AU239" i="38"/>
  <c r="BC239" i="38"/>
  <c r="BK241" i="38"/>
  <c r="BS239" i="38"/>
  <c r="CA239" i="38"/>
  <c r="CQ239" i="38"/>
  <c r="CY239" i="38"/>
  <c r="DG241" i="38"/>
  <c r="DO239" i="38"/>
  <c r="DW239" i="38"/>
  <c r="M34" i="213"/>
  <c r="L39" i="29"/>
  <c r="L30" i="29" s="1"/>
  <c r="L34" i="29" s="1"/>
  <c r="J36" i="217"/>
  <c r="J31" i="217"/>
  <c r="J33" i="217"/>
  <c r="J35" i="217"/>
  <c r="J32" i="217"/>
  <c r="J34" i="217"/>
  <c r="P45" i="213"/>
  <c r="J76" i="29"/>
  <c r="N70" i="213"/>
  <c r="M69" i="213"/>
  <c r="Q81" i="213"/>
  <c r="L40" i="214"/>
  <c r="L39" i="236"/>
  <c r="H53" i="237"/>
  <c r="P53" i="237"/>
  <c r="B58" i="237"/>
  <c r="F58" i="236"/>
  <c r="L63" i="216"/>
  <c r="P62" i="214"/>
  <c r="N60" i="214"/>
  <c r="O61" i="214"/>
  <c r="M59" i="214"/>
  <c r="M76" i="214"/>
  <c r="K76" i="216"/>
  <c r="I66" i="262" s="1"/>
  <c r="O76" i="214"/>
  <c r="M74" i="214"/>
  <c r="N75" i="214"/>
  <c r="L73" i="214"/>
  <c r="I96" i="214"/>
  <c r="P95" i="238"/>
  <c r="E42" i="16"/>
  <c r="F47" i="14"/>
  <c r="E30" i="219"/>
  <c r="F30" i="218"/>
  <c r="F67" i="14"/>
  <c r="E64" i="219"/>
  <c r="F64" i="218"/>
  <c r="F85" i="231"/>
  <c r="D197" i="38"/>
  <c r="L197" i="38"/>
  <c r="T197" i="38"/>
  <c r="AJ197" i="38"/>
  <c r="G239" i="38"/>
  <c r="O241" i="38"/>
  <c r="W239" i="38"/>
  <c r="AE239" i="38"/>
  <c r="AV239" i="38"/>
  <c r="BD239" i="38"/>
  <c r="BL241" i="38"/>
  <c r="BT239" i="38"/>
  <c r="CJ241" i="38"/>
  <c r="CR239" i="38"/>
  <c r="CZ239" i="38"/>
  <c r="DH241" i="38"/>
  <c r="DP239" i="38"/>
  <c r="J26" i="24"/>
  <c r="A116" i="1"/>
  <c r="A116" i="252"/>
  <c r="A118" i="14"/>
  <c r="B60" i="3"/>
  <c r="A116" i="249"/>
  <c r="A116" i="253"/>
  <c r="H52" i="29"/>
  <c r="H43" i="29" s="1"/>
  <c r="H47" i="29" s="1"/>
  <c r="F44" i="217"/>
  <c r="F46" i="217"/>
  <c r="F43" i="217"/>
  <c r="F47" i="217"/>
  <c r="F42" i="217"/>
  <c r="F45" i="217"/>
  <c r="L65" i="29"/>
  <c r="L56" i="29" s="1"/>
  <c r="L60" i="29" s="1"/>
  <c r="J57" i="217"/>
  <c r="J54" i="217"/>
  <c r="J56" i="217"/>
  <c r="J53" i="217"/>
  <c r="J55" i="217"/>
  <c r="K76" i="29"/>
  <c r="N69" i="213"/>
  <c r="M68" i="213"/>
  <c r="I81" i="213"/>
  <c r="B16" i="237"/>
  <c r="F16" i="236"/>
  <c r="M40" i="214"/>
  <c r="M39" i="236"/>
  <c r="L60" i="214"/>
  <c r="M67" i="237"/>
  <c r="M63" i="216"/>
  <c r="M65" i="216" s="1"/>
  <c r="M56" i="216" s="1"/>
  <c r="M60" i="216" s="1"/>
  <c r="Q62" i="214"/>
  <c r="O60" i="214"/>
  <c r="L81" i="237"/>
  <c r="L76" i="216"/>
  <c r="P76" i="214"/>
  <c r="N74" i="214"/>
  <c r="F88" i="214"/>
  <c r="K95" i="237"/>
  <c r="J96" i="214"/>
  <c r="F40" i="236"/>
  <c r="J81" i="238"/>
  <c r="H78" i="29"/>
  <c r="H69" i="29" s="1"/>
  <c r="H73" i="29" s="1"/>
  <c r="F65" i="217"/>
  <c r="F67" i="217"/>
  <c r="F64" i="217"/>
  <c r="F69" i="217"/>
  <c r="F68" i="217"/>
  <c r="F66" i="217"/>
  <c r="B30" i="265"/>
  <c r="I31" i="231"/>
  <c r="M33" i="231"/>
  <c r="I34" i="231"/>
  <c r="M36" i="231"/>
  <c r="I37" i="231"/>
  <c r="J37" i="231" s="1"/>
  <c r="I40" i="231"/>
  <c r="AO40" i="231"/>
  <c r="AG42" i="231"/>
  <c r="Y44" i="231"/>
  <c r="Y50" i="231"/>
  <c r="Q52" i="231"/>
  <c r="AW52" i="231"/>
  <c r="M53" i="231"/>
  <c r="I63" i="231"/>
  <c r="AO63" i="231"/>
  <c r="AG65" i="231"/>
  <c r="Y67" i="231"/>
  <c r="I69" i="231"/>
  <c r="U71" i="231"/>
  <c r="U73" i="231"/>
  <c r="I84" i="231"/>
  <c r="AO84" i="231"/>
  <c r="AC85" i="231"/>
  <c r="Q86" i="231"/>
  <c r="AW86" i="231"/>
  <c r="E87" i="231"/>
  <c r="AK87" i="231"/>
  <c r="Y88" i="231"/>
  <c r="K138" i="38"/>
  <c r="F24" i="270" s="1"/>
  <c r="E21" i="1" s="1"/>
  <c r="H239" i="38"/>
  <c r="P241" i="38"/>
  <c r="X239" i="38"/>
  <c r="AF239" i="38"/>
  <c r="AN241" i="38"/>
  <c r="AW241" i="38"/>
  <c r="G54" i="31" s="1"/>
  <c r="BE239" i="38"/>
  <c r="BU241" i="38"/>
  <c r="G56" i="31" s="1"/>
  <c r="CK239" i="38"/>
  <c r="CS241" i="38"/>
  <c r="G58" i="31" s="1"/>
  <c r="DA239" i="38"/>
  <c r="DQ241" i="38"/>
  <c r="G60" i="31" s="1"/>
  <c r="A98" i="1"/>
  <c r="A98" i="252"/>
  <c r="A100" i="14"/>
  <c r="A98" i="249"/>
  <c r="A98" i="253"/>
  <c r="B54" i="3"/>
  <c r="M65" i="29"/>
  <c r="M56" i="29" s="1"/>
  <c r="M60" i="29" s="1"/>
  <c r="K54" i="217"/>
  <c r="K56" i="217"/>
  <c r="K58" i="217"/>
  <c r="K53" i="217"/>
  <c r="K57" i="217"/>
  <c r="M37" i="216"/>
  <c r="K34" i="262" s="1"/>
  <c r="P33" i="214"/>
  <c r="N31" i="214"/>
  <c r="Q32" i="214"/>
  <c r="G34" i="236"/>
  <c r="J53" i="237"/>
  <c r="F50" i="216"/>
  <c r="D41" i="262" s="1"/>
  <c r="J48" i="214"/>
  <c r="H46" i="214"/>
  <c r="I47" i="214"/>
  <c r="G45" i="214"/>
  <c r="N67" i="237"/>
  <c r="B72" i="237"/>
  <c r="F72" i="236"/>
  <c r="K74" i="214"/>
  <c r="M81" i="237"/>
  <c r="L95" i="237"/>
  <c r="P89" i="216"/>
  <c r="N75" i="262" s="1"/>
  <c r="H90" i="236"/>
  <c r="F88" i="236"/>
  <c r="G89" i="236"/>
  <c r="Q87" i="214"/>
  <c r="N39" i="237"/>
  <c r="K81" i="237"/>
  <c r="P67" i="238"/>
  <c r="J58" i="217"/>
  <c r="F60" i="14"/>
  <c r="E55" i="219"/>
  <c r="F55" i="218"/>
  <c r="R83" i="231"/>
  <c r="AX83" i="231"/>
  <c r="N197" i="38"/>
  <c r="I239" i="38"/>
  <c r="Y241" i="38"/>
  <c r="G52" i="31" s="1"/>
  <c r="AO239" i="38"/>
  <c r="AX241" i="38"/>
  <c r="G72" i="31" s="1"/>
  <c r="G80" i="31" s="1"/>
  <c r="J36" i="8" s="1"/>
  <c r="BF239" i="38"/>
  <c r="CL239" i="38"/>
  <c r="CT241" i="38"/>
  <c r="DB239" i="38"/>
  <c r="A107" i="1"/>
  <c r="B57" i="3"/>
  <c r="A107" i="253"/>
  <c r="A107" i="252"/>
  <c r="A107" i="249"/>
  <c r="A109" i="14"/>
  <c r="J50" i="29"/>
  <c r="O45" i="213"/>
  <c r="N44" i="213"/>
  <c r="M43" i="213"/>
  <c r="M47" i="213" s="1"/>
  <c r="Q55" i="213"/>
  <c r="N58" i="213"/>
  <c r="N60" i="213" s="1"/>
  <c r="J73" i="213"/>
  <c r="R39" i="214"/>
  <c r="P37" i="216"/>
  <c r="N29" i="262" s="1"/>
  <c r="G33" i="236"/>
  <c r="K54" i="214"/>
  <c r="K53" i="236"/>
  <c r="I46" i="214"/>
  <c r="G67" i="237"/>
  <c r="O67" i="237"/>
  <c r="N81" i="237"/>
  <c r="B86" i="236"/>
  <c r="F86" i="214"/>
  <c r="M95" i="236"/>
  <c r="R95" i="236" s="1"/>
  <c r="M96" i="214"/>
  <c r="G81" i="237"/>
  <c r="H64" i="262"/>
  <c r="G64" i="262"/>
  <c r="B64" i="263"/>
  <c r="S90" i="213"/>
  <c r="R53" i="214"/>
  <c r="I19" i="1"/>
  <c r="I19" i="249"/>
  <c r="I19" i="252"/>
  <c r="I19" i="253"/>
  <c r="F89" i="29"/>
  <c r="H51" i="262"/>
  <c r="H65" i="262"/>
  <c r="B74" i="264"/>
  <c r="B32" i="264"/>
  <c r="Q95" i="238"/>
  <c r="K63" i="216"/>
  <c r="I56" i="262" s="1"/>
  <c r="I58" i="217"/>
  <c r="D33" i="262"/>
  <c r="H63" i="262"/>
  <c r="H66" i="262"/>
  <c r="B62" i="264"/>
  <c r="A24" i="31"/>
  <c r="A42" i="31" s="1"/>
  <c r="A60" i="31" s="1"/>
  <c r="A78" i="31" s="1"/>
  <c r="A96" i="31" s="1"/>
  <c r="B34" i="3"/>
  <c r="C15" i="16"/>
  <c r="C15" i="220" s="1"/>
  <c r="C15" i="276" s="1"/>
  <c r="Q31" i="213"/>
  <c r="Q32" i="213"/>
  <c r="K44" i="213"/>
  <c r="M52" i="29"/>
  <c r="M43" i="29" s="1"/>
  <c r="M47" i="29" s="1"/>
  <c r="K45" i="217"/>
  <c r="K42" i="217"/>
  <c r="K47" i="217"/>
  <c r="K44" i="217"/>
  <c r="P57" i="213"/>
  <c r="P60" i="213" s="1"/>
  <c r="J65" i="29"/>
  <c r="J56" i="29" s="1"/>
  <c r="J60" i="29" s="1"/>
  <c r="H55" i="217"/>
  <c r="H57" i="217"/>
  <c r="H54" i="217"/>
  <c r="H58" i="217"/>
  <c r="H53" i="217"/>
  <c r="L78" i="29"/>
  <c r="L69" i="29" s="1"/>
  <c r="L73" i="29" s="1"/>
  <c r="J69" i="217"/>
  <c r="J66" i="217"/>
  <c r="J68" i="217"/>
  <c r="J65" i="217"/>
  <c r="J64" i="217"/>
  <c r="I91" i="29"/>
  <c r="I82" i="29" s="1"/>
  <c r="I86" i="29" s="1"/>
  <c r="G78" i="217"/>
  <c r="G76" i="217"/>
  <c r="G80" i="217"/>
  <c r="G79" i="217"/>
  <c r="G32" i="214"/>
  <c r="F31" i="214"/>
  <c r="I34" i="214"/>
  <c r="E37" i="216"/>
  <c r="C31" i="262" s="1"/>
  <c r="H33" i="214"/>
  <c r="J40" i="214"/>
  <c r="F46" i="214"/>
  <c r="O46" i="214"/>
  <c r="H48" i="214"/>
  <c r="Q48" i="214"/>
  <c r="I54" i="214"/>
  <c r="Q54" i="214"/>
  <c r="M60" i="214"/>
  <c r="F62" i="214"/>
  <c r="O62" i="214"/>
  <c r="G68" i="214"/>
  <c r="O68" i="214"/>
  <c r="L74" i="214"/>
  <c r="N76" i="214"/>
  <c r="R81" i="214"/>
  <c r="N82" i="214"/>
  <c r="K96" i="214"/>
  <c r="G39" i="236"/>
  <c r="C44" i="236"/>
  <c r="C44" i="237" s="1"/>
  <c r="C44" i="238" s="1"/>
  <c r="D52" i="236"/>
  <c r="N54" i="236" s="1"/>
  <c r="M33" i="217"/>
  <c r="K43" i="217"/>
  <c r="E66" i="217"/>
  <c r="J52" i="262"/>
  <c r="J54" i="262"/>
  <c r="H62" i="262"/>
  <c r="C51" i="1"/>
  <c r="C47" i="220"/>
  <c r="C40" i="233"/>
  <c r="C48" i="252"/>
  <c r="C34" i="235"/>
  <c r="A86" i="1"/>
  <c r="B46" i="3"/>
  <c r="A86" i="253"/>
  <c r="A86" i="252"/>
  <c r="A88" i="14"/>
  <c r="A86" i="249"/>
  <c r="A22" i="31"/>
  <c r="A40" i="31" s="1"/>
  <c r="A58" i="31" s="1"/>
  <c r="A76" i="31" s="1"/>
  <c r="A94" i="31" s="1"/>
  <c r="B32" i="3"/>
  <c r="A101" i="1"/>
  <c r="B55" i="3"/>
  <c r="A103" i="14"/>
  <c r="A101" i="249"/>
  <c r="A101" i="253"/>
  <c r="A101" i="252"/>
  <c r="A110" i="1"/>
  <c r="B58" i="3"/>
  <c r="A110" i="253"/>
  <c r="A110" i="252"/>
  <c r="A112" i="14"/>
  <c r="A110" i="249"/>
  <c r="L45" i="213"/>
  <c r="L47" i="213" s="1"/>
  <c r="S51" i="213"/>
  <c r="F50" i="29"/>
  <c r="N52" i="29"/>
  <c r="N43" i="29" s="1"/>
  <c r="N47" i="29" s="1"/>
  <c r="L42" i="217"/>
  <c r="Q58" i="213"/>
  <c r="K65" i="29"/>
  <c r="K56" i="29" s="1"/>
  <c r="K60" i="29" s="1"/>
  <c r="I57" i="217"/>
  <c r="I54" i="217"/>
  <c r="I56" i="217"/>
  <c r="I55" i="217"/>
  <c r="M78" i="29"/>
  <c r="M69" i="29" s="1"/>
  <c r="M73" i="29" s="1"/>
  <c r="K66" i="217"/>
  <c r="K68" i="217"/>
  <c r="K65" i="217"/>
  <c r="K69" i="217"/>
  <c r="I82" i="213"/>
  <c r="Q82" i="213"/>
  <c r="J91" i="29"/>
  <c r="J82" i="29" s="1"/>
  <c r="J86" i="29" s="1"/>
  <c r="H78" i="217"/>
  <c r="H76" i="217"/>
  <c r="H80" i="217"/>
  <c r="H77" i="217"/>
  <c r="H75" i="217"/>
  <c r="K40" i="214"/>
  <c r="F45" i="214"/>
  <c r="E50" i="216"/>
  <c r="C40" i="262" s="1"/>
  <c r="G46" i="214"/>
  <c r="H47" i="214"/>
  <c r="I48" i="214"/>
  <c r="J54" i="214"/>
  <c r="H68" i="214"/>
  <c r="P68" i="214"/>
  <c r="F76" i="214"/>
  <c r="G82" i="214"/>
  <c r="O82" i="214"/>
  <c r="L96" i="214"/>
  <c r="D66" i="236"/>
  <c r="P96" i="236"/>
  <c r="I50" i="29"/>
  <c r="P76" i="29"/>
  <c r="Q93" i="239"/>
  <c r="M36" i="217"/>
  <c r="L43" i="217"/>
  <c r="K46" i="217"/>
  <c r="H56" i="217"/>
  <c r="B34" i="264"/>
  <c r="B78" i="264"/>
  <c r="F82" i="14"/>
  <c r="F93" i="218"/>
  <c r="E93" i="219"/>
  <c r="O93" i="213"/>
  <c r="L137" i="14" s="1"/>
  <c r="M37" i="29"/>
  <c r="G52" i="29"/>
  <c r="G43" i="29" s="1"/>
  <c r="G47" i="29" s="1"/>
  <c r="E47" i="217"/>
  <c r="E44" i="217"/>
  <c r="E46" i="217"/>
  <c r="E43" i="217"/>
  <c r="E42" i="217"/>
  <c r="O52" i="29"/>
  <c r="O43" i="29" s="1"/>
  <c r="O47" i="29" s="1"/>
  <c r="M47" i="217"/>
  <c r="M44" i="217"/>
  <c r="M46" i="217"/>
  <c r="M43" i="217"/>
  <c r="M42" i="217"/>
  <c r="S77" i="213"/>
  <c r="F76" i="29"/>
  <c r="N78" i="29"/>
  <c r="N69" i="29" s="1"/>
  <c r="N73" i="29" s="1"/>
  <c r="L68" i="217"/>
  <c r="L65" i="217"/>
  <c r="L67" i="217"/>
  <c r="L66" i="217"/>
  <c r="K91" i="29"/>
  <c r="K82" i="29" s="1"/>
  <c r="K86" i="29" s="1"/>
  <c r="I78" i="217"/>
  <c r="I76" i="217"/>
  <c r="I80" i="217"/>
  <c r="I77" i="217"/>
  <c r="I75" i="217"/>
  <c r="F33" i="214"/>
  <c r="G76" i="214"/>
  <c r="D80" i="236"/>
  <c r="J82" i="236" s="1"/>
  <c r="Q96" i="236"/>
  <c r="G86" i="2"/>
  <c r="I86" i="2" s="1"/>
  <c r="K86" i="2" s="1"/>
  <c r="E86" i="2"/>
  <c r="P50" i="29"/>
  <c r="Q93" i="216"/>
  <c r="L69" i="217"/>
  <c r="K76" i="217"/>
  <c r="B66" i="263"/>
  <c r="A89" i="1"/>
  <c r="B47" i="3"/>
  <c r="A89" i="252"/>
  <c r="A91" i="14"/>
  <c r="A89" i="249"/>
  <c r="A89" i="253"/>
  <c r="A104" i="1"/>
  <c r="A104" i="249"/>
  <c r="A104" i="253"/>
  <c r="B56" i="3"/>
  <c r="A106" i="14"/>
  <c r="A104" i="252"/>
  <c r="A113" i="1"/>
  <c r="B59" i="3"/>
  <c r="A113" i="252"/>
  <c r="A115" i="14"/>
  <c r="A113" i="249"/>
  <c r="A113" i="253"/>
  <c r="O29" i="213"/>
  <c r="O34" i="213" s="1"/>
  <c r="S38" i="213"/>
  <c r="F37" i="29"/>
  <c r="N39" i="29"/>
  <c r="N30" i="29" s="1"/>
  <c r="N34" i="29" s="1"/>
  <c r="I42" i="213"/>
  <c r="I47" i="213" s="1"/>
  <c r="G78" i="29"/>
  <c r="G69" i="29" s="1"/>
  <c r="G73" i="29" s="1"/>
  <c r="E68" i="217"/>
  <c r="E65" i="217"/>
  <c r="E67" i="217"/>
  <c r="E64" i="217"/>
  <c r="O78" i="29"/>
  <c r="O69" i="29" s="1"/>
  <c r="O73" i="29" s="1"/>
  <c r="M68" i="217"/>
  <c r="M65" i="217"/>
  <c r="M67" i="217"/>
  <c r="M64" i="217"/>
  <c r="J83" i="213"/>
  <c r="R83" i="213"/>
  <c r="L91" i="29"/>
  <c r="L82" i="29" s="1"/>
  <c r="L86" i="29" s="1"/>
  <c r="J80" i="217"/>
  <c r="J77" i="217"/>
  <c r="J75" i="217"/>
  <c r="J79" i="217"/>
  <c r="J78" i="217"/>
  <c r="J76" i="217"/>
  <c r="F47" i="214"/>
  <c r="I62" i="214"/>
  <c r="E63" i="216"/>
  <c r="C55" i="262" s="1"/>
  <c r="F59" i="214"/>
  <c r="F64" i="214" s="1"/>
  <c r="G60" i="214"/>
  <c r="H61" i="214"/>
  <c r="F74" i="214"/>
  <c r="R95" i="214"/>
  <c r="B87" i="2"/>
  <c r="M69" i="217"/>
  <c r="B33" i="263"/>
  <c r="B76" i="264"/>
  <c r="E40" i="16"/>
  <c r="F45" i="14"/>
  <c r="E26" i="219"/>
  <c r="F26" i="218"/>
  <c r="E44" i="16"/>
  <c r="F49" i="14"/>
  <c r="F34" i="218"/>
  <c r="E34" i="219"/>
  <c r="E48" i="16"/>
  <c r="F53" i="14"/>
  <c r="F42" i="218"/>
  <c r="E42" i="219"/>
  <c r="F58" i="14"/>
  <c r="F51" i="218"/>
  <c r="E51" i="219"/>
  <c r="F62" i="14"/>
  <c r="F59" i="218"/>
  <c r="E59" i="219"/>
  <c r="F69" i="14"/>
  <c r="F68" i="218"/>
  <c r="E68" i="219"/>
  <c r="C38" i="249"/>
  <c r="C33" i="276"/>
  <c r="C14" i="234"/>
  <c r="A95" i="1"/>
  <c r="B53" i="3"/>
  <c r="A95" i="252"/>
  <c r="A97" i="14"/>
  <c r="A95" i="249"/>
  <c r="A95" i="253"/>
  <c r="I93" i="213"/>
  <c r="G37" i="29"/>
  <c r="O39" i="29"/>
  <c r="O30" i="29" s="1"/>
  <c r="O34" i="29" s="1"/>
  <c r="M35" i="217"/>
  <c r="M32" i="217"/>
  <c r="M34" i="217"/>
  <c r="S64" i="213"/>
  <c r="F63" i="29"/>
  <c r="N65" i="29"/>
  <c r="N56" i="29" s="1"/>
  <c r="N60" i="29" s="1"/>
  <c r="L54" i="217"/>
  <c r="L56" i="217"/>
  <c r="L58" i="217"/>
  <c r="L53" i="217"/>
  <c r="L55" i="217"/>
  <c r="I73" i="213"/>
  <c r="K84" i="213"/>
  <c r="M91" i="29"/>
  <c r="M82" i="29" s="1"/>
  <c r="M86" i="29" s="1"/>
  <c r="K80" i="217"/>
  <c r="K77" i="217"/>
  <c r="K79" i="217"/>
  <c r="I33" i="214"/>
  <c r="Q33" i="214"/>
  <c r="N45" i="214"/>
  <c r="P47" i="214"/>
  <c r="L59" i="214"/>
  <c r="K73" i="214"/>
  <c r="M75" i="214"/>
  <c r="G74" i="214"/>
  <c r="H75" i="214"/>
  <c r="E76" i="216"/>
  <c r="C67" i="262" s="1"/>
  <c r="F73" i="214"/>
  <c r="I76" i="214"/>
  <c r="G96" i="214"/>
  <c r="O96" i="214"/>
  <c r="B84" i="2"/>
  <c r="A17" i="270"/>
  <c r="A17" i="271" s="1"/>
  <c r="A17" i="272" s="1"/>
  <c r="A17" i="273" s="1"/>
  <c r="H19" i="1"/>
  <c r="H19" i="249"/>
  <c r="H19" i="252"/>
  <c r="H19" i="253"/>
  <c r="E45" i="217"/>
  <c r="L57" i="217"/>
  <c r="K64" i="217"/>
  <c r="J67" i="217"/>
  <c r="H79" i="217"/>
  <c r="H67" i="262"/>
  <c r="C53" i="249"/>
  <c r="C49" i="276"/>
  <c r="C44" i="234"/>
  <c r="G19" i="1"/>
  <c r="G19" i="249"/>
  <c r="G19" i="252"/>
  <c r="G19" i="253"/>
  <c r="K40" i="262"/>
  <c r="K42" i="262"/>
  <c r="C44" i="262"/>
  <c r="K44" i="262"/>
  <c r="B41" i="263"/>
  <c r="B43" i="263"/>
  <c r="B45" i="263"/>
  <c r="F78" i="14"/>
  <c r="F85" i="218"/>
  <c r="E85" i="219"/>
  <c r="C40" i="249"/>
  <c r="C35" i="276"/>
  <c r="C18" i="234"/>
  <c r="C42" i="249"/>
  <c r="C38" i="276"/>
  <c r="C22" i="234"/>
  <c r="D46" i="1"/>
  <c r="D42" i="220"/>
  <c r="D30" i="233"/>
  <c r="D56" i="1"/>
  <c r="D49" i="233"/>
  <c r="G87" i="2"/>
  <c r="I87" i="2" s="1"/>
  <c r="K87" i="2" s="1"/>
  <c r="E87" i="2"/>
  <c r="J19" i="1"/>
  <c r="J19" i="249"/>
  <c r="J19" i="252"/>
  <c r="J19" i="253"/>
  <c r="K51" i="262"/>
  <c r="K53" i="262"/>
  <c r="K55" i="262"/>
  <c r="B52" i="263"/>
  <c r="B54" i="263"/>
  <c r="B56" i="263"/>
  <c r="D38" i="1"/>
  <c r="D33" i="220"/>
  <c r="D14" i="233"/>
  <c r="E36" i="16"/>
  <c r="F42" i="14"/>
  <c r="F20" i="218"/>
  <c r="E20" i="219"/>
  <c r="F75" i="14"/>
  <c r="E80" i="219"/>
  <c r="F80" i="218"/>
  <c r="C49" i="249"/>
  <c r="C45" i="276"/>
  <c r="C36" i="234"/>
  <c r="D75" i="1"/>
  <c r="D82" i="233"/>
  <c r="P21" i="215"/>
  <c r="C83" i="2"/>
  <c r="P21" i="270"/>
  <c r="C19" i="1"/>
  <c r="K19" i="1"/>
  <c r="C19" i="249"/>
  <c r="K19" i="249"/>
  <c r="C19" i="252"/>
  <c r="K19" i="252"/>
  <c r="C19" i="253"/>
  <c r="K19" i="253"/>
  <c r="C41" i="262"/>
  <c r="K41" i="262"/>
  <c r="K43" i="262"/>
  <c r="K45" i="262"/>
  <c r="B40" i="263"/>
  <c r="B42" i="263"/>
  <c r="B44" i="263"/>
  <c r="E39" i="16"/>
  <c r="F44" i="14"/>
  <c r="E24" i="219"/>
  <c r="F24" i="218"/>
  <c r="C43" i="249"/>
  <c r="C39" i="276"/>
  <c r="C24" i="234"/>
  <c r="C47" i="1"/>
  <c r="C43" i="220"/>
  <c r="C32" i="233"/>
  <c r="D19" i="1"/>
  <c r="L19" i="1"/>
  <c r="D19" i="249"/>
  <c r="L19" i="249"/>
  <c r="D19" i="252"/>
  <c r="L19" i="252"/>
  <c r="D19" i="253"/>
  <c r="L19" i="253"/>
  <c r="L43" i="262"/>
  <c r="I52" i="262"/>
  <c r="C63" i="262"/>
  <c r="B73" i="263"/>
  <c r="B75" i="263"/>
  <c r="B77" i="263"/>
  <c r="D47" i="1"/>
  <c r="D43" i="220"/>
  <c r="D32" i="233"/>
  <c r="D51" i="1"/>
  <c r="D47" i="220"/>
  <c r="D40" i="233"/>
  <c r="F80" i="14"/>
  <c r="E89" i="219"/>
  <c r="F89" i="218"/>
  <c r="C39" i="249"/>
  <c r="C34" i="276"/>
  <c r="C16" i="234"/>
  <c r="D41" i="1"/>
  <c r="D36" i="220"/>
  <c r="D20" i="233"/>
  <c r="C52" i="249"/>
  <c r="C48" i="276"/>
  <c r="C42" i="234"/>
  <c r="D71" i="1"/>
  <c r="D74" i="233"/>
  <c r="E84" i="2"/>
  <c r="G84" i="2"/>
  <c r="I84" i="2" s="1"/>
  <c r="K84" i="2" s="1"/>
  <c r="E19" i="1"/>
  <c r="M19" i="1"/>
  <c r="E19" i="249"/>
  <c r="M19" i="249"/>
  <c r="E19" i="252"/>
  <c r="M19" i="252"/>
  <c r="E19" i="253"/>
  <c r="M19" i="253"/>
  <c r="B63" i="263"/>
  <c r="B65" i="263"/>
  <c r="B67" i="263"/>
  <c r="E40" i="1"/>
  <c r="E35" i="220"/>
  <c r="E18" i="233"/>
  <c r="F73" i="14"/>
  <c r="F76" i="218"/>
  <c r="E76" i="219"/>
  <c r="D67" i="1"/>
  <c r="D66" i="233"/>
  <c r="D40" i="249"/>
  <c r="D35" i="276"/>
  <c r="D18" i="234"/>
  <c r="E85" i="2"/>
  <c r="G85" i="2"/>
  <c r="I85" i="2" s="1"/>
  <c r="K85" i="2" s="1"/>
  <c r="F19" i="1"/>
  <c r="N19" i="1"/>
  <c r="P21" i="271"/>
  <c r="F19" i="249"/>
  <c r="N19" i="249"/>
  <c r="P21" i="272"/>
  <c r="F19" i="252"/>
  <c r="N19" i="252"/>
  <c r="P21" i="273"/>
  <c r="F19" i="253"/>
  <c r="N19" i="253"/>
  <c r="D34" i="262"/>
  <c r="L34" i="262"/>
  <c r="C52" i="262"/>
  <c r="K52" i="262"/>
  <c r="K54" i="262"/>
  <c r="K56" i="262"/>
  <c r="N73" i="262"/>
  <c r="B51" i="263"/>
  <c r="B53" i="263"/>
  <c r="B55" i="263"/>
  <c r="E34" i="16"/>
  <c r="F40" i="14"/>
  <c r="E16" i="219"/>
  <c r="F16" i="218"/>
  <c r="E42" i="1"/>
  <c r="E38" i="220"/>
  <c r="E22" i="233"/>
  <c r="C48" i="249"/>
  <c r="C44" i="276"/>
  <c r="C50" i="249"/>
  <c r="C46" i="276"/>
  <c r="C38" i="234"/>
  <c r="A67" i="1"/>
  <c r="B58" i="2"/>
  <c r="A67" i="252"/>
  <c r="A67" i="253"/>
  <c r="A67" i="249"/>
  <c r="E40" i="14"/>
  <c r="D34" i="16"/>
  <c r="F18" i="218"/>
  <c r="F22" i="218"/>
  <c r="D40" i="16"/>
  <c r="E45" i="14"/>
  <c r="D42" i="16"/>
  <c r="E47" i="14"/>
  <c r="D44" i="16"/>
  <c r="E49" i="14"/>
  <c r="D46" i="16"/>
  <c r="E51" i="14"/>
  <c r="D48" i="16"/>
  <c r="E53" i="14"/>
  <c r="C41" i="1"/>
  <c r="C36" i="220"/>
  <c r="C46" i="1"/>
  <c r="C42" i="220"/>
  <c r="D34" i="219"/>
  <c r="D42" i="219"/>
  <c r="D103" i="219"/>
  <c r="C53" i="233"/>
  <c r="C70" i="233"/>
  <c r="C87" i="233"/>
  <c r="D36" i="16"/>
  <c r="E42" i="14"/>
  <c r="D39" i="16"/>
  <c r="E44" i="14"/>
  <c r="C40" i="1"/>
  <c r="C35" i="220"/>
  <c r="C30" i="233"/>
  <c r="C66" i="233"/>
  <c r="C82" i="233"/>
  <c r="D40" i="1"/>
  <c r="D35" i="220"/>
  <c r="C45" i="1"/>
  <c r="C41" i="220"/>
  <c r="C50" i="1"/>
  <c r="C46" i="220"/>
  <c r="D59" i="1"/>
  <c r="D55" i="233"/>
  <c r="D66" i="1"/>
  <c r="D64" i="233"/>
  <c r="D80" i="219"/>
  <c r="D89" i="219"/>
  <c r="C64" i="233"/>
  <c r="D33" i="16"/>
  <c r="E39" i="14"/>
  <c r="D41" i="16"/>
  <c r="E46" i="14"/>
  <c r="D43" i="16"/>
  <c r="E48" i="14"/>
  <c r="E50" i="14"/>
  <c r="D45" i="16"/>
  <c r="D47" i="16"/>
  <c r="E52" i="14"/>
  <c r="D49" i="16"/>
  <c r="E54" i="14"/>
  <c r="F104" i="218"/>
  <c r="C43" i="1"/>
  <c r="C39" i="220"/>
  <c r="D28" i="219"/>
  <c r="D38" i="219"/>
  <c r="D47" i="219"/>
  <c r="C51" i="233"/>
  <c r="C62" i="233"/>
  <c r="C78" i="233"/>
  <c r="C95" i="233"/>
  <c r="E14" i="218"/>
  <c r="E28" i="218"/>
  <c r="E32" i="218"/>
  <c r="E36" i="218"/>
  <c r="E40" i="218"/>
  <c r="E44" i="218"/>
  <c r="E49" i="218"/>
  <c r="E53" i="218"/>
  <c r="E57" i="218"/>
  <c r="E62" i="218"/>
  <c r="E66" i="218"/>
  <c r="E70" i="218"/>
  <c r="E74" i="218"/>
  <c r="E78" i="218"/>
  <c r="E82" i="218"/>
  <c r="E87" i="218"/>
  <c r="E91" i="218"/>
  <c r="E95" i="218"/>
  <c r="C39" i="1"/>
  <c r="C34" i="220"/>
  <c r="D24" i="219"/>
  <c r="C44" i="1"/>
  <c r="C40" i="220"/>
  <c r="C49" i="1"/>
  <c r="C45" i="220"/>
  <c r="C53" i="1"/>
  <c r="C49" i="220"/>
  <c r="D53" i="219"/>
  <c r="D62" i="219"/>
  <c r="D70" i="219"/>
  <c r="D78" i="219"/>
  <c r="D87" i="219"/>
  <c r="D95" i="219"/>
  <c r="C28" i="233"/>
  <c r="D35" i="16"/>
  <c r="E41" i="14"/>
  <c r="D38" i="16"/>
  <c r="E43" i="14"/>
  <c r="D16" i="219"/>
  <c r="C42" i="1"/>
  <c r="C38" i="220"/>
  <c r="D26" i="219"/>
  <c r="D36" i="219"/>
  <c r="D44" i="219"/>
  <c r="C61" i="1"/>
  <c r="C59" i="233"/>
  <c r="C68" i="1"/>
  <c r="C68" i="233"/>
  <c r="C72" i="1"/>
  <c r="C76" i="233"/>
  <c r="C77" i="1"/>
  <c r="C85" i="233"/>
  <c r="C81" i="1"/>
  <c r="C93" i="233"/>
  <c r="C20" i="233"/>
  <c r="C49" i="233"/>
  <c r="C57" i="233"/>
  <c r="C74" i="233"/>
  <c r="C91" i="233"/>
  <c r="E35" i="16"/>
  <c r="F41" i="14"/>
  <c r="E38" i="16"/>
  <c r="F43" i="14"/>
  <c r="C38" i="1"/>
  <c r="C33" i="220"/>
  <c r="D22" i="219"/>
  <c r="C48" i="1"/>
  <c r="C44" i="220"/>
  <c r="C52" i="1"/>
  <c r="C48" i="220"/>
  <c r="D51" i="219"/>
  <c r="D59" i="219"/>
  <c r="D68" i="219"/>
  <c r="D76" i="219"/>
  <c r="D85" i="219"/>
  <c r="D93" i="219"/>
  <c r="C124" i="1"/>
  <c r="C103" i="233"/>
  <c r="C26" i="233"/>
  <c r="C55" i="233"/>
  <c r="C72" i="233"/>
  <c r="C89" i="233"/>
  <c r="C13" i="1"/>
  <c r="F13" i="3"/>
  <c r="A52" i="1"/>
  <c r="B43" i="2"/>
  <c r="A52" i="252"/>
  <c r="A52" i="249"/>
  <c r="A52" i="253"/>
  <c r="A58" i="1"/>
  <c r="B49" i="2"/>
  <c r="A58" i="253"/>
  <c r="A58" i="249"/>
  <c r="A58" i="252"/>
  <c r="A75" i="1"/>
  <c r="B66" i="2"/>
  <c r="A75" i="252"/>
  <c r="A75" i="253"/>
  <c r="G24" i="16"/>
  <c r="G21" i="16"/>
  <c r="G19" i="16"/>
  <c r="G52" i="16"/>
  <c r="X28" i="4"/>
  <c r="T19" i="10" s="1"/>
  <c r="S19" i="10" s="1"/>
  <c r="X24" i="269"/>
  <c r="T35" i="10" s="1"/>
  <c r="A45" i="1"/>
  <c r="B36" i="2"/>
  <c r="A61" i="1"/>
  <c r="B52" i="2"/>
  <c r="A70" i="1"/>
  <c r="B61" i="2"/>
  <c r="A80" i="1"/>
  <c r="B71" i="2"/>
  <c r="A30" i="249"/>
  <c r="A66" i="249"/>
  <c r="A74" i="249"/>
  <c r="A29" i="252"/>
  <c r="A48" i="252"/>
  <c r="A65" i="252"/>
  <c r="A73" i="252"/>
  <c r="A41" i="253"/>
  <c r="A61" i="253"/>
  <c r="A71" i="253"/>
  <c r="B30" i="2"/>
  <c r="B51" i="2"/>
  <c r="B65" i="2"/>
  <c r="X31" i="269"/>
  <c r="T42" i="10" s="1"/>
  <c r="A42" i="1"/>
  <c r="B33" i="2"/>
  <c r="A49" i="1"/>
  <c r="B40" i="2"/>
  <c r="A79" i="1"/>
  <c r="B70" i="2"/>
  <c r="A39" i="249"/>
  <c r="A51" i="249"/>
  <c r="A60" i="249"/>
  <c r="A68" i="249"/>
  <c r="A76" i="249"/>
  <c r="A50" i="252"/>
  <c r="A59" i="252"/>
  <c r="A66" i="252"/>
  <c r="A70" i="252"/>
  <c r="A74" i="252"/>
  <c r="A43" i="253"/>
  <c r="A63" i="253"/>
  <c r="A72" i="253"/>
  <c r="B34" i="2"/>
  <c r="B41" i="2"/>
  <c r="A69" i="1"/>
  <c r="B60" i="2"/>
  <c r="A69" i="249"/>
  <c r="A39" i="252"/>
  <c r="A51" i="252"/>
  <c r="A60" i="252"/>
  <c r="A45" i="253"/>
  <c r="A55" i="253"/>
  <c r="B62" i="2"/>
  <c r="E56" i="16"/>
  <c r="E17" i="16"/>
  <c r="B36" i="10"/>
  <c r="B25" i="268"/>
  <c r="X20" i="4"/>
  <c r="T11" i="10" s="1"/>
  <c r="S11" i="10" s="1"/>
  <c r="X30" i="4"/>
  <c r="T21" i="10" s="1"/>
  <c r="S21" i="10" s="1"/>
  <c r="A57" i="1"/>
  <c r="B48" i="2"/>
  <c r="A82" i="1"/>
  <c r="B73" i="2"/>
  <c r="A42" i="249"/>
  <c r="A53" i="249"/>
  <c r="A70" i="249"/>
  <c r="A78" i="249"/>
  <c r="A61" i="252"/>
  <c r="A71" i="252"/>
  <c r="A29" i="253"/>
  <c r="A57" i="253"/>
  <c r="A69" i="253"/>
  <c r="B42" i="2"/>
  <c r="B46" i="2"/>
  <c r="B63" i="2"/>
  <c r="X22" i="4"/>
  <c r="T13" i="10" s="1"/>
  <c r="S13" i="10" s="1"/>
  <c r="X27" i="4"/>
  <c r="T18" i="10" s="1"/>
  <c r="S18" i="10" s="1"/>
  <c r="X29" i="4"/>
  <c r="T20" i="10" s="1"/>
  <c r="S20" i="10" s="1"/>
  <c r="X31" i="4"/>
  <c r="T22" i="10" s="1"/>
  <c r="S22" i="10" s="1"/>
  <c r="G102" i="10"/>
  <c r="M107" i="10"/>
  <c r="N102" i="10"/>
  <c r="G107" i="10"/>
  <c r="I102" i="10"/>
  <c r="P102" i="10"/>
  <c r="F102" i="10"/>
  <c r="I107" i="10"/>
  <c r="K102" i="10"/>
  <c r="P107" i="10"/>
  <c r="F107" i="10"/>
  <c r="K107" i="10"/>
  <c r="A41" i="1"/>
  <c r="B32" i="2"/>
  <c r="A48" i="1"/>
  <c r="B39" i="2"/>
  <c r="A43" i="249"/>
  <c r="A63" i="249"/>
  <c r="A71" i="249"/>
  <c r="A79" i="249"/>
  <c r="A42" i="252"/>
  <c r="A53" i="252"/>
  <c r="A80" i="252"/>
  <c r="A30" i="253"/>
  <c r="A49" i="253"/>
  <c r="A78" i="253"/>
  <c r="A82" i="253"/>
  <c r="S11" i="212"/>
  <c r="S31" i="212" s="1"/>
  <c r="X21" i="4"/>
  <c r="T12" i="10" s="1"/>
  <c r="S12" i="10" s="1"/>
  <c r="X23" i="4"/>
  <c r="T14" i="10" s="1"/>
  <c r="S14" i="10" s="1"/>
  <c r="A64" i="1"/>
  <c r="B55" i="2"/>
  <c r="A68" i="1"/>
  <c r="B59" i="2"/>
  <c r="A76" i="1"/>
  <c r="A67" i="2"/>
  <c r="A81" i="1"/>
  <c r="B72" i="2"/>
  <c r="A45" i="249"/>
  <c r="A55" i="249"/>
  <c r="A64" i="249"/>
  <c r="A72" i="249"/>
  <c r="A80" i="249"/>
  <c r="A43" i="252"/>
  <c r="A63" i="252"/>
  <c r="A68" i="252"/>
  <c r="A72" i="252"/>
  <c r="A76" i="252"/>
  <c r="A50" i="253"/>
  <c r="A59" i="253"/>
  <c r="A66" i="253"/>
  <c r="A70" i="253"/>
  <c r="A74" i="253"/>
  <c r="B50" i="2"/>
  <c r="B54" i="2"/>
  <c r="B69" i="2"/>
  <c r="C89" i="16"/>
  <c r="D86" i="16"/>
  <c r="X21" i="269"/>
  <c r="T32" i="10" s="1"/>
  <c r="S32" i="10" s="1"/>
  <c r="X28" i="269"/>
  <c r="T39" i="10" s="1"/>
  <c r="S39" i="10" s="1"/>
  <c r="A65" i="1"/>
  <c r="B56" i="2"/>
  <c r="A73" i="1"/>
  <c r="B64" i="2"/>
  <c r="A77" i="1"/>
  <c r="B68" i="2"/>
  <c r="A29" i="249"/>
  <c r="A48" i="249"/>
  <c r="A57" i="249"/>
  <c r="A65" i="249"/>
  <c r="A73" i="249"/>
  <c r="A81" i="249"/>
  <c r="A45" i="252"/>
  <c r="A55" i="252"/>
  <c r="A64" i="252"/>
  <c r="A77" i="252"/>
  <c r="A81" i="252"/>
  <c r="A39" i="253"/>
  <c r="A51" i="253"/>
  <c r="A60" i="253"/>
  <c r="A79" i="253"/>
  <c r="H71" i="7"/>
  <c r="I63" i="7"/>
  <c r="I71" i="7" s="1"/>
  <c r="H21" i="220"/>
  <c r="H24" i="220"/>
  <c r="G24" i="276"/>
  <c r="G21" i="276"/>
  <c r="C89" i="276"/>
  <c r="D86" i="276"/>
  <c r="B22" i="266"/>
  <c r="B102" i="10" s="1"/>
  <c r="B77" i="10"/>
  <c r="E52" i="220"/>
  <c r="E17" i="276"/>
  <c r="H17" i="221" s="1"/>
  <c r="E56" i="276"/>
  <c r="F21" i="220"/>
  <c r="D89" i="220"/>
  <c r="E86" i="220"/>
  <c r="B78" i="10"/>
  <c r="B23" i="266"/>
  <c r="B103" i="10" s="1"/>
  <c r="C117" i="16"/>
  <c r="C118" i="16" s="1"/>
  <c r="E19" i="220"/>
  <c r="D116" i="220"/>
  <c r="C117" i="220"/>
  <c r="C118" i="220" s="1"/>
  <c r="D118" i="276"/>
  <c r="E117" i="276"/>
  <c r="E118" i="276" s="1"/>
  <c r="F29" i="10"/>
  <c r="B26" i="267"/>
  <c r="B31" i="268"/>
  <c r="I64" i="18"/>
  <c r="H64" i="18" s="1"/>
  <c r="M64" i="18" s="1"/>
  <c r="J43" i="17"/>
  <c r="D43" i="17"/>
  <c r="K43" i="17" s="1"/>
  <c r="D47" i="17"/>
  <c r="J47" i="17"/>
  <c r="K51" i="17"/>
  <c r="K59" i="17"/>
  <c r="E19" i="276"/>
  <c r="H19" i="221" s="1"/>
  <c r="B52" i="10"/>
  <c r="D25" i="17"/>
  <c r="D40" i="17"/>
  <c r="I66" i="19"/>
  <c r="H66" i="19" s="1"/>
  <c r="B30" i="266"/>
  <c r="B110" i="10" s="1"/>
  <c r="B35" i="10"/>
  <c r="B24" i="268"/>
  <c r="D39" i="17"/>
  <c r="J39" i="17"/>
  <c r="H43" i="17"/>
  <c r="I43" i="17" s="1"/>
  <c r="H47" i="17"/>
  <c r="I47" i="17" s="1"/>
  <c r="B73" i="19"/>
  <c r="E73" i="19" s="1"/>
  <c r="G73" i="19" s="1"/>
  <c r="I73" i="19" s="1"/>
  <c r="H73" i="19" s="1"/>
  <c r="B63" i="19"/>
  <c r="E63" i="19" s="1"/>
  <c r="G63" i="19" s="1"/>
  <c r="I63" i="19" s="1"/>
  <c r="H63" i="19" s="1"/>
  <c r="M63" i="19" s="1"/>
  <c r="J40" i="17"/>
  <c r="H25" i="17"/>
  <c r="I25" i="17" s="1"/>
  <c r="J42" i="17"/>
  <c r="B54" i="19"/>
  <c r="E54" i="19" s="1"/>
  <c r="G54" i="19" s="1"/>
  <c r="I54" i="19" s="1"/>
  <c r="H54" i="19" s="1"/>
  <c r="N54" i="19" s="1"/>
  <c r="F76" i="22"/>
  <c r="F84" i="22"/>
  <c r="F92" i="22"/>
  <c r="F100" i="22"/>
  <c r="F108" i="22"/>
  <c r="F116" i="22"/>
  <c r="F124" i="22"/>
  <c r="F132" i="22"/>
  <c r="F140" i="22"/>
  <c r="F148" i="22"/>
  <c r="F156" i="22"/>
  <c r="F164" i="22"/>
  <c r="F172" i="22"/>
  <c r="F180" i="22"/>
  <c r="F188" i="22"/>
  <c r="F196" i="22"/>
  <c r="F204" i="22"/>
  <c r="F212" i="22"/>
  <c r="F220" i="22"/>
  <c r="F225" i="22"/>
  <c r="F233" i="22"/>
  <c r="F241" i="22"/>
  <c r="F249" i="22"/>
  <c r="F257" i="22"/>
  <c r="F265" i="22"/>
  <c r="B58" i="23"/>
  <c r="E58" i="23" s="1"/>
  <c r="G58" i="23" s="1"/>
  <c r="F74" i="23"/>
  <c r="F81" i="23"/>
  <c r="B88" i="23"/>
  <c r="E88" i="23" s="1"/>
  <c r="G88" i="23" s="1"/>
  <c r="F90" i="23"/>
  <c r="F95" i="23"/>
  <c r="F100" i="23"/>
  <c r="F105" i="23"/>
  <c r="B110" i="23"/>
  <c r="E110" i="23" s="1"/>
  <c r="G110" i="23" s="1"/>
  <c r="F122" i="23"/>
  <c r="F127" i="23"/>
  <c r="F132" i="23"/>
  <c r="F137" i="23"/>
  <c r="F139" i="23"/>
  <c r="F144" i="23"/>
  <c r="F146" i="23"/>
  <c r="F151" i="23"/>
  <c r="F156" i="23"/>
  <c r="F161" i="23"/>
  <c r="F169" i="23"/>
  <c r="F185" i="23"/>
  <c r="F201" i="23"/>
  <c r="F217" i="23"/>
  <c r="F230" i="23"/>
  <c r="F262" i="23"/>
  <c r="B63" i="210"/>
  <c r="E63" i="210" s="1"/>
  <c r="G63" i="210" s="1"/>
  <c r="B73" i="210"/>
  <c r="E73" i="210" s="1"/>
  <c r="G73" i="210" s="1"/>
  <c r="B69" i="22"/>
  <c r="E69" i="22" s="1"/>
  <c r="G69" i="22" s="1"/>
  <c r="F79" i="22"/>
  <c r="F87" i="22"/>
  <c r="F95" i="22"/>
  <c r="F103" i="22"/>
  <c r="F111" i="22"/>
  <c r="F119" i="22"/>
  <c r="F127" i="22"/>
  <c r="F135" i="22"/>
  <c r="F143" i="22"/>
  <c r="F151" i="22"/>
  <c r="F159" i="22"/>
  <c r="F167" i="22"/>
  <c r="F175" i="22"/>
  <c r="F183" i="22"/>
  <c r="F191" i="22"/>
  <c r="F199" i="22"/>
  <c r="F207" i="22"/>
  <c r="F215" i="22"/>
  <c r="F228" i="22"/>
  <c r="F236" i="22"/>
  <c r="F244" i="22"/>
  <c r="F252" i="22"/>
  <c r="F260" i="22"/>
  <c r="B54" i="23"/>
  <c r="E54" i="23" s="1"/>
  <c r="G54" i="23" s="1"/>
  <c r="B56" i="23"/>
  <c r="E56" i="23" s="1"/>
  <c r="G56" i="23" s="1"/>
  <c r="F79" i="23"/>
  <c r="B86" i="23"/>
  <c r="E86" i="23" s="1"/>
  <c r="G86" i="23" s="1"/>
  <c r="F88" i="23"/>
  <c r="F93" i="23"/>
  <c r="B98" i="23"/>
  <c r="E98" i="23" s="1"/>
  <c r="G98" i="23" s="1"/>
  <c r="F110" i="23"/>
  <c r="F115" i="23"/>
  <c r="F120" i="23"/>
  <c r="F125" i="23"/>
  <c r="B130" i="23"/>
  <c r="E130" i="23" s="1"/>
  <c r="G130" i="23" s="1"/>
  <c r="B142" i="23"/>
  <c r="E142" i="23" s="1"/>
  <c r="G142" i="23" s="1"/>
  <c r="F149" i="23"/>
  <c r="B154" i="23"/>
  <c r="E154" i="23" s="1"/>
  <c r="G154" i="23" s="1"/>
  <c r="F164" i="23"/>
  <c r="F182" i="23"/>
  <c r="F198" i="23"/>
  <c r="F214" i="23"/>
  <c r="F234" i="23"/>
  <c r="I61" i="19"/>
  <c r="H61" i="19" s="1"/>
  <c r="M61" i="19" s="1"/>
  <c r="B50" i="22"/>
  <c r="E50" i="22" s="1"/>
  <c r="G50" i="22" s="1"/>
  <c r="F74" i="22"/>
  <c r="F82" i="22"/>
  <c r="F90" i="22"/>
  <c r="F98" i="22"/>
  <c r="F106" i="22"/>
  <c r="F114" i="22"/>
  <c r="F122" i="22"/>
  <c r="F130" i="22"/>
  <c r="F138" i="22"/>
  <c r="F146" i="22"/>
  <c r="F154" i="22"/>
  <c r="F162" i="22"/>
  <c r="F170" i="22"/>
  <c r="F178" i="22"/>
  <c r="F186" i="22"/>
  <c r="F194" i="22"/>
  <c r="F202" i="22"/>
  <c r="F210" i="22"/>
  <c r="F218" i="22"/>
  <c r="F223" i="22"/>
  <c r="F231" i="22"/>
  <c r="F239" i="22"/>
  <c r="F247" i="22"/>
  <c r="F255" i="22"/>
  <c r="F263" i="22"/>
  <c r="B63" i="23"/>
  <c r="E63" i="23" s="1"/>
  <c r="G63" i="23" s="1"/>
  <c r="F77" i="23"/>
  <c r="B84" i="23"/>
  <c r="E84" i="23" s="1"/>
  <c r="G84" i="23" s="1"/>
  <c r="F86" i="23"/>
  <c r="F98" i="23"/>
  <c r="F103" i="23"/>
  <c r="F108" i="23"/>
  <c r="F113" i="23"/>
  <c r="B118" i="23"/>
  <c r="E118" i="23" s="1"/>
  <c r="G118" i="23" s="1"/>
  <c r="F130" i="23"/>
  <c r="F135" i="23"/>
  <c r="F142" i="23"/>
  <c r="F154" i="23"/>
  <c r="F159" i="23"/>
  <c r="F167" i="23"/>
  <c r="F173" i="23"/>
  <c r="F189" i="23"/>
  <c r="F205" i="23"/>
  <c r="F221" i="23"/>
  <c r="F238" i="23"/>
  <c r="E77" i="18"/>
  <c r="C33" i="18" s="1"/>
  <c r="I33" i="18" s="1"/>
  <c r="H33" i="18" s="1"/>
  <c r="F77" i="22"/>
  <c r="F85" i="22"/>
  <c r="F93" i="22"/>
  <c r="F101" i="22"/>
  <c r="F109" i="22"/>
  <c r="F117" i="22"/>
  <c r="F125" i="22"/>
  <c r="F133" i="22"/>
  <c r="F141" i="22"/>
  <c r="F149" i="22"/>
  <c r="F157" i="22"/>
  <c r="F165" i="22"/>
  <c r="F173" i="22"/>
  <c r="F181" i="22"/>
  <c r="F189" i="22"/>
  <c r="F197" i="22"/>
  <c r="F205" i="22"/>
  <c r="F213" i="22"/>
  <c r="F221" i="22"/>
  <c r="F226" i="22"/>
  <c r="F234" i="22"/>
  <c r="F242" i="22"/>
  <c r="F250" i="22"/>
  <c r="F258" i="22"/>
  <c r="F73" i="23"/>
  <c r="F75" i="23"/>
  <c r="B82" i="23"/>
  <c r="E82" i="23" s="1"/>
  <c r="G82" i="23" s="1"/>
  <c r="F84" i="23"/>
  <c r="F91" i="23"/>
  <c r="F96" i="23"/>
  <c r="F101" i="23"/>
  <c r="B106" i="23"/>
  <c r="E106" i="23" s="1"/>
  <c r="G106" i="23" s="1"/>
  <c r="F118" i="23"/>
  <c r="F123" i="23"/>
  <c r="F128" i="23"/>
  <c r="F133" i="23"/>
  <c r="F140" i="23"/>
  <c r="F145" i="23"/>
  <c r="F147" i="23"/>
  <c r="F152" i="23"/>
  <c r="F157" i="23"/>
  <c r="F162" i="23"/>
  <c r="F170" i="23"/>
  <c r="F186" i="23"/>
  <c r="F202" i="23"/>
  <c r="F218" i="23"/>
  <c r="F242" i="23"/>
  <c r="D42" i="17"/>
  <c r="E42" i="17" s="1"/>
  <c r="I50" i="18"/>
  <c r="H50" i="18" s="1"/>
  <c r="N50" i="18" s="1"/>
  <c r="F128" i="22"/>
  <c r="F136" i="22"/>
  <c r="F144" i="22"/>
  <c r="F152" i="22"/>
  <c r="F160" i="22"/>
  <c r="F168" i="22"/>
  <c r="F176" i="22"/>
  <c r="F184" i="22"/>
  <c r="F192" i="22"/>
  <c r="F200" i="22"/>
  <c r="F208" i="22"/>
  <c r="F216" i="22"/>
  <c r="F229" i="22"/>
  <c r="F237" i="22"/>
  <c r="F245" i="22"/>
  <c r="F253" i="22"/>
  <c r="F261" i="22"/>
  <c r="B263" i="23"/>
  <c r="E263" i="23" s="1"/>
  <c r="G263" i="23" s="1"/>
  <c r="B80" i="23"/>
  <c r="E80" i="23" s="1"/>
  <c r="G80" i="23" s="1"/>
  <c r="F82" i="23"/>
  <c r="F89" i="23"/>
  <c r="B94" i="23"/>
  <c r="E94" i="23" s="1"/>
  <c r="G94" i="23" s="1"/>
  <c r="F106" i="23"/>
  <c r="F111" i="23"/>
  <c r="F116" i="23"/>
  <c r="F121" i="23"/>
  <c r="B126" i="23"/>
  <c r="E126" i="23" s="1"/>
  <c r="G126" i="23" s="1"/>
  <c r="B138" i="23"/>
  <c r="E138" i="23" s="1"/>
  <c r="G138" i="23" s="1"/>
  <c r="B150" i="23"/>
  <c r="E150" i="23" s="1"/>
  <c r="G150" i="23" s="1"/>
  <c r="F165" i="23"/>
  <c r="F177" i="23"/>
  <c r="F193" i="23"/>
  <c r="F209" i="23"/>
  <c r="F225" i="23"/>
  <c r="F246" i="23"/>
  <c r="I54" i="18"/>
  <c r="H54" i="18" s="1"/>
  <c r="N54" i="18" s="1"/>
  <c r="F219" i="22"/>
  <c r="F224" i="22"/>
  <c r="F232" i="22"/>
  <c r="F240" i="22"/>
  <c r="F248" i="22"/>
  <c r="F256" i="22"/>
  <c r="F264" i="22"/>
  <c r="B78" i="23"/>
  <c r="E78" i="23" s="1"/>
  <c r="G78" i="23" s="1"/>
  <c r="F80" i="23"/>
  <c r="F87" i="23"/>
  <c r="F94" i="23"/>
  <c r="F99" i="23"/>
  <c r="F104" i="23"/>
  <c r="F109" i="23"/>
  <c r="B114" i="23"/>
  <c r="E114" i="23" s="1"/>
  <c r="G114" i="23" s="1"/>
  <c r="F126" i="23"/>
  <c r="F131" i="23"/>
  <c r="F136" i="23"/>
  <c r="F138" i="23"/>
  <c r="F143" i="23"/>
  <c r="F150" i="23"/>
  <c r="F155" i="23"/>
  <c r="F160" i="23"/>
  <c r="F168" i="23"/>
  <c r="F174" i="23"/>
  <c r="F190" i="23"/>
  <c r="F206" i="23"/>
  <c r="F222" i="23"/>
  <c r="F265" i="23"/>
  <c r="F257" i="23"/>
  <c r="F249" i="23"/>
  <c r="F241" i="23"/>
  <c r="F233" i="23"/>
  <c r="F259" i="23"/>
  <c r="F251" i="23"/>
  <c r="F243" i="23"/>
  <c r="F235" i="23"/>
  <c r="F227" i="23"/>
  <c r="F219" i="23"/>
  <c r="F211" i="23"/>
  <c r="F203" i="23"/>
  <c r="F195" i="23"/>
  <c r="F187" i="23"/>
  <c r="F179" i="23"/>
  <c r="F171" i="23"/>
  <c r="F264" i="23"/>
  <c r="F256" i="23"/>
  <c r="F248" i="23"/>
  <c r="F240" i="23"/>
  <c r="F232" i="23"/>
  <c r="F224" i="23"/>
  <c r="F216" i="23"/>
  <c r="F208" i="23"/>
  <c r="F200" i="23"/>
  <c r="F192" i="23"/>
  <c r="F184" i="23"/>
  <c r="F176" i="23"/>
  <c r="F261" i="23"/>
  <c r="F253" i="23"/>
  <c r="F245" i="23"/>
  <c r="F237" i="23"/>
  <c r="F229" i="23"/>
  <c r="F263" i="23"/>
  <c r="F255" i="23"/>
  <c r="F247" i="23"/>
  <c r="F239" i="23"/>
  <c r="F231" i="23"/>
  <c r="F223" i="23"/>
  <c r="F215" i="23"/>
  <c r="F207" i="23"/>
  <c r="F199" i="23"/>
  <c r="F191" i="23"/>
  <c r="F183" i="23"/>
  <c r="F175" i="23"/>
  <c r="F260" i="23"/>
  <c r="F252" i="23"/>
  <c r="F244" i="23"/>
  <c r="F236" i="23"/>
  <c r="F228" i="23"/>
  <c r="F220" i="23"/>
  <c r="F212" i="23"/>
  <c r="F204" i="23"/>
  <c r="F196" i="23"/>
  <c r="F188" i="23"/>
  <c r="F180" i="23"/>
  <c r="F172" i="23"/>
  <c r="F78" i="23"/>
  <c r="F85" i="23"/>
  <c r="F92" i="23"/>
  <c r="F97" i="23"/>
  <c r="F114" i="23"/>
  <c r="F119" i="23"/>
  <c r="F124" i="23"/>
  <c r="F129" i="23"/>
  <c r="B134" i="23"/>
  <c r="E134" i="23" s="1"/>
  <c r="G134" i="23" s="1"/>
  <c r="F141" i="23"/>
  <c r="F148" i="23"/>
  <c r="F153" i="23"/>
  <c r="B158" i="23"/>
  <c r="E158" i="23" s="1"/>
  <c r="G158" i="23" s="1"/>
  <c r="F163" i="23"/>
  <c r="F181" i="23"/>
  <c r="F197" i="23"/>
  <c r="F213" i="23"/>
  <c r="F254" i="23"/>
  <c r="I51" i="18"/>
  <c r="H51" i="18" s="1"/>
  <c r="N51" i="18" s="1"/>
  <c r="F153" i="22"/>
  <c r="F161" i="22"/>
  <c r="F169" i="22"/>
  <c r="F177" i="22"/>
  <c r="F185" i="22"/>
  <c r="F193" i="22"/>
  <c r="F201" i="22"/>
  <c r="F209" i="22"/>
  <c r="F217" i="22"/>
  <c r="F230" i="22"/>
  <c r="F238" i="22"/>
  <c r="F246" i="22"/>
  <c r="F254" i="22"/>
  <c r="B74" i="23"/>
  <c r="E74" i="23" s="1"/>
  <c r="G74" i="23" s="1"/>
  <c r="F76" i="23"/>
  <c r="F83" i="23"/>
  <c r="B90" i="23"/>
  <c r="E90" i="23" s="1"/>
  <c r="G90" i="23" s="1"/>
  <c r="F102" i="23"/>
  <c r="F107" i="23"/>
  <c r="F112" i="23"/>
  <c r="F117" i="23"/>
  <c r="B122" i="23"/>
  <c r="E122" i="23" s="1"/>
  <c r="G122" i="23" s="1"/>
  <c r="F134" i="23"/>
  <c r="F158" i="23"/>
  <c r="F166" i="23"/>
  <c r="F178" i="23"/>
  <c r="F194" i="23"/>
  <c r="F210" i="23"/>
  <c r="F226" i="23"/>
  <c r="F258" i="23"/>
  <c r="B82" i="210"/>
  <c r="E82" i="210" s="1"/>
  <c r="G82" i="210" s="1"/>
  <c r="B84" i="210"/>
  <c r="E84" i="210" s="1"/>
  <c r="G84" i="210" s="1"/>
  <c r="F86" i="210"/>
  <c r="F88" i="210"/>
  <c r="B99" i="210"/>
  <c r="E99" i="210" s="1"/>
  <c r="G99" i="210" s="1"/>
  <c r="F101" i="210"/>
  <c r="F103" i="210"/>
  <c r="B126" i="210"/>
  <c r="E126" i="210" s="1"/>
  <c r="G126" i="210" s="1"/>
  <c r="F146" i="210"/>
  <c r="B151" i="210"/>
  <c r="E151" i="210" s="1"/>
  <c r="G151" i="210" s="1"/>
  <c r="F163" i="210"/>
  <c r="F171" i="210"/>
  <c r="F179" i="210"/>
  <c r="F187" i="210"/>
  <c r="F195" i="210"/>
  <c r="F203" i="210"/>
  <c r="F211" i="210"/>
  <c r="F219" i="210"/>
  <c r="F227" i="210"/>
  <c r="F235" i="210"/>
  <c r="F243" i="210"/>
  <c r="F251" i="210"/>
  <c r="F259" i="210"/>
  <c r="B64" i="227"/>
  <c r="E64" i="227" s="1"/>
  <c r="G64" i="227" s="1"/>
  <c r="B66" i="227"/>
  <c r="E66" i="227" s="1"/>
  <c r="G66" i="227" s="1"/>
  <c r="F77" i="227"/>
  <c r="F85" i="227"/>
  <c r="F93" i="227"/>
  <c r="F101" i="227"/>
  <c r="F109" i="227"/>
  <c r="F117" i="227"/>
  <c r="F125" i="227"/>
  <c r="F133" i="227"/>
  <c r="F141" i="227"/>
  <c r="F149" i="227"/>
  <c r="F157" i="227"/>
  <c r="F165" i="227"/>
  <c r="F170" i="227"/>
  <c r="F175" i="227"/>
  <c r="F180" i="227"/>
  <c r="B185" i="227"/>
  <c r="E185" i="227" s="1"/>
  <c r="G185" i="227" s="1"/>
  <c r="F197" i="227"/>
  <c r="F202" i="227"/>
  <c r="F207" i="227"/>
  <c r="F212" i="227"/>
  <c r="B217" i="227"/>
  <c r="E217" i="227" s="1"/>
  <c r="G217" i="227" s="1"/>
  <c r="B229" i="227"/>
  <c r="E229" i="227" s="1"/>
  <c r="G229" i="227" s="1"/>
  <c r="F239" i="227"/>
  <c r="F247" i="227"/>
  <c r="F255" i="227"/>
  <c r="F263" i="227"/>
  <c r="F76" i="228"/>
  <c r="F81" i="228"/>
  <c r="F86" i="228"/>
  <c r="B91" i="228"/>
  <c r="E91" i="228" s="1"/>
  <c r="G91" i="228" s="1"/>
  <c r="F103" i="228"/>
  <c r="F108" i="228"/>
  <c r="F113" i="228"/>
  <c r="F118" i="228"/>
  <c r="B123" i="228"/>
  <c r="E123" i="228" s="1"/>
  <c r="G123" i="228" s="1"/>
  <c r="F135" i="228"/>
  <c r="F140" i="228"/>
  <c r="F148" i="228"/>
  <c r="F156" i="228"/>
  <c r="F164" i="228"/>
  <c r="F172" i="228"/>
  <c r="F180" i="228"/>
  <c r="F188" i="228"/>
  <c r="F196" i="228"/>
  <c r="F204" i="228"/>
  <c r="F212" i="228"/>
  <c r="F220" i="228"/>
  <c r="F228" i="228"/>
  <c r="F236" i="228"/>
  <c r="F244" i="228"/>
  <c r="F252" i="228"/>
  <c r="F260" i="228"/>
  <c r="B216" i="229"/>
  <c r="E216" i="229" s="1"/>
  <c r="G216" i="229" s="1"/>
  <c r="B194" i="229"/>
  <c r="E194" i="229" s="1"/>
  <c r="G194" i="229" s="1"/>
  <c r="B210" i="229"/>
  <c r="E210" i="229" s="1"/>
  <c r="G210" i="229" s="1"/>
  <c r="B224" i="229"/>
  <c r="E224" i="229" s="1"/>
  <c r="G224" i="229" s="1"/>
  <c r="B202" i="229"/>
  <c r="E202" i="229" s="1"/>
  <c r="G202" i="229" s="1"/>
  <c r="B82" i="229"/>
  <c r="E82" i="229" s="1"/>
  <c r="G82" i="229" s="1"/>
  <c r="F84" i="229"/>
  <c r="F86" i="229"/>
  <c r="B97" i="229"/>
  <c r="E97" i="229" s="1"/>
  <c r="G97" i="229" s="1"/>
  <c r="B99" i="229"/>
  <c r="E99" i="229" s="1"/>
  <c r="G99" i="229" s="1"/>
  <c r="F101" i="229"/>
  <c r="F103" i="229"/>
  <c r="F110" i="229"/>
  <c r="F115" i="229"/>
  <c r="F130" i="229"/>
  <c r="F135" i="229"/>
  <c r="F140" i="229"/>
  <c r="F145" i="229"/>
  <c r="B150" i="229"/>
  <c r="E150" i="229" s="1"/>
  <c r="G150" i="229" s="1"/>
  <c r="F160" i="229"/>
  <c r="F168" i="229"/>
  <c r="F176" i="229"/>
  <c r="F181" i="229"/>
  <c r="B186" i="229"/>
  <c r="E186" i="229" s="1"/>
  <c r="G186" i="229" s="1"/>
  <c r="B198" i="229"/>
  <c r="E198" i="229" s="1"/>
  <c r="G198" i="229" s="1"/>
  <c r="F201" i="229"/>
  <c r="F204" i="229"/>
  <c r="F207" i="229"/>
  <c r="F210" i="229"/>
  <c r="F213" i="229"/>
  <c r="F216" i="229"/>
  <c r="O30" i="267"/>
  <c r="C60" i="10"/>
  <c r="B51" i="210"/>
  <c r="E51" i="210" s="1"/>
  <c r="G51" i="210" s="1"/>
  <c r="B78" i="210"/>
  <c r="E78" i="210" s="1"/>
  <c r="G78" i="210" s="1"/>
  <c r="B80" i="210"/>
  <c r="E80" i="210" s="1"/>
  <c r="G80" i="210" s="1"/>
  <c r="F82" i="210"/>
  <c r="F84" i="210"/>
  <c r="B95" i="210"/>
  <c r="E95" i="210" s="1"/>
  <c r="G95" i="210" s="1"/>
  <c r="F97" i="210"/>
  <c r="F99" i="210"/>
  <c r="B122" i="210"/>
  <c r="E122" i="210" s="1"/>
  <c r="G122" i="210" s="1"/>
  <c r="B124" i="210"/>
  <c r="E124" i="210" s="1"/>
  <c r="G124" i="210" s="1"/>
  <c r="F126" i="210"/>
  <c r="B128" i="210"/>
  <c r="E128" i="210" s="1"/>
  <c r="G128" i="210" s="1"/>
  <c r="B130" i="210"/>
  <c r="E130" i="210" s="1"/>
  <c r="G130" i="210" s="1"/>
  <c r="B142" i="210"/>
  <c r="E142" i="210" s="1"/>
  <c r="G142" i="210" s="1"/>
  <c r="F151" i="210"/>
  <c r="F156" i="210"/>
  <c r="F166" i="210"/>
  <c r="F174" i="210"/>
  <c r="F182" i="210"/>
  <c r="F190" i="210"/>
  <c r="F198" i="210"/>
  <c r="F206" i="210"/>
  <c r="F214" i="210"/>
  <c r="F222" i="210"/>
  <c r="F230" i="210"/>
  <c r="F238" i="210"/>
  <c r="F246" i="210"/>
  <c r="F254" i="210"/>
  <c r="F262" i="210"/>
  <c r="F80" i="227"/>
  <c r="F88" i="227"/>
  <c r="F96" i="227"/>
  <c r="F104" i="227"/>
  <c r="F112" i="227"/>
  <c r="F120" i="227"/>
  <c r="F128" i="227"/>
  <c r="F136" i="227"/>
  <c r="F144" i="227"/>
  <c r="F152" i="227"/>
  <c r="F160" i="227"/>
  <c r="F168" i="227"/>
  <c r="B173" i="227"/>
  <c r="E173" i="227" s="1"/>
  <c r="G173" i="227" s="1"/>
  <c r="F185" i="227"/>
  <c r="F190" i="227"/>
  <c r="F195" i="227"/>
  <c r="F200" i="227"/>
  <c r="B205" i="227"/>
  <c r="E205" i="227" s="1"/>
  <c r="G205" i="227" s="1"/>
  <c r="F217" i="227"/>
  <c r="F222" i="227"/>
  <c r="F229" i="227"/>
  <c r="F234" i="227"/>
  <c r="F242" i="227"/>
  <c r="F250" i="227"/>
  <c r="F258" i="227"/>
  <c r="B63" i="228"/>
  <c r="E63" i="228" s="1"/>
  <c r="G63" i="228" s="1"/>
  <c r="F74" i="228"/>
  <c r="B79" i="228"/>
  <c r="E79" i="228" s="1"/>
  <c r="G79" i="228" s="1"/>
  <c r="F91" i="228"/>
  <c r="F96" i="228"/>
  <c r="F101" i="228"/>
  <c r="F106" i="228"/>
  <c r="B111" i="228"/>
  <c r="E111" i="228" s="1"/>
  <c r="G111" i="228" s="1"/>
  <c r="F123" i="228"/>
  <c r="F128" i="228"/>
  <c r="F133" i="228"/>
  <c r="F138" i="228"/>
  <c r="F143" i="228"/>
  <c r="F151" i="228"/>
  <c r="F159" i="228"/>
  <c r="F167" i="228"/>
  <c r="F175" i="228"/>
  <c r="F183" i="228"/>
  <c r="F191" i="228"/>
  <c r="F199" i="228"/>
  <c r="F207" i="228"/>
  <c r="F215" i="228"/>
  <c r="F223" i="228"/>
  <c r="F231" i="228"/>
  <c r="F239" i="228"/>
  <c r="F247" i="228"/>
  <c r="F255" i="228"/>
  <c r="F263" i="228"/>
  <c r="B51" i="229"/>
  <c r="E51" i="229" s="1"/>
  <c r="G51" i="229" s="1"/>
  <c r="F260" i="229"/>
  <c r="F252" i="229"/>
  <c r="F244" i="229"/>
  <c r="F236" i="229"/>
  <c r="F228" i="229"/>
  <c r="F211" i="229"/>
  <c r="F206" i="229"/>
  <c r="F189" i="229"/>
  <c r="F265" i="229"/>
  <c r="F257" i="229"/>
  <c r="F262" i="229"/>
  <c r="F254" i="229"/>
  <c r="F246" i="229"/>
  <c r="F238" i="229"/>
  <c r="F230" i="229"/>
  <c r="F225" i="229"/>
  <c r="F220" i="229"/>
  <c r="F208" i="229"/>
  <c r="F203" i="229"/>
  <c r="F198" i="229"/>
  <c r="F264" i="229"/>
  <c r="F256" i="229"/>
  <c r="F248" i="229"/>
  <c r="F240" i="229"/>
  <c r="F232" i="229"/>
  <c r="F227" i="229"/>
  <c r="F222" i="229"/>
  <c r="F217" i="229"/>
  <c r="F212" i="229"/>
  <c r="F205" i="229"/>
  <c r="F200" i="229"/>
  <c r="F195" i="229"/>
  <c r="F190" i="229"/>
  <c r="F261" i="229"/>
  <c r="F253" i="229"/>
  <c r="F258" i="229"/>
  <c r="F250" i="229"/>
  <c r="F242" i="229"/>
  <c r="F234" i="229"/>
  <c r="F219" i="229"/>
  <c r="F214" i="229"/>
  <c r="F197" i="229"/>
  <c r="F192" i="229"/>
  <c r="F187" i="229"/>
  <c r="B78" i="229"/>
  <c r="E78" i="229" s="1"/>
  <c r="G78" i="229" s="1"/>
  <c r="F80" i="229"/>
  <c r="F82" i="229"/>
  <c r="B93" i="229"/>
  <c r="E93" i="229" s="1"/>
  <c r="G93" i="229" s="1"/>
  <c r="B95" i="229"/>
  <c r="E95" i="229" s="1"/>
  <c r="G95" i="229" s="1"/>
  <c r="F97" i="229"/>
  <c r="F99" i="229"/>
  <c r="F118" i="229"/>
  <c r="F123" i="229"/>
  <c r="F128" i="229"/>
  <c r="F133" i="229"/>
  <c r="B138" i="229"/>
  <c r="E138" i="229" s="1"/>
  <c r="G138" i="229" s="1"/>
  <c r="F150" i="229"/>
  <c r="F155" i="229"/>
  <c r="F163" i="229"/>
  <c r="F171" i="229"/>
  <c r="F186" i="229"/>
  <c r="F235" i="229"/>
  <c r="F251" i="229"/>
  <c r="F75" i="227"/>
  <c r="F83" i="227"/>
  <c r="F91" i="227"/>
  <c r="F99" i="227"/>
  <c r="F107" i="227"/>
  <c r="F115" i="227"/>
  <c r="F123" i="227"/>
  <c r="F131" i="227"/>
  <c r="F139" i="227"/>
  <c r="F147" i="227"/>
  <c r="F155" i="227"/>
  <c r="F163" i="227"/>
  <c r="F173" i="227"/>
  <c r="F178" i="227"/>
  <c r="F183" i="227"/>
  <c r="F188" i="227"/>
  <c r="B193" i="227"/>
  <c r="E193" i="227" s="1"/>
  <c r="G193" i="227" s="1"/>
  <c r="F205" i="227"/>
  <c r="F210" i="227"/>
  <c r="F215" i="227"/>
  <c r="F220" i="227"/>
  <c r="F227" i="227"/>
  <c r="F232" i="227"/>
  <c r="F237" i="227"/>
  <c r="F245" i="227"/>
  <c r="F253" i="227"/>
  <c r="F261" i="227"/>
  <c r="F89" i="228"/>
  <c r="F94" i="228"/>
  <c r="B99" i="228"/>
  <c r="E99" i="228" s="1"/>
  <c r="G99" i="228" s="1"/>
  <c r="F111" i="228"/>
  <c r="F116" i="228"/>
  <c r="F121" i="228"/>
  <c r="F126" i="228"/>
  <c r="B131" i="228"/>
  <c r="E131" i="228" s="1"/>
  <c r="G131" i="228" s="1"/>
  <c r="F146" i="228"/>
  <c r="F154" i="228"/>
  <c r="F162" i="228"/>
  <c r="F170" i="228"/>
  <c r="F178" i="228"/>
  <c r="F186" i="228"/>
  <c r="F194" i="228"/>
  <c r="F202" i="228"/>
  <c r="F210" i="228"/>
  <c r="F218" i="228"/>
  <c r="F226" i="228"/>
  <c r="F234" i="228"/>
  <c r="F242" i="228"/>
  <c r="F250" i="228"/>
  <c r="F258" i="228"/>
  <c r="B74" i="229"/>
  <c r="E74" i="229" s="1"/>
  <c r="G74" i="229" s="1"/>
  <c r="F76" i="229"/>
  <c r="F78" i="229"/>
  <c r="B89" i="229"/>
  <c r="E89" i="229" s="1"/>
  <c r="G89" i="229" s="1"/>
  <c r="B91" i="229"/>
  <c r="E91" i="229" s="1"/>
  <c r="G91" i="229" s="1"/>
  <c r="F93" i="229"/>
  <c r="F95" i="229"/>
  <c r="B106" i="229"/>
  <c r="E106" i="229" s="1"/>
  <c r="G106" i="229" s="1"/>
  <c r="F108" i="229"/>
  <c r="F113" i="229"/>
  <c r="F121" i="229"/>
  <c r="B126" i="229"/>
  <c r="E126" i="229" s="1"/>
  <c r="G126" i="229" s="1"/>
  <c r="F138" i="229"/>
  <c r="F143" i="229"/>
  <c r="F148" i="229"/>
  <c r="F153" i="229"/>
  <c r="F158" i="229"/>
  <c r="F166" i="229"/>
  <c r="F174" i="229"/>
  <c r="F179" i="229"/>
  <c r="F184" i="229"/>
  <c r="B220" i="229"/>
  <c r="E220" i="229" s="1"/>
  <c r="G220" i="229" s="1"/>
  <c r="F223" i="229"/>
  <c r="F226" i="229"/>
  <c r="F229" i="229"/>
  <c r="F245" i="229"/>
  <c r="F255" i="229"/>
  <c r="I51" i="10"/>
  <c r="N51" i="10"/>
  <c r="J51" i="10"/>
  <c r="O51" i="10"/>
  <c r="K51" i="10"/>
  <c r="P51" i="10"/>
  <c r="E51" i="10"/>
  <c r="G51" i="10"/>
  <c r="L51" i="10"/>
  <c r="H51" i="10"/>
  <c r="M51" i="10"/>
  <c r="F51" i="10"/>
  <c r="G35" i="10"/>
  <c r="J35" i="10"/>
  <c r="P35" i="10"/>
  <c r="M35" i="10"/>
  <c r="F35" i="10"/>
  <c r="H35" i="10"/>
  <c r="K35" i="10"/>
  <c r="N35" i="10"/>
  <c r="I35" i="10"/>
  <c r="L35" i="10"/>
  <c r="O35" i="10"/>
  <c r="F112" i="210"/>
  <c r="F114" i="210"/>
  <c r="B116" i="210"/>
  <c r="E116" i="210" s="1"/>
  <c r="G116" i="210" s="1"/>
  <c r="F118" i="210"/>
  <c r="F120" i="210"/>
  <c r="B132" i="210"/>
  <c r="E132" i="210" s="1"/>
  <c r="G132" i="210" s="1"/>
  <c r="F134" i="210"/>
  <c r="F136" i="210"/>
  <c r="F138" i="210"/>
  <c r="F140" i="210"/>
  <c r="B147" i="210"/>
  <c r="E147" i="210" s="1"/>
  <c r="G147" i="210" s="1"/>
  <c r="B159" i="210"/>
  <c r="E159" i="210" s="1"/>
  <c r="G159" i="210" s="1"/>
  <c r="F164" i="210"/>
  <c r="F172" i="210"/>
  <c r="F180" i="210"/>
  <c r="F188" i="210"/>
  <c r="F196" i="210"/>
  <c r="F204" i="210"/>
  <c r="F212" i="210"/>
  <c r="F220" i="210"/>
  <c r="F228" i="210"/>
  <c r="F236" i="210"/>
  <c r="F244" i="210"/>
  <c r="F252" i="210"/>
  <c r="F260" i="210"/>
  <c r="F73" i="227"/>
  <c r="F78" i="227"/>
  <c r="F86" i="227"/>
  <c r="F94" i="227"/>
  <c r="F102" i="227"/>
  <c r="F110" i="227"/>
  <c r="F118" i="227"/>
  <c r="F126" i="227"/>
  <c r="F134" i="227"/>
  <c r="F142" i="227"/>
  <c r="F150" i="227"/>
  <c r="F158" i="227"/>
  <c r="F166" i="227"/>
  <c r="F171" i="227"/>
  <c r="F176" i="227"/>
  <c r="B181" i="227"/>
  <c r="E181" i="227" s="1"/>
  <c r="G181" i="227" s="1"/>
  <c r="F193" i="227"/>
  <c r="F198" i="227"/>
  <c r="F203" i="227"/>
  <c r="F208" i="227"/>
  <c r="B213" i="227"/>
  <c r="E213" i="227" s="1"/>
  <c r="G213" i="227" s="1"/>
  <c r="B225" i="227"/>
  <c r="E225" i="227" s="1"/>
  <c r="G225" i="227" s="1"/>
  <c r="F240" i="227"/>
  <c r="F248" i="227"/>
  <c r="F256" i="227"/>
  <c r="F264" i="227"/>
  <c r="B70" i="228"/>
  <c r="E70" i="228" s="1"/>
  <c r="G70" i="228" s="1"/>
  <c r="F77" i="228"/>
  <c r="F82" i="228"/>
  <c r="B87" i="228"/>
  <c r="E87" i="228" s="1"/>
  <c r="G87" i="228" s="1"/>
  <c r="F99" i="228"/>
  <c r="F104" i="228"/>
  <c r="F109" i="228"/>
  <c r="F114" i="228"/>
  <c r="B119" i="228"/>
  <c r="E119" i="228" s="1"/>
  <c r="G119" i="228" s="1"/>
  <c r="F131" i="228"/>
  <c r="F136" i="228"/>
  <c r="F141" i="228"/>
  <c r="F149" i="228"/>
  <c r="F157" i="228"/>
  <c r="F165" i="228"/>
  <c r="F173" i="228"/>
  <c r="F181" i="228"/>
  <c r="F189" i="228"/>
  <c r="F197" i="228"/>
  <c r="F205" i="228"/>
  <c r="F213" i="228"/>
  <c r="F221" i="228"/>
  <c r="F229" i="228"/>
  <c r="F237" i="228"/>
  <c r="F245" i="228"/>
  <c r="F253" i="228"/>
  <c r="F261" i="228"/>
  <c r="F74" i="229"/>
  <c r="B85" i="229"/>
  <c r="E85" i="229" s="1"/>
  <c r="G85" i="229" s="1"/>
  <c r="B87" i="229"/>
  <c r="E87" i="229" s="1"/>
  <c r="G87" i="229" s="1"/>
  <c r="F89" i="229"/>
  <c r="F91" i="229"/>
  <c r="B102" i="229"/>
  <c r="E102" i="229" s="1"/>
  <c r="G102" i="229" s="1"/>
  <c r="F104" i="229"/>
  <c r="F106" i="229"/>
  <c r="B111" i="229"/>
  <c r="E111" i="229" s="1"/>
  <c r="G111" i="229" s="1"/>
  <c r="F116" i="229"/>
  <c r="F126" i="229"/>
  <c r="F131" i="229"/>
  <c r="F136" i="229"/>
  <c r="F141" i="229"/>
  <c r="B146" i="229"/>
  <c r="E146" i="229" s="1"/>
  <c r="G146" i="229" s="1"/>
  <c r="F161" i="229"/>
  <c r="F169" i="229"/>
  <c r="F177" i="229"/>
  <c r="B182" i="229"/>
  <c r="E182" i="229" s="1"/>
  <c r="G182" i="229" s="1"/>
  <c r="B190" i="229"/>
  <c r="E190" i="229" s="1"/>
  <c r="G190" i="229" s="1"/>
  <c r="F193" i="229"/>
  <c r="F196" i="229"/>
  <c r="F199" i="229"/>
  <c r="F202" i="229"/>
  <c r="F239" i="229"/>
  <c r="F259" i="229"/>
  <c r="O58" i="10"/>
  <c r="K58" i="10"/>
  <c r="P58" i="10"/>
  <c r="E58" i="10"/>
  <c r="G58" i="10"/>
  <c r="L58" i="10"/>
  <c r="H58" i="10"/>
  <c r="M58" i="10"/>
  <c r="F58" i="10"/>
  <c r="I58" i="10"/>
  <c r="N58" i="10"/>
  <c r="J58" i="10"/>
  <c r="M38" i="10"/>
  <c r="F38" i="10"/>
  <c r="H38" i="10"/>
  <c r="K38" i="10"/>
  <c r="N38" i="10"/>
  <c r="I38" i="10"/>
  <c r="L38" i="10"/>
  <c r="O38" i="10"/>
  <c r="G38" i="10"/>
  <c r="J38" i="10"/>
  <c r="P38" i="10"/>
  <c r="E35" i="10"/>
  <c r="B83" i="210"/>
  <c r="E83" i="210" s="1"/>
  <c r="G83" i="210" s="1"/>
  <c r="F85" i="210"/>
  <c r="F87" i="210"/>
  <c r="B98" i="210"/>
  <c r="E98" i="210" s="1"/>
  <c r="G98" i="210" s="1"/>
  <c r="B100" i="210"/>
  <c r="E100" i="210" s="1"/>
  <c r="G100" i="210" s="1"/>
  <c r="F102" i="210"/>
  <c r="F104" i="210"/>
  <c r="F116" i="210"/>
  <c r="B127" i="210"/>
  <c r="E127" i="210" s="1"/>
  <c r="G127" i="210" s="1"/>
  <c r="F132" i="210"/>
  <c r="F147" i="210"/>
  <c r="F152" i="210"/>
  <c r="F157" i="210"/>
  <c r="F159" i="210"/>
  <c r="F167" i="210"/>
  <c r="F175" i="210"/>
  <c r="F183" i="210"/>
  <c r="F191" i="210"/>
  <c r="F199" i="210"/>
  <c r="F207" i="210"/>
  <c r="F215" i="210"/>
  <c r="F223" i="210"/>
  <c r="F231" i="210"/>
  <c r="F239" i="210"/>
  <c r="F247" i="210"/>
  <c r="F255" i="210"/>
  <c r="F263" i="210"/>
  <c r="B65" i="227"/>
  <c r="E65" i="227" s="1"/>
  <c r="G65" i="227" s="1"/>
  <c r="B167" i="227"/>
  <c r="E167" i="227" s="1"/>
  <c r="G167" i="227" s="1"/>
  <c r="F81" i="227"/>
  <c r="F89" i="227"/>
  <c r="F97" i="227"/>
  <c r="F105" i="227"/>
  <c r="F113" i="227"/>
  <c r="F121" i="227"/>
  <c r="F129" i="227"/>
  <c r="F137" i="227"/>
  <c r="F145" i="227"/>
  <c r="F153" i="227"/>
  <c r="F161" i="227"/>
  <c r="B169" i="227"/>
  <c r="E169" i="227" s="1"/>
  <c r="G169" i="227" s="1"/>
  <c r="F181" i="227"/>
  <c r="F186" i="227"/>
  <c r="F191" i="227"/>
  <c r="F196" i="227"/>
  <c r="B201" i="227"/>
  <c r="E201" i="227" s="1"/>
  <c r="G201" i="227" s="1"/>
  <c r="F213" i="227"/>
  <c r="F218" i="227"/>
  <c r="F223" i="227"/>
  <c r="F225" i="227"/>
  <c r="F230" i="227"/>
  <c r="F235" i="227"/>
  <c r="F243" i="227"/>
  <c r="F251" i="227"/>
  <c r="F259" i="227"/>
  <c r="B68" i="228"/>
  <c r="E68" i="228" s="1"/>
  <c r="G68" i="228" s="1"/>
  <c r="B75" i="228"/>
  <c r="E75" i="228" s="1"/>
  <c r="G75" i="228" s="1"/>
  <c r="F87" i="228"/>
  <c r="F92" i="228"/>
  <c r="F97" i="228"/>
  <c r="F102" i="228"/>
  <c r="B107" i="228"/>
  <c r="E107" i="228" s="1"/>
  <c r="G107" i="228" s="1"/>
  <c r="F119" i="228"/>
  <c r="F124" i="228"/>
  <c r="F129" i="228"/>
  <c r="F134" i="228"/>
  <c r="B139" i="228"/>
  <c r="E139" i="228" s="1"/>
  <c r="G139" i="228" s="1"/>
  <c r="F144" i="228"/>
  <c r="F152" i="228"/>
  <c r="F160" i="228"/>
  <c r="F168" i="228"/>
  <c r="F176" i="228"/>
  <c r="F184" i="228"/>
  <c r="F192" i="228"/>
  <c r="F200" i="228"/>
  <c r="F208" i="228"/>
  <c r="F216" i="228"/>
  <c r="F224" i="228"/>
  <c r="F232" i="228"/>
  <c r="F240" i="228"/>
  <c r="F248" i="228"/>
  <c r="F256" i="228"/>
  <c r="F264" i="228"/>
  <c r="B81" i="229"/>
  <c r="E81" i="229" s="1"/>
  <c r="G81" i="229" s="1"/>
  <c r="B83" i="229"/>
  <c r="E83" i="229" s="1"/>
  <c r="G83" i="229" s="1"/>
  <c r="F85" i="229"/>
  <c r="F87" i="229"/>
  <c r="B98" i="229"/>
  <c r="E98" i="229" s="1"/>
  <c r="G98" i="229" s="1"/>
  <c r="F100" i="229"/>
  <c r="F102" i="229"/>
  <c r="F111" i="229"/>
  <c r="F119" i="229"/>
  <c r="F124" i="229"/>
  <c r="F129" i="229"/>
  <c r="B134" i="229"/>
  <c r="E134" i="229" s="1"/>
  <c r="G134" i="229" s="1"/>
  <c r="F146" i="229"/>
  <c r="F151" i="229"/>
  <c r="F156" i="229"/>
  <c r="F164" i="229"/>
  <c r="F172" i="229"/>
  <c r="F182" i="229"/>
  <c r="F233" i="229"/>
  <c r="F249" i="229"/>
  <c r="F263" i="229"/>
  <c r="S26" i="267"/>
  <c r="O26" i="266"/>
  <c r="T26" i="266" s="1"/>
  <c r="U21" i="268"/>
  <c r="O21" i="267"/>
  <c r="C51" i="10"/>
  <c r="H33" i="10"/>
  <c r="K33" i="10"/>
  <c r="N33" i="10"/>
  <c r="I33" i="10"/>
  <c r="L33" i="10"/>
  <c r="O33" i="10"/>
  <c r="G33" i="10"/>
  <c r="J33" i="10"/>
  <c r="P33" i="10"/>
  <c r="M33" i="10"/>
  <c r="F33" i="10"/>
  <c r="B79" i="210"/>
  <c r="E79" i="210" s="1"/>
  <c r="G79" i="210" s="1"/>
  <c r="F81" i="210"/>
  <c r="F83" i="210"/>
  <c r="B94" i="210"/>
  <c r="E94" i="210" s="1"/>
  <c r="G94" i="210" s="1"/>
  <c r="B96" i="210"/>
  <c r="E96" i="210" s="1"/>
  <c r="G96" i="210" s="1"/>
  <c r="F98" i="210"/>
  <c r="F100" i="210"/>
  <c r="B123" i="210"/>
  <c r="E123" i="210" s="1"/>
  <c r="G123" i="210" s="1"/>
  <c r="F125" i="210"/>
  <c r="F127" i="210"/>
  <c r="F129" i="210"/>
  <c r="F145" i="210"/>
  <c r="F150" i="210"/>
  <c r="F162" i="210"/>
  <c r="F170" i="210"/>
  <c r="F178" i="210"/>
  <c r="F186" i="210"/>
  <c r="F194" i="210"/>
  <c r="F202" i="210"/>
  <c r="F210" i="210"/>
  <c r="F218" i="210"/>
  <c r="F226" i="210"/>
  <c r="F234" i="210"/>
  <c r="F242" i="210"/>
  <c r="F250" i="210"/>
  <c r="F258" i="210"/>
  <c r="F76" i="227"/>
  <c r="F84" i="227"/>
  <c r="F92" i="227"/>
  <c r="F100" i="227"/>
  <c r="F108" i="227"/>
  <c r="F116" i="227"/>
  <c r="F124" i="227"/>
  <c r="F132" i="227"/>
  <c r="F140" i="227"/>
  <c r="F148" i="227"/>
  <c r="F156" i="227"/>
  <c r="F164" i="227"/>
  <c r="F169" i="227"/>
  <c r="F174" i="227"/>
  <c r="F179" i="227"/>
  <c r="F184" i="227"/>
  <c r="B189" i="227"/>
  <c r="E189" i="227" s="1"/>
  <c r="G189" i="227" s="1"/>
  <c r="F201" i="227"/>
  <c r="F206" i="227"/>
  <c r="F211" i="227"/>
  <c r="F216" i="227"/>
  <c r="B221" i="227"/>
  <c r="E221" i="227" s="1"/>
  <c r="G221" i="227" s="1"/>
  <c r="F228" i="227"/>
  <c r="B233" i="227"/>
  <c r="E233" i="227" s="1"/>
  <c r="G233" i="227" s="1"/>
  <c r="F238" i="227"/>
  <c r="F246" i="227"/>
  <c r="F254" i="227"/>
  <c r="F262" i="227"/>
  <c r="F75" i="228"/>
  <c r="F80" i="228"/>
  <c r="F85" i="228"/>
  <c r="F90" i="228"/>
  <c r="B95" i="228"/>
  <c r="E95" i="228" s="1"/>
  <c r="G95" i="228" s="1"/>
  <c r="F107" i="228"/>
  <c r="F112" i="228"/>
  <c r="F117" i="228"/>
  <c r="F122" i="228"/>
  <c r="B127" i="228"/>
  <c r="E127" i="228" s="1"/>
  <c r="G127" i="228" s="1"/>
  <c r="F139" i="228"/>
  <c r="F147" i="228"/>
  <c r="F155" i="228"/>
  <c r="F163" i="228"/>
  <c r="F171" i="228"/>
  <c r="F179" i="228"/>
  <c r="F187" i="228"/>
  <c r="F195" i="228"/>
  <c r="F203" i="228"/>
  <c r="F211" i="228"/>
  <c r="F219" i="228"/>
  <c r="F227" i="228"/>
  <c r="F235" i="228"/>
  <c r="F243" i="228"/>
  <c r="F251" i="228"/>
  <c r="F259" i="228"/>
  <c r="B77" i="229"/>
  <c r="E77" i="229" s="1"/>
  <c r="G77" i="229" s="1"/>
  <c r="B79" i="229"/>
  <c r="E79" i="229" s="1"/>
  <c r="G79" i="229" s="1"/>
  <c r="F81" i="229"/>
  <c r="F83" i="229"/>
  <c r="B94" i="229"/>
  <c r="E94" i="229" s="1"/>
  <c r="G94" i="229" s="1"/>
  <c r="F96" i="229"/>
  <c r="F98" i="229"/>
  <c r="F109" i="229"/>
  <c r="F114" i="229"/>
  <c r="B122" i="229"/>
  <c r="E122" i="229" s="1"/>
  <c r="G122" i="229" s="1"/>
  <c r="F134" i="229"/>
  <c r="F139" i="229"/>
  <c r="F144" i="229"/>
  <c r="F149" i="229"/>
  <c r="B154" i="229"/>
  <c r="E154" i="229" s="1"/>
  <c r="G154" i="229" s="1"/>
  <c r="F159" i="229"/>
  <c r="F167" i="229"/>
  <c r="F175" i="229"/>
  <c r="F180" i="229"/>
  <c r="F185" i="229"/>
  <c r="B206" i="229"/>
  <c r="E206" i="229" s="1"/>
  <c r="G206" i="229" s="1"/>
  <c r="F209" i="229"/>
  <c r="B212" i="229"/>
  <c r="E212" i="229" s="1"/>
  <c r="G212" i="229" s="1"/>
  <c r="F215" i="229"/>
  <c r="F218" i="229"/>
  <c r="F221" i="229"/>
  <c r="F224" i="229"/>
  <c r="F243" i="229"/>
  <c r="I26" i="214"/>
  <c r="I17" i="214" s="1"/>
  <c r="M42" i="10"/>
  <c r="K144" i="10" s="1"/>
  <c r="K145" i="10" s="1"/>
  <c r="F42" i="10"/>
  <c r="D144" i="10" s="1"/>
  <c r="D145" i="10" s="1"/>
  <c r="H42" i="10"/>
  <c r="F144" i="10" s="1"/>
  <c r="F145" i="10" s="1"/>
  <c r="K42" i="10"/>
  <c r="I144" i="10" s="1"/>
  <c r="I145" i="10" s="1"/>
  <c r="N42" i="10"/>
  <c r="L144" i="10" s="1"/>
  <c r="L145" i="10" s="1"/>
  <c r="I42" i="10"/>
  <c r="G144" i="10" s="1"/>
  <c r="G145" i="10" s="1"/>
  <c r="L42" i="10"/>
  <c r="J144" i="10" s="1"/>
  <c r="J145" i="10" s="1"/>
  <c r="O42" i="10"/>
  <c r="M144" i="10" s="1"/>
  <c r="M145" i="10" s="1"/>
  <c r="E42" i="10"/>
  <c r="C144" i="10" s="1"/>
  <c r="C145" i="10" s="1"/>
  <c r="G42" i="10"/>
  <c r="E144" i="10" s="1"/>
  <c r="E145" i="10" s="1"/>
  <c r="J42" i="10"/>
  <c r="H144" i="10" s="1"/>
  <c r="H145" i="10" s="1"/>
  <c r="P42" i="10"/>
  <c r="N144" i="10" s="1"/>
  <c r="N145" i="10" s="1"/>
  <c r="E33" i="10"/>
  <c r="F79" i="227"/>
  <c r="F87" i="227"/>
  <c r="F95" i="227"/>
  <c r="F103" i="227"/>
  <c r="F111" i="227"/>
  <c r="F119" i="227"/>
  <c r="F127" i="227"/>
  <c r="F135" i="227"/>
  <c r="F143" i="227"/>
  <c r="F151" i="227"/>
  <c r="F159" i="227"/>
  <c r="F167" i="227"/>
  <c r="F172" i="227"/>
  <c r="F189" i="227"/>
  <c r="F194" i="227"/>
  <c r="F199" i="227"/>
  <c r="F204" i="227"/>
  <c r="F221" i="227"/>
  <c r="F233" i="227"/>
  <c r="F241" i="227"/>
  <c r="F249" i="227"/>
  <c r="F257" i="227"/>
  <c r="F265" i="227"/>
  <c r="F78" i="228"/>
  <c r="B83" i="228"/>
  <c r="E83" i="228" s="1"/>
  <c r="G83" i="228" s="1"/>
  <c r="F95" i="228"/>
  <c r="F100" i="228"/>
  <c r="F105" i="228"/>
  <c r="F110" i="228"/>
  <c r="B115" i="228"/>
  <c r="E115" i="228" s="1"/>
  <c r="G115" i="228" s="1"/>
  <c r="F127" i="228"/>
  <c r="F132" i="228"/>
  <c r="F137" i="228"/>
  <c r="F142" i="228"/>
  <c r="F150" i="228"/>
  <c r="F158" i="228"/>
  <c r="F166" i="228"/>
  <c r="F174" i="228"/>
  <c r="F182" i="228"/>
  <c r="F190" i="228"/>
  <c r="F198" i="228"/>
  <c r="F206" i="228"/>
  <c r="F214" i="228"/>
  <c r="F222" i="228"/>
  <c r="F230" i="228"/>
  <c r="F238" i="228"/>
  <c r="F246" i="228"/>
  <c r="F254" i="228"/>
  <c r="F262" i="228"/>
  <c r="B75" i="229"/>
  <c r="E75" i="229" s="1"/>
  <c r="G75" i="229" s="1"/>
  <c r="F77" i="229"/>
  <c r="F79" i="229"/>
  <c r="B90" i="229"/>
  <c r="E90" i="229" s="1"/>
  <c r="G90" i="229" s="1"/>
  <c r="F92" i="229"/>
  <c r="F94" i="229"/>
  <c r="B105" i="229"/>
  <c r="E105" i="229" s="1"/>
  <c r="G105" i="229" s="1"/>
  <c r="B107" i="229"/>
  <c r="E107" i="229" s="1"/>
  <c r="G107" i="229" s="1"/>
  <c r="F117" i="229"/>
  <c r="F122" i="229"/>
  <c r="F127" i="229"/>
  <c r="F132" i="229"/>
  <c r="F137" i="229"/>
  <c r="B142" i="229"/>
  <c r="E142" i="229" s="1"/>
  <c r="G142" i="229" s="1"/>
  <c r="F154" i="229"/>
  <c r="F162" i="229"/>
  <c r="F170" i="229"/>
  <c r="B178" i="229"/>
  <c r="E178" i="229" s="1"/>
  <c r="G178" i="229" s="1"/>
  <c r="F188" i="229"/>
  <c r="F191" i="229"/>
  <c r="F194" i="229"/>
  <c r="F237" i="229"/>
  <c r="H60" i="10"/>
  <c r="M60" i="10"/>
  <c r="F60" i="10"/>
  <c r="I60" i="10"/>
  <c r="N60" i="10"/>
  <c r="J60" i="10"/>
  <c r="E60" i="10"/>
  <c r="O60" i="10"/>
  <c r="K60" i="10"/>
  <c r="P60" i="10"/>
  <c r="G60" i="10"/>
  <c r="L60" i="10"/>
  <c r="O50" i="10"/>
  <c r="K50" i="10"/>
  <c r="P50" i="10"/>
  <c r="L50" i="10"/>
  <c r="M50" i="10"/>
  <c r="F50" i="10"/>
  <c r="N50" i="10"/>
  <c r="J50" i="10"/>
  <c r="N26" i="214"/>
  <c r="N17" i="214" s="1"/>
  <c r="F107" i="210"/>
  <c r="F111" i="210"/>
  <c r="F115" i="210"/>
  <c r="F117" i="210"/>
  <c r="F119" i="210"/>
  <c r="F131" i="210"/>
  <c r="F133" i="210"/>
  <c r="F135" i="210"/>
  <c r="F139" i="210"/>
  <c r="F143" i="210"/>
  <c r="F148" i="210"/>
  <c r="F153" i="210"/>
  <c r="F158" i="210"/>
  <c r="F160" i="210"/>
  <c r="F168" i="210"/>
  <c r="F176" i="210"/>
  <c r="F184" i="210"/>
  <c r="F192" i="210"/>
  <c r="F200" i="210"/>
  <c r="F208" i="210"/>
  <c r="F216" i="210"/>
  <c r="F224" i="210"/>
  <c r="F232" i="210"/>
  <c r="F240" i="210"/>
  <c r="F248" i="210"/>
  <c r="F256" i="210"/>
  <c r="B68" i="227"/>
  <c r="E68" i="227" s="1"/>
  <c r="G68" i="227" s="1"/>
  <c r="F74" i="227"/>
  <c r="F82" i="227"/>
  <c r="F90" i="227"/>
  <c r="F98" i="227"/>
  <c r="F106" i="227"/>
  <c r="F114" i="227"/>
  <c r="F122" i="227"/>
  <c r="F130" i="227"/>
  <c r="F138" i="227"/>
  <c r="F146" i="227"/>
  <c r="F154" i="227"/>
  <c r="F162" i="227"/>
  <c r="F177" i="227"/>
  <c r="F182" i="227"/>
  <c r="F187" i="227"/>
  <c r="F192" i="227"/>
  <c r="F209" i="227"/>
  <c r="F214" i="227"/>
  <c r="F219" i="227"/>
  <c r="F224" i="227"/>
  <c r="F226" i="227"/>
  <c r="F231" i="227"/>
  <c r="F236" i="227"/>
  <c r="F244" i="227"/>
  <c r="F252" i="227"/>
  <c r="F83" i="228"/>
  <c r="F88" i="228"/>
  <c r="F93" i="228"/>
  <c r="F98" i="228"/>
  <c r="B103" i="228"/>
  <c r="E103" i="228" s="1"/>
  <c r="G103" i="228" s="1"/>
  <c r="F115" i="228"/>
  <c r="F120" i="228"/>
  <c r="F125" i="228"/>
  <c r="F130" i="228"/>
  <c r="F145" i="228"/>
  <c r="F153" i="228"/>
  <c r="F161" i="228"/>
  <c r="F169" i="228"/>
  <c r="F177" i="228"/>
  <c r="F185" i="228"/>
  <c r="F193" i="228"/>
  <c r="F201" i="228"/>
  <c r="F209" i="228"/>
  <c r="F217" i="228"/>
  <c r="F225" i="228"/>
  <c r="F233" i="228"/>
  <c r="F241" i="228"/>
  <c r="F249" i="228"/>
  <c r="F257" i="228"/>
  <c r="F75" i="229"/>
  <c r="B86" i="229"/>
  <c r="E86" i="229" s="1"/>
  <c r="G86" i="229" s="1"/>
  <c r="F88" i="229"/>
  <c r="F90" i="229"/>
  <c r="B101" i="229"/>
  <c r="E101" i="229" s="1"/>
  <c r="G101" i="229" s="1"/>
  <c r="B103" i="229"/>
  <c r="E103" i="229" s="1"/>
  <c r="G103" i="229" s="1"/>
  <c r="F105" i="229"/>
  <c r="F107" i="229"/>
  <c r="F112" i="229"/>
  <c r="F120" i="229"/>
  <c r="F125" i="229"/>
  <c r="B130" i="229"/>
  <c r="E130" i="229" s="1"/>
  <c r="G130" i="229" s="1"/>
  <c r="F142" i="229"/>
  <c r="F147" i="229"/>
  <c r="F152" i="229"/>
  <c r="F157" i="229"/>
  <c r="F165" i="229"/>
  <c r="F173" i="229"/>
  <c r="F178" i="229"/>
  <c r="F183" i="229"/>
  <c r="B228" i="229"/>
  <c r="E228" i="229" s="1"/>
  <c r="G228" i="229" s="1"/>
  <c r="F231" i="229"/>
  <c r="F247" i="229"/>
  <c r="E102" i="10"/>
  <c r="E59" i="10"/>
  <c r="F59" i="10"/>
  <c r="I59" i="10"/>
  <c r="N59" i="10"/>
  <c r="J59" i="10"/>
  <c r="O59" i="10"/>
  <c r="K59" i="10"/>
  <c r="P59" i="10"/>
  <c r="G59" i="10"/>
  <c r="L59" i="10"/>
  <c r="H59" i="10"/>
  <c r="M59" i="10"/>
  <c r="E56" i="10"/>
  <c r="J107" i="10"/>
  <c r="K82" i="10"/>
  <c r="F82" i="10"/>
  <c r="I50" i="10"/>
  <c r="G56" i="10"/>
  <c r="G52" i="10"/>
  <c r="H93" i="213"/>
  <c r="E21" i="10"/>
  <c r="G21" i="10"/>
  <c r="F21" i="10"/>
  <c r="D132" i="10" s="1"/>
  <c r="D133" i="10" s="1"/>
  <c r="E57" i="10"/>
  <c r="P27" i="269"/>
  <c r="P93" i="213"/>
  <c r="O107" i="10"/>
  <c r="J102" i="10"/>
  <c r="H107" i="10"/>
  <c r="P77" i="10"/>
  <c r="K77" i="10"/>
  <c r="I82" i="10"/>
  <c r="F77" i="10"/>
  <c r="I57" i="10"/>
  <c r="I53" i="10"/>
  <c r="H50" i="10"/>
  <c r="E50" i="10"/>
  <c r="O22" i="268"/>
  <c r="N24" i="29"/>
  <c r="N26" i="29" s="1"/>
  <c r="M24" i="29"/>
  <c r="K20" i="217" s="1"/>
  <c r="N16" i="213"/>
  <c r="L134" i="10"/>
  <c r="E14" i="10"/>
  <c r="F14" i="10"/>
  <c r="G14" i="10"/>
  <c r="K26" i="214"/>
  <c r="J24" i="216" s="1"/>
  <c r="H21" i="262" s="1"/>
  <c r="H26" i="214"/>
  <c r="K20" i="214" s="1"/>
  <c r="R23" i="269"/>
  <c r="M93" i="213"/>
  <c r="J137" i="14" s="1"/>
  <c r="H102" i="10"/>
  <c r="I77" i="10"/>
  <c r="I56" i="10"/>
  <c r="I52" i="10"/>
  <c r="H57" i="10"/>
  <c r="H53" i="10"/>
  <c r="E13" i="10"/>
  <c r="F13" i="10"/>
  <c r="D128" i="10" s="1"/>
  <c r="E30" i="14" s="1"/>
  <c r="G13" i="10"/>
  <c r="O23" i="253"/>
  <c r="E107" i="10"/>
  <c r="P26" i="214"/>
  <c r="O24" i="216" s="1"/>
  <c r="O26" i="236"/>
  <c r="O17" i="236" s="1"/>
  <c r="E22" i="10"/>
  <c r="G22" i="10"/>
  <c r="H132" i="10"/>
  <c r="H133" i="10" s="1"/>
  <c r="O23" i="252"/>
  <c r="L35" i="9"/>
  <c r="A49" i="218" s="1"/>
  <c r="DT241" i="38"/>
  <c r="AB241" i="38"/>
  <c r="CE239" i="38"/>
  <c r="DK239" i="38"/>
  <c r="S239" i="38"/>
  <c r="A47" i="14"/>
  <c r="CH241" i="38"/>
  <c r="EB239" i="38"/>
  <c r="AJ239" i="38"/>
  <c r="CB239" i="38"/>
  <c r="BV241" i="38"/>
  <c r="CG241" i="38"/>
  <c r="G57" i="31" s="1"/>
  <c r="DY239" i="38"/>
  <c r="AG239" i="38"/>
  <c r="BM239" i="38"/>
  <c r="A45" i="14"/>
  <c r="F35" i="7"/>
  <c r="EE241" i="38"/>
  <c r="AM241" i="38"/>
  <c r="CD239" i="38"/>
  <c r="DJ239" i="38"/>
  <c r="R239" i="38"/>
  <c r="BX241" i="38"/>
  <c r="EA239" i="38"/>
  <c r="AI239" i="38"/>
  <c r="BO239" i="38"/>
  <c r="ED241" i="38"/>
  <c r="AL241" i="38"/>
  <c r="CF239" i="38"/>
  <c r="DX239" i="38"/>
  <c r="T239" i="38"/>
  <c r="DR241" i="38"/>
  <c r="Z241" i="38"/>
  <c r="EC241" i="38"/>
  <c r="G61" i="31" s="1"/>
  <c r="AK241" i="38"/>
  <c r="G53" i="31" s="1"/>
  <c r="CC239" i="38"/>
  <c r="DI239" i="38"/>
  <c r="Q239" i="38"/>
  <c r="G81" i="213"/>
  <c r="G86" i="213" s="1"/>
  <c r="G91" i="213" s="1"/>
  <c r="D18" i="14" s="1"/>
  <c r="E89" i="29"/>
  <c r="CI241" i="38"/>
  <c r="DZ239" i="38"/>
  <c r="AH239" i="38"/>
  <c r="BN239" i="38"/>
  <c r="C32" i="217"/>
  <c r="E65" i="29"/>
  <c r="C53" i="217"/>
  <c r="E76" i="29"/>
  <c r="I61" i="226"/>
  <c r="K67" i="226"/>
  <c r="K61" i="226"/>
  <c r="D25" i="225"/>
  <c r="K64" i="226"/>
  <c r="C72" i="225"/>
  <c r="C78" i="225" s="1"/>
  <c r="D81" i="225" s="1"/>
  <c r="G64" i="226"/>
  <c r="G67" i="226"/>
  <c r="G61" i="226"/>
  <c r="I64" i="226"/>
  <c r="M68" i="19"/>
  <c r="M67" i="19"/>
  <c r="O26" i="19"/>
  <c r="I52" i="19"/>
  <c r="H52" i="19" s="1"/>
  <c r="N52" i="19" s="1"/>
  <c r="I51" i="19"/>
  <c r="H51" i="19" s="1"/>
  <c r="N51" i="19" s="1"/>
  <c r="M65" i="19"/>
  <c r="I64" i="19"/>
  <c r="H64" i="19" s="1"/>
  <c r="M64" i="19" s="1"/>
  <c r="I59" i="19"/>
  <c r="H59" i="19" s="1"/>
  <c r="I67" i="18"/>
  <c r="H67" i="18" s="1"/>
  <c r="M67" i="18" s="1"/>
  <c r="N55" i="18"/>
  <c r="P55" i="18" s="1"/>
  <c r="I53" i="18"/>
  <c r="H53" i="18" s="1"/>
  <c r="N53" i="18" s="1"/>
  <c r="M61" i="18"/>
  <c r="M57" i="18"/>
  <c r="N57" i="18"/>
  <c r="I266" i="21"/>
  <c r="N266" i="21" s="1"/>
  <c r="I266" i="22"/>
  <c r="N266" i="22" s="1"/>
  <c r="D107" i="14"/>
  <c r="D113" i="14"/>
  <c r="D116" i="14"/>
  <c r="I266" i="228"/>
  <c r="N266" i="228" s="1"/>
  <c r="I267" i="229"/>
  <c r="N267" i="229" s="1"/>
  <c r="D119" i="14"/>
  <c r="AC197" i="38"/>
  <c r="AG197" i="38"/>
  <c r="AK197" i="38"/>
  <c r="G197" i="38"/>
  <c r="K197" i="38"/>
  <c r="O197" i="38"/>
  <c r="S197" i="38"/>
  <c r="W197" i="38"/>
  <c r="AA197" i="38"/>
  <c r="AE197" i="38"/>
  <c r="AI197" i="38"/>
  <c r="AM197" i="38"/>
  <c r="E197" i="38"/>
  <c r="Q197" i="38"/>
  <c r="U197" i="38"/>
  <c r="Y197" i="38"/>
  <c r="AO197" i="38"/>
  <c r="F197" i="38"/>
  <c r="J197" i="38"/>
  <c r="R197" i="38"/>
  <c r="V197" i="38"/>
  <c r="AD197" i="38"/>
  <c r="L132" i="10"/>
  <c r="L133" i="10" s="1"/>
  <c r="K132" i="10"/>
  <c r="K133" i="10" s="1"/>
  <c r="F132" i="10"/>
  <c r="F133" i="10" s="1"/>
  <c r="M132" i="10"/>
  <c r="M133" i="10" s="1"/>
  <c r="J132" i="10"/>
  <c r="J133" i="10" s="1"/>
  <c r="O31" i="267"/>
  <c r="I132" i="10"/>
  <c r="I133" i="10" s="1"/>
  <c r="I146" i="10"/>
  <c r="F146" i="10"/>
  <c r="F147" i="10" s="1"/>
  <c r="J146" i="10"/>
  <c r="J147" i="10" s="1"/>
  <c r="L146" i="10"/>
  <c r="L147" i="10" s="1"/>
  <c r="M146" i="10"/>
  <c r="N146" i="10"/>
  <c r="N147" i="10" s="1"/>
  <c r="P29" i="269"/>
  <c r="T29" i="269"/>
  <c r="C134" i="10"/>
  <c r="C135" i="10" s="1"/>
  <c r="R29" i="269"/>
  <c r="V29" i="269"/>
  <c r="O29" i="268"/>
  <c r="K134" i="10"/>
  <c r="K135" i="10" s="1"/>
  <c r="L135" i="10"/>
  <c r="C58" i="10"/>
  <c r="O28" i="267"/>
  <c r="U28" i="268"/>
  <c r="P28" i="268"/>
  <c r="W28" i="268"/>
  <c r="Q28" i="268"/>
  <c r="G146" i="10"/>
  <c r="C146" i="10"/>
  <c r="D146" i="10"/>
  <c r="E146" i="10"/>
  <c r="H146" i="10"/>
  <c r="K146" i="10"/>
  <c r="M134" i="10"/>
  <c r="I135" i="10"/>
  <c r="K65" i="14" s="1"/>
  <c r="E134" i="10"/>
  <c r="G134" i="10"/>
  <c r="J134" i="10"/>
  <c r="N134" i="10"/>
  <c r="D134" i="10"/>
  <c r="F134" i="10"/>
  <c r="H134" i="10"/>
  <c r="W27" i="269"/>
  <c r="V27" i="269"/>
  <c r="R27" i="269"/>
  <c r="O27" i="268"/>
  <c r="C38" i="10"/>
  <c r="T27" i="269"/>
  <c r="H128" i="10"/>
  <c r="H28" i="16" s="1"/>
  <c r="H29" i="16" s="1"/>
  <c r="H30" i="16" s="1"/>
  <c r="T23" i="269"/>
  <c r="P23" i="269"/>
  <c r="T25" i="269"/>
  <c r="P25" i="269"/>
  <c r="U24" i="267"/>
  <c r="Q24" i="267"/>
  <c r="U26" i="267"/>
  <c r="Q26" i="267"/>
  <c r="I24" i="10"/>
  <c r="C81" i="10"/>
  <c r="C79" i="10"/>
  <c r="O25" i="268"/>
  <c r="O23" i="268"/>
  <c r="C34" i="10"/>
  <c r="W23" i="269"/>
  <c r="V23" i="269"/>
  <c r="W25" i="269"/>
  <c r="V25" i="269"/>
  <c r="R25" i="269"/>
  <c r="I128" i="10"/>
  <c r="K128" i="10"/>
  <c r="N24" i="10"/>
  <c r="J24" i="10"/>
  <c r="F128" i="10"/>
  <c r="L24" i="10"/>
  <c r="C128" i="10"/>
  <c r="J128" i="10"/>
  <c r="K30" i="14" s="1"/>
  <c r="P24" i="10"/>
  <c r="K24" i="10"/>
  <c r="M24" i="10"/>
  <c r="N128" i="10"/>
  <c r="O24" i="10"/>
  <c r="M128" i="10"/>
  <c r="L128" i="10"/>
  <c r="H24" i="10"/>
  <c r="G128" i="10"/>
  <c r="W22" i="269"/>
  <c r="V22" i="269"/>
  <c r="R22" i="269"/>
  <c r="P21" i="268"/>
  <c r="T21" i="268"/>
  <c r="T21" i="267"/>
  <c r="Q21" i="268"/>
  <c r="Q21" i="267"/>
  <c r="D131" i="10"/>
  <c r="C31" i="10"/>
  <c r="O20" i="268"/>
  <c r="Q20" i="269"/>
  <c r="W20" i="269"/>
  <c r="R20" i="269"/>
  <c r="T20" i="269"/>
  <c r="C130" i="10"/>
  <c r="I130" i="10"/>
  <c r="E130" i="10"/>
  <c r="F130" i="10"/>
  <c r="G130" i="10"/>
  <c r="H130" i="10"/>
  <c r="L130" i="10"/>
  <c r="R25" i="214"/>
  <c r="O20" i="214"/>
  <c r="M18" i="213"/>
  <c r="L93" i="213"/>
  <c r="L17" i="213"/>
  <c r="K93" i="213"/>
  <c r="K25" i="236"/>
  <c r="L19" i="214"/>
  <c r="P19" i="213"/>
  <c r="M17" i="213"/>
  <c r="J24" i="29"/>
  <c r="J26" i="29" s="1"/>
  <c r="K16" i="213"/>
  <c r="F24" i="29"/>
  <c r="F26" i="29" s="1"/>
  <c r="N19" i="213"/>
  <c r="M16" i="213"/>
  <c r="I18" i="213"/>
  <c r="J19" i="213"/>
  <c r="G93" i="213"/>
  <c r="E24" i="29"/>
  <c r="E26" i="29" s="1"/>
  <c r="H78" i="225"/>
  <c r="H81" i="225"/>
  <c r="F81" i="225"/>
  <c r="E83" i="225"/>
  <c r="F83" i="225" s="1"/>
  <c r="F78" i="225"/>
  <c r="F72" i="225"/>
  <c r="K44" i="17"/>
  <c r="K37" i="17"/>
  <c r="E59" i="17"/>
  <c r="E51" i="17"/>
  <c r="E43" i="17"/>
  <c r="K32" i="17"/>
  <c r="J33" i="17" s="1"/>
  <c r="H33" i="17" s="1"/>
  <c r="I33" i="17" s="1"/>
  <c r="K58" i="17"/>
  <c r="K42" i="17"/>
  <c r="K30" i="17"/>
  <c r="J31" i="17" s="1"/>
  <c r="H31" i="17" s="1"/>
  <c r="I31" i="17" s="1"/>
  <c r="E49" i="17"/>
  <c r="E41" i="17"/>
  <c r="E33" i="17"/>
  <c r="I58" i="18"/>
  <c r="H58" i="18" s="1"/>
  <c r="N58" i="18" s="1"/>
  <c r="G77" i="18"/>
  <c r="K61" i="18"/>
  <c r="N61" i="18" s="1"/>
  <c r="P61" i="18" s="1"/>
  <c r="M66" i="18"/>
  <c r="C45" i="18"/>
  <c r="I45" i="18" s="1"/>
  <c r="H45" i="18" s="1"/>
  <c r="C42" i="18"/>
  <c r="I42" i="18" s="1"/>
  <c r="H42" i="18" s="1"/>
  <c r="C40" i="18"/>
  <c r="I40" i="18" s="1"/>
  <c r="H40" i="18" s="1"/>
  <c r="C49" i="18"/>
  <c r="I49" i="18" s="1"/>
  <c r="H49" i="18" s="1"/>
  <c r="C26" i="18"/>
  <c r="I26" i="18" s="1"/>
  <c r="H26" i="18" s="1"/>
  <c r="C41" i="18"/>
  <c r="I41" i="18" s="1"/>
  <c r="H41" i="18" s="1"/>
  <c r="C39" i="18"/>
  <c r="I39" i="18" s="1"/>
  <c r="H39" i="18" s="1"/>
  <c r="C48" i="18"/>
  <c r="I48" i="18" s="1"/>
  <c r="H48" i="18" s="1"/>
  <c r="C43" i="18"/>
  <c r="I43" i="18" s="1"/>
  <c r="H43" i="18" s="1"/>
  <c r="I65" i="18"/>
  <c r="H65" i="18" s="1"/>
  <c r="M69" i="18"/>
  <c r="I70" i="18"/>
  <c r="H70" i="18" s="1"/>
  <c r="I52" i="18"/>
  <c r="H52" i="18" s="1"/>
  <c r="N52" i="18" s="1"/>
  <c r="C32" i="18"/>
  <c r="I32" i="18" s="1"/>
  <c r="H32" i="18" s="1"/>
  <c r="I63" i="18"/>
  <c r="H63" i="18" s="1"/>
  <c r="M72" i="18"/>
  <c r="I71" i="18"/>
  <c r="H71" i="18" s="1"/>
  <c r="I62" i="18"/>
  <c r="H62" i="18" s="1"/>
  <c r="I73" i="18"/>
  <c r="H73" i="18" s="1"/>
  <c r="K61" i="19"/>
  <c r="K62" i="19" s="1"/>
  <c r="K63" i="19" s="1"/>
  <c r="K64" i="19" s="1"/>
  <c r="K65" i="19" s="1"/>
  <c r="N65" i="19" s="1"/>
  <c r="I71" i="19"/>
  <c r="H71" i="19" s="1"/>
  <c r="M66" i="19"/>
  <c r="I72" i="19"/>
  <c r="H72" i="19" s="1"/>
  <c r="M62" i="19"/>
  <c r="M56" i="19"/>
  <c r="M70" i="19"/>
  <c r="I50" i="19"/>
  <c r="H50" i="19" s="1"/>
  <c r="N50" i="19" s="1"/>
  <c r="I267" i="23"/>
  <c r="N267" i="23" s="1"/>
  <c r="O15" i="231"/>
  <c r="H14" i="232"/>
  <c r="Q93" i="29"/>
  <c r="F20" i="3"/>
  <c r="E70" i="231"/>
  <c r="F72" i="231"/>
  <c r="E72" i="231"/>
  <c r="AL197" i="38"/>
  <c r="AP197" i="38"/>
  <c r="D21" i="232"/>
  <c r="E21" i="232" s="1"/>
  <c r="F21" i="232" s="1"/>
  <c r="G21" i="232" s="1"/>
  <c r="H21" i="232" s="1"/>
  <c r="I21" i="232" s="1"/>
  <c r="J21" i="232" s="1"/>
  <c r="K21" i="232" s="1"/>
  <c r="L21" i="232" s="1"/>
  <c r="M21" i="232" s="1"/>
  <c r="N21" i="232" s="1"/>
  <c r="O21" i="232" s="1"/>
  <c r="P21" i="232" s="1"/>
  <c r="I267" i="21"/>
  <c r="N267" i="21" s="1"/>
  <c r="I266" i="227"/>
  <c r="N266" i="227" s="1"/>
  <c r="I267" i="227"/>
  <c r="N267" i="227" s="1"/>
  <c r="D74" i="228"/>
  <c r="D75" i="228" s="1"/>
  <c r="D76" i="228" s="1"/>
  <c r="D77" i="228" s="1"/>
  <c r="D78" i="228" s="1"/>
  <c r="D79" i="228" s="1"/>
  <c r="D80" i="228" s="1"/>
  <c r="D81" i="228" s="1"/>
  <c r="D82" i="228" s="1"/>
  <c r="D83" i="228" s="1"/>
  <c r="D84" i="228" s="1"/>
  <c r="D85" i="228" s="1"/>
  <c r="D86" i="228" s="1"/>
  <c r="D87" i="228" s="1"/>
  <c r="D88" i="228" s="1"/>
  <c r="D89" i="228" s="1"/>
  <c r="D90" i="228" s="1"/>
  <c r="D91" i="228" s="1"/>
  <c r="D92" i="228" s="1"/>
  <c r="D93" i="228" s="1"/>
  <c r="D94" i="228" s="1"/>
  <c r="D95" i="228" s="1"/>
  <c r="D96" i="228" s="1"/>
  <c r="D97" i="228" s="1"/>
  <c r="D98" i="228" s="1"/>
  <c r="D99" i="228" s="1"/>
  <c r="D100" i="228" s="1"/>
  <c r="D101" i="228" s="1"/>
  <c r="D102" i="228" s="1"/>
  <c r="D103" i="228" s="1"/>
  <c r="D104" i="228" s="1"/>
  <c r="D105" i="228" s="1"/>
  <c r="D106" i="228" s="1"/>
  <c r="D107" i="228" s="1"/>
  <c r="D108" i="228" s="1"/>
  <c r="D109" i="228" s="1"/>
  <c r="D110" i="228" s="1"/>
  <c r="D111" i="228" s="1"/>
  <c r="D112" i="228" s="1"/>
  <c r="D113" i="228" s="1"/>
  <c r="D114" i="228" s="1"/>
  <c r="D115" i="228" s="1"/>
  <c r="D116" i="228" s="1"/>
  <c r="D117" i="228" s="1"/>
  <c r="D118" i="228" s="1"/>
  <c r="D119" i="228" s="1"/>
  <c r="D120" i="228" s="1"/>
  <c r="D121" i="228" s="1"/>
  <c r="D122" i="228" s="1"/>
  <c r="D123" i="228" s="1"/>
  <c r="D124" i="228" s="1"/>
  <c r="D125" i="228" s="1"/>
  <c r="D126" i="228" s="1"/>
  <c r="D127" i="228" s="1"/>
  <c r="D128" i="228" s="1"/>
  <c r="D129" i="228" s="1"/>
  <c r="D130" i="228" s="1"/>
  <c r="D131" i="228" s="1"/>
  <c r="D132" i="228" s="1"/>
  <c r="D133" i="228" s="1"/>
  <c r="D134" i="228" s="1"/>
  <c r="D135" i="228" s="1"/>
  <c r="D136" i="228" s="1"/>
  <c r="D137" i="228" s="1"/>
  <c r="D138" i="228" s="1"/>
  <c r="D139" i="228" s="1"/>
  <c r="D140" i="228" s="1"/>
  <c r="D141" i="228" s="1"/>
  <c r="D142" i="228" s="1"/>
  <c r="D143" i="228" s="1"/>
  <c r="D144" i="228" s="1"/>
  <c r="D145" i="228" s="1"/>
  <c r="D146" i="228" s="1"/>
  <c r="D147" i="228" s="1"/>
  <c r="D148" i="228" s="1"/>
  <c r="D149" i="228" s="1"/>
  <c r="D150" i="228" s="1"/>
  <c r="D151" i="228" s="1"/>
  <c r="D152" i="228" s="1"/>
  <c r="D153" i="228" s="1"/>
  <c r="D154" i="228" s="1"/>
  <c r="D155" i="228" s="1"/>
  <c r="D156" i="228" s="1"/>
  <c r="D157" i="228" s="1"/>
  <c r="D158" i="228" s="1"/>
  <c r="D159" i="228" s="1"/>
  <c r="D160" i="228" s="1"/>
  <c r="D161" i="228" s="1"/>
  <c r="D162" i="228" s="1"/>
  <c r="D163" i="228" s="1"/>
  <c r="D164" i="228" s="1"/>
  <c r="D165" i="228" s="1"/>
  <c r="D166" i="228" s="1"/>
  <c r="D167" i="228" s="1"/>
  <c r="D168" i="228" s="1"/>
  <c r="D169" i="228" s="1"/>
  <c r="D170" i="228" s="1"/>
  <c r="D171" i="228" s="1"/>
  <c r="D172" i="228" s="1"/>
  <c r="D173" i="228" s="1"/>
  <c r="D174" i="228" s="1"/>
  <c r="D175" i="228" s="1"/>
  <c r="D176" i="228" s="1"/>
  <c r="D177" i="228" s="1"/>
  <c r="D178" i="228" s="1"/>
  <c r="D179" i="228" s="1"/>
  <c r="D180" i="228" s="1"/>
  <c r="D181" i="228" s="1"/>
  <c r="D182" i="228" s="1"/>
  <c r="D183" i="228" s="1"/>
  <c r="D184" i="228" s="1"/>
  <c r="D185" i="228" s="1"/>
  <c r="D186" i="228" s="1"/>
  <c r="D187" i="228" s="1"/>
  <c r="D188" i="228" s="1"/>
  <c r="D189" i="228" s="1"/>
  <c r="D190" i="228" s="1"/>
  <c r="D191" i="228" s="1"/>
  <c r="D192" i="228" s="1"/>
  <c r="D193" i="228" s="1"/>
  <c r="D194" i="228" s="1"/>
  <c r="D195" i="228" s="1"/>
  <c r="D196" i="228" s="1"/>
  <c r="D197" i="228" s="1"/>
  <c r="D198" i="228" s="1"/>
  <c r="D199" i="228" s="1"/>
  <c r="D200" i="228" s="1"/>
  <c r="D201" i="228" s="1"/>
  <c r="D202" i="228" s="1"/>
  <c r="D203" i="228" s="1"/>
  <c r="D204" i="228" s="1"/>
  <c r="D205" i="228" s="1"/>
  <c r="D206" i="228" s="1"/>
  <c r="D207" i="228" s="1"/>
  <c r="D208" i="228" s="1"/>
  <c r="D209" i="228" s="1"/>
  <c r="D210" i="228" s="1"/>
  <c r="D211" i="228" s="1"/>
  <c r="D212" i="228" s="1"/>
  <c r="D213" i="228" s="1"/>
  <c r="D214" i="228" s="1"/>
  <c r="D215" i="228" s="1"/>
  <c r="D216" i="228" s="1"/>
  <c r="D217" i="228" s="1"/>
  <c r="D218" i="228" s="1"/>
  <c r="D219" i="228" s="1"/>
  <c r="D220" i="228" s="1"/>
  <c r="D221" i="228" s="1"/>
  <c r="D222" i="228" s="1"/>
  <c r="D223" i="228" s="1"/>
  <c r="D224" i="228" s="1"/>
  <c r="D225" i="228" s="1"/>
  <c r="D226" i="228" s="1"/>
  <c r="D227" i="228" s="1"/>
  <c r="D228" i="228" s="1"/>
  <c r="D229" i="228" s="1"/>
  <c r="D230" i="228" s="1"/>
  <c r="D231" i="228" s="1"/>
  <c r="D232" i="228" s="1"/>
  <c r="D233" i="228" s="1"/>
  <c r="D234" i="228" s="1"/>
  <c r="D235" i="228" s="1"/>
  <c r="D236" i="228" s="1"/>
  <c r="D237" i="228" s="1"/>
  <c r="D238" i="228" s="1"/>
  <c r="D239" i="228" s="1"/>
  <c r="D240" i="228" s="1"/>
  <c r="D241" i="228" s="1"/>
  <c r="D242" i="228" s="1"/>
  <c r="D243" i="228" s="1"/>
  <c r="D244" i="228" s="1"/>
  <c r="D245" i="228" s="1"/>
  <c r="D246" i="228" s="1"/>
  <c r="D247" i="228" s="1"/>
  <c r="D248" i="228" s="1"/>
  <c r="D249" i="228" s="1"/>
  <c r="D250" i="228" s="1"/>
  <c r="D251" i="228" s="1"/>
  <c r="D252" i="228" s="1"/>
  <c r="D253" i="228" s="1"/>
  <c r="D254" i="228" s="1"/>
  <c r="D255" i="228" s="1"/>
  <c r="D256" i="228" s="1"/>
  <c r="D257" i="228" s="1"/>
  <c r="D258" i="228" s="1"/>
  <c r="D259" i="228" s="1"/>
  <c r="D260" i="228" s="1"/>
  <c r="D261" i="228" s="1"/>
  <c r="D262" i="228" s="1"/>
  <c r="D263" i="228" s="1"/>
  <c r="D264" i="228" s="1"/>
  <c r="D265" i="228" s="1"/>
  <c r="E269" i="228"/>
  <c r="I267" i="228"/>
  <c r="N267" i="228" s="1"/>
  <c r="I266" i="229"/>
  <c r="N266" i="229" s="1"/>
  <c r="I267" i="20"/>
  <c r="N267" i="20" s="1"/>
  <c r="I266" i="20"/>
  <c r="N266" i="20" s="1"/>
  <c r="D74" i="20"/>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74" i="22"/>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E269" i="22"/>
  <c r="C31" i="22" s="1"/>
  <c r="I31" i="22" s="1"/>
  <c r="H31" i="22" s="1"/>
  <c r="N31" i="22" s="1"/>
  <c r="I267" i="22"/>
  <c r="N267" i="22" s="1"/>
  <c r="D74" i="23"/>
  <c r="D75" i="23" s="1"/>
  <c r="D76" i="23" s="1"/>
  <c r="D77" i="23" s="1"/>
  <c r="D78" i="23" s="1"/>
  <c r="D79" i="23" s="1"/>
  <c r="D80" i="23" s="1"/>
  <c r="D81" i="23" s="1"/>
  <c r="D82" i="23" s="1"/>
  <c r="D83" i="23" s="1"/>
  <c r="D84" i="23" s="1"/>
  <c r="D85" i="23" s="1"/>
  <c r="D86" i="23" s="1"/>
  <c r="D87" i="23" s="1"/>
  <c r="D88" i="23" s="1"/>
  <c r="D89" i="23" s="1"/>
  <c r="D90" i="23" s="1"/>
  <c r="D91" i="23" s="1"/>
  <c r="D92" i="23" s="1"/>
  <c r="D93" i="23" s="1"/>
  <c r="D94" i="23" s="1"/>
  <c r="D95" i="23" s="1"/>
  <c r="D96" i="23" s="1"/>
  <c r="D97" i="23" s="1"/>
  <c r="D98" i="23" s="1"/>
  <c r="D99" i="23" s="1"/>
  <c r="D100" i="23" s="1"/>
  <c r="D101" i="23" s="1"/>
  <c r="D102" i="23" s="1"/>
  <c r="D103" i="23" s="1"/>
  <c r="D104" i="23" s="1"/>
  <c r="D105" i="23" s="1"/>
  <c r="D106" i="23" s="1"/>
  <c r="D107" i="23" s="1"/>
  <c r="D108" i="23" s="1"/>
  <c r="D109" i="23" s="1"/>
  <c r="D110" i="23" s="1"/>
  <c r="D111" i="23" s="1"/>
  <c r="D112" i="23" s="1"/>
  <c r="D113" i="23" s="1"/>
  <c r="D114" i="23" s="1"/>
  <c r="D115" i="23" s="1"/>
  <c r="D116" i="23" s="1"/>
  <c r="D117" i="23" s="1"/>
  <c r="D118" i="23" s="1"/>
  <c r="D119" i="23" s="1"/>
  <c r="D120" i="23" s="1"/>
  <c r="D121" i="23" s="1"/>
  <c r="D122" i="23" s="1"/>
  <c r="D123" i="23" s="1"/>
  <c r="D124" i="23" s="1"/>
  <c r="D125" i="23" s="1"/>
  <c r="D126" i="23" s="1"/>
  <c r="D127" i="23" s="1"/>
  <c r="D128" i="23" s="1"/>
  <c r="D129" i="23" s="1"/>
  <c r="D130" i="23" s="1"/>
  <c r="D131" i="23" s="1"/>
  <c r="D132" i="23" s="1"/>
  <c r="D133" i="23" s="1"/>
  <c r="D134" i="23" s="1"/>
  <c r="D135" i="23" s="1"/>
  <c r="D136" i="23" s="1"/>
  <c r="D137" i="23" s="1"/>
  <c r="D138" i="23" s="1"/>
  <c r="D139" i="23" s="1"/>
  <c r="D140" i="23" s="1"/>
  <c r="D141" i="23" s="1"/>
  <c r="D142" i="23" s="1"/>
  <c r="D143" i="23" s="1"/>
  <c r="D144" i="23" s="1"/>
  <c r="D145" i="23" s="1"/>
  <c r="D146" i="23" s="1"/>
  <c r="D147" i="23" s="1"/>
  <c r="D148" i="23" s="1"/>
  <c r="D149" i="23" s="1"/>
  <c r="D150" i="23" s="1"/>
  <c r="D151" i="23" s="1"/>
  <c r="D152" i="23" s="1"/>
  <c r="D153" i="23" s="1"/>
  <c r="D154" i="23" s="1"/>
  <c r="D155" i="23" s="1"/>
  <c r="D156" i="23" s="1"/>
  <c r="D157" i="23" s="1"/>
  <c r="D158" i="23" s="1"/>
  <c r="D159" i="23" s="1"/>
  <c r="D160" i="23" s="1"/>
  <c r="D161" i="23" s="1"/>
  <c r="D162" i="23" s="1"/>
  <c r="D163" i="23" s="1"/>
  <c r="D164" i="23" s="1"/>
  <c r="D165" i="23" s="1"/>
  <c r="D166" i="23" s="1"/>
  <c r="D167" i="23" s="1"/>
  <c r="D168" i="23" s="1"/>
  <c r="D169" i="23" s="1"/>
  <c r="D170" i="23" s="1"/>
  <c r="D171" i="23" s="1"/>
  <c r="D172" i="23" s="1"/>
  <c r="D173" i="23" s="1"/>
  <c r="D174" i="23" s="1"/>
  <c r="D175" i="23" s="1"/>
  <c r="D176" i="23" s="1"/>
  <c r="D177" i="23" s="1"/>
  <c r="D178" i="23" s="1"/>
  <c r="D179" i="23" s="1"/>
  <c r="D180" i="23" s="1"/>
  <c r="D181" i="23" s="1"/>
  <c r="D182" i="23" s="1"/>
  <c r="D183" i="23" s="1"/>
  <c r="D184" i="23" s="1"/>
  <c r="D185" i="23" s="1"/>
  <c r="D186" i="23" s="1"/>
  <c r="D187" i="23" s="1"/>
  <c r="D188" i="23" s="1"/>
  <c r="D189" i="23" s="1"/>
  <c r="D190" i="23" s="1"/>
  <c r="D191" i="23" s="1"/>
  <c r="D192" i="23" s="1"/>
  <c r="D193" i="23" s="1"/>
  <c r="D194" i="23" s="1"/>
  <c r="D195" i="23" s="1"/>
  <c r="D196" i="23" s="1"/>
  <c r="D197" i="23" s="1"/>
  <c r="D198" i="23" s="1"/>
  <c r="D199" i="23" s="1"/>
  <c r="D200" i="23" s="1"/>
  <c r="D201" i="23" s="1"/>
  <c r="D202" i="23" s="1"/>
  <c r="D203" i="23" s="1"/>
  <c r="D204" i="23" s="1"/>
  <c r="D205" i="23" s="1"/>
  <c r="D206" i="23" s="1"/>
  <c r="D207" i="23" s="1"/>
  <c r="D208" i="23" s="1"/>
  <c r="D209" i="23" s="1"/>
  <c r="D210" i="23" s="1"/>
  <c r="D211" i="23" s="1"/>
  <c r="D212" i="23" s="1"/>
  <c r="D213" i="23" s="1"/>
  <c r="D214" i="23" s="1"/>
  <c r="D215" i="23" s="1"/>
  <c r="D216" i="23" s="1"/>
  <c r="D217" i="23" s="1"/>
  <c r="D218" i="23" s="1"/>
  <c r="D219" i="23" s="1"/>
  <c r="D220" i="23" s="1"/>
  <c r="D221" i="23" s="1"/>
  <c r="D222" i="23" s="1"/>
  <c r="D223" i="23" s="1"/>
  <c r="D224" i="23" s="1"/>
  <c r="D225" i="23" s="1"/>
  <c r="D226" i="23" s="1"/>
  <c r="D227" i="23" s="1"/>
  <c r="D228" i="23" s="1"/>
  <c r="D229" i="23" s="1"/>
  <c r="D230" i="23" s="1"/>
  <c r="D231" i="23" s="1"/>
  <c r="D232" i="23" s="1"/>
  <c r="D233" i="23" s="1"/>
  <c r="D234" i="23" s="1"/>
  <c r="D235" i="23" s="1"/>
  <c r="D236" i="23" s="1"/>
  <c r="D237" i="23" s="1"/>
  <c r="D238" i="23" s="1"/>
  <c r="D239" i="23" s="1"/>
  <c r="D240" i="23" s="1"/>
  <c r="D241" i="23" s="1"/>
  <c r="D242" i="23" s="1"/>
  <c r="D243" i="23" s="1"/>
  <c r="D244" i="23" s="1"/>
  <c r="D245" i="23" s="1"/>
  <c r="D246" i="23" s="1"/>
  <c r="D247" i="23" s="1"/>
  <c r="D248" i="23" s="1"/>
  <c r="D249" i="23" s="1"/>
  <c r="D250" i="23" s="1"/>
  <c r="D251" i="23" s="1"/>
  <c r="D252" i="23" s="1"/>
  <c r="D253" i="23" s="1"/>
  <c r="D254" i="23" s="1"/>
  <c r="D255" i="23" s="1"/>
  <c r="D256" i="23" s="1"/>
  <c r="D257" i="23" s="1"/>
  <c r="D258" i="23" s="1"/>
  <c r="D259" i="23" s="1"/>
  <c r="D260" i="23" s="1"/>
  <c r="D261" i="23" s="1"/>
  <c r="D262" i="23" s="1"/>
  <c r="D263" i="23" s="1"/>
  <c r="D264" i="23" s="1"/>
  <c r="D265" i="23" s="1"/>
  <c r="E269" i="23"/>
  <c r="C63" i="23" s="1"/>
  <c r="I266" i="23"/>
  <c r="N266" i="23" s="1"/>
  <c r="D74" i="210"/>
  <c r="D75" i="210" s="1"/>
  <c r="D76" i="210" s="1"/>
  <c r="D77" i="210" s="1"/>
  <c r="D78" i="210" s="1"/>
  <c r="D79" i="210" s="1"/>
  <c r="D80" i="210" s="1"/>
  <c r="D81" i="210" s="1"/>
  <c r="D82" i="210" s="1"/>
  <c r="D83" i="210" s="1"/>
  <c r="D84" i="210" s="1"/>
  <c r="D85" i="210" s="1"/>
  <c r="D86" i="210" s="1"/>
  <c r="D87" i="210" s="1"/>
  <c r="D88" i="210" s="1"/>
  <c r="D89" i="210" s="1"/>
  <c r="D90" i="210" s="1"/>
  <c r="D91" i="210" s="1"/>
  <c r="D92" i="210" s="1"/>
  <c r="D93" i="210" s="1"/>
  <c r="D94" i="210" s="1"/>
  <c r="D95" i="210" s="1"/>
  <c r="D96" i="210" s="1"/>
  <c r="D97" i="210" s="1"/>
  <c r="D98" i="210" s="1"/>
  <c r="D99" i="210" s="1"/>
  <c r="D100" i="210" s="1"/>
  <c r="D101" i="210" s="1"/>
  <c r="D102" i="210" s="1"/>
  <c r="D103" i="210" s="1"/>
  <c r="D104" i="210" s="1"/>
  <c r="D105" i="210" s="1"/>
  <c r="D106" i="210" s="1"/>
  <c r="D107" i="210" s="1"/>
  <c r="D108" i="210" s="1"/>
  <c r="D109" i="210" s="1"/>
  <c r="D110" i="210" s="1"/>
  <c r="D111" i="210" s="1"/>
  <c r="D112" i="210" s="1"/>
  <c r="D113" i="210" s="1"/>
  <c r="D114" i="210" s="1"/>
  <c r="D115" i="210" s="1"/>
  <c r="D116" i="210" s="1"/>
  <c r="D117" i="210" s="1"/>
  <c r="D118" i="210" s="1"/>
  <c r="D119" i="210" s="1"/>
  <c r="D120" i="210" s="1"/>
  <c r="D121" i="210" s="1"/>
  <c r="D122" i="210" s="1"/>
  <c r="D123" i="210" s="1"/>
  <c r="D124" i="210" s="1"/>
  <c r="D125" i="210" s="1"/>
  <c r="D126" i="210" s="1"/>
  <c r="D127" i="210" s="1"/>
  <c r="D128" i="210" s="1"/>
  <c r="D129" i="210" s="1"/>
  <c r="D130" i="210" s="1"/>
  <c r="D131" i="210" s="1"/>
  <c r="D132" i="210" s="1"/>
  <c r="D133" i="210" s="1"/>
  <c r="D134" i="210" s="1"/>
  <c r="D135" i="210" s="1"/>
  <c r="D136" i="210" s="1"/>
  <c r="D137" i="210" s="1"/>
  <c r="D138" i="210" s="1"/>
  <c r="D139" i="210" s="1"/>
  <c r="D140" i="210" s="1"/>
  <c r="D141" i="210" s="1"/>
  <c r="D142" i="210" s="1"/>
  <c r="D143" i="210" s="1"/>
  <c r="D144" i="210" s="1"/>
  <c r="D145" i="210" s="1"/>
  <c r="D146" i="210" s="1"/>
  <c r="D147" i="210" s="1"/>
  <c r="D148" i="210" s="1"/>
  <c r="D149" i="210" s="1"/>
  <c r="D150" i="210" s="1"/>
  <c r="D151" i="210" s="1"/>
  <c r="D152" i="210" s="1"/>
  <c r="D153" i="210" s="1"/>
  <c r="D154" i="210" s="1"/>
  <c r="D155" i="210" s="1"/>
  <c r="D156" i="210" s="1"/>
  <c r="D157" i="210" s="1"/>
  <c r="D158" i="210" s="1"/>
  <c r="D159" i="210" s="1"/>
  <c r="D160" i="210" s="1"/>
  <c r="D161" i="210" s="1"/>
  <c r="D162" i="210" s="1"/>
  <c r="D163" i="210" s="1"/>
  <c r="D164" i="210" s="1"/>
  <c r="D165" i="210" s="1"/>
  <c r="D166" i="210" s="1"/>
  <c r="D167" i="210" s="1"/>
  <c r="D168" i="210" s="1"/>
  <c r="D169" i="210" s="1"/>
  <c r="D170" i="210" s="1"/>
  <c r="D171" i="210" s="1"/>
  <c r="D172" i="210" s="1"/>
  <c r="D173" i="210" s="1"/>
  <c r="D174" i="210" s="1"/>
  <c r="D175" i="210" s="1"/>
  <c r="D176" i="210" s="1"/>
  <c r="D177" i="210" s="1"/>
  <c r="D178" i="210" s="1"/>
  <c r="D179" i="210" s="1"/>
  <c r="D180" i="210" s="1"/>
  <c r="D181" i="210" s="1"/>
  <c r="D182" i="210" s="1"/>
  <c r="D183" i="210" s="1"/>
  <c r="D184" i="210" s="1"/>
  <c r="D185" i="210" s="1"/>
  <c r="D186" i="210" s="1"/>
  <c r="D187" i="210" s="1"/>
  <c r="D188" i="210" s="1"/>
  <c r="D189" i="210" s="1"/>
  <c r="D190" i="210" s="1"/>
  <c r="D191" i="210" s="1"/>
  <c r="D192" i="210" s="1"/>
  <c r="D193" i="210" s="1"/>
  <c r="D194" i="210" s="1"/>
  <c r="D195" i="210" s="1"/>
  <c r="D196" i="210" s="1"/>
  <c r="D197" i="210" s="1"/>
  <c r="D198" i="210" s="1"/>
  <c r="D199" i="210" s="1"/>
  <c r="D200" i="210" s="1"/>
  <c r="D201" i="210" s="1"/>
  <c r="D202" i="210" s="1"/>
  <c r="D203" i="210" s="1"/>
  <c r="D204" i="210" s="1"/>
  <c r="D205" i="210" s="1"/>
  <c r="D206" i="210" s="1"/>
  <c r="D207" i="210" s="1"/>
  <c r="D208" i="210" s="1"/>
  <c r="D209" i="210" s="1"/>
  <c r="D210" i="210" s="1"/>
  <c r="D211" i="210" s="1"/>
  <c r="D212" i="210" s="1"/>
  <c r="D213" i="210" s="1"/>
  <c r="D214" i="210" s="1"/>
  <c r="D215" i="210" s="1"/>
  <c r="D216" i="210" s="1"/>
  <c r="D217" i="210" s="1"/>
  <c r="D218" i="210" s="1"/>
  <c r="D219" i="210" s="1"/>
  <c r="D220" i="210" s="1"/>
  <c r="D221" i="210" s="1"/>
  <c r="D222" i="210" s="1"/>
  <c r="D223" i="210" s="1"/>
  <c r="D224" i="210" s="1"/>
  <c r="D225" i="210" s="1"/>
  <c r="D226" i="210" s="1"/>
  <c r="D227" i="210" s="1"/>
  <c r="D228" i="210" s="1"/>
  <c r="D229" i="210" s="1"/>
  <c r="D230" i="210" s="1"/>
  <c r="D231" i="210" s="1"/>
  <c r="D232" i="210" s="1"/>
  <c r="D233" i="210" s="1"/>
  <c r="D234" i="210" s="1"/>
  <c r="D235" i="210" s="1"/>
  <c r="D236" i="210" s="1"/>
  <c r="D237" i="210" s="1"/>
  <c r="D238" i="210" s="1"/>
  <c r="D239" i="210" s="1"/>
  <c r="D240" i="210" s="1"/>
  <c r="D241" i="210" s="1"/>
  <c r="D242" i="210" s="1"/>
  <c r="D243" i="210" s="1"/>
  <c r="D244" i="210" s="1"/>
  <c r="D245" i="210" s="1"/>
  <c r="D246" i="210" s="1"/>
  <c r="D247" i="210" s="1"/>
  <c r="D248" i="210" s="1"/>
  <c r="D249" i="210" s="1"/>
  <c r="D250" i="210" s="1"/>
  <c r="D251" i="210" s="1"/>
  <c r="D252" i="210" s="1"/>
  <c r="D253" i="210" s="1"/>
  <c r="D254" i="210" s="1"/>
  <c r="D255" i="210" s="1"/>
  <c r="D256" i="210" s="1"/>
  <c r="D257" i="210" s="1"/>
  <c r="D258" i="210" s="1"/>
  <c r="D259" i="210" s="1"/>
  <c r="D260" i="210" s="1"/>
  <c r="D261" i="210" s="1"/>
  <c r="D262" i="210" s="1"/>
  <c r="D263" i="210" s="1"/>
  <c r="D264" i="210" s="1"/>
  <c r="D265" i="210" s="1"/>
  <c r="I267" i="210"/>
  <c r="N267" i="210" s="1"/>
  <c r="I266" i="210"/>
  <c r="N266" i="210" s="1"/>
  <c r="D74" i="227"/>
  <c r="D75" i="227" s="1"/>
  <c r="D76" i="227" s="1"/>
  <c r="D77" i="227" s="1"/>
  <c r="D78" i="227" s="1"/>
  <c r="D79" i="227" s="1"/>
  <c r="D80" i="227" s="1"/>
  <c r="D81" i="227" s="1"/>
  <c r="D82" i="227" s="1"/>
  <c r="D83" i="227" s="1"/>
  <c r="D84" i="227" s="1"/>
  <c r="D85" i="227" s="1"/>
  <c r="D86" i="227" s="1"/>
  <c r="D87" i="227" s="1"/>
  <c r="D88" i="227" s="1"/>
  <c r="D89" i="227" s="1"/>
  <c r="D90" i="227" s="1"/>
  <c r="D91" i="227" s="1"/>
  <c r="D92" i="227" s="1"/>
  <c r="D93" i="227" s="1"/>
  <c r="D94" i="227" s="1"/>
  <c r="D95" i="227" s="1"/>
  <c r="D96" i="227" s="1"/>
  <c r="D97" i="227" s="1"/>
  <c r="D98" i="227" s="1"/>
  <c r="D99" i="227" s="1"/>
  <c r="D100" i="227" s="1"/>
  <c r="D101" i="227" s="1"/>
  <c r="D102" i="227" s="1"/>
  <c r="D103" i="227" s="1"/>
  <c r="D104" i="227" s="1"/>
  <c r="D105" i="227" s="1"/>
  <c r="D106" i="227" s="1"/>
  <c r="D107" i="227" s="1"/>
  <c r="D108" i="227" s="1"/>
  <c r="D109" i="227" s="1"/>
  <c r="D110" i="227" s="1"/>
  <c r="D111" i="227" s="1"/>
  <c r="D112" i="227" s="1"/>
  <c r="D113" i="227" s="1"/>
  <c r="D114" i="227" s="1"/>
  <c r="D115" i="227" s="1"/>
  <c r="D116" i="227" s="1"/>
  <c r="D117" i="227" s="1"/>
  <c r="D118" i="227" s="1"/>
  <c r="D119" i="227" s="1"/>
  <c r="D120" i="227" s="1"/>
  <c r="D121" i="227" s="1"/>
  <c r="D122" i="227" s="1"/>
  <c r="D123" i="227" s="1"/>
  <c r="D124" i="227" s="1"/>
  <c r="D125" i="227" s="1"/>
  <c r="D126" i="227" s="1"/>
  <c r="D127" i="227" s="1"/>
  <c r="D128" i="227" s="1"/>
  <c r="D129" i="227" s="1"/>
  <c r="D130" i="227" s="1"/>
  <c r="D131" i="227" s="1"/>
  <c r="D132" i="227" s="1"/>
  <c r="D133" i="227" s="1"/>
  <c r="D134" i="227" s="1"/>
  <c r="D135" i="227" s="1"/>
  <c r="D136" i="227" s="1"/>
  <c r="D137" i="227" s="1"/>
  <c r="D138" i="227" s="1"/>
  <c r="D139" i="227" s="1"/>
  <c r="D140" i="227" s="1"/>
  <c r="D141" i="227" s="1"/>
  <c r="D142" i="227" s="1"/>
  <c r="D143" i="227" s="1"/>
  <c r="D144" i="227" s="1"/>
  <c r="D145" i="227" s="1"/>
  <c r="D146" i="227" s="1"/>
  <c r="D147" i="227" s="1"/>
  <c r="D148" i="227" s="1"/>
  <c r="D149" i="227" s="1"/>
  <c r="D150" i="227" s="1"/>
  <c r="D151" i="227" s="1"/>
  <c r="D152" i="227" s="1"/>
  <c r="D153" i="227" s="1"/>
  <c r="D154" i="227" s="1"/>
  <c r="D155" i="227" s="1"/>
  <c r="D156" i="227" s="1"/>
  <c r="D157" i="227" s="1"/>
  <c r="D158" i="227" s="1"/>
  <c r="D159" i="227" s="1"/>
  <c r="D160" i="227" s="1"/>
  <c r="D161" i="227" s="1"/>
  <c r="D162" i="227" s="1"/>
  <c r="D163" i="227" s="1"/>
  <c r="D164" i="227" s="1"/>
  <c r="D165" i="227" s="1"/>
  <c r="D166" i="227" s="1"/>
  <c r="D167" i="227" s="1"/>
  <c r="D168" i="227" s="1"/>
  <c r="D169" i="227" s="1"/>
  <c r="D170" i="227" s="1"/>
  <c r="D171" i="227" s="1"/>
  <c r="D172" i="227" s="1"/>
  <c r="D173" i="227" s="1"/>
  <c r="D174" i="227" s="1"/>
  <c r="D175" i="227" s="1"/>
  <c r="D176" i="227" s="1"/>
  <c r="D177" i="227" s="1"/>
  <c r="D178" i="227" s="1"/>
  <c r="D179" i="227" s="1"/>
  <c r="D180" i="227" s="1"/>
  <c r="D181" i="227" s="1"/>
  <c r="D182" i="227" s="1"/>
  <c r="D183" i="227" s="1"/>
  <c r="D184" i="227" s="1"/>
  <c r="D185" i="227" s="1"/>
  <c r="D186" i="227" s="1"/>
  <c r="D187" i="227" s="1"/>
  <c r="D188" i="227" s="1"/>
  <c r="D189" i="227" s="1"/>
  <c r="D190" i="227" s="1"/>
  <c r="D191" i="227" s="1"/>
  <c r="D192" i="227" s="1"/>
  <c r="D193" i="227" s="1"/>
  <c r="D194" i="227" s="1"/>
  <c r="D195" i="227" s="1"/>
  <c r="D196" i="227" s="1"/>
  <c r="D197" i="227" s="1"/>
  <c r="D198" i="227" s="1"/>
  <c r="D199" i="227" s="1"/>
  <c r="D200" i="227" s="1"/>
  <c r="D201" i="227" s="1"/>
  <c r="D202" i="227" s="1"/>
  <c r="D203" i="227" s="1"/>
  <c r="D204" i="227" s="1"/>
  <c r="D205" i="227" s="1"/>
  <c r="D206" i="227" s="1"/>
  <c r="D207" i="227" s="1"/>
  <c r="D208" i="227" s="1"/>
  <c r="D209" i="227" s="1"/>
  <c r="D210" i="227" s="1"/>
  <c r="D211" i="227" s="1"/>
  <c r="D212" i="227" s="1"/>
  <c r="D213" i="227" s="1"/>
  <c r="D214" i="227" s="1"/>
  <c r="D215" i="227" s="1"/>
  <c r="D216" i="227" s="1"/>
  <c r="D217" i="227" s="1"/>
  <c r="D218" i="227" s="1"/>
  <c r="D219" i="227" s="1"/>
  <c r="D220" i="227" s="1"/>
  <c r="D221" i="227" s="1"/>
  <c r="D222" i="227" s="1"/>
  <c r="D223" i="227" s="1"/>
  <c r="D224" i="227" s="1"/>
  <c r="D225" i="227" s="1"/>
  <c r="D226" i="227" s="1"/>
  <c r="D227" i="227" s="1"/>
  <c r="D228" i="227" s="1"/>
  <c r="D229" i="227" s="1"/>
  <c r="D230" i="227" s="1"/>
  <c r="D231" i="227" s="1"/>
  <c r="D232" i="227" s="1"/>
  <c r="D233" i="227" s="1"/>
  <c r="D234" i="227" s="1"/>
  <c r="D235" i="227" s="1"/>
  <c r="D236" i="227" s="1"/>
  <c r="D237" i="227" s="1"/>
  <c r="D238" i="227" s="1"/>
  <c r="D239" i="227" s="1"/>
  <c r="D240" i="227" s="1"/>
  <c r="D241" i="227" s="1"/>
  <c r="D242" i="227" s="1"/>
  <c r="D243" i="227" s="1"/>
  <c r="D244" i="227" s="1"/>
  <c r="D245" i="227" s="1"/>
  <c r="D246" i="227" s="1"/>
  <c r="D247" i="227" s="1"/>
  <c r="D248" i="227" s="1"/>
  <c r="D249" i="227" s="1"/>
  <c r="D250" i="227" s="1"/>
  <c r="D251" i="227" s="1"/>
  <c r="D252" i="227" s="1"/>
  <c r="D253" i="227" s="1"/>
  <c r="D254" i="227" s="1"/>
  <c r="D255" i="227" s="1"/>
  <c r="D256" i="227" s="1"/>
  <c r="D257" i="227" s="1"/>
  <c r="D258" i="227" s="1"/>
  <c r="D259" i="227" s="1"/>
  <c r="D260" i="227" s="1"/>
  <c r="D261" i="227" s="1"/>
  <c r="D262" i="227" s="1"/>
  <c r="D263" i="227" s="1"/>
  <c r="D264" i="227" s="1"/>
  <c r="D265" i="227" s="1"/>
  <c r="E269" i="227"/>
  <c r="C28" i="227" s="1"/>
  <c r="I28" i="227" s="1"/>
  <c r="H28" i="227" s="1"/>
  <c r="N28" i="227" s="1"/>
  <c r="D74" i="229"/>
  <c r="D75" i="229" s="1"/>
  <c r="D76" i="229" s="1"/>
  <c r="D77" i="229" s="1"/>
  <c r="D78" i="229" s="1"/>
  <c r="D79" i="229" s="1"/>
  <c r="D80" i="229" s="1"/>
  <c r="D81" i="229" s="1"/>
  <c r="D82" i="229" s="1"/>
  <c r="D83" i="229" s="1"/>
  <c r="D84" i="229" s="1"/>
  <c r="D85" i="229" s="1"/>
  <c r="D86" i="229" s="1"/>
  <c r="D87" i="229" s="1"/>
  <c r="D88" i="229" s="1"/>
  <c r="D89" i="229" s="1"/>
  <c r="D90" i="229" s="1"/>
  <c r="D91" i="229" s="1"/>
  <c r="D92" i="229" s="1"/>
  <c r="D93" i="229" s="1"/>
  <c r="D94" i="229" s="1"/>
  <c r="D95" i="229" s="1"/>
  <c r="D96" i="229" s="1"/>
  <c r="D97" i="229" s="1"/>
  <c r="D98" i="229" s="1"/>
  <c r="D99" i="229" s="1"/>
  <c r="D100" i="229" s="1"/>
  <c r="D101" i="229" s="1"/>
  <c r="D102" i="229" s="1"/>
  <c r="D103" i="229" s="1"/>
  <c r="D104" i="229" s="1"/>
  <c r="D105" i="229" s="1"/>
  <c r="D106" i="229" s="1"/>
  <c r="D107" i="229" s="1"/>
  <c r="D108" i="229" s="1"/>
  <c r="D109" i="229" s="1"/>
  <c r="D110" i="229" s="1"/>
  <c r="D111" i="229" s="1"/>
  <c r="D112" i="229" s="1"/>
  <c r="D113" i="229" s="1"/>
  <c r="D114" i="229" s="1"/>
  <c r="D115" i="229" s="1"/>
  <c r="D116" i="229" s="1"/>
  <c r="D117" i="229" s="1"/>
  <c r="D118" i="229" s="1"/>
  <c r="D119" i="229" s="1"/>
  <c r="D120" i="229" s="1"/>
  <c r="D121" i="229" s="1"/>
  <c r="D122" i="229" s="1"/>
  <c r="D123" i="229" s="1"/>
  <c r="D124" i="229" s="1"/>
  <c r="D125" i="229" s="1"/>
  <c r="D126" i="229" s="1"/>
  <c r="D127" i="229" s="1"/>
  <c r="D128" i="229" s="1"/>
  <c r="D129" i="229" s="1"/>
  <c r="D130" i="229" s="1"/>
  <c r="D131" i="229" s="1"/>
  <c r="D132" i="229" s="1"/>
  <c r="D133" i="229" s="1"/>
  <c r="D134" i="229" s="1"/>
  <c r="D135" i="229" s="1"/>
  <c r="D136" i="229" s="1"/>
  <c r="D137" i="229" s="1"/>
  <c r="D138" i="229" s="1"/>
  <c r="D139" i="229" s="1"/>
  <c r="D140" i="229" s="1"/>
  <c r="D141" i="229" s="1"/>
  <c r="D142" i="229" s="1"/>
  <c r="D143" i="229" s="1"/>
  <c r="D144" i="229" s="1"/>
  <c r="D145" i="229" s="1"/>
  <c r="D146" i="229" s="1"/>
  <c r="D147" i="229" s="1"/>
  <c r="D148" i="229" s="1"/>
  <c r="D149" i="229" s="1"/>
  <c r="D150" i="229" s="1"/>
  <c r="D151" i="229" s="1"/>
  <c r="D152" i="229" s="1"/>
  <c r="D153" i="229" s="1"/>
  <c r="D154" i="229" s="1"/>
  <c r="D155" i="229" s="1"/>
  <c r="D156" i="229" s="1"/>
  <c r="D157" i="229" s="1"/>
  <c r="D158" i="229" s="1"/>
  <c r="D159" i="229" s="1"/>
  <c r="D160" i="229" s="1"/>
  <c r="D161" i="229" s="1"/>
  <c r="D162" i="229" s="1"/>
  <c r="D163" i="229" s="1"/>
  <c r="D164" i="229" s="1"/>
  <c r="D165" i="229" s="1"/>
  <c r="D166" i="229" s="1"/>
  <c r="D167" i="229" s="1"/>
  <c r="D168" i="229" s="1"/>
  <c r="D169" i="229" s="1"/>
  <c r="D170" i="229" s="1"/>
  <c r="D171" i="229" s="1"/>
  <c r="D172" i="229" s="1"/>
  <c r="D173" i="229" s="1"/>
  <c r="D174" i="229" s="1"/>
  <c r="D175" i="229" s="1"/>
  <c r="D176" i="229" s="1"/>
  <c r="D177" i="229" s="1"/>
  <c r="D178" i="229" s="1"/>
  <c r="D179" i="229" s="1"/>
  <c r="D180" i="229" s="1"/>
  <c r="D181" i="229" s="1"/>
  <c r="D182" i="229" s="1"/>
  <c r="D183" i="229" s="1"/>
  <c r="D184" i="229" s="1"/>
  <c r="D185" i="229" s="1"/>
  <c r="D186" i="229" s="1"/>
  <c r="D187" i="229" s="1"/>
  <c r="D188" i="229" s="1"/>
  <c r="D189" i="229" s="1"/>
  <c r="D190" i="229" s="1"/>
  <c r="D191" i="229" s="1"/>
  <c r="D192" i="229" s="1"/>
  <c r="D193" i="229" s="1"/>
  <c r="D194" i="229" s="1"/>
  <c r="D195" i="229" s="1"/>
  <c r="D196" i="229" s="1"/>
  <c r="D197" i="229" s="1"/>
  <c r="D198" i="229" s="1"/>
  <c r="D199" i="229" s="1"/>
  <c r="D200" i="229" s="1"/>
  <c r="D201" i="229" s="1"/>
  <c r="D202" i="229" s="1"/>
  <c r="D203" i="229" s="1"/>
  <c r="D204" i="229" s="1"/>
  <c r="D205" i="229" s="1"/>
  <c r="D206" i="229" s="1"/>
  <c r="D207" i="229" s="1"/>
  <c r="D208" i="229" s="1"/>
  <c r="D209" i="229" s="1"/>
  <c r="D210" i="229" s="1"/>
  <c r="D211" i="229" s="1"/>
  <c r="D212" i="229" s="1"/>
  <c r="D213" i="229" s="1"/>
  <c r="D214" i="229" s="1"/>
  <c r="D215" i="229" s="1"/>
  <c r="D216" i="229" s="1"/>
  <c r="D217" i="229" s="1"/>
  <c r="D218" i="229" s="1"/>
  <c r="D219" i="229" s="1"/>
  <c r="D220" i="229" s="1"/>
  <c r="D221" i="229" s="1"/>
  <c r="D222" i="229" s="1"/>
  <c r="D223" i="229" s="1"/>
  <c r="D224" i="229" s="1"/>
  <c r="D225" i="229" s="1"/>
  <c r="D226" i="229" s="1"/>
  <c r="D227" i="229" s="1"/>
  <c r="D228" i="229" s="1"/>
  <c r="D229" i="229" s="1"/>
  <c r="D230" i="229" s="1"/>
  <c r="D231" i="229" s="1"/>
  <c r="D232" i="229" s="1"/>
  <c r="D233" i="229" s="1"/>
  <c r="D234" i="229" s="1"/>
  <c r="D235" i="229" s="1"/>
  <c r="D236" i="229" s="1"/>
  <c r="D237" i="229" s="1"/>
  <c r="D238" i="229" s="1"/>
  <c r="D239" i="229" s="1"/>
  <c r="D240" i="229" s="1"/>
  <c r="D241" i="229" s="1"/>
  <c r="D242" i="229" s="1"/>
  <c r="D243" i="229" s="1"/>
  <c r="D244" i="229" s="1"/>
  <c r="D245" i="229" s="1"/>
  <c r="D246" i="229" s="1"/>
  <c r="D247" i="229" s="1"/>
  <c r="D248" i="229" s="1"/>
  <c r="D249" i="229" s="1"/>
  <c r="D250" i="229" s="1"/>
  <c r="D251" i="229" s="1"/>
  <c r="D252" i="229" s="1"/>
  <c r="D253" i="229" s="1"/>
  <c r="D254" i="229" s="1"/>
  <c r="D255" i="229" s="1"/>
  <c r="D256" i="229" s="1"/>
  <c r="D257" i="229" s="1"/>
  <c r="D258" i="229" s="1"/>
  <c r="D259" i="229" s="1"/>
  <c r="D260" i="229" s="1"/>
  <c r="D261" i="229" s="1"/>
  <c r="D262" i="229" s="1"/>
  <c r="D263" i="229" s="1"/>
  <c r="D264" i="229" s="1"/>
  <c r="D265" i="229" s="1"/>
  <c r="E269" i="229"/>
  <c r="C65" i="229" s="1"/>
  <c r="I65" i="229" s="1"/>
  <c r="H65" i="229" s="1"/>
  <c r="G269" i="229"/>
  <c r="F28" i="21"/>
  <c r="F29" i="21" s="1"/>
  <c r="F30" i="21" s="1"/>
  <c r="F31" i="21" s="1"/>
  <c r="F32" i="21" s="1"/>
  <c r="F33" i="21" s="1"/>
  <c r="F34" i="21" s="1"/>
  <c r="F35" i="21" s="1"/>
  <c r="F36" i="21" s="1"/>
  <c r="F37" i="21" s="1"/>
  <c r="F38" i="21" s="1"/>
  <c r="F39" i="21" s="1"/>
  <c r="F40" i="21" s="1"/>
  <c r="F41" i="21" s="1"/>
  <c r="F42" i="21" s="1"/>
  <c r="F43" i="21" s="1"/>
  <c r="F44" i="21" s="1"/>
  <c r="F45" i="21" s="1"/>
  <c r="F46" i="21" s="1"/>
  <c r="F47" i="21" s="1"/>
  <c r="F48" i="21" s="1"/>
  <c r="D54" i="3"/>
  <c r="D52" i="232" s="1"/>
  <c r="F138" i="38"/>
  <c r="C21" i="14" s="1"/>
  <c r="D74" i="21"/>
  <c r="D75" i="21" s="1"/>
  <c r="D76" i="21" s="1"/>
  <c r="D77" i="21" s="1"/>
  <c r="D78" i="21" s="1"/>
  <c r="D79" i="21" s="1"/>
  <c r="D80" i="21" s="1"/>
  <c r="D81" i="21" s="1"/>
  <c r="D82" i="21" s="1"/>
  <c r="D83" i="21" s="1"/>
  <c r="D84" i="21" s="1"/>
  <c r="D85" i="21" s="1"/>
  <c r="D86" i="21" s="1"/>
  <c r="D87" i="21" s="1"/>
  <c r="D88" i="21" s="1"/>
  <c r="D89" i="21" s="1"/>
  <c r="D90" i="21" s="1"/>
  <c r="D91" i="21" s="1"/>
  <c r="D92" i="21" s="1"/>
  <c r="D93" i="21" s="1"/>
  <c r="D94" i="21" s="1"/>
  <c r="D95" i="21" s="1"/>
  <c r="D96" i="21" s="1"/>
  <c r="D97" i="21" s="1"/>
  <c r="D98" i="21" s="1"/>
  <c r="D99" i="21" s="1"/>
  <c r="D100" i="21" s="1"/>
  <c r="D101" i="21" s="1"/>
  <c r="D102" i="21" s="1"/>
  <c r="D103" i="21" s="1"/>
  <c r="D104" i="21" s="1"/>
  <c r="D105" i="21" s="1"/>
  <c r="D106" i="21" s="1"/>
  <c r="D107" i="21" s="1"/>
  <c r="D108" i="21" s="1"/>
  <c r="D109" i="21" s="1"/>
  <c r="D110" i="21" s="1"/>
  <c r="D111" i="21" s="1"/>
  <c r="D112" i="21" s="1"/>
  <c r="D113" i="21" s="1"/>
  <c r="D114" i="21" s="1"/>
  <c r="D115" i="21" s="1"/>
  <c r="D116" i="21" s="1"/>
  <c r="D117" i="21" s="1"/>
  <c r="D118" i="21" s="1"/>
  <c r="D119" i="21" s="1"/>
  <c r="D120" i="21" s="1"/>
  <c r="D121" i="21" s="1"/>
  <c r="D122" i="21" s="1"/>
  <c r="D123" i="21" s="1"/>
  <c r="D124" i="21" s="1"/>
  <c r="D125" i="21" s="1"/>
  <c r="D126" i="21" s="1"/>
  <c r="D127" i="21" s="1"/>
  <c r="D128" i="21" s="1"/>
  <c r="D129" i="21" s="1"/>
  <c r="D130" i="21" s="1"/>
  <c r="D131" i="21" s="1"/>
  <c r="D132" i="21" s="1"/>
  <c r="D133" i="21" s="1"/>
  <c r="D134" i="21" s="1"/>
  <c r="D135" i="21" s="1"/>
  <c r="D136" i="21" s="1"/>
  <c r="D137" i="21" s="1"/>
  <c r="D138" i="21" s="1"/>
  <c r="D139" i="21" s="1"/>
  <c r="D140" i="21" s="1"/>
  <c r="D141" i="21" s="1"/>
  <c r="D142" i="21" s="1"/>
  <c r="D143" i="21" s="1"/>
  <c r="D144" i="21" s="1"/>
  <c r="D145" i="21" s="1"/>
  <c r="D146" i="21" s="1"/>
  <c r="D147" i="21" s="1"/>
  <c r="D148" i="21" s="1"/>
  <c r="D149" i="21" s="1"/>
  <c r="D150" i="21" s="1"/>
  <c r="D151" i="21" s="1"/>
  <c r="D152" i="21" s="1"/>
  <c r="D153" i="21" s="1"/>
  <c r="D154" i="21" s="1"/>
  <c r="D155" i="21" s="1"/>
  <c r="D156" i="21" s="1"/>
  <c r="D157" i="21" s="1"/>
  <c r="D158" i="21" s="1"/>
  <c r="D159" i="21" s="1"/>
  <c r="D160" i="21" s="1"/>
  <c r="D161" i="21" s="1"/>
  <c r="D162" i="21" s="1"/>
  <c r="D163" i="21" s="1"/>
  <c r="D164" i="21" s="1"/>
  <c r="D165" i="21" s="1"/>
  <c r="D166" i="21" s="1"/>
  <c r="D167" i="21" s="1"/>
  <c r="D168" i="21" s="1"/>
  <c r="D169" i="21" s="1"/>
  <c r="D170" i="21" s="1"/>
  <c r="D171" i="21" s="1"/>
  <c r="D172" i="21" s="1"/>
  <c r="D173" i="21" s="1"/>
  <c r="D174" i="21" s="1"/>
  <c r="D175" i="21" s="1"/>
  <c r="D176" i="21" s="1"/>
  <c r="D177" i="21" s="1"/>
  <c r="D178" i="21" s="1"/>
  <c r="D179" i="21" s="1"/>
  <c r="D180" i="21" s="1"/>
  <c r="D181" i="21" s="1"/>
  <c r="D182" i="21" s="1"/>
  <c r="D183" i="21" s="1"/>
  <c r="D184" i="21" s="1"/>
  <c r="D185" i="21" s="1"/>
  <c r="D186" i="21" s="1"/>
  <c r="D187" i="21" s="1"/>
  <c r="D188" i="21" s="1"/>
  <c r="D189" i="21" s="1"/>
  <c r="D190" i="21" s="1"/>
  <c r="D191" i="21" s="1"/>
  <c r="D192" i="21" s="1"/>
  <c r="D193" i="21" s="1"/>
  <c r="D194" i="21" s="1"/>
  <c r="D195" i="21" s="1"/>
  <c r="D196" i="21" s="1"/>
  <c r="D197" i="21" s="1"/>
  <c r="D198" i="21" s="1"/>
  <c r="D199" i="21" s="1"/>
  <c r="D200" i="21" s="1"/>
  <c r="D201" i="21" s="1"/>
  <c r="D202" i="21" s="1"/>
  <c r="D203" i="21" s="1"/>
  <c r="D204" i="21" s="1"/>
  <c r="D205" i="21" s="1"/>
  <c r="D206" i="21" s="1"/>
  <c r="D207" i="21" s="1"/>
  <c r="D208" i="21" s="1"/>
  <c r="D209" i="21" s="1"/>
  <c r="D210" i="21" s="1"/>
  <c r="D211" i="21" s="1"/>
  <c r="D212" i="21" s="1"/>
  <c r="D213" i="21" s="1"/>
  <c r="D214" i="21" s="1"/>
  <c r="D215" i="21" s="1"/>
  <c r="D216" i="21" s="1"/>
  <c r="D217" i="21" s="1"/>
  <c r="D218" i="21" s="1"/>
  <c r="D219" i="21" s="1"/>
  <c r="D220" i="21" s="1"/>
  <c r="D221" i="21" s="1"/>
  <c r="D222" i="21" s="1"/>
  <c r="D223" i="21" s="1"/>
  <c r="D224" i="21" s="1"/>
  <c r="D225" i="21" s="1"/>
  <c r="D226" i="21" s="1"/>
  <c r="D227" i="21" s="1"/>
  <c r="D228" i="21" s="1"/>
  <c r="D229" i="21" s="1"/>
  <c r="D230" i="21" s="1"/>
  <c r="D231" i="21" s="1"/>
  <c r="D232" i="21" s="1"/>
  <c r="D233" i="21" s="1"/>
  <c r="D234" i="21" s="1"/>
  <c r="D235" i="21" s="1"/>
  <c r="D236" i="21" s="1"/>
  <c r="D237" i="21" s="1"/>
  <c r="D238" i="21" s="1"/>
  <c r="D239" i="21" s="1"/>
  <c r="D240" i="21" s="1"/>
  <c r="D241" i="21" s="1"/>
  <c r="D242" i="21" s="1"/>
  <c r="D243" i="21" s="1"/>
  <c r="D244" i="21" s="1"/>
  <c r="D245" i="21" s="1"/>
  <c r="D246" i="21" s="1"/>
  <c r="D247" i="21" s="1"/>
  <c r="D248" i="21" s="1"/>
  <c r="D249" i="21" s="1"/>
  <c r="D250" i="21" s="1"/>
  <c r="D251" i="21" s="1"/>
  <c r="D252" i="21" s="1"/>
  <c r="D253" i="21" s="1"/>
  <c r="D254" i="21" s="1"/>
  <c r="D255" i="21" s="1"/>
  <c r="D256" i="21" s="1"/>
  <c r="D257" i="21" s="1"/>
  <c r="D258" i="21" s="1"/>
  <c r="D259" i="21" s="1"/>
  <c r="D260" i="21" s="1"/>
  <c r="D261" i="21" s="1"/>
  <c r="D262" i="21" s="1"/>
  <c r="D263" i="21" s="1"/>
  <c r="D264" i="21" s="1"/>
  <c r="D265" i="21" s="1"/>
  <c r="H25" i="237"/>
  <c r="H26" i="236"/>
  <c r="G26" i="214"/>
  <c r="G25" i="236"/>
  <c r="O24" i="29"/>
  <c r="R17" i="213"/>
  <c r="Q16" i="213"/>
  <c r="G20" i="214"/>
  <c r="Q93" i="213"/>
  <c r="P26" i="236"/>
  <c r="P25" i="237"/>
  <c r="J25" i="237"/>
  <c r="J26" i="236"/>
  <c r="Q26" i="214"/>
  <c r="Q25" i="236"/>
  <c r="R93" i="213"/>
  <c r="F18" i="214"/>
  <c r="P24" i="29"/>
  <c r="G19" i="214"/>
  <c r="R16" i="213"/>
  <c r="F17" i="29"/>
  <c r="L26" i="236"/>
  <c r="L25" i="237"/>
  <c r="M18" i="214"/>
  <c r="K19" i="214"/>
  <c r="H20" i="214"/>
  <c r="M26" i="29"/>
  <c r="N18" i="29" s="1"/>
  <c r="N21" i="29" s="1"/>
  <c r="K21" i="217"/>
  <c r="K23" i="217"/>
  <c r="K25" i="217"/>
  <c r="K22" i="217"/>
  <c r="K24" i="217"/>
  <c r="J17" i="29"/>
  <c r="N25" i="237"/>
  <c r="N26" i="236"/>
  <c r="I26" i="236"/>
  <c r="I25" i="237"/>
  <c r="M26" i="214"/>
  <c r="M25" i="236"/>
  <c r="H21" i="217"/>
  <c r="H23" i="217"/>
  <c r="H25" i="217"/>
  <c r="H20" i="217"/>
  <c r="H22" i="217"/>
  <c r="H24" i="217"/>
  <c r="I26" i="29"/>
  <c r="J18" i="29" s="1"/>
  <c r="G20" i="217"/>
  <c r="G22" i="217"/>
  <c r="G24" i="217"/>
  <c r="G21" i="217"/>
  <c r="G23" i="217"/>
  <c r="G25" i="217"/>
  <c r="J93" i="213"/>
  <c r="L18" i="213"/>
  <c r="H24" i="29"/>
  <c r="M19" i="213"/>
  <c r="G24" i="29"/>
  <c r="J17" i="213"/>
  <c r="K18" i="213"/>
  <c r="L24" i="29"/>
  <c r="Q19" i="213"/>
  <c r="N93" i="213"/>
  <c r="P18" i="213"/>
  <c r="O18" i="213"/>
  <c r="O21" i="213" s="1"/>
  <c r="K24" i="29"/>
  <c r="N17" i="213"/>
  <c r="R19" i="213"/>
  <c r="I17" i="213"/>
  <c r="S25" i="213"/>
  <c r="F25" i="238"/>
  <c r="E17" i="29"/>
  <c r="E21" i="29" s="1"/>
  <c r="D74" i="3"/>
  <c r="F68" i="3" s="1"/>
  <c r="D69" i="232"/>
  <c r="E63" i="232" s="1"/>
  <c r="AY83" i="231"/>
  <c r="BA83" i="231" s="1"/>
  <c r="F83" i="231"/>
  <c r="E83" i="231"/>
  <c r="B82" i="2"/>
  <c r="B65" i="225"/>
  <c r="E73" i="231"/>
  <c r="AY73" i="231"/>
  <c r="AY71" i="231"/>
  <c r="E71" i="231"/>
  <c r="B83" i="231"/>
  <c r="I83" i="231"/>
  <c r="J83" i="231"/>
  <c r="AO83" i="231"/>
  <c r="AP83" i="231"/>
  <c r="AG83" i="231"/>
  <c r="AH83" i="231"/>
  <c r="C65" i="262" l="1"/>
  <c r="A16" i="262"/>
  <c r="A16" i="263" s="1"/>
  <c r="P61" i="214"/>
  <c r="N59" i="214"/>
  <c r="C31" i="18"/>
  <c r="I31" i="18" s="1"/>
  <c r="H31" i="18" s="1"/>
  <c r="I54" i="262"/>
  <c r="L53" i="10"/>
  <c r="AM55" i="231"/>
  <c r="AO55" i="231" s="1"/>
  <c r="K86" i="213"/>
  <c r="M73" i="213"/>
  <c r="N73" i="213"/>
  <c r="Q41" i="10"/>
  <c r="R41" i="10" s="1"/>
  <c r="K35" i="17"/>
  <c r="J36" i="17" s="1"/>
  <c r="H36" i="17" s="1"/>
  <c r="I36" i="17" s="1"/>
  <c r="E36" i="17"/>
  <c r="L20" i="214"/>
  <c r="J18" i="214"/>
  <c r="L22" i="16"/>
  <c r="R68" i="214"/>
  <c r="F49" i="217"/>
  <c r="D54" i="10"/>
  <c r="Y24" i="267"/>
  <c r="N65" i="14"/>
  <c r="I64" i="262"/>
  <c r="N56" i="10"/>
  <c r="W26" i="268"/>
  <c r="W21" i="268"/>
  <c r="I63" i="23"/>
  <c r="H63" i="23" s="1"/>
  <c r="N63" i="23" s="1"/>
  <c r="W26" i="266"/>
  <c r="I23" i="10"/>
  <c r="C54" i="217"/>
  <c r="C56" i="217"/>
  <c r="I60" i="217"/>
  <c r="G50" i="10"/>
  <c r="F23" i="10"/>
  <c r="N77" i="262"/>
  <c r="I62" i="262"/>
  <c r="L60" i="213"/>
  <c r="C45" i="262"/>
  <c r="C42" i="262"/>
  <c r="B38" i="2"/>
  <c r="G28" i="214"/>
  <c r="X20" i="269"/>
  <c r="T31" i="10" s="1"/>
  <c r="S31" i="10" s="1"/>
  <c r="A47" i="1"/>
  <c r="Q24" i="268"/>
  <c r="R24" i="268"/>
  <c r="S24" i="268"/>
  <c r="T24" i="268"/>
  <c r="U24" i="268"/>
  <c r="V24" i="268"/>
  <c r="W24" i="268"/>
  <c r="C43" i="262"/>
  <c r="N33" i="262"/>
  <c r="N64" i="214"/>
  <c r="O86" i="213"/>
  <c r="E34" i="17"/>
  <c r="K34" i="17"/>
  <c r="J35" i="17" s="1"/>
  <c r="H35" i="17" s="1"/>
  <c r="I35" i="17" s="1"/>
  <c r="D20" i="217"/>
  <c r="AA55" i="231"/>
  <c r="Q17" i="10"/>
  <c r="R17" i="10" s="1"/>
  <c r="I34" i="213"/>
  <c r="R82" i="214"/>
  <c r="G14" i="214"/>
  <c r="M53" i="10"/>
  <c r="D57" i="233"/>
  <c r="D72" i="233"/>
  <c r="D72" i="234" s="1"/>
  <c r="C47" i="234"/>
  <c r="C55" i="252" s="1"/>
  <c r="D91" i="233"/>
  <c r="D80" i="249" s="1"/>
  <c r="C80" i="234"/>
  <c r="M65" i="14"/>
  <c r="G24" i="10"/>
  <c r="E132" i="10"/>
  <c r="E133" i="10" s="1"/>
  <c r="D61" i="10"/>
  <c r="Y31" i="267"/>
  <c r="R67" i="236"/>
  <c r="L41" i="262"/>
  <c r="K48" i="214"/>
  <c r="J47" i="214"/>
  <c r="G50" i="216"/>
  <c r="E45" i="262" s="1"/>
  <c r="R53" i="236"/>
  <c r="G48" i="236"/>
  <c r="F47" i="236"/>
  <c r="L33" i="262"/>
  <c r="L32" i="262"/>
  <c r="O31" i="214"/>
  <c r="J34" i="214"/>
  <c r="D32" i="262"/>
  <c r="F34" i="236"/>
  <c r="G31" i="214"/>
  <c r="D29" i="262"/>
  <c r="P32" i="214"/>
  <c r="L30" i="262"/>
  <c r="L29" i="262"/>
  <c r="H32" i="214"/>
  <c r="D31" i="262"/>
  <c r="D30" i="262"/>
  <c r="L31" i="262"/>
  <c r="O99" i="214"/>
  <c r="L133" i="1" s="1"/>
  <c r="N19" i="214"/>
  <c r="K24" i="216"/>
  <c r="L99" i="214"/>
  <c r="I133" i="1" s="1"/>
  <c r="M24" i="216"/>
  <c r="R54" i="214"/>
  <c r="J47" i="213"/>
  <c r="H40" i="236"/>
  <c r="N34" i="213"/>
  <c r="C34" i="262"/>
  <c r="C32" i="262"/>
  <c r="C30" i="262"/>
  <c r="J44" i="262"/>
  <c r="H50" i="214"/>
  <c r="J99" i="214"/>
  <c r="G133" i="1" s="1"/>
  <c r="K47" i="213"/>
  <c r="F29" i="262"/>
  <c r="F33" i="262"/>
  <c r="E29" i="262"/>
  <c r="S93" i="213"/>
  <c r="C17" i="2" s="1"/>
  <c r="D85" i="2" s="1"/>
  <c r="I99" i="214"/>
  <c r="F133" i="1" s="1"/>
  <c r="P31" i="214"/>
  <c r="L71" i="220"/>
  <c r="L71" i="276"/>
  <c r="L33" i="217"/>
  <c r="O40" i="236"/>
  <c r="F33" i="236"/>
  <c r="I40" i="236"/>
  <c r="I31" i="236" s="1"/>
  <c r="L34" i="217"/>
  <c r="L38" i="217" s="1"/>
  <c r="J32" i="214"/>
  <c r="P40" i="236"/>
  <c r="G34" i="237" s="1"/>
  <c r="L32" i="217"/>
  <c r="L36" i="217"/>
  <c r="N40" i="236"/>
  <c r="L34" i="214"/>
  <c r="J40" i="236"/>
  <c r="J31" i="236" s="1"/>
  <c r="L35" i="217"/>
  <c r="I31" i="214"/>
  <c r="D38" i="237"/>
  <c r="K33" i="214"/>
  <c r="H34" i="213"/>
  <c r="H91" i="213" s="1"/>
  <c r="C31" i="217"/>
  <c r="C33" i="217"/>
  <c r="C34" i="217"/>
  <c r="C35" i="217"/>
  <c r="C36" i="217"/>
  <c r="O18" i="214"/>
  <c r="H19" i="214"/>
  <c r="F99" i="214"/>
  <c r="C133" i="1" s="1"/>
  <c r="J21" i="213"/>
  <c r="L22" i="217"/>
  <c r="L21" i="213"/>
  <c r="M20" i="214"/>
  <c r="K18" i="214"/>
  <c r="I24" i="216"/>
  <c r="G22" i="262" s="1"/>
  <c r="N24" i="216"/>
  <c r="L18" i="262" s="1"/>
  <c r="AA18" i="231"/>
  <c r="K21" i="213"/>
  <c r="Q18" i="214"/>
  <c r="H24" i="216"/>
  <c r="F21" i="262" s="1"/>
  <c r="F20" i="236"/>
  <c r="H99" i="214"/>
  <c r="E133" i="1" s="1"/>
  <c r="B27" i="21"/>
  <c r="F21" i="14"/>
  <c r="B39" i="10"/>
  <c r="G9" i="10"/>
  <c r="D19" i="4"/>
  <c r="F19" i="236"/>
  <c r="Q21" i="10"/>
  <c r="R21" i="10" s="1"/>
  <c r="I18" i="214"/>
  <c r="N94" i="29"/>
  <c r="AM21" i="231" s="1"/>
  <c r="AO21" i="231" s="1"/>
  <c r="AP21" i="231" s="1"/>
  <c r="L21" i="217"/>
  <c r="N95" i="29"/>
  <c r="M29" i="14" s="1"/>
  <c r="N21" i="213"/>
  <c r="L24" i="217"/>
  <c r="G20" i="236"/>
  <c r="J19" i="214"/>
  <c r="L71" i="217"/>
  <c r="H96" i="236"/>
  <c r="K90" i="236" s="1"/>
  <c r="M41" i="262"/>
  <c r="M43" i="262"/>
  <c r="C124" i="14"/>
  <c r="I74" i="17"/>
  <c r="J73" i="17"/>
  <c r="F75" i="10"/>
  <c r="H75" i="10"/>
  <c r="J75" i="10"/>
  <c r="Z20" i="266"/>
  <c r="P75" i="10"/>
  <c r="E116" i="16"/>
  <c r="E117" i="16"/>
  <c r="D118" i="16"/>
  <c r="J27" i="266"/>
  <c r="L107" i="10" s="1"/>
  <c r="L82" i="10"/>
  <c r="D75" i="10"/>
  <c r="Y20" i="266"/>
  <c r="D100" i="10" s="1"/>
  <c r="J22" i="266"/>
  <c r="L102" i="10" s="1"/>
  <c r="L77" i="10"/>
  <c r="G68" i="236"/>
  <c r="F63" i="239" s="1"/>
  <c r="K68" i="236"/>
  <c r="J63" i="239" s="1"/>
  <c r="M31" i="262"/>
  <c r="M30" i="262"/>
  <c r="L52" i="216"/>
  <c r="L43" i="216" s="1"/>
  <c r="L47" i="216" s="1"/>
  <c r="J41" i="262"/>
  <c r="J40" i="262"/>
  <c r="L27" i="266"/>
  <c r="N107" i="10" s="1"/>
  <c r="N82" i="10"/>
  <c r="Q82" i="10" s="1"/>
  <c r="P63" i="23"/>
  <c r="J62" i="262"/>
  <c r="J66" i="262"/>
  <c r="K102" i="218"/>
  <c r="J34" i="10"/>
  <c r="J43" i="10" s="1"/>
  <c r="L34" i="10"/>
  <c r="L43" i="10" s="1"/>
  <c r="O34" i="10"/>
  <c r="G34" i="10"/>
  <c r="N34" i="10"/>
  <c r="F34" i="10"/>
  <c r="I34" i="10"/>
  <c r="P34" i="10"/>
  <c r="E34" i="10"/>
  <c r="M34" i="10"/>
  <c r="M77" i="10"/>
  <c r="K22" i="266"/>
  <c r="M102" i="10" s="1"/>
  <c r="M33" i="262"/>
  <c r="E43" i="262"/>
  <c r="E41" i="262"/>
  <c r="D45" i="262"/>
  <c r="D43" i="262"/>
  <c r="C61" i="10"/>
  <c r="Q31" i="268"/>
  <c r="R31" i="268"/>
  <c r="S31" i="268"/>
  <c r="V31" i="268"/>
  <c r="U31" i="268"/>
  <c r="P31" i="268"/>
  <c r="T31" i="268"/>
  <c r="W31" i="268"/>
  <c r="H23" i="10"/>
  <c r="M39" i="216"/>
  <c r="M30" i="216" s="1"/>
  <c r="K33" i="262"/>
  <c r="K29" i="262"/>
  <c r="K30" i="262"/>
  <c r="Q22" i="10"/>
  <c r="R22" i="10" s="1"/>
  <c r="P17" i="214"/>
  <c r="E128" i="10"/>
  <c r="G64" i="1"/>
  <c r="E19" i="232"/>
  <c r="J63" i="1"/>
  <c r="P131" i="228"/>
  <c r="J42" i="262"/>
  <c r="K32" i="262"/>
  <c r="K71" i="217"/>
  <c r="J64" i="262"/>
  <c r="W26" i="267"/>
  <c r="V26" i="267"/>
  <c r="R26" i="267"/>
  <c r="T26" i="267"/>
  <c r="M130" i="10"/>
  <c r="M131" i="10" s="1"/>
  <c r="K34" i="10"/>
  <c r="C131" i="228"/>
  <c r="I131" i="228" s="1"/>
  <c r="H131" i="228" s="1"/>
  <c r="N131" i="228" s="1"/>
  <c r="M21" i="213"/>
  <c r="M91" i="213" s="1"/>
  <c r="J18" i="14" s="1"/>
  <c r="G24" i="216"/>
  <c r="G26" i="216" s="1"/>
  <c r="C53" i="262"/>
  <c r="C56" i="262"/>
  <c r="C51" i="262"/>
  <c r="C54" i="262"/>
  <c r="L25" i="217"/>
  <c r="L23" i="217"/>
  <c r="H18" i="262"/>
  <c r="L24" i="215"/>
  <c r="AI18" i="231"/>
  <c r="AK18" i="231" s="1"/>
  <c r="AL18" i="231" s="1"/>
  <c r="H17" i="214"/>
  <c r="V26" i="266"/>
  <c r="Q107" i="10"/>
  <c r="G36" i="214"/>
  <c r="E31" i="262"/>
  <c r="G66" i="262"/>
  <c r="G62" i="262"/>
  <c r="K23" i="10"/>
  <c r="N65" i="229"/>
  <c r="P65" i="229" s="1"/>
  <c r="L20" i="217"/>
  <c r="M32" i="14" s="1"/>
  <c r="P99" i="214"/>
  <c r="M133" i="1" s="1"/>
  <c r="C106" i="10"/>
  <c r="J45" i="262"/>
  <c r="K96" i="236"/>
  <c r="L88" i="236" s="1"/>
  <c r="I96" i="236"/>
  <c r="H89" i="239" s="1"/>
  <c r="L96" i="236"/>
  <c r="K89" i="239" s="1"/>
  <c r="G52" i="276"/>
  <c r="G19" i="276"/>
  <c r="C49" i="217"/>
  <c r="M75" i="10"/>
  <c r="K20" i="266"/>
  <c r="L47" i="217"/>
  <c r="G82" i="217"/>
  <c r="O47" i="213"/>
  <c r="L82" i="217"/>
  <c r="P28" i="227"/>
  <c r="Q12" i="10"/>
  <c r="R12" i="10" s="1"/>
  <c r="M23" i="10"/>
  <c r="I76" i="10"/>
  <c r="H76" i="10"/>
  <c r="Z21" i="266"/>
  <c r="O32" i="214"/>
  <c r="Q34" i="214"/>
  <c r="F116" i="276"/>
  <c r="F117" i="276"/>
  <c r="D14" i="263"/>
  <c r="D14" i="264" s="1"/>
  <c r="D14" i="265" s="1"/>
  <c r="D14" i="262"/>
  <c r="G14" i="216"/>
  <c r="BB84" i="231"/>
  <c r="BA84" i="231"/>
  <c r="P31" i="22"/>
  <c r="C97" i="233"/>
  <c r="D97" i="219"/>
  <c r="O19" i="1"/>
  <c r="K75" i="217"/>
  <c r="M38" i="217"/>
  <c r="L45" i="217"/>
  <c r="C29" i="262"/>
  <c r="AO241" i="38"/>
  <c r="G18" i="31" s="1"/>
  <c r="M62" i="231"/>
  <c r="L34" i="213"/>
  <c r="BA86" i="231"/>
  <c r="I73" i="17"/>
  <c r="K130" i="10"/>
  <c r="K131" i="10" s="1"/>
  <c r="V28" i="268"/>
  <c r="T28" i="268"/>
  <c r="S28" i="268"/>
  <c r="R28" i="268"/>
  <c r="Q36" i="10"/>
  <c r="R36" i="10" s="1"/>
  <c r="M56" i="10"/>
  <c r="K26" i="267"/>
  <c r="K26" i="266" s="1"/>
  <c r="F128" i="14"/>
  <c r="E103" i="219"/>
  <c r="L46" i="217"/>
  <c r="Q40" i="10"/>
  <c r="R40" i="10" s="1"/>
  <c r="D55" i="10"/>
  <c r="F55" i="10" s="1"/>
  <c r="Y25" i="267"/>
  <c r="M22" i="266"/>
  <c r="O102" i="10" s="1"/>
  <c r="Q102" i="10" s="1"/>
  <c r="O77" i="10"/>
  <c r="Q39" i="10"/>
  <c r="R39" i="10" s="1"/>
  <c r="F78" i="214"/>
  <c r="Q34" i="213"/>
  <c r="E32" i="10"/>
  <c r="J32" i="10"/>
  <c r="L32" i="10"/>
  <c r="O32" i="10"/>
  <c r="F32" i="10"/>
  <c r="D43" i="10"/>
  <c r="M32" i="10"/>
  <c r="N32" i="10"/>
  <c r="G32" i="10"/>
  <c r="G43" i="10" s="1"/>
  <c r="K23" i="266"/>
  <c r="K27" i="17"/>
  <c r="J28" i="17" s="1"/>
  <c r="H28" i="17" s="1"/>
  <c r="I28" i="17" s="1"/>
  <c r="E27" i="17"/>
  <c r="H56" i="10"/>
  <c r="F56" i="10"/>
  <c r="J56" i="10"/>
  <c r="Z26" i="267"/>
  <c r="K81" i="10" s="1"/>
  <c r="P56" i="10"/>
  <c r="K56" i="10"/>
  <c r="L23" i="10"/>
  <c r="Q31" i="10"/>
  <c r="R31" i="10" s="1"/>
  <c r="N23" i="10"/>
  <c r="N69" i="231"/>
  <c r="M69" i="231"/>
  <c r="S37" i="10"/>
  <c r="R47" i="213"/>
  <c r="N32" i="231"/>
  <c r="M32" i="231"/>
  <c r="K26" i="17"/>
  <c r="J27" i="17" s="1"/>
  <c r="H27" i="17" s="1"/>
  <c r="I27" i="17" s="1"/>
  <c r="R73" i="213"/>
  <c r="P86" i="213"/>
  <c r="F56" i="220"/>
  <c r="F17" i="220"/>
  <c r="P18" i="267"/>
  <c r="P26" i="267" s="1"/>
  <c r="X26" i="267" s="1"/>
  <c r="T81" i="10" s="1"/>
  <c r="P30" i="268"/>
  <c r="X30" i="268" s="1"/>
  <c r="T60" i="10" s="1"/>
  <c r="S60" i="10" s="1"/>
  <c r="P26" i="268"/>
  <c r="X26" i="268" s="1"/>
  <c r="T56" i="10" s="1"/>
  <c r="P24" i="268"/>
  <c r="D83" i="10"/>
  <c r="Y28" i="266"/>
  <c r="D108" i="10" s="1"/>
  <c r="Q20" i="10"/>
  <c r="R20" i="10" s="1"/>
  <c r="K21" i="266"/>
  <c r="Q37" i="10"/>
  <c r="R37" i="10" s="1"/>
  <c r="S24" i="267"/>
  <c r="O24" i="266"/>
  <c r="R24" i="267"/>
  <c r="T24" i="267"/>
  <c r="V24" i="267"/>
  <c r="W24" i="267"/>
  <c r="O56" i="10"/>
  <c r="D78" i="10"/>
  <c r="Y23" i="266"/>
  <c r="D103" i="10" s="1"/>
  <c r="Z31" i="266"/>
  <c r="Q15" i="10"/>
  <c r="R15" i="10" s="1"/>
  <c r="Y21" i="266"/>
  <c r="D101" i="10" s="1"/>
  <c r="D76" i="10"/>
  <c r="P76" i="10" s="1"/>
  <c r="D85" i="10"/>
  <c r="Y30" i="266"/>
  <c r="D110" i="10" s="1"/>
  <c r="J23" i="10"/>
  <c r="M73" i="214"/>
  <c r="M78" i="214" s="1"/>
  <c r="O75" i="214"/>
  <c r="A60" i="262"/>
  <c r="G70" i="214"/>
  <c r="J38" i="231"/>
  <c r="I38" i="231"/>
  <c r="P57" i="18"/>
  <c r="E31" i="17"/>
  <c r="K31" i="17"/>
  <c r="J32" i="17" s="1"/>
  <c r="H32" i="17" s="1"/>
  <c r="I32" i="17" s="1"/>
  <c r="Q18" i="10"/>
  <c r="R18" i="10" s="1"/>
  <c r="P23" i="10"/>
  <c r="D84" i="10"/>
  <c r="Y29" i="266"/>
  <c r="D109" i="10" s="1"/>
  <c r="G53" i="10"/>
  <c r="F53" i="10"/>
  <c r="J53" i="10"/>
  <c r="P53" i="10"/>
  <c r="K53" i="10"/>
  <c r="Z23" i="267"/>
  <c r="M78" i="10" s="1"/>
  <c r="I55" i="10"/>
  <c r="P55" i="10"/>
  <c r="J55" i="10"/>
  <c r="Z25" i="267"/>
  <c r="F32" i="236"/>
  <c r="H34" i="236"/>
  <c r="Q31" i="214"/>
  <c r="N38" i="231"/>
  <c r="M38" i="231"/>
  <c r="D12" i="272"/>
  <c r="E12" i="271"/>
  <c r="F12" i="271" s="1"/>
  <c r="G12" i="271" s="1"/>
  <c r="H12" i="271" s="1"/>
  <c r="I12" i="271" s="1"/>
  <c r="J12" i="271" s="1"/>
  <c r="K12" i="271" s="1"/>
  <c r="L12" i="271" s="1"/>
  <c r="M12" i="271" s="1"/>
  <c r="N12" i="271" s="1"/>
  <c r="O12" i="271" s="1"/>
  <c r="P24" i="273"/>
  <c r="P24" i="272"/>
  <c r="B27" i="20"/>
  <c r="E27" i="20" s="1"/>
  <c r="G27" i="20" s="1"/>
  <c r="D53" i="3"/>
  <c r="D51" i="232" s="1"/>
  <c r="D59" i="232" s="1"/>
  <c r="O62" i="18"/>
  <c r="N48" i="18"/>
  <c r="P48" i="18" s="1"/>
  <c r="N45" i="18"/>
  <c r="P45" i="18" s="1"/>
  <c r="P56" i="18"/>
  <c r="N32" i="18"/>
  <c r="P32" i="18" s="1"/>
  <c r="P58" i="18"/>
  <c r="P53" i="18"/>
  <c r="N26" i="18"/>
  <c r="P26" i="18" s="1"/>
  <c r="O56" i="18"/>
  <c r="N39" i="18"/>
  <c r="P39" i="18"/>
  <c r="N49" i="18"/>
  <c r="P49" i="18" s="1"/>
  <c r="N55" i="19"/>
  <c r="P54" i="18"/>
  <c r="O58" i="18"/>
  <c r="N31" i="18"/>
  <c r="P31" i="18" s="1"/>
  <c r="N40" i="18"/>
  <c r="P40" i="18"/>
  <c r="N60" i="18"/>
  <c r="P60" i="18" s="1"/>
  <c r="N33" i="18"/>
  <c r="P33" i="18" s="1"/>
  <c r="M58" i="19"/>
  <c r="N43" i="18"/>
  <c r="P43" i="18" s="1"/>
  <c r="N41" i="18"/>
  <c r="P41" i="18" s="1"/>
  <c r="N42" i="18"/>
  <c r="P42" i="18" s="1"/>
  <c r="M53" i="18"/>
  <c r="M51" i="18"/>
  <c r="P50" i="18"/>
  <c r="P52" i="18"/>
  <c r="P51" i="18"/>
  <c r="P24" i="271"/>
  <c r="P24" i="270"/>
  <c r="B28" i="20"/>
  <c r="A77" i="217"/>
  <c r="A55" i="217"/>
  <c r="A75" i="264"/>
  <c r="A44" i="217"/>
  <c r="A20" i="263"/>
  <c r="A20" i="262"/>
  <c r="A42" i="264"/>
  <c r="A53" i="263"/>
  <c r="A75" i="265"/>
  <c r="A33" i="217"/>
  <c r="A34" i="14"/>
  <c r="A31" i="264"/>
  <c r="A42" i="265"/>
  <c r="A75" i="262"/>
  <c r="A64" i="262"/>
  <c r="A53" i="265"/>
  <c r="A20" i="264"/>
  <c r="A64" i="265"/>
  <c r="A42" i="263"/>
  <c r="A53" i="264"/>
  <c r="A31" i="262"/>
  <c r="A31" i="263"/>
  <c r="A64" i="264"/>
  <c r="A20" i="265"/>
  <c r="A53" i="262"/>
  <c r="A64" i="263"/>
  <c r="A66" i="217"/>
  <c r="A75" i="263"/>
  <c r="A42" i="262"/>
  <c r="A31" i="265"/>
  <c r="E81" i="29"/>
  <c r="C71" i="263"/>
  <c r="E24" i="216"/>
  <c r="C22" i="262" s="1"/>
  <c r="I21" i="213"/>
  <c r="C24" i="217"/>
  <c r="G18" i="214"/>
  <c r="F17" i="214"/>
  <c r="F22" i="214" s="1"/>
  <c r="E29" i="29"/>
  <c r="C29" i="216"/>
  <c r="A30" i="236"/>
  <c r="G28" i="236" s="1"/>
  <c r="A27" i="263"/>
  <c r="C27" i="263" s="1"/>
  <c r="E68" i="29"/>
  <c r="C68" i="216"/>
  <c r="A72" i="237"/>
  <c r="G70" i="236"/>
  <c r="G56" i="236"/>
  <c r="A58" i="237"/>
  <c r="B20" i="267"/>
  <c r="B75" i="10" s="1"/>
  <c r="B31" i="10"/>
  <c r="B29" i="268"/>
  <c r="B40" i="10"/>
  <c r="I30" i="231"/>
  <c r="J30" i="231" s="1"/>
  <c r="S23" i="10"/>
  <c r="B21" i="267"/>
  <c r="B51" i="10"/>
  <c r="B28" i="266"/>
  <c r="B108" i="10" s="1"/>
  <c r="B83" i="10"/>
  <c r="D71" i="220"/>
  <c r="D71" i="16"/>
  <c r="C49" i="262"/>
  <c r="A49" i="263"/>
  <c r="C16" i="240"/>
  <c r="E16" i="239"/>
  <c r="A40" i="1"/>
  <c r="A40" i="252"/>
  <c r="A40" i="249"/>
  <c r="B32" i="231"/>
  <c r="B31" i="2"/>
  <c r="A40" i="253"/>
  <c r="B31" i="225"/>
  <c r="G42" i="236"/>
  <c r="A44" i="237"/>
  <c r="C16" i="262"/>
  <c r="G84" i="236"/>
  <c r="A86" i="237"/>
  <c r="A32" i="1"/>
  <c r="A32" i="253"/>
  <c r="A32" i="252"/>
  <c r="A32" i="249"/>
  <c r="A27" i="264"/>
  <c r="E42" i="29"/>
  <c r="C42" i="216"/>
  <c r="A79" i="217"/>
  <c r="A22" i="262"/>
  <c r="A33" i="265"/>
  <c r="A55" i="264"/>
  <c r="A33" i="262"/>
  <c r="A77" i="264"/>
  <c r="A68" i="217"/>
  <c r="A44" i="262"/>
  <c r="A66" i="264"/>
  <c r="A66" i="262"/>
  <c r="A66" i="263"/>
  <c r="A46" i="217"/>
  <c r="A33" i="264"/>
  <c r="A33" i="263"/>
  <c r="A55" i="265"/>
  <c r="A35" i="217"/>
  <c r="A36" i="14"/>
  <c r="A66" i="265"/>
  <c r="A55" i="263"/>
  <c r="A22" i="263"/>
  <c r="A77" i="263"/>
  <c r="A57" i="217"/>
  <c r="A44" i="264"/>
  <c r="A77" i="262"/>
  <c r="A22" i="264"/>
  <c r="A77" i="265"/>
  <c r="A44" i="265"/>
  <c r="A22" i="265"/>
  <c r="A44" i="263"/>
  <c r="A55" i="262"/>
  <c r="C55" i="239"/>
  <c r="E55" i="239" s="1"/>
  <c r="A32" i="265"/>
  <c r="A21" i="262"/>
  <c r="A21" i="264"/>
  <c r="A45" i="217"/>
  <c r="A21" i="263"/>
  <c r="A21" i="265"/>
  <c r="A54" i="262"/>
  <c r="A35" i="14"/>
  <c r="A54" i="265"/>
  <c r="A54" i="264"/>
  <c r="A32" i="264"/>
  <c r="A56" i="217"/>
  <c r="A43" i="264"/>
  <c r="A67" i="217"/>
  <c r="A76" i="263"/>
  <c r="A43" i="265"/>
  <c r="A76" i="262"/>
  <c r="A76" i="264"/>
  <c r="A78" i="217"/>
  <c r="A54" i="263"/>
  <c r="A32" i="263"/>
  <c r="A32" i="262"/>
  <c r="A76" i="265"/>
  <c r="A65" i="263"/>
  <c r="A65" i="264"/>
  <c r="A43" i="262"/>
  <c r="A65" i="262"/>
  <c r="A65" i="265"/>
  <c r="A34" i="217"/>
  <c r="A43" i="263"/>
  <c r="G14" i="236"/>
  <c r="A16" i="237"/>
  <c r="C38" i="264"/>
  <c r="A38" i="265"/>
  <c r="C38" i="265" s="1"/>
  <c r="O18" i="29"/>
  <c r="B27" i="266"/>
  <c r="B107" i="10" s="1"/>
  <c r="B82" i="10"/>
  <c r="C30" i="18"/>
  <c r="I30" i="18" s="1"/>
  <c r="H30" i="18" s="1"/>
  <c r="C28" i="18"/>
  <c r="I28" i="18" s="1"/>
  <c r="H28" i="18" s="1"/>
  <c r="C27" i="18"/>
  <c r="I27" i="18" s="1"/>
  <c r="H27" i="18" s="1"/>
  <c r="C36" i="18"/>
  <c r="I36" i="18" s="1"/>
  <c r="H36" i="18" s="1"/>
  <c r="M36" i="18" s="1"/>
  <c r="C37" i="18"/>
  <c r="I37" i="18" s="1"/>
  <c r="H37" i="18" s="1"/>
  <c r="M37" i="18" s="1"/>
  <c r="C35" i="18"/>
  <c r="I35" i="18" s="1"/>
  <c r="H35" i="18" s="1"/>
  <c r="M35" i="18" s="1"/>
  <c r="C47" i="18"/>
  <c r="I47" i="18" s="1"/>
  <c r="H47" i="18" s="1"/>
  <c r="N59" i="18"/>
  <c r="P59" i="18" s="1"/>
  <c r="M50" i="18"/>
  <c r="C34" i="18"/>
  <c r="I34" i="18" s="1"/>
  <c r="H34" i="18" s="1"/>
  <c r="C44" i="18"/>
  <c r="I44" i="18" s="1"/>
  <c r="H44" i="18" s="1"/>
  <c r="C29" i="18"/>
  <c r="I29" i="18" s="1"/>
  <c r="H29" i="18" s="1"/>
  <c r="M29" i="18" s="1"/>
  <c r="C38" i="18"/>
  <c r="I38" i="18" s="1"/>
  <c r="H38" i="18" s="1"/>
  <c r="C46" i="18"/>
  <c r="I46" i="18" s="1"/>
  <c r="H46" i="18" s="1"/>
  <c r="M56" i="18"/>
  <c r="E77" i="19"/>
  <c r="C36" i="19" s="1"/>
  <c r="I36" i="19" s="1"/>
  <c r="H36" i="19" s="1"/>
  <c r="G77" i="19"/>
  <c r="G269" i="22"/>
  <c r="G269" i="23"/>
  <c r="G269" i="210"/>
  <c r="G269" i="227"/>
  <c r="G269" i="228"/>
  <c r="E71" i="17"/>
  <c r="K71" i="17"/>
  <c r="K55" i="17"/>
  <c r="E55" i="17"/>
  <c r="K66" i="17"/>
  <c r="E66" i="17"/>
  <c r="I53" i="19"/>
  <c r="H53" i="19" s="1"/>
  <c r="N53" i="19" s="1"/>
  <c r="M54" i="19"/>
  <c r="K50" i="17"/>
  <c r="AG241" i="38"/>
  <c r="G35" i="31" s="1"/>
  <c r="E61" i="17"/>
  <c r="K61" i="17"/>
  <c r="E53" i="17"/>
  <c r="K53" i="17"/>
  <c r="E62" i="17"/>
  <c r="K62" i="17"/>
  <c r="E52" i="17"/>
  <c r="K52" i="17"/>
  <c r="K72" i="17"/>
  <c r="E72" i="17"/>
  <c r="I24" i="215"/>
  <c r="E269" i="210"/>
  <c r="C35" i="19"/>
  <c r="I35" i="19" s="1"/>
  <c r="H35" i="19" s="1"/>
  <c r="N35" i="19" s="1"/>
  <c r="E29" i="17"/>
  <c r="Q241" i="38"/>
  <c r="G16" i="31" s="1"/>
  <c r="K45" i="17"/>
  <c r="O21" i="1"/>
  <c r="K67" i="17"/>
  <c r="E67" i="17"/>
  <c r="K64" i="17"/>
  <c r="E64" i="17"/>
  <c r="E63" i="17"/>
  <c r="K63" i="17"/>
  <c r="K69" i="17"/>
  <c r="E69" i="17"/>
  <c r="C118" i="23"/>
  <c r="I118" i="23" s="1"/>
  <c r="H118" i="23" s="1"/>
  <c r="N118" i="23" s="1"/>
  <c r="C43" i="19"/>
  <c r="I43" i="19" s="1"/>
  <c r="H43" i="19" s="1"/>
  <c r="N43" i="19" s="1"/>
  <c r="M54" i="18"/>
  <c r="K28" i="17"/>
  <c r="J29" i="17" s="1"/>
  <c r="H29" i="17" s="1"/>
  <c r="I29" i="17" s="1"/>
  <c r="K101" i="219"/>
  <c r="K122" i="1" s="1"/>
  <c r="E65" i="17"/>
  <c r="K65" i="17"/>
  <c r="K57" i="17"/>
  <c r="E57" i="17"/>
  <c r="K49" i="17"/>
  <c r="E70" i="17"/>
  <c r="K70" i="17"/>
  <c r="K54" i="17"/>
  <c r="E54" i="17"/>
  <c r="E68" i="17"/>
  <c r="K68" i="17"/>
  <c r="K48" i="17"/>
  <c r="K56" i="17"/>
  <c r="E56" i="17"/>
  <c r="K60" i="17"/>
  <c r="I76" i="239"/>
  <c r="G67" i="263" s="1"/>
  <c r="L75" i="236"/>
  <c r="J73" i="236"/>
  <c r="M76" i="236"/>
  <c r="K74" i="236"/>
  <c r="M50" i="239"/>
  <c r="M52" i="239" s="1"/>
  <c r="M43" i="239" s="1"/>
  <c r="M47" i="239" s="1"/>
  <c r="P47" i="236"/>
  <c r="N45" i="236"/>
  <c r="Q48" i="236"/>
  <c r="O46" i="236"/>
  <c r="R26" i="214"/>
  <c r="Q19" i="236"/>
  <c r="H23" i="262"/>
  <c r="N24" i="239"/>
  <c r="L18" i="263" s="1"/>
  <c r="K99" i="214"/>
  <c r="H133" i="1" s="1"/>
  <c r="F24" i="10"/>
  <c r="E56" i="29"/>
  <c r="E60" i="29" s="1"/>
  <c r="Q60" i="10"/>
  <c r="R60" i="10" s="1"/>
  <c r="P43" i="10"/>
  <c r="H43" i="10"/>
  <c r="Q35" i="10"/>
  <c r="R35" i="10" s="1"/>
  <c r="O30" i="266"/>
  <c r="C85" i="10"/>
  <c r="S30" i="267"/>
  <c r="T30" i="267"/>
  <c r="U30" i="267"/>
  <c r="V30" i="267"/>
  <c r="W30" i="267"/>
  <c r="P30" i="267"/>
  <c r="R30" i="267"/>
  <c r="Q30" i="267"/>
  <c r="B26" i="266"/>
  <c r="B106" i="10" s="1"/>
  <c r="B81" i="10"/>
  <c r="H19" i="16"/>
  <c r="H52" i="16"/>
  <c r="C44" i="249"/>
  <c r="C40" i="276"/>
  <c r="C26" i="234"/>
  <c r="D57" i="1"/>
  <c r="D51" i="233"/>
  <c r="D42" i="1"/>
  <c r="D38" i="220"/>
  <c r="D22" i="233"/>
  <c r="C77" i="249"/>
  <c r="C85" i="234"/>
  <c r="C45" i="249"/>
  <c r="C41" i="276"/>
  <c r="C28" i="234"/>
  <c r="F68" i="14"/>
  <c r="F66" i="218"/>
  <c r="E66" i="219"/>
  <c r="K59" i="231"/>
  <c r="E43" i="16"/>
  <c r="F48" i="14"/>
  <c r="F32" i="218"/>
  <c r="E32" i="219"/>
  <c r="K39" i="231"/>
  <c r="B51" i="264"/>
  <c r="D51" i="249"/>
  <c r="D47" i="276"/>
  <c r="D40" i="234"/>
  <c r="B73" i="264"/>
  <c r="N73" i="263"/>
  <c r="C47" i="249"/>
  <c r="C43" i="276"/>
  <c r="C32" i="234"/>
  <c r="K47" i="262"/>
  <c r="E68" i="1"/>
  <c r="E68" i="233"/>
  <c r="E57" i="1"/>
  <c r="E51" i="233"/>
  <c r="E48" i="1"/>
  <c r="E44" i="220"/>
  <c r="E34" i="233"/>
  <c r="P89" i="239"/>
  <c r="G89" i="237"/>
  <c r="Q87" i="236"/>
  <c r="H90" i="237"/>
  <c r="F88" i="237"/>
  <c r="M39" i="29"/>
  <c r="M30" i="29" s="1"/>
  <c r="M34" i="29" s="1"/>
  <c r="K33" i="217"/>
  <c r="K35" i="217"/>
  <c r="K32" i="217"/>
  <c r="K36" i="217"/>
  <c r="L37" i="14" s="1"/>
  <c r="K31" i="217"/>
  <c r="K34" i="217"/>
  <c r="L35" i="14" s="1"/>
  <c r="I52" i="29"/>
  <c r="I43" i="29" s="1"/>
  <c r="I47" i="29" s="1"/>
  <c r="G46" i="217"/>
  <c r="G43" i="217"/>
  <c r="G45" i="217"/>
  <c r="G44" i="217"/>
  <c r="G47" i="217"/>
  <c r="G42" i="217"/>
  <c r="O63" i="216"/>
  <c r="Q60" i="214"/>
  <c r="F61" i="236"/>
  <c r="P59" i="214"/>
  <c r="G62" i="236"/>
  <c r="F50" i="214"/>
  <c r="F63" i="216"/>
  <c r="J62" i="214"/>
  <c r="H60" i="214"/>
  <c r="I61" i="214"/>
  <c r="G59" i="214"/>
  <c r="G64" i="214" s="1"/>
  <c r="K49" i="217"/>
  <c r="G82" i="236"/>
  <c r="O67" i="238"/>
  <c r="M47" i="214"/>
  <c r="K45" i="214"/>
  <c r="J50" i="216"/>
  <c r="N48" i="214"/>
  <c r="L46" i="214"/>
  <c r="K82" i="236"/>
  <c r="P91" i="216"/>
  <c r="P82" i="216" s="1"/>
  <c r="P86" i="216" s="1"/>
  <c r="N78" i="262"/>
  <c r="N76" i="262"/>
  <c r="N74" i="262"/>
  <c r="N68" i="236"/>
  <c r="J53" i="238"/>
  <c r="M34" i="216"/>
  <c r="K71" i="220" s="1"/>
  <c r="F40" i="237"/>
  <c r="D38" i="238"/>
  <c r="F40" i="238" s="1"/>
  <c r="L78" i="216"/>
  <c r="L69" i="216" s="1"/>
  <c r="L73" i="216" s="1"/>
  <c r="J67" i="262"/>
  <c r="J65" i="262"/>
  <c r="J63" i="262"/>
  <c r="L65" i="216"/>
  <c r="L56" i="216" s="1"/>
  <c r="L60" i="216" s="1"/>
  <c r="J56" i="262"/>
  <c r="J53" i="262"/>
  <c r="J51" i="262"/>
  <c r="J55" i="262"/>
  <c r="J78" i="29"/>
  <c r="J69" i="29" s="1"/>
  <c r="J73" i="29" s="1"/>
  <c r="H67" i="217"/>
  <c r="H64" i="217"/>
  <c r="H69" i="217"/>
  <c r="H66" i="217"/>
  <c r="H65" i="217"/>
  <c r="H68" i="217"/>
  <c r="H102" i="218"/>
  <c r="O53" i="238"/>
  <c r="G39" i="216"/>
  <c r="G30" i="216" s="1"/>
  <c r="E34" i="262"/>
  <c r="E32" i="262"/>
  <c r="E30" i="262"/>
  <c r="H91" i="29"/>
  <c r="H82" i="29" s="1"/>
  <c r="H86" i="29" s="1"/>
  <c r="F79" i="217"/>
  <c r="F78" i="217"/>
  <c r="F76" i="217"/>
  <c r="F77" i="217"/>
  <c r="F75" i="217"/>
  <c r="F80" i="217"/>
  <c r="G51" i="31"/>
  <c r="G62" i="31" s="1"/>
  <c r="H36" i="8" s="1"/>
  <c r="E101" i="233"/>
  <c r="E70" i="1"/>
  <c r="E72" i="233"/>
  <c r="I63" i="216"/>
  <c r="L61" i="214"/>
  <c r="J59" i="214"/>
  <c r="K60" i="214"/>
  <c r="K64" i="214" s="1"/>
  <c r="M62" i="214"/>
  <c r="M64" i="214" s="1"/>
  <c r="O17" i="214"/>
  <c r="Q19" i="214"/>
  <c r="CW241" i="38"/>
  <c r="D15" i="31"/>
  <c r="C31" i="24"/>
  <c r="E55" i="1"/>
  <c r="E47" i="233"/>
  <c r="M53" i="238"/>
  <c r="F96" i="236"/>
  <c r="D94" i="237"/>
  <c r="K96" i="237" s="1"/>
  <c r="H39" i="238"/>
  <c r="H40" i="237"/>
  <c r="P39" i="29"/>
  <c r="P30" i="29" s="1"/>
  <c r="P34" i="29" s="1"/>
  <c r="N32" i="217"/>
  <c r="N34" i="217"/>
  <c r="N36" i="217"/>
  <c r="N31" i="217"/>
  <c r="N35" i="217"/>
  <c r="N33" i="217"/>
  <c r="J48" i="10"/>
  <c r="G19" i="268"/>
  <c r="G19" i="267" s="1"/>
  <c r="G19" i="266" s="1"/>
  <c r="P81" i="237"/>
  <c r="P82" i="236"/>
  <c r="O17" i="30"/>
  <c r="O21" i="30" s="1"/>
  <c r="O23" i="30" s="1"/>
  <c r="H65" i="29"/>
  <c r="H56" i="29" s="1"/>
  <c r="H60" i="29" s="1"/>
  <c r="F58" i="217"/>
  <c r="F53" i="217"/>
  <c r="F55" i="217"/>
  <c r="F57" i="217"/>
  <c r="F56" i="217"/>
  <c r="F54" i="217"/>
  <c r="D63" i="220"/>
  <c r="H12" i="214"/>
  <c r="D63" i="276"/>
  <c r="D63" i="16"/>
  <c r="L36" i="14"/>
  <c r="P18" i="236"/>
  <c r="L33" i="14"/>
  <c r="H19" i="262"/>
  <c r="F20" i="237"/>
  <c r="H22" i="262"/>
  <c r="C112" i="229"/>
  <c r="I112" i="229" s="1"/>
  <c r="H112" i="229" s="1"/>
  <c r="M64" i="14"/>
  <c r="AP55" i="231"/>
  <c r="BM241" i="38"/>
  <c r="G20" i="31" s="1"/>
  <c r="A57" i="14"/>
  <c r="A175" i="38"/>
  <c r="A49" i="219"/>
  <c r="A49" i="233" s="1"/>
  <c r="A49" i="234" s="1"/>
  <c r="A49" i="235" s="1"/>
  <c r="G23" i="10"/>
  <c r="Q51" i="10"/>
  <c r="R51" i="10" s="1"/>
  <c r="G29" i="10"/>
  <c r="D19" i="269"/>
  <c r="C124" i="249"/>
  <c r="C103" i="234"/>
  <c r="C105" i="233"/>
  <c r="C80" i="249"/>
  <c r="C91" i="234"/>
  <c r="C61" i="249"/>
  <c r="C59" i="234"/>
  <c r="D82" i="1"/>
  <c r="D95" i="233"/>
  <c r="F83" i="14"/>
  <c r="E95" i="219"/>
  <c r="F95" i="218"/>
  <c r="F66" i="14"/>
  <c r="E62" i="219"/>
  <c r="F62" i="218"/>
  <c r="K57" i="231"/>
  <c r="E41" i="16"/>
  <c r="F46" i="14"/>
  <c r="F28" i="218"/>
  <c r="E28" i="219"/>
  <c r="K37" i="231"/>
  <c r="D66" i="249"/>
  <c r="D64" i="234"/>
  <c r="D67" i="249"/>
  <c r="D66" i="234"/>
  <c r="C52" i="252"/>
  <c r="C42" i="235"/>
  <c r="C39" i="252"/>
  <c r="C16" i="235"/>
  <c r="E43" i="1"/>
  <c r="E39" i="220"/>
  <c r="E24" i="233"/>
  <c r="O19" i="252"/>
  <c r="D75" i="249"/>
  <c r="D82" i="234"/>
  <c r="E74" i="1"/>
  <c r="E80" i="233"/>
  <c r="E77" i="1"/>
  <c r="E85" i="233"/>
  <c r="C47" i="262"/>
  <c r="G69" i="14"/>
  <c r="G68" i="218"/>
  <c r="F68" i="219"/>
  <c r="O60" i="231"/>
  <c r="G58" i="14"/>
  <c r="F51" i="219"/>
  <c r="G51" i="218"/>
  <c r="O49" i="231"/>
  <c r="E65" i="216"/>
  <c r="I87" i="236"/>
  <c r="L90" i="236"/>
  <c r="J88" i="236"/>
  <c r="Q88" i="236"/>
  <c r="F89" i="237"/>
  <c r="O89" i="239"/>
  <c r="M73" i="263" s="1"/>
  <c r="P87" i="236"/>
  <c r="G90" i="237"/>
  <c r="G63" i="216"/>
  <c r="K62" i="214"/>
  <c r="I60" i="214"/>
  <c r="J61" i="214"/>
  <c r="H59" i="214"/>
  <c r="N34" i="214"/>
  <c r="L32" i="214"/>
  <c r="J37" i="216"/>
  <c r="M33" i="214"/>
  <c r="K31" i="214"/>
  <c r="G39" i="237"/>
  <c r="G40" i="236"/>
  <c r="R39" i="236"/>
  <c r="J71" i="217"/>
  <c r="L89" i="216"/>
  <c r="O89" i="214"/>
  <c r="M87" i="214"/>
  <c r="P90" i="214"/>
  <c r="N88" i="214"/>
  <c r="Q60" i="213"/>
  <c r="K81" i="238"/>
  <c r="L87" i="236"/>
  <c r="O90" i="236"/>
  <c r="M88" i="236"/>
  <c r="N67" i="238"/>
  <c r="DA241" i="38"/>
  <c r="G41" i="31" s="1"/>
  <c r="F31" i="236"/>
  <c r="G32" i="236"/>
  <c r="I34" i="236"/>
  <c r="H33" i="236"/>
  <c r="E37" i="239"/>
  <c r="C31" i="263" s="1"/>
  <c r="L82" i="236"/>
  <c r="M39" i="237"/>
  <c r="M40" i="236"/>
  <c r="K78" i="29"/>
  <c r="K69" i="29" s="1"/>
  <c r="K73" i="29" s="1"/>
  <c r="I64" i="217"/>
  <c r="I69" i="217"/>
  <c r="I66" i="217"/>
  <c r="I68" i="217"/>
  <c r="I67" i="217"/>
  <c r="I65" i="217"/>
  <c r="E101" i="235"/>
  <c r="G67" i="14"/>
  <c r="F64" i="219"/>
  <c r="G64" i="218"/>
  <c r="O58" i="231"/>
  <c r="G54" i="236"/>
  <c r="J37" i="239"/>
  <c r="H31" i="263" s="1"/>
  <c r="N34" i="236"/>
  <c r="L32" i="236"/>
  <c r="K31" i="236"/>
  <c r="M33" i="236"/>
  <c r="I78" i="29"/>
  <c r="I69" i="29" s="1"/>
  <c r="I73" i="29" s="1"/>
  <c r="G67" i="217"/>
  <c r="G64" i="217"/>
  <c r="G69" i="217"/>
  <c r="G66" i="217"/>
  <c r="G65" i="217"/>
  <c r="G68" i="217"/>
  <c r="I38" i="217"/>
  <c r="E102" i="218"/>
  <c r="E241" i="38"/>
  <c r="G91" i="29"/>
  <c r="G82" i="29" s="1"/>
  <c r="G86" i="29" s="1"/>
  <c r="E79" i="217"/>
  <c r="E78" i="217"/>
  <c r="E76" i="217"/>
  <c r="E77" i="217"/>
  <c r="E75" i="217"/>
  <c r="E80" i="217"/>
  <c r="CO241" i="38"/>
  <c r="G40" i="31" s="1"/>
  <c r="F44" i="236"/>
  <c r="F87" i="214"/>
  <c r="F92" i="214" s="1"/>
  <c r="G88" i="214"/>
  <c r="I90" i="214"/>
  <c r="E89" i="216"/>
  <c r="R96" i="214"/>
  <c r="H89" i="214"/>
  <c r="P63" i="216"/>
  <c r="G61" i="236"/>
  <c r="Q59" i="214"/>
  <c r="H62" i="236"/>
  <c r="F60" i="236"/>
  <c r="P50" i="214"/>
  <c r="G96" i="236"/>
  <c r="G76" i="216"/>
  <c r="J75" i="214"/>
  <c r="H73" i="214"/>
  <c r="K76" i="214"/>
  <c r="I74" i="214"/>
  <c r="D25" i="215"/>
  <c r="P47" i="213"/>
  <c r="Q18" i="30"/>
  <c r="P19" i="30"/>
  <c r="P22" i="30" s="1"/>
  <c r="O22" i="267"/>
  <c r="Q22" i="268"/>
  <c r="R22" i="268"/>
  <c r="S22" i="268"/>
  <c r="U22" i="268"/>
  <c r="V22" i="268"/>
  <c r="W22" i="268"/>
  <c r="Q38" i="10"/>
  <c r="R38" i="10" s="1"/>
  <c r="F52" i="220"/>
  <c r="F19" i="220"/>
  <c r="D89" i="16"/>
  <c r="E86" i="16"/>
  <c r="C71" i="249"/>
  <c r="C74" i="234"/>
  <c r="D78" i="1"/>
  <c r="D87" i="233"/>
  <c r="F81" i="14"/>
  <c r="F91" i="218"/>
  <c r="E91" i="219"/>
  <c r="K74" i="231"/>
  <c r="F61" i="14"/>
  <c r="F57" i="218"/>
  <c r="E57" i="219"/>
  <c r="E33" i="16"/>
  <c r="F39" i="14"/>
  <c r="F14" i="218"/>
  <c r="E97" i="218"/>
  <c r="E14" i="219"/>
  <c r="K30" i="231"/>
  <c r="G104" i="218"/>
  <c r="G128" i="14"/>
  <c r="F103" i="219"/>
  <c r="F106" i="218"/>
  <c r="C74" i="252"/>
  <c r="C80" i="235"/>
  <c r="F34" i="16"/>
  <c r="G40" i="14"/>
  <c r="F16" i="219"/>
  <c r="G16" i="218"/>
  <c r="O31" i="231"/>
  <c r="D40" i="252"/>
  <c r="D18" i="235"/>
  <c r="D40" i="253" s="1"/>
  <c r="B67" i="264"/>
  <c r="D38" i="249"/>
  <c r="D33" i="276"/>
  <c r="D14" i="234"/>
  <c r="C42" i="252"/>
  <c r="C22" i="235"/>
  <c r="G78" i="14"/>
  <c r="G85" i="218"/>
  <c r="F85" i="219"/>
  <c r="O69" i="231"/>
  <c r="E78" i="216"/>
  <c r="G39" i="29"/>
  <c r="G30" i="29" s="1"/>
  <c r="G34" i="29" s="1"/>
  <c r="E35" i="217"/>
  <c r="E32" i="217"/>
  <c r="E34" i="217"/>
  <c r="E31" i="217"/>
  <c r="E33" i="217"/>
  <c r="E36" i="217"/>
  <c r="F44" i="16"/>
  <c r="G49" i="14"/>
  <c r="F34" i="219"/>
  <c r="G34" i="218"/>
  <c r="O41" i="231"/>
  <c r="B76" i="265"/>
  <c r="E71" i="217"/>
  <c r="F78" i="29"/>
  <c r="F69" i="29" s="1"/>
  <c r="F73" i="29" s="1"/>
  <c r="D68" i="217"/>
  <c r="D65" i="217"/>
  <c r="D67" i="217"/>
  <c r="D66" i="217"/>
  <c r="D64" i="217"/>
  <c r="D69" i="217"/>
  <c r="E49" i="217"/>
  <c r="J89" i="236"/>
  <c r="H87" i="236"/>
  <c r="G89" i="239"/>
  <c r="E73" i="263" s="1"/>
  <c r="I50" i="216"/>
  <c r="M48" i="214"/>
  <c r="K46" i="214"/>
  <c r="L47" i="214"/>
  <c r="J45" i="214"/>
  <c r="H82" i="217"/>
  <c r="H69" i="262"/>
  <c r="J89" i="216"/>
  <c r="N90" i="214"/>
  <c r="L88" i="214"/>
  <c r="K87" i="214"/>
  <c r="M89" i="214"/>
  <c r="M34" i="214"/>
  <c r="K32" i="214"/>
  <c r="I37" i="216"/>
  <c r="L33" i="214"/>
  <c r="J31" i="214"/>
  <c r="J36" i="214" s="1"/>
  <c r="D91" i="234"/>
  <c r="B32" i="265"/>
  <c r="M95" i="237"/>
  <c r="M96" i="236"/>
  <c r="P39" i="216"/>
  <c r="P30" i="216" s="1"/>
  <c r="N34" i="262"/>
  <c r="N30" i="262"/>
  <c r="N32" i="262"/>
  <c r="G60" i="14"/>
  <c r="F55" i="219"/>
  <c r="G55" i="218"/>
  <c r="O53" i="231"/>
  <c r="M37" i="239"/>
  <c r="K33" i="263" s="1"/>
  <c r="P33" i="236"/>
  <c r="N31" i="236"/>
  <c r="Q34" i="236"/>
  <c r="O32" i="236"/>
  <c r="L95" i="238"/>
  <c r="G50" i="214"/>
  <c r="D16" i="31"/>
  <c r="C32" i="24"/>
  <c r="F71" i="217"/>
  <c r="I89" i="216"/>
  <c r="M90" i="214"/>
  <c r="K88" i="214"/>
  <c r="J87" i="214"/>
  <c r="L89" i="214"/>
  <c r="L81" i="238"/>
  <c r="L37" i="216"/>
  <c r="O33" i="214"/>
  <c r="M31" i="214"/>
  <c r="N32" i="214"/>
  <c r="P34" i="214"/>
  <c r="P36" i="214" s="1"/>
  <c r="D22" i="31"/>
  <c r="C38" i="24"/>
  <c r="E66" i="1"/>
  <c r="E64" i="233"/>
  <c r="K78" i="216"/>
  <c r="K69" i="216" s="1"/>
  <c r="K73" i="216" s="1"/>
  <c r="I67" i="262"/>
  <c r="I65" i="262"/>
  <c r="I63" i="262"/>
  <c r="I69" i="262" s="1"/>
  <c r="B58" i="238"/>
  <c r="F58" i="238" s="1"/>
  <c r="F58" i="237"/>
  <c r="H39" i="216"/>
  <c r="H30" i="216" s="1"/>
  <c r="F30" i="262"/>
  <c r="F32" i="262"/>
  <c r="F34" i="262"/>
  <c r="G53" i="238"/>
  <c r="K39" i="238"/>
  <c r="K40" i="238" s="1"/>
  <c r="K40" i="237"/>
  <c r="BY241" i="38"/>
  <c r="B44" i="238"/>
  <c r="F44" i="238" s="1"/>
  <c r="F44" i="237"/>
  <c r="G65" i="29"/>
  <c r="G56" i="29" s="1"/>
  <c r="G60" i="29" s="1"/>
  <c r="E56" i="217"/>
  <c r="E58" i="217"/>
  <c r="E53" i="217"/>
  <c r="E55" i="217"/>
  <c r="E54" i="217"/>
  <c r="E57" i="217"/>
  <c r="Q67" i="237"/>
  <c r="Q68" i="236"/>
  <c r="N52" i="216"/>
  <c r="N43" i="216" s="1"/>
  <c r="N47" i="216" s="1"/>
  <c r="L44" i="262"/>
  <c r="L42" i="262"/>
  <c r="L40" i="262"/>
  <c r="G95" i="238"/>
  <c r="P37" i="239"/>
  <c r="N33" i="263" s="1"/>
  <c r="H34" i="237"/>
  <c r="F32" i="237"/>
  <c r="G33" i="237"/>
  <c r="Q31" i="236"/>
  <c r="H81" i="237"/>
  <c r="H82" i="236"/>
  <c r="E14" i="241"/>
  <c r="F14" i="241" s="1"/>
  <c r="G14" i="241" s="1"/>
  <c r="H14" i="241" s="1"/>
  <c r="I14" i="241" s="1"/>
  <c r="J14" i="241" s="1"/>
  <c r="K14" i="241" s="1"/>
  <c r="L14" i="241" s="1"/>
  <c r="M14" i="241" s="1"/>
  <c r="N14" i="241" s="1"/>
  <c r="O14" i="241" s="1"/>
  <c r="P14" i="241" s="1"/>
  <c r="F14" i="240"/>
  <c r="G14" i="240" s="1"/>
  <c r="H14" i="240" s="1"/>
  <c r="I14" i="240" s="1"/>
  <c r="J14" i="240" s="1"/>
  <c r="K14" i="240" s="1"/>
  <c r="L14" i="240" s="1"/>
  <c r="M14" i="240" s="1"/>
  <c r="N14" i="240" s="1"/>
  <c r="O14" i="240" s="1"/>
  <c r="P14" i="240" s="1"/>
  <c r="N20" i="214"/>
  <c r="N99" i="214"/>
  <c r="K133" i="1" s="1"/>
  <c r="L34" i="14"/>
  <c r="H20" i="262"/>
  <c r="AI55" i="231"/>
  <c r="DI241" i="38"/>
  <c r="DY241" i="38"/>
  <c r="G43" i="31" s="1"/>
  <c r="E23" i="10"/>
  <c r="Q13" i="10"/>
  <c r="Q50" i="10"/>
  <c r="Q77" i="10"/>
  <c r="E137" i="14"/>
  <c r="G18" i="231"/>
  <c r="E43" i="10"/>
  <c r="Q33" i="10"/>
  <c r="R33" i="10" s="1"/>
  <c r="O43" i="10"/>
  <c r="U21" i="267"/>
  <c r="O21" i="266"/>
  <c r="C76" i="10"/>
  <c r="W21" i="267"/>
  <c r="V21" i="267"/>
  <c r="S21" i="267"/>
  <c r="R21" i="267"/>
  <c r="K47" i="17"/>
  <c r="K46" i="17"/>
  <c r="E47" i="17"/>
  <c r="K41" i="17"/>
  <c r="I24" i="220"/>
  <c r="I21" i="220"/>
  <c r="B25" i="267"/>
  <c r="B55" i="10"/>
  <c r="D81" i="1"/>
  <c r="D93" i="233"/>
  <c r="C60" i="249"/>
  <c r="C57" i="234"/>
  <c r="C72" i="249"/>
  <c r="C76" i="234"/>
  <c r="D39" i="1"/>
  <c r="D34" i="220"/>
  <c r="D16" i="233"/>
  <c r="D73" i="1"/>
  <c r="D78" i="233"/>
  <c r="F79" i="14"/>
  <c r="E87" i="219"/>
  <c r="F87" i="218"/>
  <c r="K70" i="231"/>
  <c r="F59" i="14"/>
  <c r="E53" i="219"/>
  <c r="F53" i="218"/>
  <c r="K51" i="231"/>
  <c r="C82" i="249"/>
  <c r="C95" i="234"/>
  <c r="D59" i="249"/>
  <c r="D55" i="234"/>
  <c r="C78" i="249"/>
  <c r="C87" i="234"/>
  <c r="D52" i="1"/>
  <c r="D48" i="220"/>
  <c r="D42" i="233"/>
  <c r="D60" i="249"/>
  <c r="D57" i="234"/>
  <c r="E39" i="1"/>
  <c r="E34" i="220"/>
  <c r="E16" i="233"/>
  <c r="E72" i="1"/>
  <c r="E76" i="233"/>
  <c r="B65" i="264"/>
  <c r="G65" i="263"/>
  <c r="D47" i="249"/>
  <c r="D43" i="276"/>
  <c r="D32" i="234"/>
  <c r="E41" i="1"/>
  <c r="E36" i="220"/>
  <c r="E20" i="233"/>
  <c r="D56" i="249"/>
  <c r="D49" i="234"/>
  <c r="F65" i="29"/>
  <c r="F56" i="29" s="1"/>
  <c r="F60" i="29" s="1"/>
  <c r="D54" i="217"/>
  <c r="D56" i="217"/>
  <c r="Q63" i="29"/>
  <c r="D58" i="217"/>
  <c r="D53" i="217"/>
  <c r="D55" i="217"/>
  <c r="D57" i="217"/>
  <c r="F137" i="14"/>
  <c r="K18" i="231"/>
  <c r="M18" i="231" s="1"/>
  <c r="N18" i="231" s="1"/>
  <c r="C38" i="252"/>
  <c r="C14" i="235"/>
  <c r="B66" i="264"/>
  <c r="G66" i="263"/>
  <c r="F82" i="236"/>
  <c r="D80" i="237"/>
  <c r="K82" i="237" s="1"/>
  <c r="E81" i="1"/>
  <c r="E93" i="233"/>
  <c r="F68" i="236"/>
  <c r="D66" i="237"/>
  <c r="M68" i="237" s="1"/>
  <c r="F52" i="29"/>
  <c r="D42" i="217"/>
  <c r="D47" i="217"/>
  <c r="D44" i="217"/>
  <c r="D46" i="217"/>
  <c r="D45" i="217"/>
  <c r="Q50" i="29"/>
  <c r="D43" i="217"/>
  <c r="C48" i="253"/>
  <c r="L36" i="262"/>
  <c r="M76" i="216"/>
  <c r="Q76" i="214"/>
  <c r="O74" i="214"/>
  <c r="N73" i="214"/>
  <c r="N78" i="214" s="1"/>
  <c r="P75" i="214"/>
  <c r="R40" i="214"/>
  <c r="B74" i="265"/>
  <c r="G67" i="238"/>
  <c r="N37" i="239"/>
  <c r="L31" i="263" s="1"/>
  <c r="Q33" i="236"/>
  <c r="O31" i="236"/>
  <c r="F34" i="237"/>
  <c r="P32" i="236"/>
  <c r="E59" i="1"/>
  <c r="E55" i="233"/>
  <c r="N39" i="238"/>
  <c r="N40" i="238" s="1"/>
  <c r="N40" i="237"/>
  <c r="M82" i="236"/>
  <c r="K60" i="217"/>
  <c r="CK241" i="38"/>
  <c r="N102" i="218"/>
  <c r="J89" i="239"/>
  <c r="H75" i="263" s="1"/>
  <c r="M89" i="236"/>
  <c r="K87" i="236"/>
  <c r="J60" i="217"/>
  <c r="P54" i="236"/>
  <c r="L39" i="237"/>
  <c r="L40" i="236"/>
  <c r="I78" i="216"/>
  <c r="I69" i="216" s="1"/>
  <c r="I73" i="216" s="1"/>
  <c r="G65" i="262"/>
  <c r="G67" i="262"/>
  <c r="G63" i="262"/>
  <c r="R86" i="213"/>
  <c r="F46" i="16"/>
  <c r="G51" i="14"/>
  <c r="F38" i="219"/>
  <c r="G38" i="218"/>
  <c r="O45" i="231"/>
  <c r="Q81" i="237"/>
  <c r="Q82" i="236"/>
  <c r="BQ241" i="38"/>
  <c r="B29" i="265"/>
  <c r="B30" i="237"/>
  <c r="F30" i="236"/>
  <c r="L53" i="237"/>
  <c r="L54" i="236"/>
  <c r="R60" i="213"/>
  <c r="Q39" i="238"/>
  <c r="Q40" i="238" s="1"/>
  <c r="Q40" i="237"/>
  <c r="I39" i="29"/>
  <c r="I30" i="29" s="1"/>
  <c r="I34" i="29" s="1"/>
  <c r="G32" i="217"/>
  <c r="G34" i="217"/>
  <c r="G36" i="217"/>
  <c r="G31" i="217"/>
  <c r="G33" i="217"/>
  <c r="G35" i="217"/>
  <c r="F12" i="237"/>
  <c r="G12" i="237" s="1"/>
  <c r="G12" i="236"/>
  <c r="H12" i="236" s="1"/>
  <c r="I12" i="236" s="1"/>
  <c r="J12" i="236" s="1"/>
  <c r="K12" i="236" s="1"/>
  <c r="L12" i="236" s="1"/>
  <c r="M12" i="236" s="1"/>
  <c r="N12" i="236" s="1"/>
  <c r="O12" i="236" s="1"/>
  <c r="P12" i="236" s="1"/>
  <c r="Q12" i="236" s="1"/>
  <c r="N47" i="213"/>
  <c r="C52" i="10"/>
  <c r="L64" i="14"/>
  <c r="C65" i="217"/>
  <c r="C64" i="217"/>
  <c r="C66" i="217"/>
  <c r="C68" i="217"/>
  <c r="C67" i="217"/>
  <c r="C69" i="217"/>
  <c r="E78" i="29"/>
  <c r="Q76" i="29"/>
  <c r="CC241" i="38"/>
  <c r="G39" i="31" s="1"/>
  <c r="D17" i="31"/>
  <c r="C33" i="24"/>
  <c r="Q57" i="10"/>
  <c r="Q52" i="10"/>
  <c r="Q59" i="10"/>
  <c r="Q58" i="10"/>
  <c r="K39" i="17"/>
  <c r="K38" i="17"/>
  <c r="E39" i="17"/>
  <c r="K40" i="17"/>
  <c r="E40" i="17"/>
  <c r="F86" i="220"/>
  <c r="E89" i="220"/>
  <c r="S42" i="10"/>
  <c r="H24" i="16"/>
  <c r="H21" i="16"/>
  <c r="D77" i="1"/>
  <c r="D85" i="233"/>
  <c r="C56" i="249"/>
  <c r="C49" i="234"/>
  <c r="D69" i="1"/>
  <c r="D70" i="233"/>
  <c r="F76" i="14"/>
  <c r="F82" i="218"/>
  <c r="E82" i="219"/>
  <c r="F57" i="14"/>
  <c r="F49" i="218"/>
  <c r="E49" i="219"/>
  <c r="K48" i="231"/>
  <c r="C73" i="249"/>
  <c r="C78" i="234"/>
  <c r="C66" i="249"/>
  <c r="C64" i="234"/>
  <c r="C69" i="249"/>
  <c r="C70" i="234"/>
  <c r="D48" i="1"/>
  <c r="D44" i="220"/>
  <c r="D34" i="233"/>
  <c r="G73" i="14"/>
  <c r="G76" i="218"/>
  <c r="F76" i="219"/>
  <c r="O66" i="231"/>
  <c r="B63" i="264"/>
  <c r="G63" i="263"/>
  <c r="G80" i="14"/>
  <c r="F89" i="219"/>
  <c r="G89" i="218"/>
  <c r="O72" i="231"/>
  <c r="C43" i="252"/>
  <c r="C24" i="235"/>
  <c r="B44" i="264"/>
  <c r="K44" i="263"/>
  <c r="C49" i="252"/>
  <c r="C36" i="235"/>
  <c r="F36" i="16"/>
  <c r="G42" i="14"/>
  <c r="G20" i="218"/>
  <c r="F20" i="219"/>
  <c r="O33" i="231"/>
  <c r="K58" i="262"/>
  <c r="E61" i="1"/>
  <c r="E59" i="233"/>
  <c r="E52" i="1"/>
  <c r="E48" i="220"/>
  <c r="E42" i="233"/>
  <c r="B33" i="264"/>
  <c r="L33" i="263"/>
  <c r="P52" i="29"/>
  <c r="P43" i="29" s="1"/>
  <c r="P47" i="29" s="1"/>
  <c r="N44" i="217"/>
  <c r="N46" i="217"/>
  <c r="N43" i="217"/>
  <c r="N47" i="217"/>
  <c r="N42" i="217"/>
  <c r="N45" i="217"/>
  <c r="M61" i="236"/>
  <c r="M49" i="217"/>
  <c r="G82" i="14"/>
  <c r="G93" i="218"/>
  <c r="F93" i="219"/>
  <c r="O90" i="214"/>
  <c r="M88" i="214"/>
  <c r="K89" i="216"/>
  <c r="N89" i="214"/>
  <c r="L87" i="214"/>
  <c r="J69" i="262"/>
  <c r="C62" i="262"/>
  <c r="P50" i="216"/>
  <c r="G47" i="236"/>
  <c r="Q45" i="214"/>
  <c r="Q50" i="214" s="1"/>
  <c r="H48" i="236"/>
  <c r="F46" i="236"/>
  <c r="B86" i="237"/>
  <c r="F86" i="236"/>
  <c r="O39" i="238"/>
  <c r="O40" i="238" s="1"/>
  <c r="O40" i="237"/>
  <c r="M81" i="238"/>
  <c r="K95" i="238"/>
  <c r="D20" i="31"/>
  <c r="C36" i="24"/>
  <c r="H68" i="236"/>
  <c r="P53" i="238"/>
  <c r="K37" i="216"/>
  <c r="N33" i="214"/>
  <c r="N36" i="214" s="1"/>
  <c r="L31" i="214"/>
  <c r="O34" i="214"/>
  <c r="M32" i="214"/>
  <c r="I89" i="239"/>
  <c r="G77" i="263" s="1"/>
  <c r="L89" i="236"/>
  <c r="J87" i="236"/>
  <c r="M90" i="236"/>
  <c r="K88" i="236"/>
  <c r="J65" i="216"/>
  <c r="J56" i="216" s="1"/>
  <c r="J60" i="216" s="1"/>
  <c r="H56" i="262"/>
  <c r="H54" i="262"/>
  <c r="H52" i="262"/>
  <c r="H58" i="262" s="1"/>
  <c r="H55" i="262"/>
  <c r="H53" i="262"/>
  <c r="H36" i="214"/>
  <c r="E50" i="1"/>
  <c r="E46" i="220"/>
  <c r="E38" i="233"/>
  <c r="P76" i="216"/>
  <c r="Q73" i="214"/>
  <c r="H76" i="236"/>
  <c r="F74" i="236"/>
  <c r="G75" i="236"/>
  <c r="O52" i="216"/>
  <c r="O43" i="216" s="1"/>
  <c r="O47" i="216" s="1"/>
  <c r="M44" i="262"/>
  <c r="M42" i="262"/>
  <c r="M40" i="262"/>
  <c r="J39" i="29"/>
  <c r="J30" i="29" s="1"/>
  <c r="J34" i="29" s="1"/>
  <c r="H34" i="217"/>
  <c r="H36" i="217"/>
  <c r="H31" i="217"/>
  <c r="I32" i="14" s="1"/>
  <c r="H33" i="217"/>
  <c r="H32" i="217"/>
  <c r="H35" i="217"/>
  <c r="M89" i="216"/>
  <c r="P89" i="214"/>
  <c r="N87" i="214"/>
  <c r="O88" i="214"/>
  <c r="Q90" i="214"/>
  <c r="N47" i="214"/>
  <c r="L45" i="214"/>
  <c r="K50" i="216"/>
  <c r="O48" i="214"/>
  <c r="O50" i="214" s="1"/>
  <c r="M46" i="214"/>
  <c r="H39" i="29"/>
  <c r="H30" i="29" s="1"/>
  <c r="H34" i="29" s="1"/>
  <c r="F32" i="217"/>
  <c r="F34" i="217"/>
  <c r="F36" i="217"/>
  <c r="F31" i="217"/>
  <c r="F35" i="217"/>
  <c r="F33" i="217"/>
  <c r="H101" i="219"/>
  <c r="H63" i="216"/>
  <c r="K61" i="214"/>
  <c r="I59" i="214"/>
  <c r="L62" i="214"/>
  <c r="L64" i="214" s="1"/>
  <c r="J60" i="214"/>
  <c r="L34" i="236"/>
  <c r="BA88" i="231"/>
  <c r="E14" i="217"/>
  <c r="H14" i="29"/>
  <c r="M137" i="14"/>
  <c r="AM18" i="231"/>
  <c r="AO18" i="231" s="1"/>
  <c r="AP18" i="231" s="1"/>
  <c r="M19" i="214"/>
  <c r="T22" i="268"/>
  <c r="C60" i="217"/>
  <c r="D21" i="31"/>
  <c r="C37" i="24"/>
  <c r="D25" i="31"/>
  <c r="C43" i="24"/>
  <c r="Q14" i="10"/>
  <c r="R14" i="10" s="1"/>
  <c r="I43" i="10"/>
  <c r="R26" i="266"/>
  <c r="Q26" i="266"/>
  <c r="S26" i="266"/>
  <c r="U26" i="266"/>
  <c r="D74" i="17"/>
  <c r="K25" i="17"/>
  <c r="J26" i="17" s="1"/>
  <c r="H26" i="17" s="1"/>
  <c r="I26" i="17" s="1"/>
  <c r="E25" i="17"/>
  <c r="S35" i="10"/>
  <c r="C79" i="249"/>
  <c r="C89" i="234"/>
  <c r="D72" i="1"/>
  <c r="D76" i="233"/>
  <c r="C41" i="249"/>
  <c r="C36" i="276"/>
  <c r="C20" i="234"/>
  <c r="D53" i="1"/>
  <c r="D49" i="220"/>
  <c r="D44" i="233"/>
  <c r="D65" i="1"/>
  <c r="D62" i="233"/>
  <c r="D43" i="1"/>
  <c r="D39" i="220"/>
  <c r="D24" i="233"/>
  <c r="F74" i="14"/>
  <c r="E78" i="219"/>
  <c r="F78" i="218"/>
  <c r="E49" i="16"/>
  <c r="F54" i="14"/>
  <c r="E44" i="219"/>
  <c r="F44" i="218"/>
  <c r="C65" i="249"/>
  <c r="C62" i="234"/>
  <c r="D55" i="1"/>
  <c r="D47" i="233"/>
  <c r="D79" i="1"/>
  <c r="D89" i="233"/>
  <c r="C75" i="249"/>
  <c r="C82" i="234"/>
  <c r="C58" i="249"/>
  <c r="C53" i="234"/>
  <c r="F38" i="16"/>
  <c r="G43" i="14"/>
  <c r="G22" i="218"/>
  <c r="F22" i="219"/>
  <c r="O34" i="231"/>
  <c r="D41" i="249"/>
  <c r="D36" i="276"/>
  <c r="D20" i="234"/>
  <c r="B42" i="264"/>
  <c r="K42" i="263"/>
  <c r="O19" i="253"/>
  <c r="O19" i="249"/>
  <c r="B56" i="264"/>
  <c r="D46" i="249"/>
  <c r="D42" i="276"/>
  <c r="D30" i="234"/>
  <c r="C40" i="252"/>
  <c r="C18" i="235"/>
  <c r="B45" i="264"/>
  <c r="K45" i="263"/>
  <c r="C53" i="252"/>
  <c r="C44" i="235"/>
  <c r="N89" i="216"/>
  <c r="Q89" i="214"/>
  <c r="O87" i="214"/>
  <c r="F90" i="236"/>
  <c r="P88" i="214"/>
  <c r="G62" i="14"/>
  <c r="F59" i="219"/>
  <c r="G59" i="218"/>
  <c r="F48" i="16"/>
  <c r="G53" i="14"/>
  <c r="F42" i="219"/>
  <c r="G42" i="218"/>
  <c r="M71" i="217"/>
  <c r="F39" i="29"/>
  <c r="F30" i="29" s="1"/>
  <c r="F34" i="29" s="1"/>
  <c r="Q37" i="29"/>
  <c r="D35" i="217"/>
  <c r="D32" i="217"/>
  <c r="D34" i="217"/>
  <c r="D33" i="217"/>
  <c r="D36" i="217"/>
  <c r="D31" i="217"/>
  <c r="N76" i="216"/>
  <c r="P74" i="214"/>
  <c r="Q75" i="214"/>
  <c r="O73" i="214"/>
  <c r="F76" i="236"/>
  <c r="H50" i="216"/>
  <c r="L48" i="214"/>
  <c r="J46" i="214"/>
  <c r="I45" i="214"/>
  <c r="I50" i="214" s="1"/>
  <c r="K47" i="214"/>
  <c r="E39" i="216"/>
  <c r="B62" i="265"/>
  <c r="C33" i="262"/>
  <c r="B64" i="264"/>
  <c r="G64" i="263"/>
  <c r="N82" i="236"/>
  <c r="J52" i="29"/>
  <c r="J43" i="29" s="1"/>
  <c r="J47" i="29" s="1"/>
  <c r="H46" i="217"/>
  <c r="H43" i="217"/>
  <c r="H45" i="217"/>
  <c r="H42" i="217"/>
  <c r="H47" i="217"/>
  <c r="H44" i="217"/>
  <c r="O39" i="216"/>
  <c r="O30" i="216" s="1"/>
  <c r="M34" i="262"/>
  <c r="M32" i="262"/>
  <c r="BE241" i="38"/>
  <c r="G37" i="31" s="1"/>
  <c r="B16" i="238"/>
  <c r="F16" i="238" s="1"/>
  <c r="F16" i="237"/>
  <c r="F42" i="16"/>
  <c r="G47" i="14"/>
  <c r="F30" i="219"/>
  <c r="G30" i="218"/>
  <c r="O38" i="231"/>
  <c r="H89" i="216"/>
  <c r="L90" i="214"/>
  <c r="J88" i="214"/>
  <c r="K89" i="214"/>
  <c r="I87" i="214"/>
  <c r="H54" i="236"/>
  <c r="H99" i="236" s="1"/>
  <c r="E133" i="249" s="1"/>
  <c r="Q86" i="213"/>
  <c r="B31" i="264"/>
  <c r="F31" i="262"/>
  <c r="J95" i="238"/>
  <c r="J96" i="237"/>
  <c r="P91" i="29"/>
  <c r="P82" i="29" s="1"/>
  <c r="P86" i="29" s="1"/>
  <c r="N79" i="217"/>
  <c r="N78" i="217"/>
  <c r="N76" i="217"/>
  <c r="N80" i="217"/>
  <c r="N77" i="217"/>
  <c r="N75" i="217"/>
  <c r="I81" i="237"/>
  <c r="I82" i="236"/>
  <c r="O91" i="29"/>
  <c r="O82" i="29" s="1"/>
  <c r="O86" i="29" s="1"/>
  <c r="M79" i="217"/>
  <c r="M78" i="217"/>
  <c r="M76" i="217"/>
  <c r="M77" i="217"/>
  <c r="M75" i="217"/>
  <c r="M80" i="217"/>
  <c r="DU241" i="38"/>
  <c r="BA241" i="38"/>
  <c r="N95" i="237"/>
  <c r="N96" i="236"/>
  <c r="K52" i="29"/>
  <c r="K43" i="29" s="1"/>
  <c r="K47" i="29" s="1"/>
  <c r="I43" i="217"/>
  <c r="I45" i="217"/>
  <c r="I42" i="217"/>
  <c r="I47" i="217"/>
  <c r="I46" i="217"/>
  <c r="I44" i="217"/>
  <c r="I67" i="237"/>
  <c r="I68" i="236"/>
  <c r="O24" i="215"/>
  <c r="O21" i="14"/>
  <c r="P21" i="14" s="1"/>
  <c r="E81" i="216"/>
  <c r="C81" i="239"/>
  <c r="I39" i="238"/>
  <c r="I40" i="238" s="1"/>
  <c r="I40" i="237"/>
  <c r="J40" i="237"/>
  <c r="D33" i="3"/>
  <c r="O96" i="236"/>
  <c r="L52" i="29"/>
  <c r="L43" i="29" s="1"/>
  <c r="L47" i="29" s="1"/>
  <c r="J45" i="217"/>
  <c r="J42" i="217"/>
  <c r="J47" i="217"/>
  <c r="J44" i="217"/>
  <c r="J43" i="217"/>
  <c r="J46" i="217"/>
  <c r="F15" i="16"/>
  <c r="F15" i="220" s="1"/>
  <c r="F15" i="276" s="1"/>
  <c r="K12" i="213"/>
  <c r="P19" i="214"/>
  <c r="P22" i="268"/>
  <c r="K140" i="10"/>
  <c r="E24" i="10"/>
  <c r="X27" i="269"/>
  <c r="T38" i="10" s="1"/>
  <c r="S38" i="10" s="1"/>
  <c r="A46" i="1"/>
  <c r="A46" i="252"/>
  <c r="B37" i="2"/>
  <c r="B38" i="231"/>
  <c r="B37" i="225"/>
  <c r="A46" i="253"/>
  <c r="A46" i="249"/>
  <c r="E116" i="220"/>
  <c r="D118" i="220"/>
  <c r="E117" i="220"/>
  <c r="F56" i="16"/>
  <c r="F17" i="16"/>
  <c r="C70" i="249"/>
  <c r="C72" i="234"/>
  <c r="D68" i="1"/>
  <c r="D68" i="233"/>
  <c r="C81" i="249"/>
  <c r="C93" i="234"/>
  <c r="C68" i="249"/>
  <c r="C68" i="234"/>
  <c r="D49" i="1"/>
  <c r="D45" i="220"/>
  <c r="D36" i="233"/>
  <c r="D58" i="1"/>
  <c r="D53" i="233"/>
  <c r="F72" i="14"/>
  <c r="F74" i="218"/>
  <c r="E74" i="219"/>
  <c r="K64" i="231"/>
  <c r="E47" i="16"/>
  <c r="F52" i="14"/>
  <c r="F40" i="218"/>
  <c r="E40" i="219"/>
  <c r="C57" i="249"/>
  <c r="C51" i="234"/>
  <c r="D50" i="1"/>
  <c r="D46" i="220"/>
  <c r="D38" i="233"/>
  <c r="D74" i="1"/>
  <c r="D80" i="233"/>
  <c r="C67" i="249"/>
  <c r="C66" i="234"/>
  <c r="D124" i="1"/>
  <c r="D105" i="219"/>
  <c r="D103" i="233"/>
  <c r="F35" i="16"/>
  <c r="G41" i="14"/>
  <c r="F18" i="219"/>
  <c r="G18" i="218"/>
  <c r="O32" i="231"/>
  <c r="B55" i="264"/>
  <c r="E79" i="1"/>
  <c r="E89" i="233"/>
  <c r="B77" i="264"/>
  <c r="M77" i="263"/>
  <c r="N77" i="263"/>
  <c r="B40" i="264"/>
  <c r="K40" i="263"/>
  <c r="E83" i="2"/>
  <c r="G83" i="2"/>
  <c r="I83" i="2" s="1"/>
  <c r="K83" i="2" s="1"/>
  <c r="B54" i="264"/>
  <c r="B43" i="264"/>
  <c r="K43" i="263"/>
  <c r="F89" i="216"/>
  <c r="I89" i="214"/>
  <c r="G87" i="214"/>
  <c r="H88" i="214"/>
  <c r="J90" i="214"/>
  <c r="L60" i="217"/>
  <c r="F40" i="16"/>
  <c r="G45" i="14"/>
  <c r="F26" i="219"/>
  <c r="G26" i="218"/>
  <c r="O36" i="231"/>
  <c r="F76" i="216"/>
  <c r="J76" i="214"/>
  <c r="H74" i="214"/>
  <c r="I75" i="214"/>
  <c r="G73" i="214"/>
  <c r="G78" i="214" s="1"/>
  <c r="C51" i="249"/>
  <c r="C47" i="276"/>
  <c r="C40" i="234"/>
  <c r="C64" i="262"/>
  <c r="N81" i="238"/>
  <c r="G52" i="216"/>
  <c r="G43" i="216" s="1"/>
  <c r="G47" i="216" s="1"/>
  <c r="E44" i="262"/>
  <c r="E42" i="262"/>
  <c r="E40" i="262"/>
  <c r="I36" i="214"/>
  <c r="I241" i="38"/>
  <c r="G33" i="31" s="1"/>
  <c r="E101" i="219"/>
  <c r="F52" i="216"/>
  <c r="F43" i="216" s="1"/>
  <c r="F47" i="216" s="1"/>
  <c r="D44" i="262"/>
  <c r="D42" i="262"/>
  <c r="D40" i="262"/>
  <c r="M68" i="236"/>
  <c r="I86" i="213"/>
  <c r="E46" i="1"/>
  <c r="E42" i="220"/>
  <c r="E30" i="233"/>
  <c r="H53" i="238"/>
  <c r="N31" i="262"/>
  <c r="L68" i="236"/>
  <c r="J86" i="213"/>
  <c r="AC241" i="38"/>
  <c r="G71" i="14"/>
  <c r="F72" i="219"/>
  <c r="G72" i="218"/>
  <c r="O62" i="231"/>
  <c r="H76" i="216"/>
  <c r="K75" i="214"/>
  <c r="I73" i="214"/>
  <c r="J74" i="214"/>
  <c r="J78" i="214" s="1"/>
  <c r="L76" i="214"/>
  <c r="L78" i="214" s="1"/>
  <c r="N53" i="238"/>
  <c r="DM241" i="38"/>
  <c r="G42" i="31" s="1"/>
  <c r="AS241" i="38"/>
  <c r="G36" i="31" s="1"/>
  <c r="O82" i="236"/>
  <c r="G89" i="216"/>
  <c r="J89" i="214"/>
  <c r="H87" i="214"/>
  <c r="H92" i="214" s="1"/>
  <c r="K90" i="214"/>
  <c r="I88" i="214"/>
  <c r="P39" i="238"/>
  <c r="P40" i="238" s="1"/>
  <c r="P40" i="237"/>
  <c r="O65" i="29"/>
  <c r="O56" i="29" s="1"/>
  <c r="O60" i="29" s="1"/>
  <c r="M56" i="217"/>
  <c r="M58" i="217"/>
  <c r="M53" i="217"/>
  <c r="M55" i="217"/>
  <c r="M54" i="217"/>
  <c r="M57" i="217"/>
  <c r="C12" i="234"/>
  <c r="D12" i="233"/>
  <c r="E12" i="233" s="1"/>
  <c r="F12" i="233" s="1"/>
  <c r="G12" i="233" s="1"/>
  <c r="H12" i="233" s="1"/>
  <c r="I12" i="233" s="1"/>
  <c r="J12" i="233" s="1"/>
  <c r="K12" i="233" s="1"/>
  <c r="L12" i="233" s="1"/>
  <c r="M12" i="233" s="1"/>
  <c r="N12" i="233" s="1"/>
  <c r="J40" i="238"/>
  <c r="O95" i="238"/>
  <c r="O96" i="237"/>
  <c r="C71" i="264"/>
  <c r="A71" i="265"/>
  <c r="C71" i="265" s="1"/>
  <c r="O91" i="213"/>
  <c r="L18" i="14" s="1"/>
  <c r="L18" i="214"/>
  <c r="L22" i="214" s="1"/>
  <c r="J26" i="216"/>
  <c r="J17" i="216" s="1"/>
  <c r="J21" i="216" s="1"/>
  <c r="K17" i="214"/>
  <c r="Q20" i="214"/>
  <c r="F63" i="1"/>
  <c r="C132" i="10"/>
  <c r="C55" i="231" s="1"/>
  <c r="E30" i="29"/>
  <c r="E34" i="29" s="1"/>
  <c r="C75" i="217"/>
  <c r="E91" i="29"/>
  <c r="C79" i="217"/>
  <c r="C76" i="217"/>
  <c r="C78" i="217"/>
  <c r="C80" i="217"/>
  <c r="C77" i="217"/>
  <c r="Q89" i="29"/>
  <c r="A44" i="1"/>
  <c r="A44" i="249"/>
  <c r="B35" i="2"/>
  <c r="A44" i="253"/>
  <c r="A44" i="252"/>
  <c r="B35" i="225"/>
  <c r="B36" i="231"/>
  <c r="Q42" i="10"/>
  <c r="R42" i="10" s="1"/>
  <c r="K43" i="10"/>
  <c r="B24" i="267"/>
  <c r="B54" i="10"/>
  <c r="B61" i="10"/>
  <c r="B31" i="267"/>
  <c r="F17" i="276"/>
  <c r="F56" i="276"/>
  <c r="D89" i="276"/>
  <c r="E86" i="276"/>
  <c r="H24" i="276"/>
  <c r="H21" i="276"/>
  <c r="C59" i="249"/>
  <c r="C55" i="234"/>
  <c r="D61" i="1"/>
  <c r="D59" i="233"/>
  <c r="D44" i="1"/>
  <c r="D40" i="220"/>
  <c r="D26" i="233"/>
  <c r="F70" i="14"/>
  <c r="E70" i="219"/>
  <c r="F70" i="218"/>
  <c r="K61" i="231"/>
  <c r="E45" i="16"/>
  <c r="F50" i="14"/>
  <c r="E36" i="219"/>
  <c r="F36" i="218"/>
  <c r="K43" i="231"/>
  <c r="D45" i="1"/>
  <c r="D41" i="220"/>
  <c r="D28" i="233"/>
  <c r="D70" i="249"/>
  <c r="C46" i="249"/>
  <c r="C42" i="276"/>
  <c r="C30" i="234"/>
  <c r="C50" i="252"/>
  <c r="C38" i="235"/>
  <c r="E42" i="249"/>
  <c r="E38" i="276"/>
  <c r="E22" i="234"/>
  <c r="B53" i="264"/>
  <c r="E40" i="249"/>
  <c r="E35" i="276"/>
  <c r="E18" i="234"/>
  <c r="D71" i="249"/>
  <c r="D74" i="234"/>
  <c r="B75" i="264"/>
  <c r="M75" i="263"/>
  <c r="E75" i="263"/>
  <c r="N75" i="263"/>
  <c r="G75" i="263"/>
  <c r="F39" i="16"/>
  <c r="G44" i="14"/>
  <c r="F24" i="219"/>
  <c r="G24" i="218"/>
  <c r="O35" i="231"/>
  <c r="G75" i="14"/>
  <c r="F80" i="219"/>
  <c r="G80" i="218"/>
  <c r="B52" i="264"/>
  <c r="B41" i="264"/>
  <c r="K41" i="263"/>
  <c r="K82" i="217"/>
  <c r="E44" i="1"/>
  <c r="E40" i="220"/>
  <c r="E26" i="233"/>
  <c r="J82" i="217"/>
  <c r="I82" i="217"/>
  <c r="B78" i="265"/>
  <c r="B34" i="265"/>
  <c r="P78" i="29"/>
  <c r="P69" i="29" s="1"/>
  <c r="P73" i="29" s="1"/>
  <c r="N65" i="217"/>
  <c r="N67" i="217"/>
  <c r="N64" i="217"/>
  <c r="N69" i="217"/>
  <c r="N68" i="217"/>
  <c r="N66" i="217"/>
  <c r="E52" i="216"/>
  <c r="F54" i="236"/>
  <c r="D52" i="237"/>
  <c r="O54" i="237" s="1"/>
  <c r="Q54" i="236"/>
  <c r="I54" i="236"/>
  <c r="N63" i="216"/>
  <c r="P60" i="214"/>
  <c r="F62" i="236"/>
  <c r="O59" i="214"/>
  <c r="O64" i="214" s="1"/>
  <c r="Q61" i="214"/>
  <c r="F36" i="214"/>
  <c r="H60" i="217"/>
  <c r="C66" i="262"/>
  <c r="K65" i="216"/>
  <c r="K56" i="216" s="1"/>
  <c r="K60" i="216" s="1"/>
  <c r="I55" i="262"/>
  <c r="I53" i="262"/>
  <c r="I51" i="262"/>
  <c r="F91" i="29"/>
  <c r="F82" i="29" s="1"/>
  <c r="F86" i="29" s="1"/>
  <c r="D77" i="217"/>
  <c r="D75" i="217"/>
  <c r="D79" i="217"/>
  <c r="D80" i="217"/>
  <c r="D78" i="217"/>
  <c r="D76" i="217"/>
  <c r="G81" i="238"/>
  <c r="G82" i="237"/>
  <c r="R81" i="237"/>
  <c r="O68" i="236"/>
  <c r="K53" i="237"/>
  <c r="K54" i="236"/>
  <c r="F72" i="237"/>
  <c r="B72" i="238"/>
  <c r="F72" i="238" s="1"/>
  <c r="J54" i="236"/>
  <c r="D18" i="31"/>
  <c r="C34" i="24"/>
  <c r="M67" i="238"/>
  <c r="D24" i="31"/>
  <c r="C42" i="24"/>
  <c r="J38" i="217"/>
  <c r="E101" i="234"/>
  <c r="K31" i="262"/>
  <c r="L67" i="238"/>
  <c r="L68" i="237"/>
  <c r="O54" i="236"/>
  <c r="U241" i="38"/>
  <c r="G34" i="31" s="1"/>
  <c r="J67" i="237"/>
  <c r="J68" i="236"/>
  <c r="F26" i="236"/>
  <c r="D24" i="237"/>
  <c r="J26" i="237" s="1"/>
  <c r="I65" i="29"/>
  <c r="I56" i="29" s="1"/>
  <c r="I60" i="29" s="1"/>
  <c r="G58" i="217"/>
  <c r="G53" i="217"/>
  <c r="G55" i="217"/>
  <c r="G57" i="217"/>
  <c r="G54" i="217"/>
  <c r="G56" i="217"/>
  <c r="N101" i="219"/>
  <c r="G56" i="14"/>
  <c r="F47" i="219"/>
  <c r="G47" i="218"/>
  <c r="O47" i="231"/>
  <c r="M54" i="236"/>
  <c r="O89" i="216"/>
  <c r="P87" i="214"/>
  <c r="G90" i="236"/>
  <c r="Q88" i="214"/>
  <c r="Q92" i="214" s="1"/>
  <c r="F89" i="236"/>
  <c r="G37" i="239"/>
  <c r="E31" i="263" s="1"/>
  <c r="J33" i="236"/>
  <c r="H31" i="236"/>
  <c r="K34" i="236"/>
  <c r="I32" i="236"/>
  <c r="P65" i="29"/>
  <c r="P56" i="29" s="1"/>
  <c r="P60" i="29" s="1"/>
  <c r="N58" i="217"/>
  <c r="N53" i="217"/>
  <c r="N55" i="217"/>
  <c r="N57" i="217"/>
  <c r="N56" i="217"/>
  <c r="N54" i="217"/>
  <c r="P68" i="236"/>
  <c r="K34" i="213"/>
  <c r="O76" i="216"/>
  <c r="F75" i="236"/>
  <c r="P73" i="214"/>
  <c r="P78" i="214" s="1"/>
  <c r="G76" i="236"/>
  <c r="Q74" i="214"/>
  <c r="D29" i="3"/>
  <c r="D78" i="225"/>
  <c r="D72" i="225"/>
  <c r="C83" i="225"/>
  <c r="D83" i="225" s="1"/>
  <c r="C116" i="210"/>
  <c r="I116" i="210" s="1"/>
  <c r="H116" i="210" s="1"/>
  <c r="N116" i="210" s="1"/>
  <c r="C147" i="210"/>
  <c r="I147" i="210" s="1"/>
  <c r="H147" i="210" s="1"/>
  <c r="N147" i="210" s="1"/>
  <c r="C248" i="210"/>
  <c r="I248" i="210" s="1"/>
  <c r="H248" i="210" s="1"/>
  <c r="C34" i="22"/>
  <c r="I34" i="22" s="1"/>
  <c r="H34" i="22" s="1"/>
  <c r="N34" i="22" s="1"/>
  <c r="C167" i="22"/>
  <c r="I167" i="22" s="1"/>
  <c r="H167" i="22" s="1"/>
  <c r="N64" i="19"/>
  <c r="N62" i="19"/>
  <c r="M52" i="19"/>
  <c r="N63" i="19"/>
  <c r="M59" i="19"/>
  <c r="N59" i="19"/>
  <c r="M51" i="19"/>
  <c r="N61" i="19"/>
  <c r="C200" i="210"/>
  <c r="I200" i="210" s="1"/>
  <c r="H200" i="210" s="1"/>
  <c r="C132" i="210"/>
  <c r="I132" i="210" s="1"/>
  <c r="H132" i="210" s="1"/>
  <c r="N132" i="210" s="1"/>
  <c r="C186" i="228"/>
  <c r="I186" i="228" s="1"/>
  <c r="H186" i="228" s="1"/>
  <c r="C133" i="228"/>
  <c r="I133" i="228" s="1"/>
  <c r="H133" i="228" s="1"/>
  <c r="C207" i="228"/>
  <c r="I207" i="228" s="1"/>
  <c r="H207" i="228" s="1"/>
  <c r="C49" i="227"/>
  <c r="I49" i="227" s="1"/>
  <c r="H49" i="227" s="1"/>
  <c r="N49" i="227" s="1"/>
  <c r="C38" i="227"/>
  <c r="I38" i="227" s="1"/>
  <c r="H38" i="227" s="1"/>
  <c r="M38" i="227" s="1"/>
  <c r="C33" i="227"/>
  <c r="I33" i="227" s="1"/>
  <c r="H33" i="227" s="1"/>
  <c r="N33" i="227" s="1"/>
  <c r="C130" i="228"/>
  <c r="I130" i="228" s="1"/>
  <c r="H130" i="228" s="1"/>
  <c r="C148" i="228"/>
  <c r="I148" i="228" s="1"/>
  <c r="H148" i="228" s="1"/>
  <c r="C53" i="228"/>
  <c r="I53" i="228" s="1"/>
  <c r="H53" i="228" s="1"/>
  <c r="C180" i="228"/>
  <c r="I180" i="228" s="1"/>
  <c r="H180" i="228" s="1"/>
  <c r="C188" i="228"/>
  <c r="I188" i="228" s="1"/>
  <c r="H188" i="228" s="1"/>
  <c r="C241" i="228"/>
  <c r="I241" i="228" s="1"/>
  <c r="H241" i="228" s="1"/>
  <c r="C48" i="228"/>
  <c r="I48" i="228" s="1"/>
  <c r="H48" i="228" s="1"/>
  <c r="N48" i="228" s="1"/>
  <c r="C93" i="228"/>
  <c r="I93" i="228" s="1"/>
  <c r="H93" i="228" s="1"/>
  <c r="C96" i="228"/>
  <c r="I96" i="228" s="1"/>
  <c r="H96" i="228" s="1"/>
  <c r="C98" i="228"/>
  <c r="I98" i="228" s="1"/>
  <c r="H98" i="228" s="1"/>
  <c r="C59" i="228"/>
  <c r="I59" i="228" s="1"/>
  <c r="H59" i="228" s="1"/>
  <c r="C195" i="228"/>
  <c r="I195" i="228" s="1"/>
  <c r="H195" i="228" s="1"/>
  <c r="C64" i="228"/>
  <c r="I64" i="228" s="1"/>
  <c r="H64" i="228" s="1"/>
  <c r="M64" i="228" s="1"/>
  <c r="C163" i="229"/>
  <c r="I163" i="229" s="1"/>
  <c r="H163" i="229" s="1"/>
  <c r="C105" i="229"/>
  <c r="I105" i="229" s="1"/>
  <c r="H105" i="229" s="1"/>
  <c r="N105" i="229" s="1"/>
  <c r="C97" i="229"/>
  <c r="I97" i="229" s="1"/>
  <c r="H97" i="229" s="1"/>
  <c r="N97" i="229" s="1"/>
  <c r="C82" i="229"/>
  <c r="I82" i="229" s="1"/>
  <c r="H82" i="229" s="1"/>
  <c r="N82" i="229" s="1"/>
  <c r="C91" i="229"/>
  <c r="I91" i="229" s="1"/>
  <c r="H91" i="229" s="1"/>
  <c r="N91" i="229" s="1"/>
  <c r="C120" i="229"/>
  <c r="I120" i="229" s="1"/>
  <c r="H120" i="229" s="1"/>
  <c r="C73" i="229"/>
  <c r="I73" i="229" s="1"/>
  <c r="H73" i="229" s="1"/>
  <c r="N73" i="229" s="1"/>
  <c r="AR199" i="38"/>
  <c r="F19" i="3" s="1"/>
  <c r="H19" i="3" s="1"/>
  <c r="J19" i="3" s="1"/>
  <c r="L19" i="3" s="1"/>
  <c r="N19" i="3" s="1"/>
  <c r="C64" i="249"/>
  <c r="S31" i="267"/>
  <c r="C86" i="10"/>
  <c r="P31" i="267"/>
  <c r="T31" i="267"/>
  <c r="O31" i="266"/>
  <c r="Q31" i="267"/>
  <c r="U31" i="267"/>
  <c r="R31" i="267"/>
  <c r="V31" i="267"/>
  <c r="W31" i="267"/>
  <c r="J64" i="14"/>
  <c r="O145" i="10"/>
  <c r="M64" i="1"/>
  <c r="K64" i="1"/>
  <c r="L63" i="1"/>
  <c r="O144" i="10"/>
  <c r="N63" i="1"/>
  <c r="T29" i="268"/>
  <c r="P29" i="268"/>
  <c r="C59" i="10"/>
  <c r="R59" i="10" s="1"/>
  <c r="O29" i="267"/>
  <c r="W29" i="268"/>
  <c r="S29" i="268"/>
  <c r="V29" i="268"/>
  <c r="R29" i="268"/>
  <c r="U29" i="268"/>
  <c r="Q29" i="268"/>
  <c r="M63" i="1"/>
  <c r="M147" i="10"/>
  <c r="N64" i="1" s="1"/>
  <c r="I63" i="1"/>
  <c r="I147" i="10"/>
  <c r="J64" i="1" s="1"/>
  <c r="X29" i="269"/>
  <c r="T40" i="10" s="1"/>
  <c r="S40" i="10" s="1"/>
  <c r="E64" i="14"/>
  <c r="D135" i="10"/>
  <c r="F65" i="14" s="1"/>
  <c r="O134" i="10"/>
  <c r="G55" i="231"/>
  <c r="F64" i="14"/>
  <c r="K55" i="231"/>
  <c r="E135" i="10"/>
  <c r="G65" i="14" s="1"/>
  <c r="N64" i="14"/>
  <c r="M135" i="10"/>
  <c r="O65" i="14" s="1"/>
  <c r="AQ55" i="231"/>
  <c r="D63" i="1"/>
  <c r="D147" i="10"/>
  <c r="E64" i="1" s="1"/>
  <c r="N135" i="10"/>
  <c r="C64" i="1" s="1"/>
  <c r="O64" i="14"/>
  <c r="AU55" i="231"/>
  <c r="K63" i="1"/>
  <c r="K147" i="10"/>
  <c r="L64" i="1" s="1"/>
  <c r="C147" i="10"/>
  <c r="O146" i="10"/>
  <c r="C63" i="1"/>
  <c r="H135" i="10"/>
  <c r="J65" i="14" s="1"/>
  <c r="I64" i="14"/>
  <c r="W55" i="231"/>
  <c r="J135" i="10"/>
  <c r="L65" i="14" s="1"/>
  <c r="K64" i="14"/>
  <c r="AE55" i="231"/>
  <c r="H63" i="1"/>
  <c r="H147" i="10"/>
  <c r="I64" i="1" s="1"/>
  <c r="G147" i="10"/>
  <c r="H64" i="1" s="1"/>
  <c r="G63" i="1"/>
  <c r="O28" i="266"/>
  <c r="V28" i="267"/>
  <c r="S28" i="267"/>
  <c r="T28" i="267"/>
  <c r="R28" i="267"/>
  <c r="U28" i="267"/>
  <c r="P28" i="267"/>
  <c r="C83" i="10"/>
  <c r="Q28" i="267"/>
  <c r="W28" i="267"/>
  <c r="G64" i="14"/>
  <c r="F135" i="10"/>
  <c r="H65" i="14" s="1"/>
  <c r="O55" i="231"/>
  <c r="H64" i="14"/>
  <c r="G135" i="10"/>
  <c r="I65" i="14" s="1"/>
  <c r="S55" i="231"/>
  <c r="AC55" i="231"/>
  <c r="AD55" i="231" s="1"/>
  <c r="E63" i="1"/>
  <c r="E147" i="10"/>
  <c r="F64" i="1" s="1"/>
  <c r="D158" i="10"/>
  <c r="E158" i="10"/>
  <c r="R58" i="10"/>
  <c r="N158" i="10"/>
  <c r="I140" i="10"/>
  <c r="I28" i="220" s="1"/>
  <c r="H129" i="10"/>
  <c r="E140" i="10"/>
  <c r="P27" i="268"/>
  <c r="T27" i="268"/>
  <c r="Q27" i="268"/>
  <c r="U27" i="268"/>
  <c r="O27" i="267"/>
  <c r="R27" i="268"/>
  <c r="V27" i="268"/>
  <c r="W27" i="268"/>
  <c r="C57" i="10"/>
  <c r="R57" i="10" s="1"/>
  <c r="S27" i="268"/>
  <c r="N140" i="10"/>
  <c r="D140" i="10"/>
  <c r="H140" i="10"/>
  <c r="M140" i="10"/>
  <c r="F140" i="10"/>
  <c r="G140" i="10"/>
  <c r="L140" i="10"/>
  <c r="J140" i="10"/>
  <c r="X25" i="269"/>
  <c r="T36" i="10" s="1"/>
  <c r="S36" i="10" s="1"/>
  <c r="S23" i="268"/>
  <c r="O23" i="267"/>
  <c r="Q23" i="268"/>
  <c r="U23" i="268"/>
  <c r="C53" i="10"/>
  <c r="R23" i="268"/>
  <c r="P23" i="268"/>
  <c r="W23" i="268"/>
  <c r="T23" i="268"/>
  <c r="V23" i="268"/>
  <c r="S25" i="268"/>
  <c r="O25" i="267"/>
  <c r="Q25" i="268"/>
  <c r="U25" i="268"/>
  <c r="C55" i="10"/>
  <c r="R25" i="268"/>
  <c r="V25" i="268"/>
  <c r="W25" i="268"/>
  <c r="T25" i="268"/>
  <c r="P25" i="268"/>
  <c r="X23" i="269"/>
  <c r="T34" i="10" s="1"/>
  <c r="S34" i="10" s="1"/>
  <c r="E141" i="10"/>
  <c r="E28" i="220"/>
  <c r="D129" i="10"/>
  <c r="F31" i="14" s="1"/>
  <c r="D28" i="16"/>
  <c r="F129" i="10"/>
  <c r="F28" i="16"/>
  <c r="X22" i="269"/>
  <c r="T33" i="10" s="1"/>
  <c r="S33" i="10" s="1"/>
  <c r="R52" i="10"/>
  <c r="M129" i="10"/>
  <c r="O31" i="14" s="1"/>
  <c r="O43" i="232" s="1"/>
  <c r="M28" i="16"/>
  <c r="K141" i="10"/>
  <c r="K28" i="220"/>
  <c r="J129" i="10"/>
  <c r="L31" i="14" s="1"/>
  <c r="J28" i="16"/>
  <c r="E129" i="10"/>
  <c r="E28" i="16"/>
  <c r="X22" i="268"/>
  <c r="T52" i="10" s="1"/>
  <c r="S52" i="10" s="1"/>
  <c r="N129" i="10"/>
  <c r="C30" i="1" s="1"/>
  <c r="O30" i="14"/>
  <c r="N28" i="16"/>
  <c r="C28" i="16"/>
  <c r="O128" i="10"/>
  <c r="C129" i="10"/>
  <c r="K129" i="10"/>
  <c r="M31" i="14" s="1"/>
  <c r="M43" i="232" s="1"/>
  <c r="K28" i="16"/>
  <c r="G129" i="10"/>
  <c r="G28" i="16"/>
  <c r="L28" i="16"/>
  <c r="L129" i="10"/>
  <c r="I129" i="10"/>
  <c r="I28" i="16"/>
  <c r="X21" i="268"/>
  <c r="T51" i="10" s="1"/>
  <c r="S51" i="10" s="1"/>
  <c r="H131" i="10"/>
  <c r="I30" i="14"/>
  <c r="J30" i="14"/>
  <c r="I131" i="10"/>
  <c r="G131" i="10"/>
  <c r="H30" i="14"/>
  <c r="C131" i="10"/>
  <c r="O130" i="10"/>
  <c r="D30" i="14"/>
  <c r="F131" i="10"/>
  <c r="G30" i="14"/>
  <c r="C50" i="10"/>
  <c r="O20" i="267"/>
  <c r="W20" i="268"/>
  <c r="Q20" i="268"/>
  <c r="V20" i="268"/>
  <c r="S20" i="268"/>
  <c r="U20" i="268"/>
  <c r="T20" i="268"/>
  <c r="P20" i="268"/>
  <c r="R20" i="268"/>
  <c r="L131" i="10"/>
  <c r="M30" i="14"/>
  <c r="E131" i="10"/>
  <c r="G31" i="14" s="1"/>
  <c r="F30" i="14"/>
  <c r="G142" i="10"/>
  <c r="F142" i="10"/>
  <c r="I142" i="10"/>
  <c r="N142" i="10"/>
  <c r="C142" i="10"/>
  <c r="N44" i="10"/>
  <c r="J44" i="10"/>
  <c r="H142" i="10"/>
  <c r="E142" i="10"/>
  <c r="J142" i="10"/>
  <c r="M44" i="10"/>
  <c r="I44" i="10"/>
  <c r="E44" i="10"/>
  <c r="M142" i="10"/>
  <c r="L44" i="10"/>
  <c r="K44" i="10"/>
  <c r="P44" i="10"/>
  <c r="H44" i="10"/>
  <c r="K142" i="10"/>
  <c r="O44" i="10"/>
  <c r="G44" i="10"/>
  <c r="G18" i="29"/>
  <c r="I137" i="14"/>
  <c r="W18" i="231"/>
  <c r="Y18" i="231" s="1"/>
  <c r="Z18" i="231" s="1"/>
  <c r="D23" i="217"/>
  <c r="J21" i="29"/>
  <c r="K18" i="29"/>
  <c r="H22" i="16"/>
  <c r="H23" i="16" s="1"/>
  <c r="H137" i="14"/>
  <c r="S18" i="231"/>
  <c r="U18" i="231" s="1"/>
  <c r="V18" i="231" s="1"/>
  <c r="D24" i="217"/>
  <c r="D22" i="217"/>
  <c r="D21" i="217"/>
  <c r="P21" i="213"/>
  <c r="K26" i="236"/>
  <c r="K25" i="237"/>
  <c r="D25" i="217"/>
  <c r="E94" i="29"/>
  <c r="C21" i="231" s="1"/>
  <c r="F18" i="29"/>
  <c r="F21" i="29" s="1"/>
  <c r="C23" i="217"/>
  <c r="C20" i="217"/>
  <c r="D32" i="14" s="1"/>
  <c r="C22" i="217"/>
  <c r="D137" i="14"/>
  <c r="C18" i="231"/>
  <c r="E18" i="231" s="1"/>
  <c r="C25" i="217"/>
  <c r="D37" i="14" s="1"/>
  <c r="C21" i="217"/>
  <c r="M33" i="18"/>
  <c r="M47" i="18"/>
  <c r="M45" i="18"/>
  <c r="M63" i="18"/>
  <c r="M42" i="18"/>
  <c r="M52" i="18"/>
  <c r="S61" i="18"/>
  <c r="M65" i="18"/>
  <c r="M49" i="18"/>
  <c r="K62" i="18"/>
  <c r="K63" i="18" s="1"/>
  <c r="K64" i="18" s="1"/>
  <c r="N64" i="18" s="1"/>
  <c r="P64" i="18" s="1"/>
  <c r="M73" i="18"/>
  <c r="M71" i="18"/>
  <c r="M31" i="18"/>
  <c r="M70" i="18"/>
  <c r="M34" i="18"/>
  <c r="M43" i="18"/>
  <c r="M39" i="18"/>
  <c r="A70" i="18"/>
  <c r="A71" i="18" s="1"/>
  <c r="A72" i="18" s="1"/>
  <c r="A73" i="18" s="1"/>
  <c r="D92" i="14"/>
  <c r="M41" i="18"/>
  <c r="M48" i="18"/>
  <c r="M62" i="18"/>
  <c r="M32" i="18"/>
  <c r="M26" i="18"/>
  <c r="M40" i="18"/>
  <c r="M58" i="18"/>
  <c r="K66" i="19"/>
  <c r="N66" i="19" s="1"/>
  <c r="M73" i="19"/>
  <c r="M50" i="19"/>
  <c r="M72" i="19"/>
  <c r="A70" i="19"/>
  <c r="A71" i="19" s="1"/>
  <c r="A72" i="19" s="1"/>
  <c r="A73" i="19" s="1"/>
  <c r="D95" i="14"/>
  <c r="M57" i="19"/>
  <c r="M71" i="19"/>
  <c r="C35" i="229"/>
  <c r="I35" i="229" s="1"/>
  <c r="H35" i="229" s="1"/>
  <c r="N35" i="229" s="1"/>
  <c r="C96" i="229"/>
  <c r="I96" i="229" s="1"/>
  <c r="H96" i="229" s="1"/>
  <c r="C33" i="228"/>
  <c r="I33" i="228" s="1"/>
  <c r="H33" i="228" s="1"/>
  <c r="N33" i="228" s="1"/>
  <c r="C200" i="228"/>
  <c r="I200" i="228" s="1"/>
  <c r="H200" i="228" s="1"/>
  <c r="C235" i="228"/>
  <c r="I235" i="228" s="1"/>
  <c r="H235" i="228" s="1"/>
  <c r="C97" i="228"/>
  <c r="I97" i="228" s="1"/>
  <c r="H97" i="228" s="1"/>
  <c r="C225" i="228"/>
  <c r="I225" i="228" s="1"/>
  <c r="H225" i="228" s="1"/>
  <c r="C90" i="228"/>
  <c r="I90" i="228" s="1"/>
  <c r="H90" i="228" s="1"/>
  <c r="C142" i="228"/>
  <c r="I142" i="228" s="1"/>
  <c r="H142" i="228" s="1"/>
  <c r="C107" i="228"/>
  <c r="I107" i="228" s="1"/>
  <c r="H107" i="228" s="1"/>
  <c r="N107" i="228" s="1"/>
  <c r="C92" i="228"/>
  <c r="I92" i="228" s="1"/>
  <c r="H92" i="228" s="1"/>
  <c r="C43" i="228"/>
  <c r="I43" i="228" s="1"/>
  <c r="H43" i="228" s="1"/>
  <c r="N43" i="228" s="1"/>
  <c r="C212" i="228"/>
  <c r="I212" i="228" s="1"/>
  <c r="H212" i="228" s="1"/>
  <c r="C174" i="228"/>
  <c r="I174" i="228" s="1"/>
  <c r="H174" i="228" s="1"/>
  <c r="C38" i="228"/>
  <c r="I38" i="228" s="1"/>
  <c r="H38" i="228" s="1"/>
  <c r="N38" i="228" s="1"/>
  <c r="C139" i="228"/>
  <c r="I139" i="228" s="1"/>
  <c r="H139" i="228" s="1"/>
  <c r="N139" i="228" s="1"/>
  <c r="C112" i="228"/>
  <c r="I112" i="228" s="1"/>
  <c r="H112" i="228" s="1"/>
  <c r="C172" i="228"/>
  <c r="I172" i="228" s="1"/>
  <c r="H172" i="228" s="1"/>
  <c r="C158" i="228"/>
  <c r="I158" i="228" s="1"/>
  <c r="H158" i="228" s="1"/>
  <c r="C265" i="228"/>
  <c r="I265" i="228" s="1"/>
  <c r="H265" i="228" s="1"/>
  <c r="C167" i="228"/>
  <c r="I167" i="228" s="1"/>
  <c r="H167" i="228" s="1"/>
  <c r="C213" i="228"/>
  <c r="I213" i="228" s="1"/>
  <c r="H213" i="228" s="1"/>
  <c r="C80" i="228"/>
  <c r="I80" i="228" s="1"/>
  <c r="H80" i="228" s="1"/>
  <c r="C35" i="228"/>
  <c r="I35" i="228" s="1"/>
  <c r="H35" i="228" s="1"/>
  <c r="C100" i="228"/>
  <c r="I100" i="228" s="1"/>
  <c r="H100" i="228" s="1"/>
  <c r="M100" i="228" s="1"/>
  <c r="C164" i="228"/>
  <c r="I164" i="228" s="1"/>
  <c r="H164" i="228" s="1"/>
  <c r="C206" i="228"/>
  <c r="I206" i="228" s="1"/>
  <c r="H206" i="228" s="1"/>
  <c r="C104" i="228"/>
  <c r="I104" i="228" s="1"/>
  <c r="H104" i="228" s="1"/>
  <c r="C220" i="228"/>
  <c r="I220" i="228" s="1"/>
  <c r="H220" i="228" s="1"/>
  <c r="C246" i="228"/>
  <c r="I246" i="228" s="1"/>
  <c r="H246" i="228" s="1"/>
  <c r="C171" i="228"/>
  <c r="I171" i="228" s="1"/>
  <c r="H171" i="228" s="1"/>
  <c r="C157" i="228"/>
  <c r="I157" i="228" s="1"/>
  <c r="H157" i="228" s="1"/>
  <c r="C81" i="228"/>
  <c r="I81" i="228" s="1"/>
  <c r="H81" i="228" s="1"/>
  <c r="C178" i="228"/>
  <c r="I178" i="228" s="1"/>
  <c r="H178" i="228" s="1"/>
  <c r="C144" i="228"/>
  <c r="I144" i="228" s="1"/>
  <c r="H144" i="228" s="1"/>
  <c r="C233" i="228"/>
  <c r="I233" i="228" s="1"/>
  <c r="H233" i="228" s="1"/>
  <c r="C250" i="228"/>
  <c r="I250" i="228" s="1"/>
  <c r="H250" i="228" s="1"/>
  <c r="C179" i="228"/>
  <c r="I179" i="228" s="1"/>
  <c r="H179" i="228" s="1"/>
  <c r="C137" i="228"/>
  <c r="I137" i="228" s="1"/>
  <c r="H137" i="228" s="1"/>
  <c r="C231" i="228"/>
  <c r="I231" i="228" s="1"/>
  <c r="H231" i="228" s="1"/>
  <c r="C210" i="228"/>
  <c r="I210" i="228" s="1"/>
  <c r="H210" i="228" s="1"/>
  <c r="C127" i="228"/>
  <c r="I127" i="228" s="1"/>
  <c r="H127" i="228" s="1"/>
  <c r="N127" i="228" s="1"/>
  <c r="C257" i="228"/>
  <c r="I257" i="228" s="1"/>
  <c r="H257" i="228" s="1"/>
  <c r="C191" i="228"/>
  <c r="I191" i="228" s="1"/>
  <c r="H191" i="228" s="1"/>
  <c r="C105" i="228"/>
  <c r="I105" i="228" s="1"/>
  <c r="H105" i="228" s="1"/>
  <c r="C31" i="228"/>
  <c r="I31" i="228" s="1"/>
  <c r="H31" i="228" s="1"/>
  <c r="N31" i="228" s="1"/>
  <c r="I115" i="14" s="1"/>
  <c r="C62" i="228"/>
  <c r="I62" i="228" s="1"/>
  <c r="H62" i="228" s="1"/>
  <c r="N62" i="228" s="1"/>
  <c r="C26" i="228"/>
  <c r="I26" i="228" s="1"/>
  <c r="H26" i="228" s="1"/>
  <c r="N26" i="228" s="1"/>
  <c r="C70" i="228"/>
  <c r="I70" i="228" s="1"/>
  <c r="H70" i="228" s="1"/>
  <c r="N70" i="228" s="1"/>
  <c r="C258" i="228"/>
  <c r="I258" i="228" s="1"/>
  <c r="H258" i="228" s="1"/>
  <c r="C44" i="228"/>
  <c r="I44" i="228" s="1"/>
  <c r="H44" i="228" s="1"/>
  <c r="N44" i="228" s="1"/>
  <c r="C122" i="228"/>
  <c r="I122" i="228" s="1"/>
  <c r="H122" i="228" s="1"/>
  <c r="C138" i="228"/>
  <c r="I138" i="228" s="1"/>
  <c r="H138" i="228" s="1"/>
  <c r="C124" i="228"/>
  <c r="I124" i="228" s="1"/>
  <c r="H124" i="228" s="1"/>
  <c r="C168" i="228"/>
  <c r="I168" i="228" s="1"/>
  <c r="H168" i="228" s="1"/>
  <c r="C218" i="228"/>
  <c r="I218" i="228" s="1"/>
  <c r="H218" i="228" s="1"/>
  <c r="C79" i="228"/>
  <c r="I79" i="228" s="1"/>
  <c r="H79" i="228" s="1"/>
  <c r="C216" i="228"/>
  <c r="I216" i="228" s="1"/>
  <c r="H216" i="228" s="1"/>
  <c r="M216" i="228" s="1"/>
  <c r="C215" i="228"/>
  <c r="I215" i="228" s="1"/>
  <c r="H215" i="228" s="1"/>
  <c r="C151" i="228"/>
  <c r="I151" i="228" s="1"/>
  <c r="H151" i="228" s="1"/>
  <c r="C29" i="228"/>
  <c r="I29" i="228" s="1"/>
  <c r="H29" i="228" s="1"/>
  <c r="C252" i="228"/>
  <c r="I252" i="228" s="1"/>
  <c r="H252" i="228" s="1"/>
  <c r="C253" i="228"/>
  <c r="I253" i="228" s="1"/>
  <c r="H253" i="228" s="1"/>
  <c r="C227" i="228"/>
  <c r="I227" i="228" s="1"/>
  <c r="H227" i="228" s="1"/>
  <c r="C113" i="228"/>
  <c r="I113" i="228" s="1"/>
  <c r="H113" i="228" s="1"/>
  <c r="C208" i="228"/>
  <c r="I208" i="228" s="1"/>
  <c r="H208" i="228" s="1"/>
  <c r="C244" i="228"/>
  <c r="I244" i="228" s="1"/>
  <c r="H244" i="228" s="1"/>
  <c r="C109" i="228"/>
  <c r="I109" i="228" s="1"/>
  <c r="H109" i="228" s="1"/>
  <c r="C77" i="228"/>
  <c r="I77" i="228" s="1"/>
  <c r="H77" i="228" s="1"/>
  <c r="C190" i="228"/>
  <c r="I190" i="228" s="1"/>
  <c r="H190" i="228" s="1"/>
  <c r="C255" i="228"/>
  <c r="I255" i="228" s="1"/>
  <c r="H255" i="228" s="1"/>
  <c r="C192" i="228"/>
  <c r="I192" i="228" s="1"/>
  <c r="H192" i="228" s="1"/>
  <c r="C102" i="228"/>
  <c r="I102" i="228" s="1"/>
  <c r="H102" i="228" s="1"/>
  <c r="C52" i="228"/>
  <c r="I52" i="228" s="1"/>
  <c r="H52" i="228" s="1"/>
  <c r="C155" i="228"/>
  <c r="I155" i="228" s="1"/>
  <c r="H155" i="228" s="1"/>
  <c r="C248" i="228"/>
  <c r="I248" i="228" s="1"/>
  <c r="H248" i="228" s="1"/>
  <c r="C103" i="228"/>
  <c r="I103" i="228" s="1"/>
  <c r="H103" i="228" s="1"/>
  <c r="N103" i="228" s="1"/>
  <c r="C56" i="228"/>
  <c r="I56" i="228" s="1"/>
  <c r="H56" i="228" s="1"/>
  <c r="C110" i="228"/>
  <c r="I110" i="228" s="1"/>
  <c r="H110" i="228" s="1"/>
  <c r="C45" i="228"/>
  <c r="I45" i="228" s="1"/>
  <c r="H45" i="228" s="1"/>
  <c r="N45" i="228" s="1"/>
  <c r="C123" i="228"/>
  <c r="I123" i="228" s="1"/>
  <c r="H123" i="228" s="1"/>
  <c r="N123" i="228" s="1"/>
  <c r="C108" i="228"/>
  <c r="I108" i="228" s="1"/>
  <c r="H108" i="228" s="1"/>
  <c r="C65" i="228"/>
  <c r="I65" i="228" s="1"/>
  <c r="H65" i="228" s="1"/>
  <c r="C236" i="228"/>
  <c r="I236" i="228" s="1"/>
  <c r="H236" i="228" s="1"/>
  <c r="C198" i="228"/>
  <c r="I198" i="228" s="1"/>
  <c r="H198" i="228" s="1"/>
  <c r="C83" i="228"/>
  <c r="I83" i="228" s="1"/>
  <c r="H83" i="228" s="1"/>
  <c r="N83" i="228" s="1"/>
  <c r="C68" i="228"/>
  <c r="I68" i="228" s="1"/>
  <c r="H68" i="228" s="1"/>
  <c r="N68" i="228" s="1"/>
  <c r="C128" i="228"/>
  <c r="I128" i="228" s="1"/>
  <c r="H128" i="228" s="1"/>
  <c r="C196" i="228"/>
  <c r="I196" i="228" s="1"/>
  <c r="H196" i="228" s="1"/>
  <c r="C182" i="228"/>
  <c r="I182" i="228" s="1"/>
  <c r="H182" i="228" s="1"/>
  <c r="C223" i="228"/>
  <c r="I223" i="228" s="1"/>
  <c r="H223" i="228" s="1"/>
  <c r="C159" i="228"/>
  <c r="I159" i="228" s="1"/>
  <c r="H159" i="228" s="1"/>
  <c r="C189" i="228"/>
  <c r="I189" i="228" s="1"/>
  <c r="H189" i="228" s="1"/>
  <c r="C34" i="228"/>
  <c r="I34" i="228" s="1"/>
  <c r="H34" i="228" s="1"/>
  <c r="N34" i="228" s="1"/>
  <c r="C91" i="228"/>
  <c r="I91" i="228" s="1"/>
  <c r="H91" i="228" s="1"/>
  <c r="N91" i="228" s="1"/>
  <c r="C132" i="228"/>
  <c r="I132" i="228" s="1"/>
  <c r="H132" i="228" s="1"/>
  <c r="C204" i="228"/>
  <c r="I204" i="228" s="1"/>
  <c r="H204" i="228" s="1"/>
  <c r="C259" i="228"/>
  <c r="I259" i="228" s="1"/>
  <c r="H259" i="228" s="1"/>
  <c r="C136" i="228"/>
  <c r="I136" i="228" s="1"/>
  <c r="H136" i="228" s="1"/>
  <c r="C170" i="228"/>
  <c r="I170" i="228" s="1"/>
  <c r="H170" i="228" s="1"/>
  <c r="C234" i="228"/>
  <c r="I234" i="228" s="1"/>
  <c r="H234" i="228" s="1"/>
  <c r="C209" i="228"/>
  <c r="I209" i="228" s="1"/>
  <c r="H209" i="228" s="1"/>
  <c r="M209" i="228" s="1"/>
  <c r="C125" i="228"/>
  <c r="I125" i="228" s="1"/>
  <c r="H125" i="228" s="1"/>
  <c r="C239" i="228"/>
  <c r="I239" i="228" s="1"/>
  <c r="H239" i="228" s="1"/>
  <c r="C232" i="228"/>
  <c r="I232" i="228" s="1"/>
  <c r="H232" i="228" s="1"/>
  <c r="C229" i="228"/>
  <c r="I229" i="228" s="1"/>
  <c r="H229" i="228" s="1"/>
  <c r="M229" i="228" s="1"/>
  <c r="C156" i="228"/>
  <c r="I156" i="228" s="1"/>
  <c r="H156" i="228" s="1"/>
  <c r="C238" i="228"/>
  <c r="I238" i="228" s="1"/>
  <c r="H238" i="228" s="1"/>
  <c r="C147" i="228"/>
  <c r="I147" i="228" s="1"/>
  <c r="H147" i="228" s="1"/>
  <c r="C121" i="228"/>
  <c r="I121" i="228" s="1"/>
  <c r="H121" i="228" s="1"/>
  <c r="C32" i="228"/>
  <c r="I32" i="228" s="1"/>
  <c r="H32" i="228" s="1"/>
  <c r="N32" i="228" s="1"/>
  <c r="C160" i="228"/>
  <c r="I160" i="228" s="1"/>
  <c r="H160" i="228" s="1"/>
  <c r="C86" i="228"/>
  <c r="I86" i="228" s="1"/>
  <c r="H86" i="228" s="1"/>
  <c r="C184" i="228"/>
  <c r="I184" i="228" s="1"/>
  <c r="H184" i="228" s="1"/>
  <c r="C201" i="228"/>
  <c r="I201" i="228" s="1"/>
  <c r="H201" i="228" s="1"/>
  <c r="C89" i="228"/>
  <c r="I89" i="228" s="1"/>
  <c r="H89" i="228" s="1"/>
  <c r="C61" i="228"/>
  <c r="I61" i="228" s="1"/>
  <c r="H61" i="228" s="1"/>
  <c r="C146" i="228"/>
  <c r="I146" i="228" s="1"/>
  <c r="H146" i="228" s="1"/>
  <c r="C94" i="228"/>
  <c r="I94" i="228" s="1"/>
  <c r="H94" i="228" s="1"/>
  <c r="C111" i="228"/>
  <c r="I111" i="228" s="1"/>
  <c r="H111" i="228" s="1"/>
  <c r="N111" i="228" s="1"/>
  <c r="C76" i="228"/>
  <c r="I76" i="228" s="1"/>
  <c r="H76" i="228" s="1"/>
  <c r="C72" i="228"/>
  <c r="I72" i="228" s="1"/>
  <c r="H72" i="228" s="1"/>
  <c r="N72" i="228" s="1"/>
  <c r="C36" i="228"/>
  <c r="I36" i="228" s="1"/>
  <c r="H36" i="228" s="1"/>
  <c r="N36" i="228" s="1"/>
  <c r="C187" i="228"/>
  <c r="I187" i="228" s="1"/>
  <c r="H187" i="228" s="1"/>
  <c r="C260" i="228"/>
  <c r="I260" i="228" s="1"/>
  <c r="H260" i="228" s="1"/>
  <c r="C51" i="228"/>
  <c r="I51" i="228" s="1"/>
  <c r="H51" i="228" s="1"/>
  <c r="N51" i="228" s="1"/>
  <c r="C66" i="228"/>
  <c r="I66" i="228" s="1"/>
  <c r="H66" i="228" s="1"/>
  <c r="N66" i="228" s="1"/>
  <c r="C256" i="228"/>
  <c r="I256" i="228" s="1"/>
  <c r="H256" i="228" s="1"/>
  <c r="C114" i="228"/>
  <c r="I114" i="228" s="1"/>
  <c r="H114" i="228" s="1"/>
  <c r="C249" i="228"/>
  <c r="I249" i="228" s="1"/>
  <c r="H249" i="228" s="1"/>
  <c r="M249" i="228" s="1"/>
  <c r="C202" i="228"/>
  <c r="I202" i="228" s="1"/>
  <c r="H202" i="228" s="1"/>
  <c r="C173" i="228"/>
  <c r="I173" i="228" s="1"/>
  <c r="H173" i="228" s="1"/>
  <c r="C118" i="228"/>
  <c r="I118" i="228" s="1"/>
  <c r="H118" i="228" s="1"/>
  <c r="C39" i="228"/>
  <c r="I39" i="228" s="1"/>
  <c r="H39" i="228" s="1"/>
  <c r="N39" i="228" s="1"/>
  <c r="C46" i="228"/>
  <c r="I46" i="228" s="1"/>
  <c r="H46" i="228" s="1"/>
  <c r="N46" i="228" s="1"/>
  <c r="C214" i="228"/>
  <c r="I214" i="228" s="1"/>
  <c r="H214" i="228" s="1"/>
  <c r="C197" i="228"/>
  <c r="I197" i="228" s="1"/>
  <c r="H197" i="228" s="1"/>
  <c r="C78" i="228"/>
  <c r="I78" i="228" s="1"/>
  <c r="H78" i="228" s="1"/>
  <c r="C134" i="228"/>
  <c r="I134" i="228" s="1"/>
  <c r="H134" i="228" s="1"/>
  <c r="C211" i="228"/>
  <c r="I211" i="228" s="1"/>
  <c r="H211" i="228" s="1"/>
  <c r="C217" i="228"/>
  <c r="I217" i="228" s="1"/>
  <c r="H217" i="228" s="1"/>
  <c r="C30" i="228"/>
  <c r="I30" i="228" s="1"/>
  <c r="H30" i="228" s="1"/>
  <c r="N30" i="228" s="1"/>
  <c r="C40" i="228"/>
  <c r="I40" i="228" s="1"/>
  <c r="H40" i="228" s="1"/>
  <c r="C169" i="228"/>
  <c r="I169" i="228" s="1"/>
  <c r="H169" i="228" s="1"/>
  <c r="C54" i="228"/>
  <c r="I54" i="228" s="1"/>
  <c r="H54" i="228" s="1"/>
  <c r="C47" i="228"/>
  <c r="I47" i="228" s="1"/>
  <c r="H47" i="228" s="1"/>
  <c r="N47" i="228" s="1"/>
  <c r="C95" i="228"/>
  <c r="I95" i="228" s="1"/>
  <c r="H95" i="228" s="1"/>
  <c r="N95" i="228" s="1"/>
  <c r="C264" i="228"/>
  <c r="I264" i="228" s="1"/>
  <c r="H264" i="228" s="1"/>
  <c r="C243" i="228"/>
  <c r="I243" i="228" s="1"/>
  <c r="H243" i="228" s="1"/>
  <c r="C120" i="228"/>
  <c r="I120" i="228" s="1"/>
  <c r="H120" i="228" s="1"/>
  <c r="C185" i="228"/>
  <c r="I185" i="228" s="1"/>
  <c r="H185" i="228" s="1"/>
  <c r="C67" i="228"/>
  <c r="I67" i="228" s="1"/>
  <c r="H67" i="228" s="1"/>
  <c r="C37" i="228"/>
  <c r="I37" i="228" s="1"/>
  <c r="H37" i="228" s="1"/>
  <c r="C222" i="228"/>
  <c r="I222" i="228" s="1"/>
  <c r="H222" i="228" s="1"/>
  <c r="C126" i="228"/>
  <c r="I126" i="228" s="1"/>
  <c r="H126" i="228" s="1"/>
  <c r="C140" i="228"/>
  <c r="I140" i="228" s="1"/>
  <c r="H140" i="228" s="1"/>
  <c r="C57" i="228"/>
  <c r="I57" i="228" s="1"/>
  <c r="H57" i="228" s="1"/>
  <c r="C99" i="228"/>
  <c r="I99" i="228" s="1"/>
  <c r="H99" i="228" s="1"/>
  <c r="N99" i="228" s="1"/>
  <c r="C41" i="228"/>
  <c r="I41" i="228" s="1"/>
  <c r="H41" i="228" s="1"/>
  <c r="N41" i="228" s="1"/>
  <c r="C60" i="228"/>
  <c r="I60" i="228" s="1"/>
  <c r="H60" i="228" s="1"/>
  <c r="C84" i="228"/>
  <c r="I84" i="228" s="1"/>
  <c r="H84" i="228" s="1"/>
  <c r="C153" i="228"/>
  <c r="I153" i="228" s="1"/>
  <c r="H153" i="228" s="1"/>
  <c r="C176" i="228"/>
  <c r="I176" i="228" s="1"/>
  <c r="H176" i="228" s="1"/>
  <c r="C183" i="228"/>
  <c r="I183" i="228" s="1"/>
  <c r="H183" i="228" s="1"/>
  <c r="C166" i="228"/>
  <c r="I166" i="228" s="1"/>
  <c r="H166" i="228" s="1"/>
  <c r="C165" i="228"/>
  <c r="I165" i="228" s="1"/>
  <c r="H165" i="228" s="1"/>
  <c r="C240" i="228"/>
  <c r="I240" i="228" s="1"/>
  <c r="H240" i="228" s="1"/>
  <c r="C261" i="228"/>
  <c r="I261" i="228" s="1"/>
  <c r="H261" i="228" s="1"/>
  <c r="C63" i="228"/>
  <c r="I63" i="228" s="1"/>
  <c r="H63" i="228" s="1"/>
  <c r="C149" i="228"/>
  <c r="I149" i="228" s="1"/>
  <c r="H149" i="228" s="1"/>
  <c r="C199" i="228"/>
  <c r="I199" i="228" s="1"/>
  <c r="H199" i="228" s="1"/>
  <c r="C58" i="228"/>
  <c r="I58" i="228" s="1"/>
  <c r="H58" i="228" s="1"/>
  <c r="C263" i="228"/>
  <c r="I263" i="228" s="1"/>
  <c r="H263" i="228" s="1"/>
  <c r="C237" i="228"/>
  <c r="I237" i="228" s="1"/>
  <c r="H237" i="228" s="1"/>
  <c r="C143" i="228"/>
  <c r="I143" i="228" s="1"/>
  <c r="H143" i="228" s="1"/>
  <c r="C152" i="228"/>
  <c r="I152" i="228" s="1"/>
  <c r="H152" i="228" s="1"/>
  <c r="C154" i="228"/>
  <c r="I154" i="228" s="1"/>
  <c r="H154" i="228" s="1"/>
  <c r="C82" i="228"/>
  <c r="I82" i="228" s="1"/>
  <c r="H82" i="228" s="1"/>
  <c r="C135" i="228"/>
  <c r="I135" i="228" s="1"/>
  <c r="H135" i="228" s="1"/>
  <c r="N135" i="228" s="1"/>
  <c r="C232" i="210"/>
  <c r="I232" i="210" s="1"/>
  <c r="H232" i="210" s="1"/>
  <c r="C144" i="210"/>
  <c r="I144" i="210" s="1"/>
  <c r="H144" i="210" s="1"/>
  <c r="C211" i="22"/>
  <c r="I211" i="22" s="1"/>
  <c r="H211" i="22" s="1"/>
  <c r="C164" i="22"/>
  <c r="I164" i="22" s="1"/>
  <c r="H164" i="22" s="1"/>
  <c r="C132" i="22"/>
  <c r="I132" i="22" s="1"/>
  <c r="H132" i="22" s="1"/>
  <c r="C199" i="22"/>
  <c r="I199" i="22" s="1"/>
  <c r="H199" i="22" s="1"/>
  <c r="C100" i="22"/>
  <c r="I100" i="22" s="1"/>
  <c r="H100" i="22" s="1"/>
  <c r="M100" i="22" s="1"/>
  <c r="C42" i="22"/>
  <c r="I42" i="22" s="1"/>
  <c r="H42" i="22" s="1"/>
  <c r="N42" i="22" s="1"/>
  <c r="C43" i="22"/>
  <c r="I43" i="22" s="1"/>
  <c r="H43" i="22" s="1"/>
  <c r="W15" i="231"/>
  <c r="J14" i="232"/>
  <c r="BB83" i="231"/>
  <c r="D82" i="7"/>
  <c r="F76" i="7"/>
  <c r="H20" i="3"/>
  <c r="M31" i="22"/>
  <c r="M167" i="22"/>
  <c r="C62" i="22"/>
  <c r="I62" i="22" s="1"/>
  <c r="H62" i="22" s="1"/>
  <c r="N62" i="22" s="1"/>
  <c r="C179" i="22"/>
  <c r="I179" i="22" s="1"/>
  <c r="H179" i="22" s="1"/>
  <c r="M63" i="23"/>
  <c r="C177" i="23"/>
  <c r="I177" i="23" s="1"/>
  <c r="H177" i="23" s="1"/>
  <c r="C173" i="23"/>
  <c r="I173" i="23" s="1"/>
  <c r="H173" i="23" s="1"/>
  <c r="C155" i="210"/>
  <c r="I155" i="210" s="1"/>
  <c r="H155" i="210" s="1"/>
  <c r="N155" i="210" s="1"/>
  <c r="C168" i="210"/>
  <c r="I168" i="210" s="1"/>
  <c r="H168" i="210" s="1"/>
  <c r="C50" i="210"/>
  <c r="I50" i="210" s="1"/>
  <c r="H50" i="210" s="1"/>
  <c r="N50" i="210" s="1"/>
  <c r="C264" i="210"/>
  <c r="I264" i="210" s="1"/>
  <c r="H264" i="210" s="1"/>
  <c r="C216" i="210"/>
  <c r="I216" i="210" s="1"/>
  <c r="H216" i="210" s="1"/>
  <c r="M248" i="210"/>
  <c r="M28" i="227"/>
  <c r="M131" i="228"/>
  <c r="M213" i="228"/>
  <c r="M36" i="228"/>
  <c r="C75" i="228"/>
  <c r="I75" i="228" s="1"/>
  <c r="H75" i="228" s="1"/>
  <c r="N75" i="228" s="1"/>
  <c r="C150" i="228"/>
  <c r="I150" i="228" s="1"/>
  <c r="H150" i="228" s="1"/>
  <c r="C230" i="228"/>
  <c r="I230" i="228" s="1"/>
  <c r="H230" i="228" s="1"/>
  <c r="C181" i="228"/>
  <c r="I181" i="228" s="1"/>
  <c r="H181" i="228" s="1"/>
  <c r="C141" i="228"/>
  <c r="I141" i="228" s="1"/>
  <c r="H141" i="228" s="1"/>
  <c r="C55" i="228"/>
  <c r="I55" i="228" s="1"/>
  <c r="H55" i="228" s="1"/>
  <c r="C194" i="228"/>
  <c r="I194" i="228" s="1"/>
  <c r="H194" i="228" s="1"/>
  <c r="C245" i="228"/>
  <c r="I245" i="228" s="1"/>
  <c r="H245" i="228" s="1"/>
  <c r="C115" i="228"/>
  <c r="I115" i="228" s="1"/>
  <c r="H115" i="228" s="1"/>
  <c r="N115" i="228" s="1"/>
  <c r="C49" i="228"/>
  <c r="I49" i="228" s="1"/>
  <c r="H49" i="228" s="1"/>
  <c r="N49" i="228" s="1"/>
  <c r="C88" i="228"/>
  <c r="I88" i="228" s="1"/>
  <c r="H88" i="228" s="1"/>
  <c r="C254" i="228"/>
  <c r="I254" i="228" s="1"/>
  <c r="H254" i="228" s="1"/>
  <c r="C219" i="228"/>
  <c r="I219" i="228" s="1"/>
  <c r="H219" i="228" s="1"/>
  <c r="C175" i="228"/>
  <c r="I175" i="228" s="1"/>
  <c r="H175" i="228" s="1"/>
  <c r="C205" i="228"/>
  <c r="I205" i="228" s="1"/>
  <c r="H205" i="228" s="1"/>
  <c r="C161" i="228"/>
  <c r="I161" i="228" s="1"/>
  <c r="H161" i="228" s="1"/>
  <c r="C251" i="228"/>
  <c r="I251" i="228" s="1"/>
  <c r="H251" i="228" s="1"/>
  <c r="C27" i="228"/>
  <c r="I27" i="228" s="1"/>
  <c r="H27" i="228" s="1"/>
  <c r="C87" i="228"/>
  <c r="I87" i="228" s="1"/>
  <c r="H87" i="228" s="1"/>
  <c r="N87" i="228" s="1"/>
  <c r="C116" i="228"/>
  <c r="I116" i="228" s="1"/>
  <c r="H116" i="228" s="1"/>
  <c r="C228" i="228"/>
  <c r="I228" i="228" s="1"/>
  <c r="H228" i="228" s="1"/>
  <c r="C242" i="228"/>
  <c r="I242" i="228" s="1"/>
  <c r="H242" i="228" s="1"/>
  <c r="C203" i="228"/>
  <c r="I203" i="228" s="1"/>
  <c r="H203" i="228" s="1"/>
  <c r="C163" i="228"/>
  <c r="I163" i="228" s="1"/>
  <c r="H163" i="228" s="1"/>
  <c r="C193" i="228"/>
  <c r="I193" i="228" s="1"/>
  <c r="H193" i="228" s="1"/>
  <c r="C145" i="228"/>
  <c r="I145" i="228" s="1"/>
  <c r="H145" i="228" s="1"/>
  <c r="C101" i="228"/>
  <c r="I101" i="228" s="1"/>
  <c r="H101" i="228" s="1"/>
  <c r="C247" i="228"/>
  <c r="I247" i="228" s="1"/>
  <c r="H247" i="228" s="1"/>
  <c r="C28" i="228"/>
  <c r="I28" i="228" s="1"/>
  <c r="H28" i="228" s="1"/>
  <c r="N28" i="228" s="1"/>
  <c r="C50" i="228"/>
  <c r="I50" i="228" s="1"/>
  <c r="H50" i="228" s="1"/>
  <c r="N50" i="228" s="1"/>
  <c r="C226" i="228"/>
  <c r="I226" i="228" s="1"/>
  <c r="H226" i="228" s="1"/>
  <c r="C224" i="228"/>
  <c r="I224" i="228" s="1"/>
  <c r="H224" i="228" s="1"/>
  <c r="C71" i="228"/>
  <c r="I71" i="228" s="1"/>
  <c r="H71" i="228" s="1"/>
  <c r="C119" i="228"/>
  <c r="I119" i="228" s="1"/>
  <c r="H119" i="228" s="1"/>
  <c r="N119" i="228" s="1"/>
  <c r="C42" i="228"/>
  <c r="I42" i="228" s="1"/>
  <c r="H42" i="228" s="1"/>
  <c r="N42" i="228" s="1"/>
  <c r="C106" i="228"/>
  <c r="I106" i="228" s="1"/>
  <c r="H106" i="228" s="1"/>
  <c r="C73" i="228"/>
  <c r="I73" i="228" s="1"/>
  <c r="H73" i="228" s="1"/>
  <c r="N73" i="228" s="1"/>
  <c r="C262" i="228"/>
  <c r="I262" i="228" s="1"/>
  <c r="H262" i="228" s="1"/>
  <c r="C221" i="228"/>
  <c r="I221" i="228" s="1"/>
  <c r="H221" i="228" s="1"/>
  <c r="C177" i="228"/>
  <c r="I177" i="228" s="1"/>
  <c r="H177" i="228" s="1"/>
  <c r="C129" i="228"/>
  <c r="I129" i="228" s="1"/>
  <c r="H129" i="228" s="1"/>
  <c r="C85" i="228"/>
  <c r="I85" i="228" s="1"/>
  <c r="H85" i="228" s="1"/>
  <c r="C74" i="228"/>
  <c r="I74" i="228" s="1"/>
  <c r="H74" i="228" s="1"/>
  <c r="C162" i="228"/>
  <c r="I162" i="228" s="1"/>
  <c r="H162" i="228" s="1"/>
  <c r="C69" i="228"/>
  <c r="I69" i="228" s="1"/>
  <c r="H69" i="228" s="1"/>
  <c r="C117" i="228"/>
  <c r="I117" i="228" s="1"/>
  <c r="H117" i="228" s="1"/>
  <c r="M164" i="228"/>
  <c r="M121" i="228"/>
  <c r="M65" i="229"/>
  <c r="C155" i="229"/>
  <c r="I155" i="229" s="1"/>
  <c r="H155" i="229" s="1"/>
  <c r="C104" i="229"/>
  <c r="I104" i="229" s="1"/>
  <c r="H104" i="229" s="1"/>
  <c r="C83" i="229"/>
  <c r="I83" i="229" s="1"/>
  <c r="H83" i="229" s="1"/>
  <c r="N83" i="229" s="1"/>
  <c r="C55" i="229"/>
  <c r="I55" i="229" s="1"/>
  <c r="H55" i="229" s="1"/>
  <c r="C127" i="229"/>
  <c r="I127" i="229" s="1"/>
  <c r="H127" i="229" s="1"/>
  <c r="C98" i="229"/>
  <c r="I98" i="229" s="1"/>
  <c r="H98" i="229" s="1"/>
  <c r="N98" i="229" s="1"/>
  <c r="C177" i="229"/>
  <c r="I177" i="229" s="1"/>
  <c r="H177" i="229" s="1"/>
  <c r="C123" i="229"/>
  <c r="I123" i="229" s="1"/>
  <c r="H123" i="229" s="1"/>
  <c r="C149" i="229"/>
  <c r="I149" i="229" s="1"/>
  <c r="H149" i="229" s="1"/>
  <c r="C71" i="229"/>
  <c r="I71" i="229" s="1"/>
  <c r="H71" i="229" s="1"/>
  <c r="C49" i="22"/>
  <c r="I49" i="22" s="1"/>
  <c r="H49" i="22" s="1"/>
  <c r="N49" i="22" s="1"/>
  <c r="C125" i="22"/>
  <c r="I125" i="22" s="1"/>
  <c r="H125" i="22" s="1"/>
  <c r="C157" i="22"/>
  <c r="I157" i="22" s="1"/>
  <c r="H157" i="22" s="1"/>
  <c r="C189" i="22"/>
  <c r="I189" i="22" s="1"/>
  <c r="H189" i="22" s="1"/>
  <c r="C221" i="22"/>
  <c r="I221" i="22" s="1"/>
  <c r="H221" i="22" s="1"/>
  <c r="C253" i="22"/>
  <c r="I253" i="22" s="1"/>
  <c r="H253" i="22" s="1"/>
  <c r="C45" i="22"/>
  <c r="I45" i="22" s="1"/>
  <c r="H45" i="22" s="1"/>
  <c r="N45" i="22" s="1"/>
  <c r="C65" i="22"/>
  <c r="I65" i="22" s="1"/>
  <c r="H65" i="22" s="1"/>
  <c r="N65" i="22" s="1"/>
  <c r="C69" i="22"/>
  <c r="I69" i="22" s="1"/>
  <c r="H69" i="22" s="1"/>
  <c r="N69" i="22" s="1"/>
  <c r="C77" i="22"/>
  <c r="I77" i="22" s="1"/>
  <c r="H77" i="22" s="1"/>
  <c r="N77" i="22" s="1"/>
  <c r="C85" i="22"/>
  <c r="I85" i="22" s="1"/>
  <c r="H85" i="22" s="1"/>
  <c r="C93" i="22"/>
  <c r="I93" i="22" s="1"/>
  <c r="H93" i="22" s="1"/>
  <c r="N93" i="22" s="1"/>
  <c r="C101" i="22"/>
  <c r="I101" i="22" s="1"/>
  <c r="H101" i="22" s="1"/>
  <c r="C121" i="22"/>
  <c r="I121" i="22" s="1"/>
  <c r="H121" i="22" s="1"/>
  <c r="C153" i="22"/>
  <c r="I153" i="22" s="1"/>
  <c r="H153" i="22" s="1"/>
  <c r="C185" i="22"/>
  <c r="I185" i="22" s="1"/>
  <c r="H185" i="22" s="1"/>
  <c r="C217" i="22"/>
  <c r="I217" i="22" s="1"/>
  <c r="H217" i="22" s="1"/>
  <c r="C249" i="22"/>
  <c r="I249" i="22" s="1"/>
  <c r="H249" i="22" s="1"/>
  <c r="C115" i="22"/>
  <c r="I115" i="22" s="1"/>
  <c r="H115" i="22" s="1"/>
  <c r="C131" i="22"/>
  <c r="I131" i="22" s="1"/>
  <c r="H131" i="22" s="1"/>
  <c r="C147" i="22"/>
  <c r="I147" i="22" s="1"/>
  <c r="H147" i="22" s="1"/>
  <c r="C163" i="22"/>
  <c r="I163" i="22" s="1"/>
  <c r="H163" i="22" s="1"/>
  <c r="N163" i="22" s="1"/>
  <c r="C195" i="22"/>
  <c r="I195" i="22" s="1"/>
  <c r="H195" i="22" s="1"/>
  <c r="C235" i="22"/>
  <c r="I235" i="22" s="1"/>
  <c r="H235" i="22" s="1"/>
  <c r="C251" i="22"/>
  <c r="I251" i="22" s="1"/>
  <c r="H251" i="22" s="1"/>
  <c r="C64" i="22"/>
  <c r="I64" i="22" s="1"/>
  <c r="H64" i="22" s="1"/>
  <c r="C40" i="22"/>
  <c r="I40" i="22" s="1"/>
  <c r="H40" i="22" s="1"/>
  <c r="N40" i="22" s="1"/>
  <c r="C71" i="22"/>
  <c r="I71" i="22" s="1"/>
  <c r="H71" i="22" s="1"/>
  <c r="C133" i="22"/>
  <c r="I133" i="22" s="1"/>
  <c r="H133" i="22" s="1"/>
  <c r="N133" i="22" s="1"/>
  <c r="C165" i="22"/>
  <c r="I165" i="22" s="1"/>
  <c r="H165" i="22" s="1"/>
  <c r="N165" i="22" s="1"/>
  <c r="C197" i="22"/>
  <c r="I197" i="22" s="1"/>
  <c r="H197" i="22" s="1"/>
  <c r="N197" i="22" s="1"/>
  <c r="C229" i="22"/>
  <c r="I229" i="22" s="1"/>
  <c r="H229" i="22" s="1"/>
  <c r="N229" i="22" s="1"/>
  <c r="C261" i="22"/>
  <c r="I261" i="22" s="1"/>
  <c r="H261" i="22" s="1"/>
  <c r="N261" i="22" s="1"/>
  <c r="C79" i="22"/>
  <c r="I79" i="22" s="1"/>
  <c r="H79" i="22" s="1"/>
  <c r="N79" i="22" s="1"/>
  <c r="C87" i="22"/>
  <c r="I87" i="22" s="1"/>
  <c r="H87" i="22" s="1"/>
  <c r="C95" i="22"/>
  <c r="I95" i="22" s="1"/>
  <c r="H95" i="22" s="1"/>
  <c r="N95" i="22" s="1"/>
  <c r="C103" i="22"/>
  <c r="I103" i="22" s="1"/>
  <c r="H103" i="22" s="1"/>
  <c r="C129" i="22"/>
  <c r="I129" i="22" s="1"/>
  <c r="H129" i="22" s="1"/>
  <c r="C161" i="22"/>
  <c r="I161" i="22" s="1"/>
  <c r="H161" i="22" s="1"/>
  <c r="C193" i="22"/>
  <c r="I193" i="22" s="1"/>
  <c r="H193" i="22" s="1"/>
  <c r="C225" i="22"/>
  <c r="I225" i="22" s="1"/>
  <c r="H225" i="22" s="1"/>
  <c r="C257" i="22"/>
  <c r="I257" i="22" s="1"/>
  <c r="H257" i="22" s="1"/>
  <c r="C119" i="22"/>
  <c r="I119" i="22" s="1"/>
  <c r="H119" i="22" s="1"/>
  <c r="N119" i="22" s="1"/>
  <c r="C135" i="22"/>
  <c r="I135" i="22" s="1"/>
  <c r="H135" i="22" s="1"/>
  <c r="C151" i="22"/>
  <c r="I151" i="22" s="1"/>
  <c r="H151" i="22" s="1"/>
  <c r="C183" i="22"/>
  <c r="I183" i="22" s="1"/>
  <c r="H183" i="22" s="1"/>
  <c r="N183" i="22" s="1"/>
  <c r="C215" i="22"/>
  <c r="I215" i="22" s="1"/>
  <c r="H215" i="22" s="1"/>
  <c r="C239" i="22"/>
  <c r="I239" i="22" s="1"/>
  <c r="H239" i="22" s="1"/>
  <c r="C255" i="22"/>
  <c r="I255" i="22" s="1"/>
  <c r="H255" i="22" s="1"/>
  <c r="N255" i="22" s="1"/>
  <c r="C38" i="22"/>
  <c r="I38" i="22" s="1"/>
  <c r="H38" i="22" s="1"/>
  <c r="N38" i="22" s="1"/>
  <c r="C68" i="22"/>
  <c r="I68" i="22" s="1"/>
  <c r="H68" i="22" s="1"/>
  <c r="C141" i="22"/>
  <c r="I141" i="22" s="1"/>
  <c r="H141" i="22" s="1"/>
  <c r="C205" i="22"/>
  <c r="I205" i="22" s="1"/>
  <c r="H205" i="22" s="1"/>
  <c r="C75" i="22"/>
  <c r="I75" i="22" s="1"/>
  <c r="H75" i="22" s="1"/>
  <c r="C91" i="22"/>
  <c r="I91" i="22" s="1"/>
  <c r="H91" i="22" s="1"/>
  <c r="C113" i="22"/>
  <c r="I113" i="22" s="1"/>
  <c r="H113" i="22" s="1"/>
  <c r="C177" i="22"/>
  <c r="I177" i="22" s="1"/>
  <c r="H177" i="22" s="1"/>
  <c r="C241" i="22"/>
  <c r="I241" i="22" s="1"/>
  <c r="H241" i="22" s="1"/>
  <c r="C127" i="22"/>
  <c r="I127" i="22" s="1"/>
  <c r="H127" i="22" s="1"/>
  <c r="C159" i="22"/>
  <c r="I159" i="22" s="1"/>
  <c r="H159" i="22" s="1"/>
  <c r="C191" i="22"/>
  <c r="I191" i="22" s="1"/>
  <c r="H191" i="22" s="1"/>
  <c r="C223" i="22"/>
  <c r="I223" i="22" s="1"/>
  <c r="H223" i="22" s="1"/>
  <c r="N223" i="22" s="1"/>
  <c r="C247" i="22"/>
  <c r="I247" i="22" s="1"/>
  <c r="H247" i="22" s="1"/>
  <c r="N247" i="22" s="1"/>
  <c r="C66" i="22"/>
  <c r="I66" i="22" s="1"/>
  <c r="H66" i="22" s="1"/>
  <c r="C26" i="22"/>
  <c r="I26" i="22" s="1"/>
  <c r="H26" i="22" s="1"/>
  <c r="N26" i="22" s="1"/>
  <c r="C61" i="22"/>
  <c r="I61" i="22" s="1"/>
  <c r="H61" i="22" s="1"/>
  <c r="N61" i="22" s="1"/>
  <c r="C59" i="22"/>
  <c r="I59" i="22" s="1"/>
  <c r="H59" i="22" s="1"/>
  <c r="C53" i="22"/>
  <c r="I53" i="22" s="1"/>
  <c r="H53" i="22" s="1"/>
  <c r="C51" i="22"/>
  <c r="I51" i="22" s="1"/>
  <c r="H51" i="22" s="1"/>
  <c r="N51" i="22" s="1"/>
  <c r="C27" i="22"/>
  <c r="I27" i="22" s="1"/>
  <c r="H27" i="22" s="1"/>
  <c r="C260" i="22"/>
  <c r="I260" i="22" s="1"/>
  <c r="H260" i="22" s="1"/>
  <c r="C236" i="22"/>
  <c r="I236" i="22" s="1"/>
  <c r="H236" i="22" s="1"/>
  <c r="C228" i="22"/>
  <c r="I228" i="22" s="1"/>
  <c r="H228" i="22" s="1"/>
  <c r="C204" i="22"/>
  <c r="I204" i="22" s="1"/>
  <c r="H204" i="22" s="1"/>
  <c r="C196" i="22"/>
  <c r="I196" i="22" s="1"/>
  <c r="H196" i="22" s="1"/>
  <c r="C172" i="22"/>
  <c r="I172" i="22" s="1"/>
  <c r="H172" i="22" s="1"/>
  <c r="C140" i="22"/>
  <c r="I140" i="22" s="1"/>
  <c r="H140" i="22" s="1"/>
  <c r="C108" i="22"/>
  <c r="I108" i="22" s="1"/>
  <c r="H108" i="22" s="1"/>
  <c r="C234" i="22"/>
  <c r="I234" i="22" s="1"/>
  <c r="H234" i="22" s="1"/>
  <c r="C202" i="22"/>
  <c r="I202" i="22" s="1"/>
  <c r="H202" i="22" s="1"/>
  <c r="C170" i="22"/>
  <c r="I170" i="22" s="1"/>
  <c r="H170" i="22" s="1"/>
  <c r="C138" i="22"/>
  <c r="I138" i="22" s="1"/>
  <c r="H138" i="22" s="1"/>
  <c r="C106" i="22"/>
  <c r="I106" i="22" s="1"/>
  <c r="H106" i="22" s="1"/>
  <c r="C30" i="22"/>
  <c r="I30" i="22" s="1"/>
  <c r="H30" i="22" s="1"/>
  <c r="N30" i="22" s="1"/>
  <c r="C254" i="22"/>
  <c r="I254" i="22" s="1"/>
  <c r="H254" i="22" s="1"/>
  <c r="N254" i="22" s="1"/>
  <c r="C238" i="22"/>
  <c r="I238" i="22" s="1"/>
  <c r="H238" i="22" s="1"/>
  <c r="C222" i="22"/>
  <c r="I222" i="22" s="1"/>
  <c r="H222" i="22" s="1"/>
  <c r="N222" i="22" s="1"/>
  <c r="C206" i="22"/>
  <c r="I206" i="22" s="1"/>
  <c r="H206" i="22" s="1"/>
  <c r="C190" i="22"/>
  <c r="I190" i="22" s="1"/>
  <c r="H190" i="22" s="1"/>
  <c r="N190" i="22" s="1"/>
  <c r="C174" i="22"/>
  <c r="I174" i="22" s="1"/>
  <c r="H174" i="22" s="1"/>
  <c r="C158" i="22"/>
  <c r="I158" i="22" s="1"/>
  <c r="H158" i="22" s="1"/>
  <c r="N158" i="22" s="1"/>
  <c r="C142" i="22"/>
  <c r="I142" i="22" s="1"/>
  <c r="H142" i="22" s="1"/>
  <c r="C126" i="22"/>
  <c r="I126" i="22" s="1"/>
  <c r="H126" i="22" s="1"/>
  <c r="N126" i="22" s="1"/>
  <c r="C110" i="22"/>
  <c r="I110" i="22" s="1"/>
  <c r="H110" i="22" s="1"/>
  <c r="C92" i="22"/>
  <c r="I92" i="22" s="1"/>
  <c r="H92" i="22" s="1"/>
  <c r="N92" i="22" s="1"/>
  <c r="C80" i="22"/>
  <c r="I80" i="22" s="1"/>
  <c r="H80" i="22" s="1"/>
  <c r="C67" i="22"/>
  <c r="I67" i="22" s="1"/>
  <c r="H67" i="22" s="1"/>
  <c r="C149" i="22"/>
  <c r="I149" i="22" s="1"/>
  <c r="H149" i="22" s="1"/>
  <c r="C213" i="22"/>
  <c r="I213" i="22" s="1"/>
  <c r="H213" i="22" s="1"/>
  <c r="C41" i="22"/>
  <c r="I41" i="22" s="1"/>
  <c r="H41" i="22" s="1"/>
  <c r="C81" i="22"/>
  <c r="I81" i="22" s="1"/>
  <c r="H81" i="22" s="1"/>
  <c r="C97" i="22"/>
  <c r="I97" i="22" s="1"/>
  <c r="H97" i="22" s="1"/>
  <c r="C137" i="22"/>
  <c r="I137" i="22" s="1"/>
  <c r="H137" i="22" s="1"/>
  <c r="N137" i="22" s="1"/>
  <c r="C201" i="22"/>
  <c r="I201" i="22" s="1"/>
  <c r="H201" i="22" s="1"/>
  <c r="N201" i="22" s="1"/>
  <c r="C265" i="22"/>
  <c r="I265" i="22" s="1"/>
  <c r="H265" i="22" s="1"/>
  <c r="N265" i="22" s="1"/>
  <c r="C107" i="22"/>
  <c r="I107" i="22" s="1"/>
  <c r="H107" i="22" s="1"/>
  <c r="C139" i="22"/>
  <c r="I139" i="22" s="1"/>
  <c r="H139" i="22" s="1"/>
  <c r="C171" i="22"/>
  <c r="I171" i="22" s="1"/>
  <c r="H171" i="22" s="1"/>
  <c r="C203" i="22"/>
  <c r="I203" i="22" s="1"/>
  <c r="H203" i="22" s="1"/>
  <c r="C227" i="22"/>
  <c r="I227" i="22" s="1"/>
  <c r="H227" i="22" s="1"/>
  <c r="N227" i="22" s="1"/>
  <c r="C259" i="22"/>
  <c r="I259" i="22" s="1"/>
  <c r="H259" i="22" s="1"/>
  <c r="C44" i="22"/>
  <c r="I44" i="22" s="1"/>
  <c r="H44" i="22" s="1"/>
  <c r="N44" i="22" s="1"/>
  <c r="C70" i="22"/>
  <c r="I70" i="22" s="1"/>
  <c r="H70" i="22" s="1"/>
  <c r="C29" i="22"/>
  <c r="I29" i="22" s="1"/>
  <c r="H29" i="22" s="1"/>
  <c r="N29" i="22" s="1"/>
  <c r="C56" i="22"/>
  <c r="I56" i="22" s="1"/>
  <c r="H56" i="22" s="1"/>
  <c r="C54" i="22"/>
  <c r="I54" i="22" s="1"/>
  <c r="H54" i="22" s="1"/>
  <c r="C248" i="22"/>
  <c r="I248" i="22" s="1"/>
  <c r="H248" i="22" s="1"/>
  <c r="C240" i="22"/>
  <c r="I240" i="22" s="1"/>
  <c r="H240" i="22" s="1"/>
  <c r="C216" i="22"/>
  <c r="I216" i="22" s="1"/>
  <c r="H216" i="22" s="1"/>
  <c r="C208" i="22"/>
  <c r="I208" i="22" s="1"/>
  <c r="H208" i="22" s="1"/>
  <c r="C184" i="22"/>
  <c r="I184" i="22" s="1"/>
  <c r="H184" i="22" s="1"/>
  <c r="C176" i="22"/>
  <c r="I176" i="22" s="1"/>
  <c r="H176" i="22" s="1"/>
  <c r="C152" i="22"/>
  <c r="I152" i="22" s="1"/>
  <c r="H152" i="22" s="1"/>
  <c r="C144" i="22"/>
  <c r="I144" i="22" s="1"/>
  <c r="H144" i="22" s="1"/>
  <c r="C120" i="22"/>
  <c r="I120" i="22" s="1"/>
  <c r="H120" i="22" s="1"/>
  <c r="C112" i="22"/>
  <c r="I112" i="22" s="1"/>
  <c r="H112" i="22" s="1"/>
  <c r="C242" i="22"/>
  <c r="I242" i="22" s="1"/>
  <c r="H242" i="22" s="1"/>
  <c r="C210" i="22"/>
  <c r="I210" i="22" s="1"/>
  <c r="H210" i="22" s="1"/>
  <c r="C178" i="22"/>
  <c r="I178" i="22" s="1"/>
  <c r="H178" i="22" s="1"/>
  <c r="C146" i="22"/>
  <c r="I146" i="22" s="1"/>
  <c r="H146" i="22" s="1"/>
  <c r="C114" i="22"/>
  <c r="I114" i="22" s="1"/>
  <c r="H114" i="22" s="1"/>
  <c r="C32" i="22"/>
  <c r="I32" i="22" s="1"/>
  <c r="H32" i="22" s="1"/>
  <c r="C102" i="22"/>
  <c r="I102" i="22" s="1"/>
  <c r="H102" i="22" s="1"/>
  <c r="C94" i="22"/>
  <c r="I94" i="22" s="1"/>
  <c r="H94" i="22" s="1"/>
  <c r="N94" i="22" s="1"/>
  <c r="C86" i="22"/>
  <c r="I86" i="22" s="1"/>
  <c r="H86" i="22" s="1"/>
  <c r="C82" i="22"/>
  <c r="I82" i="22" s="1"/>
  <c r="H82" i="22" s="1"/>
  <c r="C74" i="22"/>
  <c r="I74" i="22" s="1"/>
  <c r="H74" i="22" s="1"/>
  <c r="C117" i="22"/>
  <c r="I117" i="22" s="1"/>
  <c r="H117" i="22" s="1"/>
  <c r="C245" i="22"/>
  <c r="I245" i="22" s="1"/>
  <c r="H245" i="22" s="1"/>
  <c r="C73" i="22"/>
  <c r="I73" i="22" s="1"/>
  <c r="H73" i="22" s="1"/>
  <c r="C105" i="22"/>
  <c r="I105" i="22" s="1"/>
  <c r="H105" i="22" s="1"/>
  <c r="C233" i="22"/>
  <c r="I233" i="22" s="1"/>
  <c r="H233" i="22" s="1"/>
  <c r="N233" i="22" s="1"/>
  <c r="C111" i="22"/>
  <c r="I111" i="22" s="1"/>
  <c r="H111" i="22" s="1"/>
  <c r="N111" i="22" s="1"/>
  <c r="C175" i="22"/>
  <c r="I175" i="22" s="1"/>
  <c r="H175" i="22" s="1"/>
  <c r="N175" i="22" s="1"/>
  <c r="C231" i="22"/>
  <c r="I231" i="22" s="1"/>
  <c r="H231" i="22" s="1"/>
  <c r="C48" i="22"/>
  <c r="I48" i="22" s="1"/>
  <c r="H48" i="22" s="1"/>
  <c r="N48" i="22" s="1"/>
  <c r="C37" i="22"/>
  <c r="I37" i="22" s="1"/>
  <c r="H37" i="22" s="1"/>
  <c r="N37" i="22" s="1"/>
  <c r="C58" i="22"/>
  <c r="I58" i="22" s="1"/>
  <c r="H58" i="22" s="1"/>
  <c r="C52" i="22"/>
  <c r="I52" i="22" s="1"/>
  <c r="H52" i="22" s="1"/>
  <c r="C264" i="22"/>
  <c r="I264" i="22" s="1"/>
  <c r="H264" i="22" s="1"/>
  <c r="N264" i="22" s="1"/>
  <c r="C224" i="22"/>
  <c r="I224" i="22" s="1"/>
  <c r="H224" i="22" s="1"/>
  <c r="N224" i="22" s="1"/>
  <c r="C200" i="22"/>
  <c r="I200" i="22" s="1"/>
  <c r="H200" i="22" s="1"/>
  <c r="C160" i="22"/>
  <c r="I160" i="22" s="1"/>
  <c r="H160" i="22" s="1"/>
  <c r="N160" i="22" s="1"/>
  <c r="C136" i="22"/>
  <c r="I136" i="22" s="1"/>
  <c r="H136" i="22" s="1"/>
  <c r="C226" i="22"/>
  <c r="I226" i="22" s="1"/>
  <c r="H226" i="22" s="1"/>
  <c r="C162" i="22"/>
  <c r="I162" i="22" s="1"/>
  <c r="H162" i="22" s="1"/>
  <c r="N162" i="22" s="1"/>
  <c r="C36" i="22"/>
  <c r="I36" i="22" s="1"/>
  <c r="H36" i="22" s="1"/>
  <c r="N36" i="22" s="1"/>
  <c r="C246" i="22"/>
  <c r="I246" i="22" s="1"/>
  <c r="H246" i="22" s="1"/>
  <c r="C214" i="22"/>
  <c r="I214" i="22" s="1"/>
  <c r="H214" i="22" s="1"/>
  <c r="C182" i="22"/>
  <c r="I182" i="22" s="1"/>
  <c r="H182" i="22" s="1"/>
  <c r="C150" i="22"/>
  <c r="I150" i="22" s="1"/>
  <c r="H150" i="22" s="1"/>
  <c r="C118" i="22"/>
  <c r="I118" i="22" s="1"/>
  <c r="H118" i="22" s="1"/>
  <c r="C98" i="22"/>
  <c r="I98" i="22" s="1"/>
  <c r="H98" i="22" s="1"/>
  <c r="N98" i="22" s="1"/>
  <c r="C39" i="22"/>
  <c r="I39" i="22" s="1"/>
  <c r="H39" i="22" s="1"/>
  <c r="C173" i="22"/>
  <c r="I173" i="22" s="1"/>
  <c r="H173" i="22" s="1"/>
  <c r="C83" i="22"/>
  <c r="I83" i="22" s="1"/>
  <c r="H83" i="22" s="1"/>
  <c r="C145" i="22"/>
  <c r="I145" i="22" s="1"/>
  <c r="H145" i="22" s="1"/>
  <c r="C123" i="22"/>
  <c r="I123" i="22" s="1"/>
  <c r="H123" i="22" s="1"/>
  <c r="C187" i="22"/>
  <c r="I187" i="22" s="1"/>
  <c r="H187" i="22" s="1"/>
  <c r="C243" i="22"/>
  <c r="I243" i="22" s="1"/>
  <c r="H243" i="22" s="1"/>
  <c r="C46" i="22"/>
  <c r="I46" i="22" s="1"/>
  <c r="H46" i="22" s="1"/>
  <c r="N46" i="22" s="1"/>
  <c r="C33" i="22"/>
  <c r="I33" i="22" s="1"/>
  <c r="H33" i="22" s="1"/>
  <c r="N33" i="22" s="1"/>
  <c r="C57" i="22"/>
  <c r="I57" i="22" s="1"/>
  <c r="H57" i="22" s="1"/>
  <c r="C244" i="22"/>
  <c r="I244" i="22" s="1"/>
  <c r="H244" i="22" s="1"/>
  <c r="C220" i="22"/>
  <c r="I220" i="22" s="1"/>
  <c r="H220" i="22" s="1"/>
  <c r="N220" i="22" s="1"/>
  <c r="C180" i="22"/>
  <c r="I180" i="22" s="1"/>
  <c r="H180" i="22" s="1"/>
  <c r="C156" i="22"/>
  <c r="I156" i="22" s="1"/>
  <c r="H156" i="22" s="1"/>
  <c r="N156" i="22" s="1"/>
  <c r="C116" i="22"/>
  <c r="I116" i="22" s="1"/>
  <c r="H116" i="22" s="1"/>
  <c r="C218" i="22"/>
  <c r="I218" i="22" s="1"/>
  <c r="H218" i="22" s="1"/>
  <c r="N218" i="22" s="1"/>
  <c r="C154" i="22"/>
  <c r="I154" i="22" s="1"/>
  <c r="H154" i="22" s="1"/>
  <c r="C96" i="22"/>
  <c r="I96" i="22" s="1"/>
  <c r="H96" i="22" s="1"/>
  <c r="N96" i="22" s="1"/>
  <c r="C84" i="22"/>
  <c r="I84" i="22" s="1"/>
  <c r="H84" i="22" s="1"/>
  <c r="C63" i="22"/>
  <c r="I63" i="22" s="1"/>
  <c r="H63" i="22" s="1"/>
  <c r="C181" i="22"/>
  <c r="I181" i="22" s="1"/>
  <c r="H181" i="22" s="1"/>
  <c r="C89" i="22"/>
  <c r="I89" i="22" s="1"/>
  <c r="H89" i="22" s="1"/>
  <c r="C155" i="22"/>
  <c r="I155" i="22" s="1"/>
  <c r="H155" i="22" s="1"/>
  <c r="N155" i="22" s="1"/>
  <c r="C60" i="22"/>
  <c r="I60" i="22" s="1"/>
  <c r="H60" i="22" s="1"/>
  <c r="C192" i="22"/>
  <c r="I192" i="22" s="1"/>
  <c r="H192" i="22" s="1"/>
  <c r="N192" i="22" s="1"/>
  <c r="C168" i="22"/>
  <c r="I168" i="22" s="1"/>
  <c r="H168" i="22" s="1"/>
  <c r="C194" i="22"/>
  <c r="I194" i="22" s="1"/>
  <c r="H194" i="22" s="1"/>
  <c r="N194" i="22" s="1"/>
  <c r="C262" i="22"/>
  <c r="I262" i="22" s="1"/>
  <c r="H262" i="22" s="1"/>
  <c r="C198" i="22"/>
  <c r="I198" i="22" s="1"/>
  <c r="H198" i="22" s="1"/>
  <c r="C134" i="22"/>
  <c r="I134" i="22" s="1"/>
  <c r="H134" i="22" s="1"/>
  <c r="C90" i="22"/>
  <c r="I90" i="22" s="1"/>
  <c r="H90" i="22" s="1"/>
  <c r="C78" i="22"/>
  <c r="I78" i="22" s="1"/>
  <c r="H78" i="22" s="1"/>
  <c r="C169" i="22"/>
  <c r="I169" i="22" s="1"/>
  <c r="H169" i="22" s="1"/>
  <c r="N169" i="22" s="1"/>
  <c r="C219" i="22"/>
  <c r="I219" i="22" s="1"/>
  <c r="H219" i="22" s="1"/>
  <c r="N219" i="22" s="1"/>
  <c r="C50" i="22"/>
  <c r="I50" i="22" s="1"/>
  <c r="H50" i="22" s="1"/>
  <c r="N50" i="22" s="1"/>
  <c r="C256" i="22"/>
  <c r="I256" i="22" s="1"/>
  <c r="H256" i="22" s="1"/>
  <c r="N256" i="22" s="1"/>
  <c r="C232" i="22"/>
  <c r="I232" i="22" s="1"/>
  <c r="H232" i="22" s="1"/>
  <c r="C128" i="22"/>
  <c r="I128" i="22" s="1"/>
  <c r="H128" i="22" s="1"/>
  <c r="N128" i="22" s="1"/>
  <c r="C258" i="22"/>
  <c r="I258" i="22" s="1"/>
  <c r="H258" i="22" s="1"/>
  <c r="C130" i="22"/>
  <c r="I130" i="22" s="1"/>
  <c r="H130" i="22" s="1"/>
  <c r="N130" i="22" s="1"/>
  <c r="C230" i="22"/>
  <c r="I230" i="22" s="1"/>
  <c r="H230" i="22" s="1"/>
  <c r="C166" i="22"/>
  <c r="I166" i="22" s="1"/>
  <c r="H166" i="22" s="1"/>
  <c r="C28" i="22"/>
  <c r="I28" i="22" s="1"/>
  <c r="H28" i="22" s="1"/>
  <c r="N28" i="22" s="1"/>
  <c r="C109" i="22"/>
  <c r="I109" i="22" s="1"/>
  <c r="H109" i="22" s="1"/>
  <c r="C99" i="22"/>
  <c r="I99" i="22" s="1"/>
  <c r="H99" i="22" s="1"/>
  <c r="C35" i="22"/>
  <c r="I35" i="22" s="1"/>
  <c r="H35" i="22" s="1"/>
  <c r="N35" i="22" s="1"/>
  <c r="C124" i="22"/>
  <c r="I124" i="22" s="1"/>
  <c r="H124" i="22" s="1"/>
  <c r="N124" i="22" s="1"/>
  <c r="C122" i="22"/>
  <c r="I122" i="22" s="1"/>
  <c r="H122" i="22" s="1"/>
  <c r="C104" i="22"/>
  <c r="I104" i="22" s="1"/>
  <c r="H104" i="22" s="1"/>
  <c r="C47" i="22"/>
  <c r="I47" i="22" s="1"/>
  <c r="H47" i="22" s="1"/>
  <c r="C237" i="22"/>
  <c r="I237" i="22" s="1"/>
  <c r="H237" i="22" s="1"/>
  <c r="C209" i="22"/>
  <c r="I209" i="22" s="1"/>
  <c r="H209" i="22" s="1"/>
  <c r="C143" i="22"/>
  <c r="I143" i="22" s="1"/>
  <c r="H143" i="22" s="1"/>
  <c r="C72" i="22"/>
  <c r="I72" i="22" s="1"/>
  <c r="H72" i="22" s="1"/>
  <c r="C212" i="22"/>
  <c r="I212" i="22" s="1"/>
  <c r="H212" i="22" s="1"/>
  <c r="C186" i="22"/>
  <c r="I186" i="22" s="1"/>
  <c r="H186" i="22" s="1"/>
  <c r="C76" i="22"/>
  <c r="I76" i="22" s="1"/>
  <c r="H76" i="22" s="1"/>
  <c r="C207" i="22"/>
  <c r="I207" i="22" s="1"/>
  <c r="H207" i="22" s="1"/>
  <c r="C55" i="22"/>
  <c r="I55" i="22" s="1"/>
  <c r="H55" i="22" s="1"/>
  <c r="C252" i="22"/>
  <c r="I252" i="22" s="1"/>
  <c r="H252" i="22" s="1"/>
  <c r="N252" i="22" s="1"/>
  <c r="C148" i="22"/>
  <c r="I148" i="22" s="1"/>
  <c r="H148" i="22" s="1"/>
  <c r="C250" i="22"/>
  <c r="I250" i="22" s="1"/>
  <c r="H250" i="22" s="1"/>
  <c r="N250" i="22" s="1"/>
  <c r="C263" i="22"/>
  <c r="I263" i="22" s="1"/>
  <c r="H263" i="22" s="1"/>
  <c r="C188" i="22"/>
  <c r="I188" i="22" s="1"/>
  <c r="H188" i="22" s="1"/>
  <c r="N188" i="22" s="1"/>
  <c r="C88" i="22"/>
  <c r="I88" i="22" s="1"/>
  <c r="H88" i="22" s="1"/>
  <c r="I103" i="14"/>
  <c r="C55" i="23"/>
  <c r="I55" i="23" s="1"/>
  <c r="H55" i="23" s="1"/>
  <c r="N55" i="23" s="1"/>
  <c r="C125" i="23"/>
  <c r="I125" i="23" s="1"/>
  <c r="H125" i="23" s="1"/>
  <c r="C225" i="23"/>
  <c r="I225" i="23" s="1"/>
  <c r="H225" i="23" s="1"/>
  <c r="C257" i="23"/>
  <c r="I257" i="23" s="1"/>
  <c r="H257" i="23" s="1"/>
  <c r="C96" i="23"/>
  <c r="I96" i="23" s="1"/>
  <c r="H96" i="23" s="1"/>
  <c r="C112" i="23"/>
  <c r="I112" i="23" s="1"/>
  <c r="H112" i="23" s="1"/>
  <c r="C147" i="23"/>
  <c r="I147" i="23" s="1"/>
  <c r="H147" i="23" s="1"/>
  <c r="C221" i="23"/>
  <c r="I221" i="23" s="1"/>
  <c r="H221" i="23" s="1"/>
  <c r="C253" i="23"/>
  <c r="I253" i="23" s="1"/>
  <c r="H253" i="23" s="1"/>
  <c r="C241" i="23"/>
  <c r="I241" i="23" s="1"/>
  <c r="H241" i="23" s="1"/>
  <c r="C134" i="23"/>
  <c r="I134" i="23" s="1"/>
  <c r="H134" i="23" s="1"/>
  <c r="N134" i="23" s="1"/>
  <c r="C114" i="23"/>
  <c r="I114" i="23" s="1"/>
  <c r="H114" i="23" s="1"/>
  <c r="N114" i="23" s="1"/>
  <c r="C161" i="23"/>
  <c r="I161" i="23" s="1"/>
  <c r="H161" i="23" s="1"/>
  <c r="C193" i="23"/>
  <c r="I193" i="23" s="1"/>
  <c r="H193" i="23" s="1"/>
  <c r="C86" i="23"/>
  <c r="I86" i="23" s="1"/>
  <c r="H86" i="23" s="1"/>
  <c r="N86" i="23" s="1"/>
  <c r="C130" i="23"/>
  <c r="I130" i="23" s="1"/>
  <c r="H130" i="23" s="1"/>
  <c r="N130" i="23" s="1"/>
  <c r="C60" i="23"/>
  <c r="I60" i="23" s="1"/>
  <c r="H60" i="23" s="1"/>
  <c r="N60" i="23" s="1"/>
  <c r="C133" i="23"/>
  <c r="I133" i="23" s="1"/>
  <c r="H133" i="23" s="1"/>
  <c r="C52" i="23"/>
  <c r="I52" i="23" s="1"/>
  <c r="H52" i="23" s="1"/>
  <c r="N52" i="23" s="1"/>
  <c r="C113" i="23"/>
  <c r="I113" i="23" s="1"/>
  <c r="H113" i="23" s="1"/>
  <c r="C50" i="23"/>
  <c r="I50" i="23" s="1"/>
  <c r="H50" i="23" s="1"/>
  <c r="N50" i="23" s="1"/>
  <c r="C103" i="23"/>
  <c r="I103" i="23" s="1"/>
  <c r="H103" i="23" s="1"/>
  <c r="C119" i="23"/>
  <c r="I119" i="23" s="1"/>
  <c r="H119" i="23" s="1"/>
  <c r="C135" i="23"/>
  <c r="I135" i="23" s="1"/>
  <c r="H135" i="23" s="1"/>
  <c r="C151" i="23"/>
  <c r="I151" i="23" s="1"/>
  <c r="H151" i="23" s="1"/>
  <c r="C51" i="23"/>
  <c r="I51" i="23" s="1"/>
  <c r="H51" i="23" s="1"/>
  <c r="C59" i="23"/>
  <c r="I59" i="23" s="1"/>
  <c r="H59" i="23" s="1"/>
  <c r="N59" i="23" s="1"/>
  <c r="C30" i="23"/>
  <c r="I30" i="23" s="1"/>
  <c r="H30" i="23" s="1"/>
  <c r="N30" i="23" s="1"/>
  <c r="C78" i="23"/>
  <c r="I78" i="23" s="1"/>
  <c r="H78" i="23" s="1"/>
  <c r="N78" i="23" s="1"/>
  <c r="C102" i="23"/>
  <c r="I102" i="23" s="1"/>
  <c r="H102" i="23" s="1"/>
  <c r="C150" i="23"/>
  <c r="I150" i="23" s="1"/>
  <c r="H150" i="23" s="1"/>
  <c r="N150" i="23" s="1"/>
  <c r="C121" i="23"/>
  <c r="I121" i="23" s="1"/>
  <c r="H121" i="23" s="1"/>
  <c r="C157" i="23"/>
  <c r="I157" i="23" s="1"/>
  <c r="H157" i="23" s="1"/>
  <c r="C129" i="23"/>
  <c r="I129" i="23" s="1"/>
  <c r="H129" i="23" s="1"/>
  <c r="C54" i="23"/>
  <c r="I54" i="23" s="1"/>
  <c r="H54" i="23" s="1"/>
  <c r="N54" i="23" s="1"/>
  <c r="C91" i="23"/>
  <c r="I91" i="23" s="1"/>
  <c r="H91" i="23" s="1"/>
  <c r="C107" i="23"/>
  <c r="I107" i="23" s="1"/>
  <c r="H107" i="23" s="1"/>
  <c r="C123" i="23"/>
  <c r="I123" i="23" s="1"/>
  <c r="H123" i="23" s="1"/>
  <c r="C139" i="23"/>
  <c r="I139" i="23" s="1"/>
  <c r="H139" i="23" s="1"/>
  <c r="C155" i="23"/>
  <c r="I155" i="23" s="1"/>
  <c r="H155" i="23" s="1"/>
  <c r="C36" i="23"/>
  <c r="I36" i="23" s="1"/>
  <c r="H36" i="23" s="1"/>
  <c r="N36" i="23" s="1"/>
  <c r="C74" i="23"/>
  <c r="I74" i="23" s="1"/>
  <c r="H74" i="23" s="1"/>
  <c r="N74" i="23" s="1"/>
  <c r="C98" i="23"/>
  <c r="I98" i="23" s="1"/>
  <c r="H98" i="23" s="1"/>
  <c r="N98" i="23" s="1"/>
  <c r="C146" i="23"/>
  <c r="I146" i="23" s="1"/>
  <c r="H146" i="23" s="1"/>
  <c r="N146" i="23" s="1"/>
  <c r="C165" i="23"/>
  <c r="I165" i="23" s="1"/>
  <c r="H165" i="23" s="1"/>
  <c r="C169" i="23"/>
  <c r="I169" i="23" s="1"/>
  <c r="H169" i="23" s="1"/>
  <c r="C181" i="23"/>
  <c r="I181" i="23" s="1"/>
  <c r="H181" i="23" s="1"/>
  <c r="C185" i="23"/>
  <c r="I185" i="23" s="1"/>
  <c r="H185" i="23" s="1"/>
  <c r="C197" i="23"/>
  <c r="I197" i="23" s="1"/>
  <c r="H197" i="23" s="1"/>
  <c r="C201" i="23"/>
  <c r="I201" i="23" s="1"/>
  <c r="H201" i="23" s="1"/>
  <c r="C213" i="23"/>
  <c r="I213" i="23" s="1"/>
  <c r="H213" i="23" s="1"/>
  <c r="C217" i="23"/>
  <c r="I217" i="23" s="1"/>
  <c r="H217" i="23" s="1"/>
  <c r="C229" i="23"/>
  <c r="I229" i="23" s="1"/>
  <c r="H229" i="23" s="1"/>
  <c r="C233" i="23"/>
  <c r="I233" i="23" s="1"/>
  <c r="H233" i="23" s="1"/>
  <c r="C245" i="23"/>
  <c r="I245" i="23" s="1"/>
  <c r="H245" i="23" s="1"/>
  <c r="C249" i="23"/>
  <c r="I249" i="23" s="1"/>
  <c r="H249" i="23" s="1"/>
  <c r="C261" i="23"/>
  <c r="I261" i="23" s="1"/>
  <c r="H261" i="23" s="1"/>
  <c r="C153" i="23"/>
  <c r="I153" i="23" s="1"/>
  <c r="H153" i="23" s="1"/>
  <c r="C27" i="23"/>
  <c r="I27" i="23" s="1"/>
  <c r="H27" i="23" s="1"/>
  <c r="C115" i="23"/>
  <c r="I115" i="23" s="1"/>
  <c r="H115" i="23" s="1"/>
  <c r="C88" i="23"/>
  <c r="I88" i="23" s="1"/>
  <c r="H88" i="23" s="1"/>
  <c r="N88" i="23" s="1"/>
  <c r="C82" i="23"/>
  <c r="I82" i="23" s="1"/>
  <c r="H82" i="23" s="1"/>
  <c r="N82" i="23" s="1"/>
  <c r="C90" i="23"/>
  <c r="I90" i="23" s="1"/>
  <c r="H90" i="23" s="1"/>
  <c r="N90" i="23" s="1"/>
  <c r="C122" i="23"/>
  <c r="I122" i="23" s="1"/>
  <c r="H122" i="23" s="1"/>
  <c r="N122" i="23" s="1"/>
  <c r="C154" i="23"/>
  <c r="I154" i="23" s="1"/>
  <c r="H154" i="23" s="1"/>
  <c r="N154" i="23" s="1"/>
  <c r="C264" i="23"/>
  <c r="I264" i="23" s="1"/>
  <c r="H264" i="23" s="1"/>
  <c r="C256" i="23"/>
  <c r="I256" i="23" s="1"/>
  <c r="H256" i="23" s="1"/>
  <c r="C248" i="23"/>
  <c r="I248" i="23" s="1"/>
  <c r="H248" i="23" s="1"/>
  <c r="C208" i="23"/>
  <c r="I208" i="23" s="1"/>
  <c r="H208" i="23" s="1"/>
  <c r="C200" i="23"/>
  <c r="I200" i="23" s="1"/>
  <c r="H200" i="23" s="1"/>
  <c r="C192" i="23"/>
  <c r="I192" i="23" s="1"/>
  <c r="H192" i="23" s="1"/>
  <c r="C176" i="23"/>
  <c r="I176" i="23" s="1"/>
  <c r="H176" i="23" s="1"/>
  <c r="C168" i="23"/>
  <c r="I168" i="23" s="1"/>
  <c r="H168" i="23" s="1"/>
  <c r="C160" i="23"/>
  <c r="I160" i="23" s="1"/>
  <c r="H160" i="23" s="1"/>
  <c r="C250" i="23"/>
  <c r="I250" i="23" s="1"/>
  <c r="H250" i="23" s="1"/>
  <c r="C234" i="23"/>
  <c r="I234" i="23" s="1"/>
  <c r="H234" i="23" s="1"/>
  <c r="C218" i="23"/>
  <c r="I218" i="23" s="1"/>
  <c r="H218" i="23" s="1"/>
  <c r="C202" i="23"/>
  <c r="I202" i="23" s="1"/>
  <c r="H202" i="23" s="1"/>
  <c r="C186" i="23"/>
  <c r="I186" i="23" s="1"/>
  <c r="H186" i="23" s="1"/>
  <c r="C170" i="23"/>
  <c r="I170" i="23" s="1"/>
  <c r="H170" i="23" s="1"/>
  <c r="C152" i="23"/>
  <c r="I152" i="23" s="1"/>
  <c r="H152" i="23" s="1"/>
  <c r="C144" i="23"/>
  <c r="I144" i="23" s="1"/>
  <c r="H144" i="23" s="1"/>
  <c r="C136" i="23"/>
  <c r="I136" i="23" s="1"/>
  <c r="H136" i="23" s="1"/>
  <c r="C128" i="23"/>
  <c r="I128" i="23" s="1"/>
  <c r="H128" i="23" s="1"/>
  <c r="C120" i="23"/>
  <c r="I120" i="23" s="1"/>
  <c r="H120" i="23" s="1"/>
  <c r="C104" i="23"/>
  <c r="I104" i="23" s="1"/>
  <c r="H104" i="23" s="1"/>
  <c r="C87" i="23"/>
  <c r="I87" i="23" s="1"/>
  <c r="H87" i="23" s="1"/>
  <c r="C79" i="23"/>
  <c r="I79" i="23" s="1"/>
  <c r="H79" i="23" s="1"/>
  <c r="C46" i="23"/>
  <c r="I46" i="23" s="1"/>
  <c r="H46" i="23" s="1"/>
  <c r="N46" i="23" s="1"/>
  <c r="C72" i="23"/>
  <c r="I72" i="23" s="1"/>
  <c r="H72" i="23" s="1"/>
  <c r="C70" i="23"/>
  <c r="I70" i="23" s="1"/>
  <c r="H70" i="23" s="1"/>
  <c r="C68" i="23"/>
  <c r="I68" i="23" s="1"/>
  <c r="H68" i="23" s="1"/>
  <c r="C66" i="23"/>
  <c r="I66" i="23" s="1"/>
  <c r="H66" i="23" s="1"/>
  <c r="C64" i="23"/>
  <c r="I64" i="23" s="1"/>
  <c r="H64" i="23" s="1"/>
  <c r="C40" i="23"/>
  <c r="I40" i="23" s="1"/>
  <c r="H40" i="23" s="1"/>
  <c r="N40" i="23" s="1"/>
  <c r="C39" i="23"/>
  <c r="I39" i="23" s="1"/>
  <c r="H39" i="23" s="1"/>
  <c r="N39" i="23" s="1"/>
  <c r="C29" i="23"/>
  <c r="I29" i="23" s="1"/>
  <c r="H29" i="23" s="1"/>
  <c r="N29" i="23" s="1"/>
  <c r="C37" i="23"/>
  <c r="I37" i="23" s="1"/>
  <c r="H37" i="23" s="1"/>
  <c r="N37" i="23" s="1"/>
  <c r="C95" i="23"/>
  <c r="I95" i="23" s="1"/>
  <c r="H95" i="23" s="1"/>
  <c r="C127" i="23"/>
  <c r="I127" i="23" s="1"/>
  <c r="H127" i="23" s="1"/>
  <c r="C159" i="23"/>
  <c r="I159" i="23" s="1"/>
  <c r="H159" i="23" s="1"/>
  <c r="C57" i="23"/>
  <c r="I57" i="23" s="1"/>
  <c r="H57" i="23" s="1"/>
  <c r="N57" i="23" s="1"/>
  <c r="C94" i="23"/>
  <c r="I94" i="23" s="1"/>
  <c r="H94" i="23" s="1"/>
  <c r="N94" i="23" s="1"/>
  <c r="C126" i="23"/>
  <c r="I126" i="23" s="1"/>
  <c r="H126" i="23" s="1"/>
  <c r="N126" i="23" s="1"/>
  <c r="C158" i="23"/>
  <c r="I158" i="23" s="1"/>
  <c r="H158" i="23" s="1"/>
  <c r="N158" i="23" s="1"/>
  <c r="C260" i="23"/>
  <c r="I260" i="23" s="1"/>
  <c r="H260" i="23" s="1"/>
  <c r="C244" i="23"/>
  <c r="I244" i="23" s="1"/>
  <c r="H244" i="23" s="1"/>
  <c r="C236" i="23"/>
  <c r="I236" i="23" s="1"/>
  <c r="H236" i="23" s="1"/>
  <c r="C220" i="23"/>
  <c r="I220" i="23" s="1"/>
  <c r="H220" i="23" s="1"/>
  <c r="C93" i="23"/>
  <c r="I93" i="23" s="1"/>
  <c r="H93" i="23" s="1"/>
  <c r="C145" i="23"/>
  <c r="I145" i="23" s="1"/>
  <c r="H145" i="23" s="1"/>
  <c r="C111" i="23"/>
  <c r="I111" i="23" s="1"/>
  <c r="H111" i="23" s="1"/>
  <c r="C32" i="23"/>
  <c r="I32" i="23" s="1"/>
  <c r="H32" i="23" s="1"/>
  <c r="N32" i="23" s="1"/>
  <c r="C84" i="23"/>
  <c r="I84" i="23" s="1"/>
  <c r="H84" i="23" s="1"/>
  <c r="N84" i="23" s="1"/>
  <c r="C106" i="23"/>
  <c r="I106" i="23" s="1"/>
  <c r="H106" i="23" s="1"/>
  <c r="N106" i="23" s="1"/>
  <c r="C101" i="23"/>
  <c r="I101" i="23" s="1"/>
  <c r="H101" i="23" s="1"/>
  <c r="C58" i="23"/>
  <c r="I58" i="23" s="1"/>
  <c r="H58" i="23" s="1"/>
  <c r="N58" i="23" s="1"/>
  <c r="C143" i="23"/>
  <c r="I143" i="23" s="1"/>
  <c r="H143" i="23" s="1"/>
  <c r="C53" i="23"/>
  <c r="I53" i="23" s="1"/>
  <c r="H53" i="23" s="1"/>
  <c r="N53" i="23" s="1"/>
  <c r="C138" i="23"/>
  <c r="I138" i="23" s="1"/>
  <c r="H138" i="23" s="1"/>
  <c r="N138" i="23" s="1"/>
  <c r="C265" i="23"/>
  <c r="I265" i="23" s="1"/>
  <c r="H265" i="23" s="1"/>
  <c r="C204" i="23"/>
  <c r="I204" i="23" s="1"/>
  <c r="H204" i="23" s="1"/>
  <c r="C188" i="23"/>
  <c r="I188" i="23" s="1"/>
  <c r="H188" i="23" s="1"/>
  <c r="C238" i="23"/>
  <c r="I238" i="23" s="1"/>
  <c r="H238" i="23" s="1"/>
  <c r="C206" i="23"/>
  <c r="I206" i="23" s="1"/>
  <c r="H206" i="23" s="1"/>
  <c r="C174" i="23"/>
  <c r="I174" i="23" s="1"/>
  <c r="H174" i="23" s="1"/>
  <c r="C140" i="23"/>
  <c r="I140" i="23" s="1"/>
  <c r="H140" i="23" s="1"/>
  <c r="C75" i="23"/>
  <c r="I75" i="23" s="1"/>
  <c r="H75" i="23" s="1"/>
  <c r="C85" i="23"/>
  <c r="I85" i="23" s="1"/>
  <c r="H85" i="23" s="1"/>
  <c r="C73" i="23"/>
  <c r="I73" i="23" s="1"/>
  <c r="H73" i="23" s="1"/>
  <c r="N73" i="23" s="1"/>
  <c r="C69" i="23"/>
  <c r="I69" i="23" s="1"/>
  <c r="H69" i="23" s="1"/>
  <c r="C62" i="23"/>
  <c r="I62" i="23" s="1"/>
  <c r="H62" i="23" s="1"/>
  <c r="C43" i="23"/>
  <c r="I43" i="23" s="1"/>
  <c r="H43" i="23" s="1"/>
  <c r="N43" i="23" s="1"/>
  <c r="C105" i="23"/>
  <c r="I105" i="23" s="1"/>
  <c r="H105" i="23" s="1"/>
  <c r="C131" i="23"/>
  <c r="I131" i="23" s="1"/>
  <c r="H131" i="23" s="1"/>
  <c r="C76" i="23"/>
  <c r="I76" i="23" s="1"/>
  <c r="H76" i="23" s="1"/>
  <c r="N76" i="23" s="1"/>
  <c r="C61" i="23"/>
  <c r="I61" i="23" s="1"/>
  <c r="H61" i="23" s="1"/>
  <c r="N61" i="23" s="1"/>
  <c r="C110" i="23"/>
  <c r="I110" i="23" s="1"/>
  <c r="H110" i="23" s="1"/>
  <c r="N110" i="23" s="1"/>
  <c r="C232" i="23"/>
  <c r="I232" i="23" s="1"/>
  <c r="H232" i="23" s="1"/>
  <c r="C212" i="23"/>
  <c r="I212" i="23" s="1"/>
  <c r="H212" i="23" s="1"/>
  <c r="C172" i="23"/>
  <c r="I172" i="23" s="1"/>
  <c r="H172" i="23" s="1"/>
  <c r="C222" i="23"/>
  <c r="I222" i="23" s="1"/>
  <c r="H222" i="23" s="1"/>
  <c r="C210" i="23"/>
  <c r="I210" i="23" s="1"/>
  <c r="H210" i="23" s="1"/>
  <c r="C194" i="23"/>
  <c r="I194" i="23" s="1"/>
  <c r="H194" i="23" s="1"/>
  <c r="C166" i="23"/>
  <c r="I166" i="23" s="1"/>
  <c r="H166" i="23" s="1"/>
  <c r="C148" i="23"/>
  <c r="I148" i="23" s="1"/>
  <c r="H148" i="23" s="1"/>
  <c r="C92" i="23"/>
  <c r="I92" i="23" s="1"/>
  <c r="H92" i="23" s="1"/>
  <c r="C38" i="23"/>
  <c r="I38" i="23" s="1"/>
  <c r="H38" i="23" s="1"/>
  <c r="N38" i="23" s="1"/>
  <c r="C71" i="23"/>
  <c r="I71" i="23" s="1"/>
  <c r="H71" i="23" s="1"/>
  <c r="C67" i="23"/>
  <c r="I67" i="23" s="1"/>
  <c r="H67" i="23" s="1"/>
  <c r="C44" i="23"/>
  <c r="I44" i="23" s="1"/>
  <c r="H44" i="23" s="1"/>
  <c r="N44" i="23" s="1"/>
  <c r="C49" i="23"/>
  <c r="I49" i="23" s="1"/>
  <c r="H49" i="23" s="1"/>
  <c r="C33" i="23"/>
  <c r="I33" i="23" s="1"/>
  <c r="H33" i="23" s="1"/>
  <c r="N33" i="23" s="1"/>
  <c r="C149" i="23"/>
  <c r="I149" i="23" s="1"/>
  <c r="H149" i="23" s="1"/>
  <c r="C28" i="23"/>
  <c r="I28" i="23" s="1"/>
  <c r="H28" i="23" s="1"/>
  <c r="N28" i="23" s="1"/>
  <c r="C34" i="23"/>
  <c r="I34" i="23" s="1"/>
  <c r="H34" i="23" s="1"/>
  <c r="N34" i="23" s="1"/>
  <c r="C167" i="23"/>
  <c r="I167" i="23" s="1"/>
  <c r="H167" i="23" s="1"/>
  <c r="C175" i="23"/>
  <c r="I175" i="23" s="1"/>
  <c r="H175" i="23" s="1"/>
  <c r="C183" i="23"/>
  <c r="I183" i="23" s="1"/>
  <c r="H183" i="23" s="1"/>
  <c r="C191" i="23"/>
  <c r="I191" i="23" s="1"/>
  <c r="H191" i="23" s="1"/>
  <c r="C199" i="23"/>
  <c r="I199" i="23" s="1"/>
  <c r="H199" i="23" s="1"/>
  <c r="C207" i="23"/>
  <c r="I207" i="23" s="1"/>
  <c r="H207" i="23" s="1"/>
  <c r="C215" i="23"/>
  <c r="I215" i="23" s="1"/>
  <c r="H215" i="23" s="1"/>
  <c r="C223" i="23"/>
  <c r="I223" i="23" s="1"/>
  <c r="H223" i="23" s="1"/>
  <c r="C231" i="23"/>
  <c r="I231" i="23" s="1"/>
  <c r="H231" i="23" s="1"/>
  <c r="C239" i="23"/>
  <c r="I239" i="23" s="1"/>
  <c r="H239" i="23" s="1"/>
  <c r="C247" i="23"/>
  <c r="I247" i="23" s="1"/>
  <c r="H247" i="23" s="1"/>
  <c r="C255" i="23"/>
  <c r="I255" i="23" s="1"/>
  <c r="H255" i="23" s="1"/>
  <c r="C263" i="23"/>
  <c r="I263" i="23" s="1"/>
  <c r="H263" i="23" s="1"/>
  <c r="N263" i="23" s="1"/>
  <c r="C228" i="23"/>
  <c r="I228" i="23" s="1"/>
  <c r="H228" i="23" s="1"/>
  <c r="C184" i="23"/>
  <c r="I184" i="23" s="1"/>
  <c r="H184" i="23" s="1"/>
  <c r="C164" i="23"/>
  <c r="I164" i="23" s="1"/>
  <c r="H164" i="23" s="1"/>
  <c r="C262" i="23"/>
  <c r="I262" i="23" s="1"/>
  <c r="H262" i="23" s="1"/>
  <c r="C246" i="23"/>
  <c r="I246" i="23" s="1"/>
  <c r="H246" i="23" s="1"/>
  <c r="C190" i="23"/>
  <c r="I190" i="23" s="1"/>
  <c r="H190" i="23" s="1"/>
  <c r="C178" i="23"/>
  <c r="I178" i="23" s="1"/>
  <c r="H178" i="23" s="1"/>
  <c r="C162" i="23"/>
  <c r="I162" i="23" s="1"/>
  <c r="H162" i="23" s="1"/>
  <c r="C132" i="23"/>
  <c r="I132" i="23" s="1"/>
  <c r="H132" i="23" s="1"/>
  <c r="C116" i="23"/>
  <c r="I116" i="23" s="1"/>
  <c r="H116" i="23" s="1"/>
  <c r="C77" i="23"/>
  <c r="I77" i="23" s="1"/>
  <c r="H77" i="23" s="1"/>
  <c r="C65" i="23"/>
  <c r="I65" i="23" s="1"/>
  <c r="H65" i="23" s="1"/>
  <c r="C47" i="23"/>
  <c r="I47" i="23" s="1"/>
  <c r="H47" i="23" s="1"/>
  <c r="N47" i="23" s="1"/>
  <c r="C26" i="23"/>
  <c r="I26" i="23" s="1"/>
  <c r="H26" i="23" s="1"/>
  <c r="C80" i="23"/>
  <c r="I80" i="23" s="1"/>
  <c r="H80" i="23" s="1"/>
  <c r="N80" i="23" s="1"/>
  <c r="C56" i="23"/>
  <c r="I56" i="23" s="1"/>
  <c r="H56" i="23" s="1"/>
  <c r="N56" i="23" s="1"/>
  <c r="C171" i="23"/>
  <c r="I171" i="23" s="1"/>
  <c r="H171" i="23" s="1"/>
  <c r="C203" i="23"/>
  <c r="I203" i="23" s="1"/>
  <c r="H203" i="23" s="1"/>
  <c r="C235" i="23"/>
  <c r="I235" i="23" s="1"/>
  <c r="H235" i="23" s="1"/>
  <c r="C252" i="23"/>
  <c r="I252" i="23" s="1"/>
  <c r="H252" i="23" s="1"/>
  <c r="C196" i="23"/>
  <c r="I196" i="23" s="1"/>
  <c r="H196" i="23" s="1"/>
  <c r="C214" i="23"/>
  <c r="I214" i="23" s="1"/>
  <c r="H214" i="23" s="1"/>
  <c r="C156" i="23"/>
  <c r="I156" i="23" s="1"/>
  <c r="H156" i="23" s="1"/>
  <c r="C100" i="23"/>
  <c r="I100" i="23" s="1"/>
  <c r="H100" i="23" s="1"/>
  <c r="C45" i="23"/>
  <c r="I45" i="23" s="1"/>
  <c r="H45" i="23" s="1"/>
  <c r="N45" i="23" s="1"/>
  <c r="C97" i="23"/>
  <c r="I97" i="23" s="1"/>
  <c r="H97" i="23" s="1"/>
  <c r="C137" i="23"/>
  <c r="I137" i="23" s="1"/>
  <c r="H137" i="23" s="1"/>
  <c r="C163" i="23"/>
  <c r="I163" i="23" s="1"/>
  <c r="H163" i="23" s="1"/>
  <c r="C195" i="23"/>
  <c r="I195" i="23" s="1"/>
  <c r="H195" i="23" s="1"/>
  <c r="C227" i="23"/>
  <c r="I227" i="23" s="1"/>
  <c r="H227" i="23" s="1"/>
  <c r="C259" i="23"/>
  <c r="I259" i="23" s="1"/>
  <c r="H259" i="23" s="1"/>
  <c r="C142" i="23"/>
  <c r="I142" i="23" s="1"/>
  <c r="H142" i="23" s="1"/>
  <c r="N142" i="23" s="1"/>
  <c r="C187" i="23"/>
  <c r="I187" i="23" s="1"/>
  <c r="H187" i="23" s="1"/>
  <c r="C219" i="23"/>
  <c r="I219" i="23" s="1"/>
  <c r="H219" i="23" s="1"/>
  <c r="C251" i="23"/>
  <c r="I251" i="23" s="1"/>
  <c r="H251" i="23" s="1"/>
  <c r="C224" i="23"/>
  <c r="I224" i="23" s="1"/>
  <c r="H224" i="23" s="1"/>
  <c r="C180" i="23"/>
  <c r="I180" i="23" s="1"/>
  <c r="H180" i="23" s="1"/>
  <c r="C258" i="23"/>
  <c r="I258" i="23" s="1"/>
  <c r="H258" i="23" s="1"/>
  <c r="C230" i="23"/>
  <c r="I230" i="23" s="1"/>
  <c r="H230" i="23" s="1"/>
  <c r="C83" i="23"/>
  <c r="I83" i="23" s="1"/>
  <c r="H83" i="23" s="1"/>
  <c r="C89" i="23"/>
  <c r="I89" i="23" s="1"/>
  <c r="H89" i="23" s="1"/>
  <c r="C48" i="23"/>
  <c r="I48" i="23" s="1"/>
  <c r="H48" i="23" s="1"/>
  <c r="N48" i="23" s="1"/>
  <c r="C41" i="23"/>
  <c r="I41" i="23" s="1"/>
  <c r="H41" i="23" s="1"/>
  <c r="C99" i="23"/>
  <c r="I99" i="23" s="1"/>
  <c r="H99" i="23" s="1"/>
  <c r="C179" i="23"/>
  <c r="I179" i="23" s="1"/>
  <c r="H179" i="23" s="1"/>
  <c r="C211" i="23"/>
  <c r="I211" i="23" s="1"/>
  <c r="H211" i="23" s="1"/>
  <c r="C243" i="23"/>
  <c r="I243" i="23" s="1"/>
  <c r="H243" i="23" s="1"/>
  <c r="C216" i="23"/>
  <c r="I216" i="23" s="1"/>
  <c r="H216" i="23" s="1"/>
  <c r="C254" i="23"/>
  <c r="I254" i="23" s="1"/>
  <c r="H254" i="23" s="1"/>
  <c r="C226" i="23"/>
  <c r="I226" i="23" s="1"/>
  <c r="H226" i="23" s="1"/>
  <c r="C198" i="23"/>
  <c r="I198" i="23" s="1"/>
  <c r="H198" i="23" s="1"/>
  <c r="C81" i="23"/>
  <c r="I81" i="23" s="1"/>
  <c r="H81" i="23" s="1"/>
  <c r="C242" i="23"/>
  <c r="I242" i="23" s="1"/>
  <c r="H242" i="23" s="1"/>
  <c r="C124" i="23"/>
  <c r="I124" i="23" s="1"/>
  <c r="H124" i="23" s="1"/>
  <c r="C42" i="23"/>
  <c r="I42" i="23" s="1"/>
  <c r="H42" i="23" s="1"/>
  <c r="N42" i="23" s="1"/>
  <c r="C109" i="23"/>
  <c r="I109" i="23" s="1"/>
  <c r="H109" i="23" s="1"/>
  <c r="C240" i="23"/>
  <c r="I240" i="23" s="1"/>
  <c r="H240" i="23" s="1"/>
  <c r="C182" i="23"/>
  <c r="I182" i="23" s="1"/>
  <c r="H182" i="23" s="1"/>
  <c r="C117" i="23"/>
  <c r="I117" i="23" s="1"/>
  <c r="H117" i="23" s="1"/>
  <c r="C237" i="23"/>
  <c r="I237" i="23" s="1"/>
  <c r="H237" i="23" s="1"/>
  <c r="C209" i="23"/>
  <c r="I209" i="23" s="1"/>
  <c r="H209" i="23" s="1"/>
  <c r="C205" i="23"/>
  <c r="I205" i="23" s="1"/>
  <c r="H205" i="23" s="1"/>
  <c r="C31" i="23"/>
  <c r="I31" i="23" s="1"/>
  <c r="H31" i="23" s="1"/>
  <c r="N31" i="23" s="1"/>
  <c r="C141" i="23"/>
  <c r="I141" i="23" s="1"/>
  <c r="H141" i="23" s="1"/>
  <c r="C35" i="23"/>
  <c r="I35" i="23" s="1"/>
  <c r="H35" i="23" s="1"/>
  <c r="N35" i="23" s="1"/>
  <c r="C189" i="23"/>
  <c r="I189" i="23" s="1"/>
  <c r="H189" i="23" s="1"/>
  <c r="C108" i="23"/>
  <c r="I108" i="23" s="1"/>
  <c r="H108" i="23" s="1"/>
  <c r="C90" i="210"/>
  <c r="I90" i="210" s="1"/>
  <c r="H90" i="210" s="1"/>
  <c r="N90" i="210" s="1"/>
  <c r="C150" i="210"/>
  <c r="I150" i="210" s="1"/>
  <c r="H150" i="210" s="1"/>
  <c r="C148" i="210"/>
  <c r="I148" i="210" s="1"/>
  <c r="H148" i="210" s="1"/>
  <c r="C112" i="210"/>
  <c r="I112" i="210" s="1"/>
  <c r="H112" i="210" s="1"/>
  <c r="C52" i="210"/>
  <c r="I52" i="210" s="1"/>
  <c r="H52" i="210" s="1"/>
  <c r="C120" i="210"/>
  <c r="I120" i="210" s="1"/>
  <c r="H120" i="210" s="1"/>
  <c r="N120" i="210" s="1"/>
  <c r="C136" i="210"/>
  <c r="I136" i="210" s="1"/>
  <c r="H136" i="210" s="1"/>
  <c r="N136" i="210" s="1"/>
  <c r="C27" i="210"/>
  <c r="I27" i="210" s="1"/>
  <c r="H27" i="210" s="1"/>
  <c r="N27" i="210" s="1"/>
  <c r="C54" i="210"/>
  <c r="I54" i="210" s="1"/>
  <c r="H54" i="210" s="1"/>
  <c r="C78" i="210"/>
  <c r="I78" i="210" s="1"/>
  <c r="H78" i="210" s="1"/>
  <c r="N78" i="210" s="1"/>
  <c r="C94" i="210"/>
  <c r="I94" i="210" s="1"/>
  <c r="H94" i="210" s="1"/>
  <c r="N94" i="210" s="1"/>
  <c r="C127" i="210"/>
  <c r="I127" i="210" s="1"/>
  <c r="H127" i="210" s="1"/>
  <c r="N127" i="210" s="1"/>
  <c r="C162" i="210"/>
  <c r="I162" i="210" s="1"/>
  <c r="H162" i="210" s="1"/>
  <c r="C166" i="210"/>
  <c r="I166" i="210" s="1"/>
  <c r="H166" i="210" s="1"/>
  <c r="C170" i="210"/>
  <c r="I170" i="210" s="1"/>
  <c r="H170" i="210" s="1"/>
  <c r="C174" i="210"/>
  <c r="I174" i="210" s="1"/>
  <c r="H174" i="210" s="1"/>
  <c r="C178" i="210"/>
  <c r="I178" i="210" s="1"/>
  <c r="H178" i="210" s="1"/>
  <c r="C182" i="210"/>
  <c r="I182" i="210" s="1"/>
  <c r="H182" i="210" s="1"/>
  <c r="C186" i="210"/>
  <c r="I186" i="210" s="1"/>
  <c r="H186" i="210" s="1"/>
  <c r="C190" i="210"/>
  <c r="I190" i="210" s="1"/>
  <c r="H190" i="210" s="1"/>
  <c r="C194" i="210"/>
  <c r="I194" i="210" s="1"/>
  <c r="H194" i="210" s="1"/>
  <c r="C198" i="210"/>
  <c r="I198" i="210" s="1"/>
  <c r="H198" i="210" s="1"/>
  <c r="C202" i="210"/>
  <c r="I202" i="210" s="1"/>
  <c r="H202" i="210" s="1"/>
  <c r="C206" i="210"/>
  <c r="I206" i="210" s="1"/>
  <c r="H206" i="210" s="1"/>
  <c r="C210" i="210"/>
  <c r="I210" i="210" s="1"/>
  <c r="H210" i="210" s="1"/>
  <c r="C214" i="210"/>
  <c r="I214" i="210" s="1"/>
  <c r="H214" i="210" s="1"/>
  <c r="C218" i="210"/>
  <c r="I218" i="210" s="1"/>
  <c r="H218" i="210" s="1"/>
  <c r="C222" i="210"/>
  <c r="I222" i="210" s="1"/>
  <c r="H222" i="210" s="1"/>
  <c r="C32" i="210"/>
  <c r="I32" i="210" s="1"/>
  <c r="H32" i="210" s="1"/>
  <c r="N32" i="210" s="1"/>
  <c r="C98" i="210"/>
  <c r="I98" i="210" s="1"/>
  <c r="H98" i="210" s="1"/>
  <c r="N98" i="210" s="1"/>
  <c r="C104" i="210"/>
  <c r="I104" i="210" s="1"/>
  <c r="H104" i="210" s="1"/>
  <c r="C29" i="210"/>
  <c r="I29" i="210" s="1"/>
  <c r="H29" i="210" s="1"/>
  <c r="C56" i="210"/>
  <c r="I56" i="210" s="1"/>
  <c r="H56" i="210" s="1"/>
  <c r="C131" i="210"/>
  <c r="I131" i="210" s="1"/>
  <c r="H131" i="210" s="1"/>
  <c r="N131" i="210" s="1"/>
  <c r="C58" i="210"/>
  <c r="I58" i="210" s="1"/>
  <c r="H58" i="210" s="1"/>
  <c r="C124" i="210"/>
  <c r="I124" i="210" s="1"/>
  <c r="H124" i="210" s="1"/>
  <c r="N124" i="210" s="1"/>
  <c r="C140" i="210"/>
  <c r="I140" i="210" s="1"/>
  <c r="H140" i="210" s="1"/>
  <c r="N140" i="210" s="1"/>
  <c r="C80" i="210"/>
  <c r="I80" i="210" s="1"/>
  <c r="H80" i="210" s="1"/>
  <c r="N80" i="210" s="1"/>
  <c r="C59" i="210"/>
  <c r="I59" i="210" s="1"/>
  <c r="H59" i="210" s="1"/>
  <c r="C76" i="210"/>
  <c r="I76" i="210" s="1"/>
  <c r="H76" i="210" s="1"/>
  <c r="N76" i="210" s="1"/>
  <c r="C108" i="210"/>
  <c r="I108" i="210" s="1"/>
  <c r="H108" i="210" s="1"/>
  <c r="N108" i="210" s="1"/>
  <c r="C123" i="210"/>
  <c r="I123" i="210" s="1"/>
  <c r="H123" i="210" s="1"/>
  <c r="N123" i="210" s="1"/>
  <c r="C160" i="210"/>
  <c r="I160" i="210" s="1"/>
  <c r="H160" i="210" s="1"/>
  <c r="C164" i="210"/>
  <c r="I164" i="210" s="1"/>
  <c r="H164" i="210" s="1"/>
  <c r="C172" i="210"/>
  <c r="I172" i="210" s="1"/>
  <c r="H172" i="210" s="1"/>
  <c r="C176" i="210"/>
  <c r="I176" i="210" s="1"/>
  <c r="H176" i="210" s="1"/>
  <c r="C180" i="210"/>
  <c r="I180" i="210" s="1"/>
  <c r="H180" i="210" s="1"/>
  <c r="C188" i="210"/>
  <c r="I188" i="210" s="1"/>
  <c r="H188" i="210" s="1"/>
  <c r="C192" i="210"/>
  <c r="I192" i="210" s="1"/>
  <c r="H192" i="210" s="1"/>
  <c r="C196" i="210"/>
  <c r="I196" i="210" s="1"/>
  <c r="H196" i="210" s="1"/>
  <c r="C204" i="210"/>
  <c r="I204" i="210" s="1"/>
  <c r="H204" i="210" s="1"/>
  <c r="C208" i="210"/>
  <c r="I208" i="210" s="1"/>
  <c r="H208" i="210" s="1"/>
  <c r="C212" i="210"/>
  <c r="I212" i="210" s="1"/>
  <c r="H212" i="210" s="1"/>
  <c r="C220" i="210"/>
  <c r="I220" i="210" s="1"/>
  <c r="H220" i="210" s="1"/>
  <c r="C224" i="210"/>
  <c r="I224" i="210" s="1"/>
  <c r="H224" i="210" s="1"/>
  <c r="C228" i="210"/>
  <c r="I228" i="210" s="1"/>
  <c r="H228" i="210" s="1"/>
  <c r="C236" i="210"/>
  <c r="I236" i="210" s="1"/>
  <c r="H236" i="210" s="1"/>
  <c r="C240" i="210"/>
  <c r="I240" i="210" s="1"/>
  <c r="H240" i="210" s="1"/>
  <c r="C244" i="210"/>
  <c r="I244" i="210" s="1"/>
  <c r="H244" i="210" s="1"/>
  <c r="C252" i="210"/>
  <c r="I252" i="210" s="1"/>
  <c r="H252" i="210" s="1"/>
  <c r="C256" i="210"/>
  <c r="I256" i="210" s="1"/>
  <c r="H256" i="210" s="1"/>
  <c r="C260" i="210"/>
  <c r="I260" i="210" s="1"/>
  <c r="H260" i="210" s="1"/>
  <c r="C28" i="210"/>
  <c r="I28" i="210" s="1"/>
  <c r="H28" i="210" s="1"/>
  <c r="N28" i="210" s="1"/>
  <c r="C34" i="210"/>
  <c r="I34" i="210" s="1"/>
  <c r="H34" i="210" s="1"/>
  <c r="N34" i="210" s="1"/>
  <c r="C152" i="210"/>
  <c r="I152" i="210" s="1"/>
  <c r="H152" i="210" s="1"/>
  <c r="C156" i="210"/>
  <c r="I156" i="210" s="1"/>
  <c r="H156" i="210" s="1"/>
  <c r="C51" i="210"/>
  <c r="I51" i="210" s="1"/>
  <c r="H51" i="210" s="1"/>
  <c r="N51" i="210" s="1"/>
  <c r="C37" i="210"/>
  <c r="I37" i="210" s="1"/>
  <c r="H37" i="210" s="1"/>
  <c r="N37" i="210" s="1"/>
  <c r="C92" i="210"/>
  <c r="I92" i="210" s="1"/>
  <c r="H92" i="210" s="1"/>
  <c r="N92" i="210" s="1"/>
  <c r="C139" i="210"/>
  <c r="I139" i="210" s="1"/>
  <c r="H139" i="210" s="1"/>
  <c r="N139" i="210" s="1"/>
  <c r="C31" i="210"/>
  <c r="I31" i="210" s="1"/>
  <c r="H31" i="210" s="1"/>
  <c r="N31" i="210" s="1"/>
  <c r="C84" i="210"/>
  <c r="I84" i="210" s="1"/>
  <c r="H84" i="210" s="1"/>
  <c r="N84" i="210" s="1"/>
  <c r="C100" i="210"/>
  <c r="I100" i="210" s="1"/>
  <c r="H100" i="210" s="1"/>
  <c r="N100" i="210" s="1"/>
  <c r="C226" i="210"/>
  <c r="I226" i="210" s="1"/>
  <c r="H226" i="210" s="1"/>
  <c r="C230" i="210"/>
  <c r="I230" i="210" s="1"/>
  <c r="H230" i="210" s="1"/>
  <c r="C234" i="210"/>
  <c r="I234" i="210" s="1"/>
  <c r="H234" i="210" s="1"/>
  <c r="C238" i="210"/>
  <c r="I238" i="210" s="1"/>
  <c r="H238" i="210" s="1"/>
  <c r="C242" i="210"/>
  <c r="I242" i="210" s="1"/>
  <c r="H242" i="210" s="1"/>
  <c r="C246" i="210"/>
  <c r="I246" i="210" s="1"/>
  <c r="H246" i="210" s="1"/>
  <c r="C250" i="210"/>
  <c r="I250" i="210" s="1"/>
  <c r="H250" i="210" s="1"/>
  <c r="C254" i="210"/>
  <c r="I254" i="210" s="1"/>
  <c r="H254" i="210" s="1"/>
  <c r="C258" i="210"/>
  <c r="I258" i="210" s="1"/>
  <c r="H258" i="210" s="1"/>
  <c r="C262" i="210"/>
  <c r="I262" i="210" s="1"/>
  <c r="H262" i="210" s="1"/>
  <c r="C36" i="210"/>
  <c r="I36" i="210" s="1"/>
  <c r="H36" i="210" s="1"/>
  <c r="N36" i="210" s="1"/>
  <c r="C96" i="210"/>
  <c r="I96" i="210" s="1"/>
  <c r="H96" i="210" s="1"/>
  <c r="N96" i="210" s="1"/>
  <c r="C26" i="210"/>
  <c r="I26" i="210" s="1"/>
  <c r="H26" i="210" s="1"/>
  <c r="N26" i="210" s="1"/>
  <c r="C114" i="210"/>
  <c r="I114" i="210" s="1"/>
  <c r="H114" i="210" s="1"/>
  <c r="N114" i="210" s="1"/>
  <c r="C35" i="210"/>
  <c r="I35" i="210" s="1"/>
  <c r="H35" i="210" s="1"/>
  <c r="N35" i="210" s="1"/>
  <c r="C57" i="210"/>
  <c r="I57" i="210" s="1"/>
  <c r="H57" i="210" s="1"/>
  <c r="C106" i="210"/>
  <c r="I106" i="210" s="1"/>
  <c r="H106" i="210" s="1"/>
  <c r="N106" i="210" s="1"/>
  <c r="C60" i="210"/>
  <c r="I60" i="210" s="1"/>
  <c r="H60" i="210" s="1"/>
  <c r="C151" i="210"/>
  <c r="I151" i="210" s="1"/>
  <c r="H151" i="210" s="1"/>
  <c r="N151" i="210" s="1"/>
  <c r="C261" i="210"/>
  <c r="I261" i="210" s="1"/>
  <c r="H261" i="210" s="1"/>
  <c r="C253" i="210"/>
  <c r="I253" i="210" s="1"/>
  <c r="H253" i="210" s="1"/>
  <c r="C237" i="210"/>
  <c r="I237" i="210" s="1"/>
  <c r="H237" i="210" s="1"/>
  <c r="C213" i="210"/>
  <c r="I213" i="210" s="1"/>
  <c r="H213" i="210" s="1"/>
  <c r="C197" i="210"/>
  <c r="I197" i="210" s="1"/>
  <c r="H197" i="210" s="1"/>
  <c r="C189" i="210"/>
  <c r="I189" i="210" s="1"/>
  <c r="H189" i="210" s="1"/>
  <c r="C165" i="210"/>
  <c r="I165" i="210" s="1"/>
  <c r="H165" i="210" s="1"/>
  <c r="C247" i="210"/>
  <c r="I247" i="210" s="1"/>
  <c r="H247" i="210" s="1"/>
  <c r="C239" i="210"/>
  <c r="I239" i="210" s="1"/>
  <c r="H239" i="210" s="1"/>
  <c r="C102" i="210"/>
  <c r="I102" i="210" s="1"/>
  <c r="H102" i="210" s="1"/>
  <c r="N102" i="210" s="1"/>
  <c r="C110" i="210"/>
  <c r="I110" i="210" s="1"/>
  <c r="H110" i="210" s="1"/>
  <c r="C245" i="210"/>
  <c r="I245" i="210" s="1"/>
  <c r="H245" i="210" s="1"/>
  <c r="C221" i="210"/>
  <c r="I221" i="210" s="1"/>
  <c r="H221" i="210" s="1"/>
  <c r="C173" i="210"/>
  <c r="I173" i="210" s="1"/>
  <c r="H173" i="210" s="1"/>
  <c r="C255" i="210"/>
  <c r="I255" i="210" s="1"/>
  <c r="H255" i="210" s="1"/>
  <c r="C231" i="210"/>
  <c r="I231" i="210" s="1"/>
  <c r="H231" i="210" s="1"/>
  <c r="C215" i="210"/>
  <c r="I215" i="210" s="1"/>
  <c r="H215" i="210" s="1"/>
  <c r="C207" i="210"/>
  <c r="I207" i="210" s="1"/>
  <c r="H207" i="210" s="1"/>
  <c r="C183" i="210"/>
  <c r="I183" i="210" s="1"/>
  <c r="H183" i="210" s="1"/>
  <c r="C175" i="210"/>
  <c r="I175" i="210" s="1"/>
  <c r="H175" i="210" s="1"/>
  <c r="C153" i="210"/>
  <c r="I153" i="210" s="1"/>
  <c r="H153" i="210" s="1"/>
  <c r="C145" i="210"/>
  <c r="I145" i="210" s="1"/>
  <c r="H145" i="210" s="1"/>
  <c r="C121" i="210"/>
  <c r="I121" i="210" s="1"/>
  <c r="H121" i="210" s="1"/>
  <c r="C107" i="210"/>
  <c r="I107" i="210" s="1"/>
  <c r="H107" i="210" s="1"/>
  <c r="N107" i="210" s="1"/>
  <c r="C75" i="210"/>
  <c r="I75" i="210" s="1"/>
  <c r="H75" i="210" s="1"/>
  <c r="N75" i="210" s="1"/>
  <c r="C39" i="210"/>
  <c r="I39" i="210" s="1"/>
  <c r="H39" i="210" s="1"/>
  <c r="N39" i="210" s="1"/>
  <c r="C146" i="210"/>
  <c r="I146" i="210" s="1"/>
  <c r="H146" i="210" s="1"/>
  <c r="C87" i="210"/>
  <c r="I87" i="210" s="1"/>
  <c r="H87" i="210" s="1"/>
  <c r="N87" i="210" s="1"/>
  <c r="C38" i="210"/>
  <c r="I38" i="210" s="1"/>
  <c r="H38" i="210" s="1"/>
  <c r="N38" i="210" s="1"/>
  <c r="C134" i="210"/>
  <c r="I134" i="210" s="1"/>
  <c r="H134" i="210" s="1"/>
  <c r="N134" i="210" s="1"/>
  <c r="C118" i="210"/>
  <c r="I118" i="210" s="1"/>
  <c r="H118" i="210" s="1"/>
  <c r="N118" i="210" s="1"/>
  <c r="C95" i="210"/>
  <c r="I95" i="210" s="1"/>
  <c r="H95" i="210" s="1"/>
  <c r="N95" i="210" s="1"/>
  <c r="C44" i="210"/>
  <c r="I44" i="210" s="1"/>
  <c r="H44" i="210" s="1"/>
  <c r="N44" i="210" s="1"/>
  <c r="C69" i="210"/>
  <c r="I69" i="210" s="1"/>
  <c r="H69" i="210" s="1"/>
  <c r="N69" i="210" s="1"/>
  <c r="C67" i="210"/>
  <c r="I67" i="210" s="1"/>
  <c r="H67" i="210" s="1"/>
  <c r="C128" i="210"/>
  <c r="I128" i="210" s="1"/>
  <c r="H128" i="210" s="1"/>
  <c r="N128" i="210" s="1"/>
  <c r="C119" i="210"/>
  <c r="I119" i="210" s="1"/>
  <c r="H119" i="210" s="1"/>
  <c r="N119" i="210" s="1"/>
  <c r="C257" i="210"/>
  <c r="I257" i="210" s="1"/>
  <c r="H257" i="210" s="1"/>
  <c r="C229" i="210"/>
  <c r="I229" i="210" s="1"/>
  <c r="H229" i="210" s="1"/>
  <c r="C205" i="210"/>
  <c r="I205" i="210" s="1"/>
  <c r="H205" i="210" s="1"/>
  <c r="C181" i="210"/>
  <c r="I181" i="210" s="1"/>
  <c r="H181" i="210" s="1"/>
  <c r="C263" i="210"/>
  <c r="I263" i="210" s="1"/>
  <c r="H263" i="210" s="1"/>
  <c r="C243" i="210"/>
  <c r="I243" i="210" s="1"/>
  <c r="H243" i="210" s="1"/>
  <c r="C227" i="210"/>
  <c r="I227" i="210" s="1"/>
  <c r="H227" i="210" s="1"/>
  <c r="C219" i="210"/>
  <c r="I219" i="210" s="1"/>
  <c r="H219" i="210" s="1"/>
  <c r="C211" i="210"/>
  <c r="I211" i="210" s="1"/>
  <c r="H211" i="210" s="1"/>
  <c r="C187" i="210"/>
  <c r="I187" i="210" s="1"/>
  <c r="H187" i="210" s="1"/>
  <c r="C179" i="210"/>
  <c r="I179" i="210" s="1"/>
  <c r="H179" i="210" s="1"/>
  <c r="C157" i="210"/>
  <c r="I157" i="210" s="1"/>
  <c r="H157" i="210" s="1"/>
  <c r="C149" i="210"/>
  <c r="I149" i="210" s="1"/>
  <c r="H149" i="210" s="1"/>
  <c r="C125" i="210"/>
  <c r="I125" i="210" s="1"/>
  <c r="H125" i="210" s="1"/>
  <c r="C117" i="210"/>
  <c r="I117" i="210" s="1"/>
  <c r="H117" i="210" s="1"/>
  <c r="C85" i="210"/>
  <c r="I85" i="210" s="1"/>
  <c r="H85" i="210" s="1"/>
  <c r="C43" i="210"/>
  <c r="I43" i="210" s="1"/>
  <c r="H43" i="210" s="1"/>
  <c r="N43" i="210" s="1"/>
  <c r="C41" i="210"/>
  <c r="I41" i="210" s="1"/>
  <c r="H41" i="210" s="1"/>
  <c r="N41" i="210" s="1"/>
  <c r="C89" i="210"/>
  <c r="I89" i="210" s="1"/>
  <c r="H89" i="210" s="1"/>
  <c r="C64" i="210"/>
  <c r="I64" i="210" s="1"/>
  <c r="H64" i="210" s="1"/>
  <c r="N64" i="210" s="1"/>
  <c r="C138" i="210"/>
  <c r="I138" i="210" s="1"/>
  <c r="H138" i="210" s="1"/>
  <c r="N138" i="210" s="1"/>
  <c r="C122" i="210"/>
  <c r="I122" i="210" s="1"/>
  <c r="H122" i="210" s="1"/>
  <c r="N122" i="210" s="1"/>
  <c r="C97" i="210"/>
  <c r="I97" i="210" s="1"/>
  <c r="H97" i="210" s="1"/>
  <c r="C46" i="210"/>
  <c r="I46" i="210" s="1"/>
  <c r="H46" i="210" s="1"/>
  <c r="N46" i="210" s="1"/>
  <c r="C73" i="210"/>
  <c r="I73" i="210" s="1"/>
  <c r="H73" i="210" s="1"/>
  <c r="N73" i="210" s="1"/>
  <c r="C65" i="210"/>
  <c r="I65" i="210" s="1"/>
  <c r="H65" i="210" s="1"/>
  <c r="N65" i="210" s="1"/>
  <c r="C71" i="210"/>
  <c r="I71" i="210" s="1"/>
  <c r="H71" i="210" s="1"/>
  <c r="N71" i="210" s="1"/>
  <c r="C48" i="210"/>
  <c r="I48" i="210" s="1"/>
  <c r="H48" i="210" s="1"/>
  <c r="N48" i="210" s="1"/>
  <c r="C209" i="210"/>
  <c r="I209" i="210" s="1"/>
  <c r="H209" i="210" s="1"/>
  <c r="C161" i="210"/>
  <c r="I161" i="210" s="1"/>
  <c r="H161" i="210" s="1"/>
  <c r="C203" i="210"/>
  <c r="I203" i="210" s="1"/>
  <c r="H203" i="210" s="1"/>
  <c r="C163" i="210"/>
  <c r="I163" i="210" s="1"/>
  <c r="H163" i="210" s="1"/>
  <c r="C141" i="210"/>
  <c r="I141" i="210" s="1"/>
  <c r="H141" i="210" s="1"/>
  <c r="C62" i="210"/>
  <c r="I62" i="210" s="1"/>
  <c r="H62" i="210" s="1"/>
  <c r="C99" i="210"/>
  <c r="I99" i="210" s="1"/>
  <c r="H99" i="210" s="1"/>
  <c r="N99" i="210" s="1"/>
  <c r="C49" i="210"/>
  <c r="I49" i="210" s="1"/>
  <c r="H49" i="210" s="1"/>
  <c r="N49" i="210" s="1"/>
  <c r="C72" i="210"/>
  <c r="I72" i="210" s="1"/>
  <c r="H72" i="210" s="1"/>
  <c r="N72" i="210" s="1"/>
  <c r="C130" i="210"/>
  <c r="I130" i="210" s="1"/>
  <c r="H130" i="210" s="1"/>
  <c r="N130" i="210" s="1"/>
  <c r="C70" i="210"/>
  <c r="I70" i="210" s="1"/>
  <c r="H70" i="210" s="1"/>
  <c r="N70" i="210" s="1"/>
  <c r="C81" i="210"/>
  <c r="I81" i="210" s="1"/>
  <c r="H81" i="210" s="1"/>
  <c r="C88" i="210"/>
  <c r="I88" i="210" s="1"/>
  <c r="H88" i="210" s="1"/>
  <c r="N88" i="210" s="1"/>
  <c r="C74" i="210"/>
  <c r="I74" i="210" s="1"/>
  <c r="H74" i="210" s="1"/>
  <c r="N74" i="210" s="1"/>
  <c r="C135" i="210"/>
  <c r="I135" i="210" s="1"/>
  <c r="H135" i="210" s="1"/>
  <c r="C265" i="210"/>
  <c r="I265" i="210" s="1"/>
  <c r="H265" i="210" s="1"/>
  <c r="C249" i="210"/>
  <c r="I249" i="210" s="1"/>
  <c r="H249" i="210" s="1"/>
  <c r="C217" i="210"/>
  <c r="I217" i="210" s="1"/>
  <c r="H217" i="210" s="1"/>
  <c r="C169" i="210"/>
  <c r="I169" i="210" s="1"/>
  <c r="H169" i="210" s="1"/>
  <c r="C259" i="210"/>
  <c r="I259" i="210" s="1"/>
  <c r="H259" i="210" s="1"/>
  <c r="C199" i="210"/>
  <c r="I199" i="210" s="1"/>
  <c r="H199" i="210" s="1"/>
  <c r="C159" i="210"/>
  <c r="I159" i="210" s="1"/>
  <c r="H159" i="210" s="1"/>
  <c r="N159" i="210" s="1"/>
  <c r="C137" i="210"/>
  <c r="I137" i="210" s="1"/>
  <c r="H137" i="210" s="1"/>
  <c r="C47" i="210"/>
  <c r="I47" i="210" s="1"/>
  <c r="H47" i="210" s="1"/>
  <c r="N47" i="210" s="1"/>
  <c r="C93" i="210"/>
  <c r="I93" i="210" s="1"/>
  <c r="H93" i="210" s="1"/>
  <c r="C45" i="210"/>
  <c r="I45" i="210" s="1"/>
  <c r="H45" i="210" s="1"/>
  <c r="N45" i="210" s="1"/>
  <c r="C68" i="210"/>
  <c r="I68" i="210" s="1"/>
  <c r="H68" i="210" s="1"/>
  <c r="C126" i="210"/>
  <c r="I126" i="210" s="1"/>
  <c r="H126" i="210" s="1"/>
  <c r="N126" i="210" s="1"/>
  <c r="C66" i="210"/>
  <c r="I66" i="210" s="1"/>
  <c r="H66" i="210" s="1"/>
  <c r="N66" i="210" s="1"/>
  <c r="C63" i="210"/>
  <c r="I63" i="210" s="1"/>
  <c r="H63" i="210" s="1"/>
  <c r="N63" i="210" s="1"/>
  <c r="C61" i="210"/>
  <c r="I61" i="210" s="1"/>
  <c r="H61" i="210" s="1"/>
  <c r="C55" i="210"/>
  <c r="I55" i="210" s="1"/>
  <c r="H55" i="210" s="1"/>
  <c r="C241" i="210"/>
  <c r="I241" i="210" s="1"/>
  <c r="H241" i="210" s="1"/>
  <c r="C177" i="210"/>
  <c r="I177" i="210" s="1"/>
  <c r="H177" i="210" s="1"/>
  <c r="C251" i="210"/>
  <c r="I251" i="210" s="1"/>
  <c r="H251" i="210" s="1"/>
  <c r="C191" i="210"/>
  <c r="I191" i="210" s="1"/>
  <c r="H191" i="210" s="1"/>
  <c r="C167" i="210"/>
  <c r="I167" i="210" s="1"/>
  <c r="H167" i="210" s="1"/>
  <c r="C109" i="210"/>
  <c r="I109" i="210" s="1"/>
  <c r="H109" i="210" s="1"/>
  <c r="C103" i="210"/>
  <c r="I103" i="210" s="1"/>
  <c r="H103" i="210" s="1"/>
  <c r="N103" i="210" s="1"/>
  <c r="C53" i="210"/>
  <c r="I53" i="210" s="1"/>
  <c r="H53" i="210" s="1"/>
  <c r="C86" i="210"/>
  <c r="I86" i="210" s="1"/>
  <c r="H86" i="210" s="1"/>
  <c r="N86" i="210" s="1"/>
  <c r="C129" i="210"/>
  <c r="I129" i="210" s="1"/>
  <c r="H129" i="210" s="1"/>
  <c r="C111" i="210"/>
  <c r="I111" i="210" s="1"/>
  <c r="H111" i="210" s="1"/>
  <c r="C185" i="210"/>
  <c r="I185" i="210" s="1"/>
  <c r="H185" i="210" s="1"/>
  <c r="C223" i="210"/>
  <c r="I223" i="210" s="1"/>
  <c r="H223" i="210" s="1"/>
  <c r="C195" i="210"/>
  <c r="I195" i="210" s="1"/>
  <c r="H195" i="210" s="1"/>
  <c r="C171" i="210"/>
  <c r="I171" i="210" s="1"/>
  <c r="H171" i="210" s="1"/>
  <c r="C115" i="210"/>
  <c r="I115" i="210" s="1"/>
  <c r="H115" i="210" s="1"/>
  <c r="C105" i="210"/>
  <c r="I105" i="210" s="1"/>
  <c r="H105" i="210" s="1"/>
  <c r="C233" i="210"/>
  <c r="I233" i="210" s="1"/>
  <c r="H233" i="210" s="1"/>
  <c r="C201" i="210"/>
  <c r="I201" i="210" s="1"/>
  <c r="H201" i="210" s="1"/>
  <c r="C133" i="210"/>
  <c r="I133" i="210" s="1"/>
  <c r="H133" i="210" s="1"/>
  <c r="C101" i="210"/>
  <c r="I101" i="210" s="1"/>
  <c r="H101" i="210" s="1"/>
  <c r="C83" i="210"/>
  <c r="I83" i="210" s="1"/>
  <c r="H83" i="210" s="1"/>
  <c r="N83" i="210" s="1"/>
  <c r="C158" i="210"/>
  <c r="I158" i="210" s="1"/>
  <c r="H158" i="210" s="1"/>
  <c r="C113" i="210"/>
  <c r="I113" i="210" s="1"/>
  <c r="H113" i="210" s="1"/>
  <c r="C40" i="210"/>
  <c r="I40" i="210" s="1"/>
  <c r="H40" i="210" s="1"/>
  <c r="N40" i="210" s="1"/>
  <c r="C154" i="210"/>
  <c r="I154" i="210" s="1"/>
  <c r="H154" i="210" s="1"/>
  <c r="C225" i="210"/>
  <c r="I225" i="210" s="1"/>
  <c r="H225" i="210" s="1"/>
  <c r="C193" i="210"/>
  <c r="I193" i="210" s="1"/>
  <c r="H193" i="210" s="1"/>
  <c r="C235" i="210"/>
  <c r="I235" i="210" s="1"/>
  <c r="H235" i="210" s="1"/>
  <c r="C91" i="210"/>
  <c r="I91" i="210" s="1"/>
  <c r="H91" i="210" s="1"/>
  <c r="N91" i="210" s="1"/>
  <c r="C77" i="210"/>
  <c r="I77" i="210" s="1"/>
  <c r="H77" i="210" s="1"/>
  <c r="C142" i="210"/>
  <c r="I142" i="210" s="1"/>
  <c r="H142" i="210" s="1"/>
  <c r="N142" i="210" s="1"/>
  <c r="C79" i="210"/>
  <c r="I79" i="210" s="1"/>
  <c r="H79" i="210" s="1"/>
  <c r="N79" i="210" s="1"/>
  <c r="C30" i="210"/>
  <c r="I30" i="210" s="1"/>
  <c r="H30" i="210" s="1"/>
  <c r="N30" i="210" s="1"/>
  <c r="C42" i="210"/>
  <c r="I42" i="210" s="1"/>
  <c r="H42" i="210" s="1"/>
  <c r="N42" i="210" s="1"/>
  <c r="C63" i="227"/>
  <c r="I63" i="227" s="1"/>
  <c r="H63" i="227" s="1"/>
  <c r="N63" i="227" s="1"/>
  <c r="C181" i="227"/>
  <c r="I181" i="227" s="1"/>
  <c r="H181" i="227" s="1"/>
  <c r="N181" i="227" s="1"/>
  <c r="C197" i="227"/>
  <c r="I197" i="227" s="1"/>
  <c r="H197" i="227" s="1"/>
  <c r="N197" i="227" s="1"/>
  <c r="C213" i="227"/>
  <c r="I213" i="227" s="1"/>
  <c r="H213" i="227" s="1"/>
  <c r="N213" i="227" s="1"/>
  <c r="C229" i="227"/>
  <c r="I229" i="227" s="1"/>
  <c r="H229" i="227" s="1"/>
  <c r="N229" i="227" s="1"/>
  <c r="C66" i="227"/>
  <c r="I66" i="227" s="1"/>
  <c r="H66" i="227" s="1"/>
  <c r="N66" i="227" s="1"/>
  <c r="C43" i="227"/>
  <c r="I43" i="227" s="1"/>
  <c r="H43" i="227" s="1"/>
  <c r="N43" i="227" s="1"/>
  <c r="C248" i="227"/>
  <c r="I248" i="227" s="1"/>
  <c r="H248" i="227" s="1"/>
  <c r="N248" i="227" s="1"/>
  <c r="C264" i="227"/>
  <c r="I264" i="227" s="1"/>
  <c r="H264" i="227" s="1"/>
  <c r="C71" i="227"/>
  <c r="I71" i="227" s="1"/>
  <c r="H71" i="227" s="1"/>
  <c r="C70" i="227"/>
  <c r="I70" i="227" s="1"/>
  <c r="H70" i="227" s="1"/>
  <c r="N70" i="227" s="1"/>
  <c r="C62" i="227"/>
  <c r="I62" i="227" s="1"/>
  <c r="H62" i="227" s="1"/>
  <c r="C240" i="227"/>
  <c r="I240" i="227" s="1"/>
  <c r="H240" i="227" s="1"/>
  <c r="N240" i="227" s="1"/>
  <c r="C256" i="227"/>
  <c r="I256" i="227" s="1"/>
  <c r="H256" i="227" s="1"/>
  <c r="C173" i="227"/>
  <c r="I173" i="227" s="1"/>
  <c r="H173" i="227" s="1"/>
  <c r="N173" i="227" s="1"/>
  <c r="C205" i="227"/>
  <c r="I205" i="227" s="1"/>
  <c r="H205" i="227" s="1"/>
  <c r="N205" i="227" s="1"/>
  <c r="C170" i="227"/>
  <c r="I170" i="227" s="1"/>
  <c r="H170" i="227" s="1"/>
  <c r="N170" i="227" s="1"/>
  <c r="C202" i="227"/>
  <c r="I202" i="227" s="1"/>
  <c r="H202" i="227" s="1"/>
  <c r="N202" i="227" s="1"/>
  <c r="C234" i="227"/>
  <c r="I234" i="227" s="1"/>
  <c r="H234" i="227" s="1"/>
  <c r="N234" i="227" s="1"/>
  <c r="C189" i="227"/>
  <c r="I189" i="227" s="1"/>
  <c r="H189" i="227" s="1"/>
  <c r="N189" i="227" s="1"/>
  <c r="C260" i="227"/>
  <c r="I260" i="227" s="1"/>
  <c r="H260" i="227" s="1"/>
  <c r="C178" i="227"/>
  <c r="I178" i="227" s="1"/>
  <c r="H178" i="227" s="1"/>
  <c r="N178" i="227" s="1"/>
  <c r="C218" i="227"/>
  <c r="I218" i="227" s="1"/>
  <c r="H218" i="227" s="1"/>
  <c r="N218" i="227" s="1"/>
  <c r="C160" i="227"/>
  <c r="I160" i="227" s="1"/>
  <c r="H160" i="227" s="1"/>
  <c r="C144" i="227"/>
  <c r="I144" i="227" s="1"/>
  <c r="H144" i="227" s="1"/>
  <c r="C120" i="227"/>
  <c r="I120" i="227" s="1"/>
  <c r="H120" i="227" s="1"/>
  <c r="N120" i="227" s="1"/>
  <c r="C104" i="227"/>
  <c r="I104" i="227" s="1"/>
  <c r="H104" i="227" s="1"/>
  <c r="N104" i="227" s="1"/>
  <c r="C96" i="227"/>
  <c r="I96" i="227" s="1"/>
  <c r="H96" i="227" s="1"/>
  <c r="C80" i="227"/>
  <c r="I80" i="227" s="1"/>
  <c r="H80" i="227" s="1"/>
  <c r="C166" i="227"/>
  <c r="I166" i="227" s="1"/>
  <c r="H166" i="227" s="1"/>
  <c r="N166" i="227" s="1"/>
  <c r="C150" i="227"/>
  <c r="I150" i="227" s="1"/>
  <c r="H150" i="227" s="1"/>
  <c r="N150" i="227" s="1"/>
  <c r="C142" i="227"/>
  <c r="I142" i="227" s="1"/>
  <c r="H142" i="227" s="1"/>
  <c r="C118" i="227"/>
  <c r="I118" i="227" s="1"/>
  <c r="H118" i="227" s="1"/>
  <c r="N118" i="227" s="1"/>
  <c r="C110" i="227"/>
  <c r="I110" i="227" s="1"/>
  <c r="H110" i="227" s="1"/>
  <c r="C86" i="227"/>
  <c r="I86" i="227" s="1"/>
  <c r="H86" i="227" s="1"/>
  <c r="N86" i="227" s="1"/>
  <c r="C78" i="227"/>
  <c r="I78" i="227" s="1"/>
  <c r="H78" i="227" s="1"/>
  <c r="C259" i="227"/>
  <c r="I259" i="227" s="1"/>
  <c r="H259" i="227" s="1"/>
  <c r="N259" i="227" s="1"/>
  <c r="C251" i="227"/>
  <c r="I251" i="227" s="1"/>
  <c r="H251" i="227" s="1"/>
  <c r="C243" i="227"/>
  <c r="I243" i="227" s="1"/>
  <c r="H243" i="227" s="1"/>
  <c r="N243" i="227" s="1"/>
  <c r="C58" i="227"/>
  <c r="I58" i="227" s="1"/>
  <c r="H58" i="227" s="1"/>
  <c r="C61" i="227"/>
  <c r="I61" i="227" s="1"/>
  <c r="H61" i="227" s="1"/>
  <c r="N61" i="227" s="1"/>
  <c r="C53" i="227"/>
  <c r="I53" i="227" s="1"/>
  <c r="H53" i="227" s="1"/>
  <c r="C55" i="227"/>
  <c r="I55" i="227" s="1"/>
  <c r="H55" i="227" s="1"/>
  <c r="C65" i="227"/>
  <c r="I65" i="227" s="1"/>
  <c r="H65" i="227" s="1"/>
  <c r="N65" i="227" s="1"/>
  <c r="C185" i="227"/>
  <c r="I185" i="227" s="1"/>
  <c r="H185" i="227" s="1"/>
  <c r="N185" i="227" s="1"/>
  <c r="C72" i="227"/>
  <c r="I72" i="227" s="1"/>
  <c r="H72" i="227" s="1"/>
  <c r="N72" i="227" s="1"/>
  <c r="C230" i="227"/>
  <c r="I230" i="227" s="1"/>
  <c r="H230" i="227" s="1"/>
  <c r="C214" i="227"/>
  <c r="I214" i="227" s="1"/>
  <c r="H214" i="227" s="1"/>
  <c r="C64" i="227"/>
  <c r="I64" i="227" s="1"/>
  <c r="H64" i="227" s="1"/>
  <c r="N64" i="227" s="1"/>
  <c r="C244" i="227"/>
  <c r="I244" i="227" s="1"/>
  <c r="H244" i="227" s="1"/>
  <c r="C67" i="227"/>
  <c r="I67" i="227" s="1"/>
  <c r="H67" i="227" s="1"/>
  <c r="C194" i="227"/>
  <c r="I194" i="227" s="1"/>
  <c r="H194" i="227" s="1"/>
  <c r="N194" i="227" s="1"/>
  <c r="C235" i="227"/>
  <c r="I235" i="227" s="1"/>
  <c r="H235" i="227" s="1"/>
  <c r="C227" i="227"/>
  <c r="I227" i="227" s="1"/>
  <c r="H227" i="227" s="1"/>
  <c r="N227" i="227" s="1"/>
  <c r="C219" i="227"/>
  <c r="I219" i="227" s="1"/>
  <c r="H219" i="227" s="1"/>
  <c r="C211" i="227"/>
  <c r="I211" i="227" s="1"/>
  <c r="H211" i="227" s="1"/>
  <c r="N211" i="227" s="1"/>
  <c r="C203" i="227"/>
  <c r="I203" i="227" s="1"/>
  <c r="H203" i="227" s="1"/>
  <c r="C195" i="227"/>
  <c r="I195" i="227" s="1"/>
  <c r="H195" i="227" s="1"/>
  <c r="N195" i="227" s="1"/>
  <c r="C187" i="227"/>
  <c r="I187" i="227" s="1"/>
  <c r="H187" i="227" s="1"/>
  <c r="C179" i="227"/>
  <c r="I179" i="227" s="1"/>
  <c r="H179" i="227" s="1"/>
  <c r="N179" i="227" s="1"/>
  <c r="C171" i="227"/>
  <c r="I171" i="227" s="1"/>
  <c r="H171" i="227" s="1"/>
  <c r="C232" i="227"/>
  <c r="I232" i="227" s="1"/>
  <c r="H232" i="227" s="1"/>
  <c r="N232" i="227" s="1"/>
  <c r="C224" i="227"/>
  <c r="I224" i="227" s="1"/>
  <c r="H224" i="227" s="1"/>
  <c r="N224" i="227" s="1"/>
  <c r="C216" i="227"/>
  <c r="I216" i="227" s="1"/>
  <c r="H216" i="227" s="1"/>
  <c r="N216" i="227" s="1"/>
  <c r="C208" i="227"/>
  <c r="I208" i="227" s="1"/>
  <c r="H208" i="227" s="1"/>
  <c r="N208" i="227" s="1"/>
  <c r="C200" i="227"/>
  <c r="I200" i="227" s="1"/>
  <c r="H200" i="227" s="1"/>
  <c r="N200" i="227" s="1"/>
  <c r="C192" i="227"/>
  <c r="I192" i="227" s="1"/>
  <c r="H192" i="227" s="1"/>
  <c r="N192" i="227" s="1"/>
  <c r="C184" i="227"/>
  <c r="I184" i="227" s="1"/>
  <c r="H184" i="227" s="1"/>
  <c r="N184" i="227" s="1"/>
  <c r="C176" i="227"/>
  <c r="I176" i="227" s="1"/>
  <c r="H176" i="227" s="1"/>
  <c r="N176" i="227" s="1"/>
  <c r="C168" i="227"/>
  <c r="I168" i="227" s="1"/>
  <c r="H168" i="227" s="1"/>
  <c r="N168" i="227" s="1"/>
  <c r="C152" i="227"/>
  <c r="I152" i="227" s="1"/>
  <c r="H152" i="227" s="1"/>
  <c r="N152" i="227" s="1"/>
  <c r="C136" i="227"/>
  <c r="I136" i="227" s="1"/>
  <c r="H136" i="227" s="1"/>
  <c r="N136" i="227" s="1"/>
  <c r="C128" i="227"/>
  <c r="I128" i="227" s="1"/>
  <c r="H128" i="227" s="1"/>
  <c r="C112" i="227"/>
  <c r="I112" i="227" s="1"/>
  <c r="H112" i="227" s="1"/>
  <c r="C88" i="227"/>
  <c r="I88" i="227" s="1"/>
  <c r="H88" i="227" s="1"/>
  <c r="N88" i="227" s="1"/>
  <c r="C34" i="227"/>
  <c r="I34" i="227" s="1"/>
  <c r="H34" i="227" s="1"/>
  <c r="N34" i="227" s="1"/>
  <c r="C158" i="227"/>
  <c r="I158" i="227" s="1"/>
  <c r="H158" i="227" s="1"/>
  <c r="C134" i="227"/>
  <c r="I134" i="227" s="1"/>
  <c r="H134" i="227" s="1"/>
  <c r="N134" i="227" s="1"/>
  <c r="C126" i="227"/>
  <c r="I126" i="227" s="1"/>
  <c r="H126" i="227" s="1"/>
  <c r="C102" i="227"/>
  <c r="I102" i="227" s="1"/>
  <c r="H102" i="227" s="1"/>
  <c r="N102" i="227" s="1"/>
  <c r="C94" i="227"/>
  <c r="I94" i="227" s="1"/>
  <c r="H94" i="227" s="1"/>
  <c r="C50" i="227"/>
  <c r="I50" i="227" s="1"/>
  <c r="H50" i="227" s="1"/>
  <c r="N50" i="227" s="1"/>
  <c r="C261" i="227"/>
  <c r="I261" i="227" s="1"/>
  <c r="H261" i="227" s="1"/>
  <c r="N261" i="227" s="1"/>
  <c r="C253" i="227"/>
  <c r="I253" i="227" s="1"/>
  <c r="H253" i="227" s="1"/>
  <c r="C245" i="227"/>
  <c r="I245" i="227" s="1"/>
  <c r="H245" i="227" s="1"/>
  <c r="N245" i="227" s="1"/>
  <c r="C237" i="227"/>
  <c r="I237" i="227" s="1"/>
  <c r="H237" i="227" s="1"/>
  <c r="C56" i="227"/>
  <c r="I56" i="227" s="1"/>
  <c r="H56" i="227" s="1"/>
  <c r="C35" i="227"/>
  <c r="I35" i="227" s="1"/>
  <c r="H35" i="227" s="1"/>
  <c r="N35" i="227" s="1"/>
  <c r="C27" i="227"/>
  <c r="I27" i="227" s="1"/>
  <c r="H27" i="227" s="1"/>
  <c r="N27" i="227" s="1"/>
  <c r="C262" i="227"/>
  <c r="I262" i="227" s="1"/>
  <c r="H262" i="227" s="1"/>
  <c r="C246" i="227"/>
  <c r="I246" i="227" s="1"/>
  <c r="H246" i="227" s="1"/>
  <c r="N246" i="227" s="1"/>
  <c r="C217" i="227"/>
  <c r="I217" i="227" s="1"/>
  <c r="H217" i="227" s="1"/>
  <c r="N217" i="227" s="1"/>
  <c r="C40" i="227"/>
  <c r="I40" i="227" s="1"/>
  <c r="H40" i="227" s="1"/>
  <c r="N40" i="227" s="1"/>
  <c r="C198" i="227"/>
  <c r="I198" i="227" s="1"/>
  <c r="H198" i="227" s="1"/>
  <c r="C182" i="227"/>
  <c r="I182" i="227" s="1"/>
  <c r="H182" i="227" s="1"/>
  <c r="C167" i="227"/>
  <c r="I167" i="227" s="1"/>
  <c r="H167" i="227" s="1"/>
  <c r="N167" i="227" s="1"/>
  <c r="C151" i="227"/>
  <c r="I151" i="227" s="1"/>
  <c r="H151" i="227" s="1"/>
  <c r="N151" i="227" s="1"/>
  <c r="C135" i="227"/>
  <c r="I135" i="227" s="1"/>
  <c r="H135" i="227" s="1"/>
  <c r="N135" i="227" s="1"/>
  <c r="C119" i="227"/>
  <c r="I119" i="227" s="1"/>
  <c r="H119" i="227" s="1"/>
  <c r="N119" i="227" s="1"/>
  <c r="C103" i="227"/>
  <c r="I103" i="227" s="1"/>
  <c r="H103" i="227" s="1"/>
  <c r="N103" i="227" s="1"/>
  <c r="C87" i="227"/>
  <c r="I87" i="227" s="1"/>
  <c r="H87" i="227" s="1"/>
  <c r="N87" i="227" s="1"/>
  <c r="C165" i="227"/>
  <c r="I165" i="227" s="1"/>
  <c r="H165" i="227" s="1"/>
  <c r="C149" i="227"/>
  <c r="I149" i="227" s="1"/>
  <c r="H149" i="227" s="1"/>
  <c r="C133" i="227"/>
  <c r="I133" i="227" s="1"/>
  <c r="H133" i="227" s="1"/>
  <c r="C117" i="227"/>
  <c r="I117" i="227" s="1"/>
  <c r="H117" i="227" s="1"/>
  <c r="C101" i="227"/>
  <c r="I101" i="227" s="1"/>
  <c r="H101" i="227" s="1"/>
  <c r="C85" i="227"/>
  <c r="I85" i="227" s="1"/>
  <c r="H85" i="227" s="1"/>
  <c r="C177" i="227"/>
  <c r="I177" i="227" s="1"/>
  <c r="H177" i="227" s="1"/>
  <c r="N177" i="227" s="1"/>
  <c r="C46" i="227"/>
  <c r="I46" i="227" s="1"/>
  <c r="H46" i="227" s="1"/>
  <c r="C39" i="227"/>
  <c r="I39" i="227" s="1"/>
  <c r="H39" i="227" s="1"/>
  <c r="C69" i="227"/>
  <c r="I69" i="227" s="1"/>
  <c r="H69" i="227" s="1"/>
  <c r="N69" i="227" s="1"/>
  <c r="C148" i="227"/>
  <c r="I148" i="227" s="1"/>
  <c r="H148" i="227" s="1"/>
  <c r="C132" i="227"/>
  <c r="I132" i="227" s="1"/>
  <c r="H132" i="227" s="1"/>
  <c r="C92" i="227"/>
  <c r="I92" i="227" s="1"/>
  <c r="H92" i="227" s="1"/>
  <c r="N92" i="227" s="1"/>
  <c r="C76" i="227"/>
  <c r="I76" i="227" s="1"/>
  <c r="H76" i="227" s="1"/>
  <c r="N76" i="227" s="1"/>
  <c r="C162" i="227"/>
  <c r="I162" i="227" s="1"/>
  <c r="H162" i="227" s="1"/>
  <c r="C138" i="227"/>
  <c r="I138" i="227" s="1"/>
  <c r="H138" i="227" s="1"/>
  <c r="N138" i="227" s="1"/>
  <c r="C74" i="227"/>
  <c r="I74" i="227" s="1"/>
  <c r="H74" i="227" s="1"/>
  <c r="N74" i="227" s="1"/>
  <c r="C54" i="227"/>
  <c r="I54" i="227" s="1"/>
  <c r="H54" i="227" s="1"/>
  <c r="C52" i="227"/>
  <c r="I52" i="227" s="1"/>
  <c r="H52" i="227" s="1"/>
  <c r="C51" i="227"/>
  <c r="I51" i="227" s="1"/>
  <c r="H51" i="227" s="1"/>
  <c r="N51" i="227" s="1"/>
  <c r="C254" i="227"/>
  <c r="I254" i="227" s="1"/>
  <c r="H254" i="227" s="1"/>
  <c r="N254" i="227" s="1"/>
  <c r="C169" i="227"/>
  <c r="I169" i="227" s="1"/>
  <c r="H169" i="227" s="1"/>
  <c r="N169" i="227" s="1"/>
  <c r="C190" i="227"/>
  <c r="I190" i="227" s="1"/>
  <c r="H190" i="227" s="1"/>
  <c r="C163" i="227"/>
  <c r="I163" i="227" s="1"/>
  <c r="H163" i="227" s="1"/>
  <c r="N163" i="227" s="1"/>
  <c r="C155" i="227"/>
  <c r="I155" i="227" s="1"/>
  <c r="H155" i="227" s="1"/>
  <c r="C127" i="227"/>
  <c r="I127" i="227" s="1"/>
  <c r="H127" i="227" s="1"/>
  <c r="C99" i="227"/>
  <c r="I99" i="227" s="1"/>
  <c r="H99" i="227" s="1"/>
  <c r="N99" i="227" s="1"/>
  <c r="C91" i="227"/>
  <c r="I91" i="227" s="1"/>
  <c r="H91" i="227" s="1"/>
  <c r="C41" i="227"/>
  <c r="I41" i="227" s="1"/>
  <c r="H41" i="227" s="1"/>
  <c r="N41" i="227" s="1"/>
  <c r="C258" i="227"/>
  <c r="I258" i="227" s="1"/>
  <c r="H258" i="227" s="1"/>
  <c r="C242" i="227"/>
  <c r="I242" i="227" s="1"/>
  <c r="H242" i="227" s="1"/>
  <c r="C141" i="227"/>
  <c r="I141" i="227" s="1"/>
  <c r="H141" i="227" s="1"/>
  <c r="N141" i="227" s="1"/>
  <c r="C113" i="227"/>
  <c r="I113" i="227" s="1"/>
  <c r="H113" i="227" s="1"/>
  <c r="C105" i="227"/>
  <c r="I105" i="227" s="1"/>
  <c r="H105" i="227" s="1"/>
  <c r="N105" i="227" s="1"/>
  <c r="C77" i="227"/>
  <c r="I77" i="227" s="1"/>
  <c r="H77" i="227" s="1"/>
  <c r="N77" i="227" s="1"/>
  <c r="C225" i="227"/>
  <c r="I225" i="227" s="1"/>
  <c r="H225" i="227" s="1"/>
  <c r="N225" i="227" s="1"/>
  <c r="C193" i="227"/>
  <c r="I193" i="227" s="1"/>
  <c r="H193" i="227" s="1"/>
  <c r="N193" i="227" s="1"/>
  <c r="C48" i="227"/>
  <c r="I48" i="227" s="1"/>
  <c r="H48" i="227" s="1"/>
  <c r="N48" i="227" s="1"/>
  <c r="C42" i="227"/>
  <c r="I42" i="227" s="1"/>
  <c r="H42" i="227" s="1"/>
  <c r="C210" i="227"/>
  <c r="I210" i="227" s="1"/>
  <c r="H210" i="227" s="1"/>
  <c r="N210" i="227" s="1"/>
  <c r="C156" i="227"/>
  <c r="I156" i="227" s="1"/>
  <c r="H156" i="227" s="1"/>
  <c r="N156" i="227" s="1"/>
  <c r="C140" i="227"/>
  <c r="I140" i="227" s="1"/>
  <c r="H140" i="227" s="1"/>
  <c r="N140" i="227" s="1"/>
  <c r="C84" i="227"/>
  <c r="I84" i="227" s="1"/>
  <c r="H84" i="227" s="1"/>
  <c r="C30" i="227"/>
  <c r="I30" i="227" s="1"/>
  <c r="H30" i="227" s="1"/>
  <c r="N30" i="227" s="1"/>
  <c r="C106" i="227"/>
  <c r="I106" i="227" s="1"/>
  <c r="H106" i="227" s="1"/>
  <c r="N106" i="227" s="1"/>
  <c r="C32" i="227"/>
  <c r="I32" i="227" s="1"/>
  <c r="H32" i="227" s="1"/>
  <c r="N32" i="227" s="1"/>
  <c r="C255" i="227"/>
  <c r="I255" i="227" s="1"/>
  <c r="H255" i="227" s="1"/>
  <c r="N255" i="227" s="1"/>
  <c r="C239" i="227"/>
  <c r="I239" i="227" s="1"/>
  <c r="H239" i="227" s="1"/>
  <c r="N239" i="227" s="1"/>
  <c r="C265" i="227"/>
  <c r="I265" i="227" s="1"/>
  <c r="H265" i="227" s="1"/>
  <c r="C249" i="227"/>
  <c r="I249" i="227" s="1"/>
  <c r="H249" i="227" s="1"/>
  <c r="C29" i="227"/>
  <c r="I29" i="227" s="1"/>
  <c r="H29" i="227" s="1"/>
  <c r="N29" i="227" s="1"/>
  <c r="C59" i="227"/>
  <c r="I59" i="227" s="1"/>
  <c r="H59" i="227" s="1"/>
  <c r="C238" i="227"/>
  <c r="I238" i="227" s="1"/>
  <c r="H238" i="227" s="1"/>
  <c r="N238" i="227" s="1"/>
  <c r="C233" i="227"/>
  <c r="I233" i="227" s="1"/>
  <c r="H233" i="227" s="1"/>
  <c r="N233" i="227" s="1"/>
  <c r="C222" i="227"/>
  <c r="I222" i="227" s="1"/>
  <c r="H222" i="227" s="1"/>
  <c r="C159" i="227"/>
  <c r="I159" i="227" s="1"/>
  <c r="H159" i="227" s="1"/>
  <c r="C131" i="227"/>
  <c r="I131" i="227" s="1"/>
  <c r="H131" i="227" s="1"/>
  <c r="N131" i="227" s="1"/>
  <c r="C123" i="227"/>
  <c r="I123" i="227" s="1"/>
  <c r="H123" i="227" s="1"/>
  <c r="C95" i="227"/>
  <c r="I95" i="227" s="1"/>
  <c r="H95" i="227" s="1"/>
  <c r="C45" i="227"/>
  <c r="I45" i="227" s="1"/>
  <c r="H45" i="227" s="1"/>
  <c r="N45" i="227" s="1"/>
  <c r="C250" i="227"/>
  <c r="I250" i="227" s="1"/>
  <c r="H250" i="227" s="1"/>
  <c r="C145" i="227"/>
  <c r="I145" i="227" s="1"/>
  <c r="H145" i="227" s="1"/>
  <c r="C137" i="227"/>
  <c r="I137" i="227" s="1"/>
  <c r="H137" i="227" s="1"/>
  <c r="N137" i="227" s="1"/>
  <c r="C109" i="227"/>
  <c r="I109" i="227" s="1"/>
  <c r="H109" i="227" s="1"/>
  <c r="N109" i="227" s="1"/>
  <c r="C81" i="227"/>
  <c r="I81" i="227" s="1"/>
  <c r="H81" i="227" s="1"/>
  <c r="C73" i="227"/>
  <c r="I73" i="227" s="1"/>
  <c r="H73" i="227" s="1"/>
  <c r="N73" i="227" s="1"/>
  <c r="C209" i="227"/>
  <c r="I209" i="227" s="1"/>
  <c r="H209" i="227" s="1"/>
  <c r="N209" i="227" s="1"/>
  <c r="C215" i="227"/>
  <c r="I215" i="227" s="1"/>
  <c r="H215" i="227" s="1"/>
  <c r="C183" i="227"/>
  <c r="I183" i="227" s="1"/>
  <c r="H183" i="227" s="1"/>
  <c r="C220" i="227"/>
  <c r="I220" i="227" s="1"/>
  <c r="H220" i="227" s="1"/>
  <c r="C188" i="227"/>
  <c r="I188" i="227" s="1"/>
  <c r="H188" i="227" s="1"/>
  <c r="C116" i="227"/>
  <c r="I116" i="227" s="1"/>
  <c r="H116" i="227" s="1"/>
  <c r="C146" i="227"/>
  <c r="I146" i="227" s="1"/>
  <c r="H146" i="227" s="1"/>
  <c r="C98" i="227"/>
  <c r="I98" i="227" s="1"/>
  <c r="H98" i="227" s="1"/>
  <c r="C241" i="227"/>
  <c r="I241" i="227" s="1"/>
  <c r="H241" i="227" s="1"/>
  <c r="N241" i="227" s="1"/>
  <c r="C37" i="227"/>
  <c r="I37" i="227" s="1"/>
  <c r="H37" i="227" s="1"/>
  <c r="N37" i="227" s="1"/>
  <c r="C174" i="227"/>
  <c r="I174" i="227" s="1"/>
  <c r="H174" i="227" s="1"/>
  <c r="C143" i="227"/>
  <c r="I143" i="227" s="1"/>
  <c r="H143" i="227" s="1"/>
  <c r="C115" i="227"/>
  <c r="I115" i="227" s="1"/>
  <c r="H115" i="227" s="1"/>
  <c r="N115" i="227" s="1"/>
  <c r="C153" i="227"/>
  <c r="I153" i="227" s="1"/>
  <c r="H153" i="227" s="1"/>
  <c r="N153" i="227" s="1"/>
  <c r="C125" i="227"/>
  <c r="I125" i="227" s="1"/>
  <c r="H125" i="227" s="1"/>
  <c r="N125" i="227" s="1"/>
  <c r="C97" i="227"/>
  <c r="I97" i="227" s="1"/>
  <c r="H97" i="227" s="1"/>
  <c r="C186" i="227"/>
  <c r="I186" i="227" s="1"/>
  <c r="H186" i="227" s="1"/>
  <c r="N186" i="227" s="1"/>
  <c r="C26" i="227"/>
  <c r="I26" i="227" s="1"/>
  <c r="H26" i="227" s="1"/>
  <c r="N26" i="227" s="1"/>
  <c r="C207" i="227"/>
  <c r="I207" i="227" s="1"/>
  <c r="H207" i="227" s="1"/>
  <c r="N207" i="227" s="1"/>
  <c r="C175" i="227"/>
  <c r="I175" i="227" s="1"/>
  <c r="H175" i="227" s="1"/>
  <c r="N175" i="227" s="1"/>
  <c r="C212" i="227"/>
  <c r="I212" i="227" s="1"/>
  <c r="H212" i="227" s="1"/>
  <c r="C180" i="227"/>
  <c r="I180" i="227" s="1"/>
  <c r="H180" i="227" s="1"/>
  <c r="C108" i="227"/>
  <c r="I108" i="227" s="1"/>
  <c r="H108" i="227" s="1"/>
  <c r="N108" i="227" s="1"/>
  <c r="C130" i="227"/>
  <c r="I130" i="227" s="1"/>
  <c r="H130" i="227" s="1"/>
  <c r="C90" i="227"/>
  <c r="I90" i="227" s="1"/>
  <c r="H90" i="227" s="1"/>
  <c r="N90" i="227" s="1"/>
  <c r="C263" i="227"/>
  <c r="I263" i="227" s="1"/>
  <c r="H263" i="227" s="1"/>
  <c r="C60" i="227"/>
  <c r="I60" i="227" s="1"/>
  <c r="H60" i="227" s="1"/>
  <c r="C206" i="227"/>
  <c r="I206" i="227" s="1"/>
  <c r="H206" i="227" s="1"/>
  <c r="C139" i="227"/>
  <c r="I139" i="227" s="1"/>
  <c r="H139" i="227" s="1"/>
  <c r="C111" i="227"/>
  <c r="I111" i="227" s="1"/>
  <c r="H111" i="227" s="1"/>
  <c r="C83" i="227"/>
  <c r="I83" i="227" s="1"/>
  <c r="H83" i="227" s="1"/>
  <c r="N83" i="227" s="1"/>
  <c r="C121" i="227"/>
  <c r="I121" i="227" s="1"/>
  <c r="H121" i="227" s="1"/>
  <c r="N121" i="227" s="1"/>
  <c r="C93" i="227"/>
  <c r="I93" i="227" s="1"/>
  <c r="H93" i="227" s="1"/>
  <c r="N93" i="227" s="1"/>
  <c r="C252" i="227"/>
  <c r="I252" i="227" s="1"/>
  <c r="H252" i="227" s="1"/>
  <c r="C199" i="227"/>
  <c r="I199" i="227" s="1"/>
  <c r="H199" i="227" s="1"/>
  <c r="C204" i="227"/>
  <c r="I204" i="227" s="1"/>
  <c r="H204" i="227" s="1"/>
  <c r="C82" i="227"/>
  <c r="I82" i="227" s="1"/>
  <c r="H82" i="227" s="1"/>
  <c r="C257" i="227"/>
  <c r="I257" i="227" s="1"/>
  <c r="H257" i="227" s="1"/>
  <c r="N257" i="227" s="1"/>
  <c r="C201" i="227"/>
  <c r="I201" i="227" s="1"/>
  <c r="H201" i="227" s="1"/>
  <c r="N201" i="227" s="1"/>
  <c r="C44" i="227"/>
  <c r="I44" i="227" s="1"/>
  <c r="H44" i="227" s="1"/>
  <c r="C161" i="227"/>
  <c r="I161" i="227" s="1"/>
  <c r="H161" i="227" s="1"/>
  <c r="C221" i="227"/>
  <c r="I221" i="227" s="1"/>
  <c r="H221" i="227" s="1"/>
  <c r="N221" i="227" s="1"/>
  <c r="C47" i="227"/>
  <c r="I47" i="227" s="1"/>
  <c r="H47" i="227" s="1"/>
  <c r="N47" i="227" s="1"/>
  <c r="C191" i="227"/>
  <c r="I191" i="227" s="1"/>
  <c r="H191" i="227" s="1"/>
  <c r="N191" i="227" s="1"/>
  <c r="C196" i="227"/>
  <c r="I196" i="227" s="1"/>
  <c r="H196" i="227" s="1"/>
  <c r="C124" i="227"/>
  <c r="I124" i="227" s="1"/>
  <c r="H124" i="227" s="1"/>
  <c r="N124" i="227" s="1"/>
  <c r="C154" i="227"/>
  <c r="I154" i="227" s="1"/>
  <c r="H154" i="227" s="1"/>
  <c r="N154" i="227" s="1"/>
  <c r="C57" i="227"/>
  <c r="I57" i="227" s="1"/>
  <c r="H57" i="227" s="1"/>
  <c r="C147" i="227"/>
  <c r="I147" i="227" s="1"/>
  <c r="H147" i="227" s="1"/>
  <c r="N147" i="227" s="1"/>
  <c r="C157" i="227"/>
  <c r="I157" i="227" s="1"/>
  <c r="H157" i="227" s="1"/>
  <c r="N157" i="227" s="1"/>
  <c r="C129" i="227"/>
  <c r="I129" i="227" s="1"/>
  <c r="H129" i="227" s="1"/>
  <c r="C68" i="227"/>
  <c r="I68" i="227" s="1"/>
  <c r="H68" i="227" s="1"/>
  <c r="N68" i="227" s="1"/>
  <c r="C226" i="227"/>
  <c r="I226" i="227" s="1"/>
  <c r="H226" i="227" s="1"/>
  <c r="N226" i="227" s="1"/>
  <c r="C231" i="227"/>
  <c r="I231" i="227" s="1"/>
  <c r="H231" i="227" s="1"/>
  <c r="C236" i="227"/>
  <c r="I236" i="227" s="1"/>
  <c r="H236" i="227" s="1"/>
  <c r="C172" i="227"/>
  <c r="I172" i="227" s="1"/>
  <c r="H172" i="227" s="1"/>
  <c r="C100" i="227"/>
  <c r="I100" i="227" s="1"/>
  <c r="H100" i="227" s="1"/>
  <c r="C122" i="227"/>
  <c r="I122" i="227" s="1"/>
  <c r="H122" i="227" s="1"/>
  <c r="N122" i="227" s="1"/>
  <c r="C107" i="227"/>
  <c r="I107" i="227" s="1"/>
  <c r="H107" i="227" s="1"/>
  <c r="C79" i="227"/>
  <c r="I79" i="227" s="1"/>
  <c r="H79" i="227" s="1"/>
  <c r="C89" i="227"/>
  <c r="I89" i="227" s="1"/>
  <c r="H89" i="227" s="1"/>
  <c r="N89" i="227" s="1"/>
  <c r="C223" i="227"/>
  <c r="I223" i="227" s="1"/>
  <c r="H223" i="227" s="1"/>
  <c r="N223" i="227" s="1"/>
  <c r="C114" i="227"/>
  <c r="I114" i="227" s="1"/>
  <c r="H114" i="227" s="1"/>
  <c r="C164" i="227"/>
  <c r="I164" i="227" s="1"/>
  <c r="H164" i="227" s="1"/>
  <c r="C75" i="227"/>
  <c r="I75" i="227" s="1"/>
  <c r="H75" i="227" s="1"/>
  <c r="C228" i="227"/>
  <c r="I228" i="227" s="1"/>
  <c r="H228" i="227" s="1"/>
  <c r="C247" i="227"/>
  <c r="I247" i="227" s="1"/>
  <c r="H247" i="227" s="1"/>
  <c r="C36" i="227"/>
  <c r="I36" i="227" s="1"/>
  <c r="H36" i="227" s="1"/>
  <c r="N36" i="227" s="1"/>
  <c r="C31" i="227"/>
  <c r="I31" i="227" s="1"/>
  <c r="H31" i="227" s="1"/>
  <c r="N31" i="227" s="1"/>
  <c r="C139" i="229"/>
  <c r="I139" i="229" s="1"/>
  <c r="H139" i="229" s="1"/>
  <c r="C159" i="229"/>
  <c r="I159" i="229" s="1"/>
  <c r="H159" i="229" s="1"/>
  <c r="C114" i="229"/>
  <c r="I114" i="229" s="1"/>
  <c r="H114" i="229" s="1"/>
  <c r="C106" i="229"/>
  <c r="I106" i="229" s="1"/>
  <c r="H106" i="229" s="1"/>
  <c r="N106" i="229" s="1"/>
  <c r="C88" i="229"/>
  <c r="I88" i="229" s="1"/>
  <c r="H88" i="229" s="1"/>
  <c r="C45" i="229"/>
  <c r="I45" i="229" s="1"/>
  <c r="H45" i="229" s="1"/>
  <c r="N45" i="229" s="1"/>
  <c r="C28" i="229"/>
  <c r="I28" i="229" s="1"/>
  <c r="H28" i="229" s="1"/>
  <c r="N28" i="229" s="1"/>
  <c r="C89" i="229"/>
  <c r="I89" i="229" s="1"/>
  <c r="H89" i="229" s="1"/>
  <c r="N89" i="229" s="1"/>
  <c r="C75" i="229"/>
  <c r="I75" i="229" s="1"/>
  <c r="H75" i="229" s="1"/>
  <c r="N75" i="229" s="1"/>
  <c r="C85" i="229"/>
  <c r="I85" i="229" s="1"/>
  <c r="H85" i="229" s="1"/>
  <c r="N85" i="229" s="1"/>
  <c r="C154" i="229"/>
  <c r="I154" i="229" s="1"/>
  <c r="H154" i="229" s="1"/>
  <c r="N154" i="229" s="1"/>
  <c r="C56" i="229"/>
  <c r="I56" i="229" s="1"/>
  <c r="H56" i="229" s="1"/>
  <c r="C131" i="229"/>
  <c r="I131" i="229" s="1"/>
  <c r="H131" i="229" s="1"/>
  <c r="C147" i="229"/>
  <c r="I147" i="229" s="1"/>
  <c r="H147" i="229" s="1"/>
  <c r="C101" i="229"/>
  <c r="I101" i="229" s="1"/>
  <c r="H101" i="229" s="1"/>
  <c r="N101" i="229" s="1"/>
  <c r="C122" i="229"/>
  <c r="I122" i="229" s="1"/>
  <c r="H122" i="229" s="1"/>
  <c r="N122" i="229" s="1"/>
  <c r="C29" i="229"/>
  <c r="I29" i="229" s="1"/>
  <c r="H29" i="229" s="1"/>
  <c r="C27" i="229"/>
  <c r="I27" i="229" s="1"/>
  <c r="H27" i="229" s="1"/>
  <c r="N27" i="229" s="1"/>
  <c r="C171" i="229"/>
  <c r="I171" i="229" s="1"/>
  <c r="H171" i="229" s="1"/>
  <c r="C138" i="229"/>
  <c r="I138" i="229" s="1"/>
  <c r="H138" i="229" s="1"/>
  <c r="N138" i="229" s="1"/>
  <c r="C95" i="229"/>
  <c r="I95" i="229" s="1"/>
  <c r="H95" i="229" s="1"/>
  <c r="N95" i="229" s="1"/>
  <c r="C52" i="229"/>
  <c r="I52" i="229" s="1"/>
  <c r="H52" i="229" s="1"/>
  <c r="C182" i="229"/>
  <c r="I182" i="229" s="1"/>
  <c r="H182" i="229" s="1"/>
  <c r="N182" i="229" s="1"/>
  <c r="C216" i="229"/>
  <c r="I216" i="229" s="1"/>
  <c r="H216" i="229" s="1"/>
  <c r="N216" i="229" s="1"/>
  <c r="C251" i="229"/>
  <c r="I251" i="229" s="1"/>
  <c r="H251" i="229" s="1"/>
  <c r="C261" i="229"/>
  <c r="I261" i="229" s="1"/>
  <c r="H261" i="229" s="1"/>
  <c r="C265" i="229"/>
  <c r="I265" i="229" s="1"/>
  <c r="H265" i="229" s="1"/>
  <c r="C178" i="229"/>
  <c r="I178" i="229" s="1"/>
  <c r="H178" i="229" s="1"/>
  <c r="N178" i="229" s="1"/>
  <c r="C188" i="229"/>
  <c r="I188" i="229" s="1"/>
  <c r="H188" i="229" s="1"/>
  <c r="C169" i="229"/>
  <c r="I169" i="229" s="1"/>
  <c r="H169" i="229" s="1"/>
  <c r="C61" i="229"/>
  <c r="I61" i="229" s="1"/>
  <c r="H61" i="229" s="1"/>
  <c r="C134" i="229"/>
  <c r="I134" i="229" s="1"/>
  <c r="H134" i="229" s="1"/>
  <c r="N134" i="229" s="1"/>
  <c r="C153" i="229"/>
  <c r="I153" i="229" s="1"/>
  <c r="H153" i="229" s="1"/>
  <c r="C260" i="229"/>
  <c r="I260" i="229" s="1"/>
  <c r="H260" i="229" s="1"/>
  <c r="C235" i="229"/>
  <c r="I235" i="229" s="1"/>
  <c r="H235" i="229" s="1"/>
  <c r="C226" i="229"/>
  <c r="I226" i="229" s="1"/>
  <c r="H226" i="229" s="1"/>
  <c r="C218" i="229"/>
  <c r="I218" i="229" s="1"/>
  <c r="H218" i="229" s="1"/>
  <c r="C246" i="229"/>
  <c r="I246" i="229" s="1"/>
  <c r="H246" i="229" s="1"/>
  <c r="C233" i="229"/>
  <c r="I233" i="229" s="1"/>
  <c r="H233" i="229" s="1"/>
  <c r="C213" i="229"/>
  <c r="I213" i="229" s="1"/>
  <c r="H213" i="229" s="1"/>
  <c r="C219" i="229"/>
  <c r="I219" i="229" s="1"/>
  <c r="H219" i="229" s="1"/>
  <c r="C152" i="229"/>
  <c r="I152" i="229" s="1"/>
  <c r="H152" i="229" s="1"/>
  <c r="C128" i="229"/>
  <c r="I128" i="229" s="1"/>
  <c r="H128" i="229" s="1"/>
  <c r="C209" i="229"/>
  <c r="I209" i="229" s="1"/>
  <c r="H209" i="229" s="1"/>
  <c r="C77" i="229"/>
  <c r="I77" i="229" s="1"/>
  <c r="H77" i="229" s="1"/>
  <c r="N77" i="229" s="1"/>
  <c r="C143" i="229"/>
  <c r="I143" i="229" s="1"/>
  <c r="H143" i="229" s="1"/>
  <c r="C175" i="229"/>
  <c r="I175" i="229" s="1"/>
  <c r="H175" i="229" s="1"/>
  <c r="C190" i="229"/>
  <c r="I190" i="229" s="1"/>
  <c r="H190" i="229" s="1"/>
  <c r="N190" i="229" s="1"/>
  <c r="C206" i="229"/>
  <c r="I206" i="229" s="1"/>
  <c r="H206" i="229" s="1"/>
  <c r="N206" i="229" s="1"/>
  <c r="C232" i="229"/>
  <c r="I232" i="229" s="1"/>
  <c r="H232" i="229" s="1"/>
  <c r="C245" i="229"/>
  <c r="I245" i="229" s="1"/>
  <c r="H245" i="229" s="1"/>
  <c r="C241" i="229"/>
  <c r="I241" i="229" s="1"/>
  <c r="H241" i="229" s="1"/>
  <c r="C236" i="229"/>
  <c r="I236" i="229" s="1"/>
  <c r="H236" i="229" s="1"/>
  <c r="C210" i="229"/>
  <c r="I210" i="229" s="1"/>
  <c r="H210" i="229" s="1"/>
  <c r="N210" i="229" s="1"/>
  <c r="C204" i="229"/>
  <c r="I204" i="229" s="1"/>
  <c r="H204" i="229" s="1"/>
  <c r="C58" i="229"/>
  <c r="I58" i="229" s="1"/>
  <c r="H58" i="229" s="1"/>
  <c r="C258" i="229"/>
  <c r="I258" i="229" s="1"/>
  <c r="H258" i="229" s="1"/>
  <c r="C250" i="229"/>
  <c r="I250" i="229" s="1"/>
  <c r="H250" i="229" s="1"/>
  <c r="C93" i="229"/>
  <c r="I93" i="229" s="1"/>
  <c r="H93" i="229" s="1"/>
  <c r="N93" i="229" s="1"/>
  <c r="C167" i="229"/>
  <c r="I167" i="229" s="1"/>
  <c r="H167" i="229" s="1"/>
  <c r="C198" i="229"/>
  <c r="I198" i="229" s="1"/>
  <c r="H198" i="229" s="1"/>
  <c r="N198" i="229" s="1"/>
  <c r="C224" i="229"/>
  <c r="I224" i="229" s="1"/>
  <c r="H224" i="229" s="1"/>
  <c r="N224" i="229" s="1"/>
  <c r="C253" i="229"/>
  <c r="I253" i="229" s="1"/>
  <c r="H253" i="229" s="1"/>
  <c r="C249" i="229"/>
  <c r="I249" i="229" s="1"/>
  <c r="H249" i="229" s="1"/>
  <c r="C50" i="229"/>
  <c r="I50" i="229" s="1"/>
  <c r="H50" i="229" s="1"/>
  <c r="N50" i="229" s="1"/>
  <c r="C214" i="229"/>
  <c r="I214" i="229" s="1"/>
  <c r="H214" i="229" s="1"/>
  <c r="C240" i="229"/>
  <c r="I240" i="229" s="1"/>
  <c r="H240" i="229" s="1"/>
  <c r="C237" i="229"/>
  <c r="I237" i="229" s="1"/>
  <c r="H237" i="229" s="1"/>
  <c r="C223" i="229"/>
  <c r="I223" i="229" s="1"/>
  <c r="H223" i="229" s="1"/>
  <c r="C217" i="229"/>
  <c r="I217" i="229" s="1"/>
  <c r="H217" i="229" s="1"/>
  <c r="C201" i="229"/>
  <c r="I201" i="229" s="1"/>
  <c r="H201" i="229" s="1"/>
  <c r="C197" i="229"/>
  <c r="I197" i="229" s="1"/>
  <c r="H197" i="229" s="1"/>
  <c r="C189" i="229"/>
  <c r="I189" i="229" s="1"/>
  <c r="H189" i="229" s="1"/>
  <c r="C39" i="229"/>
  <c r="I39" i="229" s="1"/>
  <c r="H39" i="229" s="1"/>
  <c r="N39" i="229" s="1"/>
  <c r="C70" i="229"/>
  <c r="I70" i="229" s="1"/>
  <c r="H70" i="229" s="1"/>
  <c r="C46" i="229"/>
  <c r="I46" i="229" s="1"/>
  <c r="H46" i="229" s="1"/>
  <c r="N46" i="229" s="1"/>
  <c r="C38" i="229"/>
  <c r="I38" i="229" s="1"/>
  <c r="H38" i="229" s="1"/>
  <c r="N38" i="229" s="1"/>
  <c r="C170" i="229"/>
  <c r="I170" i="229" s="1"/>
  <c r="H170" i="229" s="1"/>
  <c r="C162" i="229"/>
  <c r="I162" i="229" s="1"/>
  <c r="H162" i="229" s="1"/>
  <c r="C176" i="229"/>
  <c r="I176" i="229" s="1"/>
  <c r="H176" i="229" s="1"/>
  <c r="C146" i="229"/>
  <c r="I146" i="229" s="1"/>
  <c r="H146" i="229" s="1"/>
  <c r="N146" i="229" s="1"/>
  <c r="C86" i="229"/>
  <c r="I86" i="229" s="1"/>
  <c r="H86" i="229" s="1"/>
  <c r="N86" i="229" s="1"/>
  <c r="C263" i="229"/>
  <c r="I263" i="229" s="1"/>
  <c r="H263" i="229" s="1"/>
  <c r="C234" i="229"/>
  <c r="I234" i="229" s="1"/>
  <c r="H234" i="229" s="1"/>
  <c r="C186" i="229"/>
  <c r="I186" i="229" s="1"/>
  <c r="H186" i="229" s="1"/>
  <c r="N186" i="229" s="1"/>
  <c r="C200" i="229"/>
  <c r="I200" i="229" s="1"/>
  <c r="H200" i="229" s="1"/>
  <c r="C184" i="229"/>
  <c r="I184" i="229" s="1"/>
  <c r="H184" i="229" s="1"/>
  <c r="C173" i="229"/>
  <c r="I173" i="229" s="1"/>
  <c r="H173" i="229" s="1"/>
  <c r="C157" i="229"/>
  <c r="I157" i="229" s="1"/>
  <c r="H157" i="229" s="1"/>
  <c r="C115" i="229"/>
  <c r="I115" i="229" s="1"/>
  <c r="H115" i="229" s="1"/>
  <c r="C54" i="229"/>
  <c r="I54" i="229" s="1"/>
  <c r="H54" i="229" s="1"/>
  <c r="C59" i="229"/>
  <c r="I59" i="229" s="1"/>
  <c r="H59" i="229" s="1"/>
  <c r="C129" i="229"/>
  <c r="I129" i="229" s="1"/>
  <c r="H129" i="229" s="1"/>
  <c r="C31" i="229"/>
  <c r="I31" i="229" s="1"/>
  <c r="H31" i="229" s="1"/>
  <c r="N31" i="229" s="1"/>
  <c r="C135" i="229"/>
  <c r="I135" i="229" s="1"/>
  <c r="H135" i="229" s="1"/>
  <c r="C243" i="229"/>
  <c r="I243" i="229" s="1"/>
  <c r="H243" i="229" s="1"/>
  <c r="C239" i="229"/>
  <c r="I239" i="229" s="1"/>
  <c r="H239" i="229" s="1"/>
  <c r="C230" i="229"/>
  <c r="I230" i="229" s="1"/>
  <c r="H230" i="229" s="1"/>
  <c r="C255" i="229"/>
  <c r="I255" i="229" s="1"/>
  <c r="H255" i="229" s="1"/>
  <c r="C194" i="229"/>
  <c r="I194" i="229" s="1"/>
  <c r="H194" i="229" s="1"/>
  <c r="N194" i="229" s="1"/>
  <c r="C264" i="229"/>
  <c r="I264" i="229" s="1"/>
  <c r="H264" i="229" s="1"/>
  <c r="C231" i="229"/>
  <c r="I231" i="229" s="1"/>
  <c r="H231" i="229" s="1"/>
  <c r="C238" i="229"/>
  <c r="I238" i="229" s="1"/>
  <c r="H238" i="229" s="1"/>
  <c r="C221" i="229"/>
  <c r="I221" i="229" s="1"/>
  <c r="H221" i="229" s="1"/>
  <c r="C144" i="229"/>
  <c r="I144" i="229" s="1"/>
  <c r="H144" i="229" s="1"/>
  <c r="C124" i="229"/>
  <c r="I124" i="229" s="1"/>
  <c r="H124" i="229" s="1"/>
  <c r="C193" i="229"/>
  <c r="I193" i="229" s="1"/>
  <c r="H193" i="229" s="1"/>
  <c r="C185" i="229"/>
  <c r="I185" i="229" s="1"/>
  <c r="H185" i="229" s="1"/>
  <c r="C205" i="229"/>
  <c r="I205" i="229" s="1"/>
  <c r="H205" i="229" s="1"/>
  <c r="C181" i="229"/>
  <c r="I181" i="229" s="1"/>
  <c r="H181" i="229" s="1"/>
  <c r="C47" i="229"/>
  <c r="I47" i="229" s="1"/>
  <c r="H47" i="229" s="1"/>
  <c r="N47" i="229" s="1"/>
  <c r="C68" i="229"/>
  <c r="I68" i="229" s="1"/>
  <c r="H68" i="229" s="1"/>
  <c r="C63" i="229"/>
  <c r="I63" i="229" s="1"/>
  <c r="H63" i="229" s="1"/>
  <c r="C48" i="229"/>
  <c r="I48" i="229" s="1"/>
  <c r="H48" i="229" s="1"/>
  <c r="N48" i="229" s="1"/>
  <c r="C168" i="229"/>
  <c r="I168" i="229" s="1"/>
  <c r="H168" i="229" s="1"/>
  <c r="C160" i="229"/>
  <c r="I160" i="229" s="1"/>
  <c r="H160" i="229" s="1"/>
  <c r="C40" i="229"/>
  <c r="I40" i="229" s="1"/>
  <c r="H40" i="229" s="1"/>
  <c r="N40" i="229" s="1"/>
  <c r="C72" i="229"/>
  <c r="I72" i="229" s="1"/>
  <c r="H72" i="229" s="1"/>
  <c r="C102" i="229"/>
  <c r="I102" i="229" s="1"/>
  <c r="H102" i="229" s="1"/>
  <c r="N102" i="229" s="1"/>
  <c r="C212" i="229"/>
  <c r="I212" i="229" s="1"/>
  <c r="H212" i="229" s="1"/>
  <c r="N212" i="229" s="1"/>
  <c r="C117" i="229"/>
  <c r="I117" i="229" s="1"/>
  <c r="H117" i="229" s="1"/>
  <c r="C53" i="229"/>
  <c r="I53" i="229" s="1"/>
  <c r="H53" i="229" s="1"/>
  <c r="C142" i="229"/>
  <c r="I142" i="229" s="1"/>
  <c r="H142" i="229" s="1"/>
  <c r="N142" i="229" s="1"/>
  <c r="C36" i="229"/>
  <c r="I36" i="229" s="1"/>
  <c r="H36" i="229" s="1"/>
  <c r="N36" i="229" s="1"/>
  <c r="C60" i="229"/>
  <c r="I60" i="229" s="1"/>
  <c r="H60" i="229" s="1"/>
  <c r="C151" i="229"/>
  <c r="I151" i="229" s="1"/>
  <c r="H151" i="229" s="1"/>
  <c r="C211" i="229"/>
  <c r="I211" i="229" s="1"/>
  <c r="H211" i="229" s="1"/>
  <c r="C254" i="229"/>
  <c r="I254" i="229" s="1"/>
  <c r="H254" i="229" s="1"/>
  <c r="C256" i="229"/>
  <c r="I256" i="229" s="1"/>
  <c r="H256" i="229" s="1"/>
  <c r="C225" i="229"/>
  <c r="I225" i="229" s="1"/>
  <c r="H225" i="229" s="1"/>
  <c r="C140" i="229"/>
  <c r="I140" i="229" s="1"/>
  <c r="H140" i="229" s="1"/>
  <c r="C199" i="229"/>
  <c r="I199" i="229" s="1"/>
  <c r="H199" i="229" s="1"/>
  <c r="C195" i="229"/>
  <c r="I195" i="229" s="1"/>
  <c r="H195" i="229" s="1"/>
  <c r="C179" i="229"/>
  <c r="I179" i="229" s="1"/>
  <c r="H179" i="229" s="1"/>
  <c r="C62" i="229"/>
  <c r="I62" i="229" s="1"/>
  <c r="H62" i="229" s="1"/>
  <c r="N62" i="229" s="1"/>
  <c r="C172" i="229"/>
  <c r="I172" i="229" s="1"/>
  <c r="H172" i="229" s="1"/>
  <c r="C156" i="229"/>
  <c r="I156" i="229" s="1"/>
  <c r="H156" i="229" s="1"/>
  <c r="C141" i="229"/>
  <c r="I141" i="229" s="1"/>
  <c r="H141" i="229" s="1"/>
  <c r="C247" i="229"/>
  <c r="I247" i="229" s="1"/>
  <c r="H247" i="229" s="1"/>
  <c r="C208" i="229"/>
  <c r="I208" i="229" s="1"/>
  <c r="H208" i="229" s="1"/>
  <c r="C119" i="229"/>
  <c r="I119" i="229" s="1"/>
  <c r="H119" i="229" s="1"/>
  <c r="C87" i="229"/>
  <c r="I87" i="229" s="1"/>
  <c r="H87" i="229" s="1"/>
  <c r="N87" i="229" s="1"/>
  <c r="C145" i="229"/>
  <c r="I145" i="229" s="1"/>
  <c r="H145" i="229" s="1"/>
  <c r="C109" i="229"/>
  <c r="I109" i="229" s="1"/>
  <c r="H109" i="229" s="1"/>
  <c r="C220" i="229"/>
  <c r="I220" i="229" s="1"/>
  <c r="H220" i="229" s="1"/>
  <c r="N220" i="229" s="1"/>
  <c r="C262" i="229"/>
  <c r="I262" i="229" s="1"/>
  <c r="H262" i="229" s="1"/>
  <c r="C252" i="229"/>
  <c r="I252" i="229" s="1"/>
  <c r="H252" i="229" s="1"/>
  <c r="C43" i="229"/>
  <c r="I43" i="229" s="1"/>
  <c r="H43" i="229" s="1"/>
  <c r="N43" i="229" s="1"/>
  <c r="C41" i="229"/>
  <c r="I41" i="229" s="1"/>
  <c r="H41" i="229" s="1"/>
  <c r="N41" i="229" s="1"/>
  <c r="C44" i="229"/>
  <c r="I44" i="229" s="1"/>
  <c r="H44" i="229" s="1"/>
  <c r="N44" i="229" s="1"/>
  <c r="C174" i="229"/>
  <c r="I174" i="229" s="1"/>
  <c r="H174" i="229" s="1"/>
  <c r="C158" i="229"/>
  <c r="I158" i="229" s="1"/>
  <c r="H158" i="229" s="1"/>
  <c r="C130" i="229"/>
  <c r="I130" i="229" s="1"/>
  <c r="H130" i="229" s="1"/>
  <c r="N130" i="229" s="1"/>
  <c r="C78" i="229"/>
  <c r="I78" i="229" s="1"/>
  <c r="H78" i="229" s="1"/>
  <c r="N78" i="229" s="1"/>
  <c r="C202" i="229"/>
  <c r="I202" i="229" s="1"/>
  <c r="H202" i="229" s="1"/>
  <c r="N202" i="229" s="1"/>
  <c r="C192" i="229"/>
  <c r="I192" i="229" s="1"/>
  <c r="H192" i="229" s="1"/>
  <c r="C113" i="229"/>
  <c r="I113" i="229" s="1"/>
  <c r="H113" i="229" s="1"/>
  <c r="C34" i="229"/>
  <c r="I34" i="229" s="1"/>
  <c r="H34" i="229" s="1"/>
  <c r="N34" i="229" s="1"/>
  <c r="C79" i="229"/>
  <c r="I79" i="229" s="1"/>
  <c r="H79" i="229" s="1"/>
  <c r="N79" i="229" s="1"/>
  <c r="C103" i="229"/>
  <c r="I103" i="229" s="1"/>
  <c r="H103" i="229" s="1"/>
  <c r="N103" i="229" s="1"/>
  <c r="C161" i="229"/>
  <c r="I161" i="229" s="1"/>
  <c r="H161" i="229" s="1"/>
  <c r="C137" i="229"/>
  <c r="I137" i="229" s="1"/>
  <c r="H137" i="229" s="1"/>
  <c r="C248" i="229"/>
  <c r="I248" i="229" s="1"/>
  <c r="H248" i="229" s="1"/>
  <c r="C215" i="229"/>
  <c r="I215" i="229" s="1"/>
  <c r="H215" i="229" s="1"/>
  <c r="C148" i="229"/>
  <c r="I148" i="229" s="1"/>
  <c r="H148" i="229" s="1"/>
  <c r="C207" i="229"/>
  <c r="I207" i="229" s="1"/>
  <c r="H207" i="229" s="1"/>
  <c r="C191" i="229"/>
  <c r="I191" i="229" s="1"/>
  <c r="H191" i="229" s="1"/>
  <c r="C118" i="229"/>
  <c r="I118" i="229" s="1"/>
  <c r="H118" i="229" s="1"/>
  <c r="C203" i="229"/>
  <c r="I203" i="229" s="1"/>
  <c r="H203" i="229" s="1"/>
  <c r="C187" i="229"/>
  <c r="I187" i="229" s="1"/>
  <c r="H187" i="229" s="1"/>
  <c r="C108" i="229"/>
  <c r="I108" i="229" s="1"/>
  <c r="H108" i="229" s="1"/>
  <c r="C84" i="229"/>
  <c r="I84" i="229" s="1"/>
  <c r="H84" i="229" s="1"/>
  <c r="C111" i="229"/>
  <c r="I111" i="229" s="1"/>
  <c r="H111" i="229" s="1"/>
  <c r="N111" i="229" s="1"/>
  <c r="C30" i="229"/>
  <c r="I30" i="229" s="1"/>
  <c r="H30" i="229" s="1"/>
  <c r="C244" i="229"/>
  <c r="I244" i="229" s="1"/>
  <c r="H244" i="229" s="1"/>
  <c r="C227" i="229"/>
  <c r="I227" i="229" s="1"/>
  <c r="H227" i="229" s="1"/>
  <c r="C66" i="229"/>
  <c r="I66" i="229" s="1"/>
  <c r="H66" i="229" s="1"/>
  <c r="C42" i="229"/>
  <c r="I42" i="229" s="1"/>
  <c r="H42" i="229" s="1"/>
  <c r="N42" i="229" s="1"/>
  <c r="C257" i="229"/>
  <c r="I257" i="229" s="1"/>
  <c r="H257" i="229" s="1"/>
  <c r="C99" i="229"/>
  <c r="I99" i="229" s="1"/>
  <c r="H99" i="229" s="1"/>
  <c r="N99" i="229" s="1"/>
  <c r="C242" i="229"/>
  <c r="I242" i="229" s="1"/>
  <c r="H242" i="229" s="1"/>
  <c r="C110" i="229"/>
  <c r="I110" i="229" s="1"/>
  <c r="H110" i="229" s="1"/>
  <c r="C116" i="229"/>
  <c r="I116" i="229" s="1"/>
  <c r="H116" i="229" s="1"/>
  <c r="C76" i="229"/>
  <c r="I76" i="229" s="1"/>
  <c r="H76" i="229" s="1"/>
  <c r="C94" i="229"/>
  <c r="I94" i="229" s="1"/>
  <c r="H94" i="229" s="1"/>
  <c r="N94" i="229" s="1"/>
  <c r="C228" i="229"/>
  <c r="I228" i="229" s="1"/>
  <c r="H228" i="229" s="1"/>
  <c r="N228" i="229" s="1"/>
  <c r="C121" i="229"/>
  <c r="I121" i="229" s="1"/>
  <c r="H121" i="229" s="1"/>
  <c r="C33" i="229"/>
  <c r="I33" i="229" s="1"/>
  <c r="H33" i="229" s="1"/>
  <c r="N33" i="229" s="1"/>
  <c r="C26" i="229"/>
  <c r="I26" i="229" s="1"/>
  <c r="H26" i="229" s="1"/>
  <c r="C150" i="229"/>
  <c r="I150" i="229" s="1"/>
  <c r="H150" i="229" s="1"/>
  <c r="N150" i="229" s="1"/>
  <c r="C229" i="229"/>
  <c r="I229" i="229" s="1"/>
  <c r="H229" i="229" s="1"/>
  <c r="C136" i="229"/>
  <c r="I136" i="229" s="1"/>
  <c r="H136" i="229" s="1"/>
  <c r="C100" i="229"/>
  <c r="I100" i="229" s="1"/>
  <c r="H100" i="229" s="1"/>
  <c r="C49" i="229"/>
  <c r="I49" i="229" s="1"/>
  <c r="H49" i="229" s="1"/>
  <c r="N49" i="229" s="1"/>
  <c r="C64" i="229"/>
  <c r="I64" i="229" s="1"/>
  <c r="H64" i="229" s="1"/>
  <c r="C166" i="229"/>
  <c r="I166" i="229" s="1"/>
  <c r="H166" i="229" s="1"/>
  <c r="C164" i="229"/>
  <c r="I164" i="229" s="1"/>
  <c r="H164" i="229" s="1"/>
  <c r="C126" i="229"/>
  <c r="I126" i="229" s="1"/>
  <c r="H126" i="229" s="1"/>
  <c r="N126" i="229" s="1"/>
  <c r="C259" i="229"/>
  <c r="I259" i="229" s="1"/>
  <c r="H259" i="229" s="1"/>
  <c r="C196" i="229"/>
  <c r="I196" i="229" s="1"/>
  <c r="H196" i="229" s="1"/>
  <c r="C51" i="229"/>
  <c r="I51" i="229" s="1"/>
  <c r="H51" i="229" s="1"/>
  <c r="N51" i="229" s="1"/>
  <c r="C222" i="229"/>
  <c r="I222" i="229" s="1"/>
  <c r="H222" i="229" s="1"/>
  <c r="C132" i="229"/>
  <c r="I132" i="229" s="1"/>
  <c r="H132" i="229" s="1"/>
  <c r="C183" i="229"/>
  <c r="I183" i="229" s="1"/>
  <c r="H183" i="229" s="1"/>
  <c r="C92" i="229"/>
  <c r="I92" i="229" s="1"/>
  <c r="H92" i="229" s="1"/>
  <c r="C81" i="229"/>
  <c r="I81" i="229" s="1"/>
  <c r="H81" i="229" s="1"/>
  <c r="N81" i="229" s="1"/>
  <c r="C165" i="229"/>
  <c r="I165" i="229" s="1"/>
  <c r="H165" i="229" s="1"/>
  <c r="C32" i="229"/>
  <c r="I32" i="229" s="1"/>
  <c r="H32" i="229" s="1"/>
  <c r="N32" i="229" s="1"/>
  <c r="C57" i="229"/>
  <c r="I57" i="229" s="1"/>
  <c r="H57" i="229" s="1"/>
  <c r="C180" i="229"/>
  <c r="I180" i="229" s="1"/>
  <c r="H180" i="229" s="1"/>
  <c r="C90" i="229"/>
  <c r="I90" i="229" s="1"/>
  <c r="H90" i="229" s="1"/>
  <c r="N90" i="229" s="1"/>
  <c r="C80" i="229"/>
  <c r="I80" i="229" s="1"/>
  <c r="H80" i="229" s="1"/>
  <c r="C74" i="229"/>
  <c r="I74" i="229" s="1"/>
  <c r="H74" i="229" s="1"/>
  <c r="N74" i="229" s="1"/>
  <c r="C37" i="229"/>
  <c r="I37" i="229" s="1"/>
  <c r="H37" i="229" s="1"/>
  <c r="N37" i="229" s="1"/>
  <c r="C125" i="229"/>
  <c r="I125" i="229" s="1"/>
  <c r="H125" i="229" s="1"/>
  <c r="C69" i="229"/>
  <c r="I69" i="229" s="1"/>
  <c r="H69" i="229" s="1"/>
  <c r="C133" i="229"/>
  <c r="I133" i="229" s="1"/>
  <c r="H133" i="229" s="1"/>
  <c r="C107" i="229"/>
  <c r="I107" i="229" s="1"/>
  <c r="H107" i="229" s="1"/>
  <c r="N107" i="229" s="1"/>
  <c r="C67" i="229"/>
  <c r="I67" i="229" s="1"/>
  <c r="H67" i="229" s="1"/>
  <c r="F49" i="21"/>
  <c r="F50" i="21" s="1"/>
  <c r="F51" i="21" s="1"/>
  <c r="F52" i="21" s="1"/>
  <c r="F53" i="21" s="1"/>
  <c r="F54" i="21" s="1"/>
  <c r="F55" i="21" s="1"/>
  <c r="F56" i="21" s="1"/>
  <c r="F57" i="21" s="1"/>
  <c r="F58" i="21" s="1"/>
  <c r="F59" i="21" s="1"/>
  <c r="F60" i="21" s="1"/>
  <c r="F61" i="21" s="1"/>
  <c r="F62" i="21" s="1"/>
  <c r="F63" i="21" s="1"/>
  <c r="F64" i="21" s="1"/>
  <c r="F65" i="21" s="1"/>
  <c r="F66" i="21" s="1"/>
  <c r="F67" i="21" s="1"/>
  <c r="F68" i="21" s="1"/>
  <c r="F69" i="21" s="1"/>
  <c r="F70" i="21" s="1"/>
  <c r="F71" i="21" s="1"/>
  <c r="C26" i="14"/>
  <c r="E27" i="21"/>
  <c r="G27" i="21" s="1"/>
  <c r="B28" i="21"/>
  <c r="F21" i="217"/>
  <c r="G33" i="14" s="1"/>
  <c r="F25" i="217"/>
  <c r="G37" i="14" s="1"/>
  <c r="H26" i="29"/>
  <c r="I18" i="29" s="1"/>
  <c r="F23" i="217"/>
  <c r="F24" i="217"/>
  <c r="F20" i="217"/>
  <c r="F22" i="217"/>
  <c r="G27" i="217"/>
  <c r="M26" i="216"/>
  <c r="K21" i="262"/>
  <c r="K19" i="262"/>
  <c r="K23" i="262"/>
  <c r="K20" i="262"/>
  <c r="K22" i="262"/>
  <c r="K18" i="262"/>
  <c r="M26" i="236"/>
  <c r="M25" i="237"/>
  <c r="O18" i="236"/>
  <c r="Q20" i="236"/>
  <c r="N17" i="236"/>
  <c r="P19" i="236"/>
  <c r="M24" i="239"/>
  <c r="L32" i="14"/>
  <c r="K27" i="217"/>
  <c r="M94" i="29"/>
  <c r="AI21" i="231" s="1"/>
  <c r="M17" i="29"/>
  <c r="K22" i="16"/>
  <c r="F20" i="262"/>
  <c r="K26" i="216"/>
  <c r="I19" i="262"/>
  <c r="I23" i="262"/>
  <c r="I21" i="262"/>
  <c r="I18" i="262"/>
  <c r="I22" i="262"/>
  <c r="I20" i="262"/>
  <c r="L25" i="238"/>
  <c r="J25" i="238"/>
  <c r="P17" i="236"/>
  <c r="Q18" i="236"/>
  <c r="F19" i="237"/>
  <c r="O24" i="239"/>
  <c r="G20" i="237"/>
  <c r="G26" i="236"/>
  <c r="G25" i="237"/>
  <c r="R25" i="236"/>
  <c r="H25" i="238"/>
  <c r="K137" i="14"/>
  <c r="AE18" i="231"/>
  <c r="G21" i="262"/>
  <c r="G19" i="262"/>
  <c r="I17" i="29"/>
  <c r="H27" i="217"/>
  <c r="M17" i="214"/>
  <c r="O19" i="214"/>
  <c r="L24" i="216"/>
  <c r="M99" i="214"/>
  <c r="J133" i="1" s="1"/>
  <c r="N18" i="214"/>
  <c r="P20" i="214"/>
  <c r="O26" i="216"/>
  <c r="M21" i="262"/>
  <c r="M18" i="262"/>
  <c r="M23" i="262"/>
  <c r="M20" i="262"/>
  <c r="M22" i="262"/>
  <c r="M19" i="262"/>
  <c r="N25" i="238"/>
  <c r="L17" i="236"/>
  <c r="N19" i="236"/>
  <c r="M18" i="236"/>
  <c r="O20" i="236"/>
  <c r="K24" i="239"/>
  <c r="N22" i="217"/>
  <c r="O34" i="14" s="1"/>
  <c r="P26" i="29"/>
  <c r="E18" i="216" s="1"/>
  <c r="N20" i="217"/>
  <c r="N24" i="217"/>
  <c r="O36" i="14" s="1"/>
  <c r="N21" i="217"/>
  <c r="N25" i="217"/>
  <c r="N23" i="217"/>
  <c r="Q25" i="237"/>
  <c r="Q26" i="236"/>
  <c r="Q21" i="213"/>
  <c r="H18" i="214"/>
  <c r="J20" i="214"/>
  <c r="G99" i="214"/>
  <c r="D133" i="1" s="1"/>
  <c r="I19" i="214"/>
  <c r="F24" i="216"/>
  <c r="G17" i="214"/>
  <c r="K26" i="29"/>
  <c r="L18" i="29" s="1"/>
  <c r="I23" i="217"/>
  <c r="I21" i="217"/>
  <c r="I25" i="217"/>
  <c r="J37" i="14" s="1"/>
  <c r="I20" i="217"/>
  <c r="I24" i="217"/>
  <c r="I22" i="217"/>
  <c r="G26" i="29"/>
  <c r="H18" i="29" s="1"/>
  <c r="E21" i="217"/>
  <c r="E25" i="217"/>
  <c r="F37" i="14" s="1"/>
  <c r="E23" i="217"/>
  <c r="E22" i="217"/>
  <c r="F34" i="14" s="1"/>
  <c r="E24" i="217"/>
  <c r="E20" i="217"/>
  <c r="O18" i="231"/>
  <c r="G137" i="14"/>
  <c r="E21" i="262"/>
  <c r="E22" i="262"/>
  <c r="E18" i="262"/>
  <c r="I25" i="238"/>
  <c r="L23" i="262"/>
  <c r="Q17" i="214"/>
  <c r="P24" i="216"/>
  <c r="Q99" i="214"/>
  <c r="N133" i="1" s="1"/>
  <c r="H20" i="236"/>
  <c r="F18" i="236"/>
  <c r="G19" i="236"/>
  <c r="L19" i="263"/>
  <c r="Q24" i="29"/>
  <c r="L26" i="29"/>
  <c r="M18" i="29" s="1"/>
  <c r="J23" i="217"/>
  <c r="K35" i="14" s="1"/>
  <c r="J21" i="217"/>
  <c r="J25" i="217"/>
  <c r="K37" i="14" s="1"/>
  <c r="J22" i="217"/>
  <c r="K34" i="14" s="1"/>
  <c r="J20" i="217"/>
  <c r="J24" i="217"/>
  <c r="K36" i="14" s="1"/>
  <c r="I17" i="236"/>
  <c r="J18" i="236"/>
  <c r="L20" i="236"/>
  <c r="K19" i="236"/>
  <c r="H24" i="239"/>
  <c r="R21" i="213"/>
  <c r="R91" i="213" s="1"/>
  <c r="O18" i="14" s="1"/>
  <c r="O137" i="14"/>
  <c r="AU18" i="231"/>
  <c r="K18" i="236"/>
  <c r="M20" i="236"/>
  <c r="J17" i="236"/>
  <c r="L19" i="236"/>
  <c r="I24" i="239"/>
  <c r="P25" i="238"/>
  <c r="N137" i="14"/>
  <c r="AQ18" i="231"/>
  <c r="O26" i="29"/>
  <c r="P18" i="29" s="1"/>
  <c r="M22" i="217"/>
  <c r="M20" i="217"/>
  <c r="M24" i="217"/>
  <c r="M25" i="217"/>
  <c r="M21" i="217"/>
  <c r="M23" i="217"/>
  <c r="J19" i="236"/>
  <c r="H17" i="236"/>
  <c r="K20" i="236"/>
  <c r="G24" i="239"/>
  <c r="I18" i="236"/>
  <c r="BA73" i="231"/>
  <c r="BB73" i="231"/>
  <c r="BA71" i="231"/>
  <c r="BB71" i="231"/>
  <c r="K55" i="10" l="1"/>
  <c r="P38" i="22"/>
  <c r="D64" i="14"/>
  <c r="P64" i="14" s="1"/>
  <c r="P34" i="22"/>
  <c r="P42" i="22"/>
  <c r="C27" i="217"/>
  <c r="O76" i="10"/>
  <c r="P43" i="228"/>
  <c r="C27" i="19"/>
  <c r="I27" i="19" s="1"/>
  <c r="H27" i="19" s="1"/>
  <c r="N27" i="19" s="1"/>
  <c r="E94" i="14" s="1"/>
  <c r="P33" i="227"/>
  <c r="N76" i="10"/>
  <c r="J95" i="29"/>
  <c r="I29" i="14" s="1"/>
  <c r="O92" i="214"/>
  <c r="L96" i="237"/>
  <c r="D62" i="10"/>
  <c r="C29" i="19"/>
  <c r="I29" i="19" s="1"/>
  <c r="H29" i="19" s="1"/>
  <c r="N29" i="19" s="1"/>
  <c r="D79" i="10"/>
  <c r="Y24" i="266"/>
  <c r="D104" i="10" s="1"/>
  <c r="N35" i="14"/>
  <c r="C30" i="19"/>
  <c r="I30" i="19" s="1"/>
  <c r="H30" i="19" s="1"/>
  <c r="N30" i="19" s="1"/>
  <c r="H94" i="14" s="1"/>
  <c r="P24" i="267"/>
  <c r="X24" i="267" s="1"/>
  <c r="T79" i="10" s="1"/>
  <c r="X28" i="268"/>
  <c r="T58" i="10" s="1"/>
  <c r="S58" i="10" s="1"/>
  <c r="P54" i="10"/>
  <c r="J54" i="10"/>
  <c r="F54" i="10"/>
  <c r="D152" i="10" s="1"/>
  <c r="N54" i="10"/>
  <c r="E54" i="10"/>
  <c r="K54" i="10"/>
  <c r="H54" i="10"/>
  <c r="L54" i="10"/>
  <c r="M54" i="10"/>
  <c r="O54" i="10"/>
  <c r="G54" i="10"/>
  <c r="I54" i="10"/>
  <c r="H35" i="14"/>
  <c r="C37" i="19"/>
  <c r="I37" i="19" s="1"/>
  <c r="H37" i="19" s="1"/>
  <c r="N37" i="19" s="1"/>
  <c r="Q56" i="10"/>
  <c r="R56" i="10" s="1"/>
  <c r="M34" i="14"/>
  <c r="N33" i="14"/>
  <c r="H33" i="14"/>
  <c r="C40" i="19"/>
  <c r="I40" i="19" s="1"/>
  <c r="H40" i="19" s="1"/>
  <c r="N40" i="19" s="1"/>
  <c r="C45" i="19"/>
  <c r="I45" i="19" s="1"/>
  <c r="H45" i="19" s="1"/>
  <c r="N45" i="19" s="1"/>
  <c r="P49" i="227"/>
  <c r="M76" i="10"/>
  <c r="O33" i="14"/>
  <c r="N99" i="236"/>
  <c r="K133" i="249" s="1"/>
  <c r="P48" i="228"/>
  <c r="C58" i="262"/>
  <c r="N80" i="262"/>
  <c r="N43" i="10"/>
  <c r="C28" i="19"/>
  <c r="I28" i="19" s="1"/>
  <c r="H28" i="19" s="1"/>
  <c r="X24" i="268"/>
  <c r="T54" i="10" s="1"/>
  <c r="M43" i="10"/>
  <c r="C38" i="217"/>
  <c r="C41" i="19"/>
  <c r="I41" i="19" s="1"/>
  <c r="H41" i="19" s="1"/>
  <c r="N41" i="19" s="1"/>
  <c r="S56" i="10"/>
  <c r="C47" i="19"/>
  <c r="I47" i="19" s="1"/>
  <c r="H47" i="19" s="1"/>
  <c r="N47" i="19" s="1"/>
  <c r="F43" i="10"/>
  <c r="E32" i="14"/>
  <c r="G96" i="237"/>
  <c r="M33" i="14"/>
  <c r="G68" i="237"/>
  <c r="U156" i="38"/>
  <c r="AS159" i="38"/>
  <c r="A35" i="7" s="1"/>
  <c r="Q36" i="214"/>
  <c r="P77" i="22"/>
  <c r="C39" i="19"/>
  <c r="I39" i="19" s="1"/>
  <c r="H39" i="19" s="1"/>
  <c r="N39" i="19" s="1"/>
  <c r="J31" i="14"/>
  <c r="C44" i="19"/>
  <c r="I44" i="19" s="1"/>
  <c r="H44" i="19" s="1"/>
  <c r="N44" i="19" s="1"/>
  <c r="E118" i="16"/>
  <c r="H77" i="263"/>
  <c r="C26" i="19"/>
  <c r="I26" i="19" s="1"/>
  <c r="H26" i="19" s="1"/>
  <c r="N26" i="19" s="1"/>
  <c r="D94" i="14" s="1"/>
  <c r="P61" i="22"/>
  <c r="N30" i="14"/>
  <c r="X27" i="268"/>
  <c r="T57" i="10" s="1"/>
  <c r="S57" i="10" s="1"/>
  <c r="C48" i="19"/>
  <c r="I48" i="19" s="1"/>
  <c r="H48" i="19" s="1"/>
  <c r="N48" i="19" s="1"/>
  <c r="C47" i="235"/>
  <c r="Y31" i="266"/>
  <c r="D111" i="10" s="1"/>
  <c r="D86" i="10"/>
  <c r="K61" i="10"/>
  <c r="M61" i="10"/>
  <c r="F61" i="10"/>
  <c r="D156" i="10" s="1"/>
  <c r="D157" i="10" s="1"/>
  <c r="N61" i="10"/>
  <c r="L156" i="10" s="1"/>
  <c r="O61" i="10"/>
  <c r="M156" i="10" s="1"/>
  <c r="M157" i="10" s="1"/>
  <c r="I61" i="10"/>
  <c r="H61" i="10"/>
  <c r="G61" i="10"/>
  <c r="E156" i="10" s="1"/>
  <c r="P61" i="10"/>
  <c r="N156" i="10" s="1"/>
  <c r="N157" i="10" s="1"/>
  <c r="E61" i="10"/>
  <c r="J61" i="10"/>
  <c r="L61" i="10"/>
  <c r="J156" i="10" s="1"/>
  <c r="J157" i="10" s="1"/>
  <c r="X31" i="268"/>
  <c r="T61" i="10" s="1"/>
  <c r="D36" i="262"/>
  <c r="N31" i="263"/>
  <c r="G59" i="236"/>
  <c r="L60" i="236"/>
  <c r="I61" i="236"/>
  <c r="K59" i="236"/>
  <c r="J65" i="239"/>
  <c r="J56" i="239" s="1"/>
  <c r="J60" i="239" s="1"/>
  <c r="H55" i="263"/>
  <c r="H53" i="263"/>
  <c r="H56" i="263"/>
  <c r="H52" i="263"/>
  <c r="H54" i="263"/>
  <c r="F65" i="239"/>
  <c r="F56" i="239" s="1"/>
  <c r="F60" i="239" s="1"/>
  <c r="D55" i="263"/>
  <c r="D53" i="263"/>
  <c r="D56" i="263"/>
  <c r="D52" i="263"/>
  <c r="D54" i="263"/>
  <c r="D51" i="263"/>
  <c r="N62" i="236"/>
  <c r="H60" i="236"/>
  <c r="J62" i="236"/>
  <c r="P31" i="236"/>
  <c r="O37" i="239"/>
  <c r="M34" i="263" s="1"/>
  <c r="P99" i="236"/>
  <c r="M133" i="249" s="1"/>
  <c r="F33" i="237"/>
  <c r="Q32" i="236"/>
  <c r="G18" i="262"/>
  <c r="G20" i="262"/>
  <c r="I26" i="216"/>
  <c r="L49" i="217"/>
  <c r="L84" i="217" s="1"/>
  <c r="AM23" i="231" s="1"/>
  <c r="AO23" i="231" s="1"/>
  <c r="A21" i="38"/>
  <c r="L91" i="213"/>
  <c r="I18" i="14" s="1"/>
  <c r="E36" i="262"/>
  <c r="H32" i="14"/>
  <c r="F94" i="29"/>
  <c r="G21" i="231" s="1"/>
  <c r="I21" i="231" s="1"/>
  <c r="J21" i="231" s="1"/>
  <c r="Q39" i="29"/>
  <c r="J22" i="214"/>
  <c r="R99" i="214"/>
  <c r="C22" i="16"/>
  <c r="C23" i="16" s="1"/>
  <c r="G22" i="214"/>
  <c r="B21" i="38"/>
  <c r="J91" i="213"/>
  <c r="G18" i="14" s="1"/>
  <c r="N91" i="213"/>
  <c r="K18" i="14" s="1"/>
  <c r="D83" i="2"/>
  <c r="K91" i="213"/>
  <c r="H18" i="14" s="1"/>
  <c r="D87" i="2"/>
  <c r="D86" i="2"/>
  <c r="E47" i="262"/>
  <c r="M35" i="14"/>
  <c r="J36" i="14"/>
  <c r="Q50" i="216"/>
  <c r="M50" i="214"/>
  <c r="P91" i="213"/>
  <c r="M18" i="14" s="1"/>
  <c r="J94" i="29"/>
  <c r="W21" i="231" s="1"/>
  <c r="I33" i="14"/>
  <c r="L47" i="262"/>
  <c r="A13" i="38"/>
  <c r="C13" i="38" s="1"/>
  <c r="D13" i="38" s="1"/>
  <c r="D84" i="2"/>
  <c r="N50" i="214"/>
  <c r="I34" i="14"/>
  <c r="M36" i="14"/>
  <c r="E18" i="14"/>
  <c r="F19" i="232"/>
  <c r="J99" i="236"/>
  <c r="G133" i="249" s="1"/>
  <c r="K33" i="236"/>
  <c r="R40" i="236"/>
  <c r="O37" i="14"/>
  <c r="J32" i="236"/>
  <c r="F97" i="214"/>
  <c r="C18" i="1" s="1"/>
  <c r="O36" i="217"/>
  <c r="H37" i="239"/>
  <c r="H39" i="239" s="1"/>
  <c r="H30" i="239" s="1"/>
  <c r="H34" i="239" s="1"/>
  <c r="O36" i="214"/>
  <c r="I37" i="239"/>
  <c r="M34" i="236"/>
  <c r="K32" i="236"/>
  <c r="L33" i="236"/>
  <c r="F35" i="14"/>
  <c r="G34" i="14"/>
  <c r="L36" i="214"/>
  <c r="F36" i="262"/>
  <c r="N36" i="262"/>
  <c r="Q91" i="213"/>
  <c r="N18" i="14" s="1"/>
  <c r="E33" i="14"/>
  <c r="Q37" i="216"/>
  <c r="G35" i="14"/>
  <c r="K36" i="262"/>
  <c r="I99" i="236"/>
  <c r="F133" i="249" s="1"/>
  <c r="L21" i="263"/>
  <c r="F23" i="262"/>
  <c r="E20" i="262"/>
  <c r="F19" i="262"/>
  <c r="O22" i="214"/>
  <c r="F22" i="262"/>
  <c r="H25" i="262"/>
  <c r="E23" i="262"/>
  <c r="L20" i="263"/>
  <c r="E19" i="262"/>
  <c r="H22" i="214"/>
  <c r="H26" i="216"/>
  <c r="H17" i="216" s="1"/>
  <c r="H21" i="216" s="1"/>
  <c r="K22" i="214"/>
  <c r="L23" i="263"/>
  <c r="Q22" i="214"/>
  <c r="N22" i="214"/>
  <c r="C18" i="262"/>
  <c r="N26" i="216"/>
  <c r="L22" i="220" s="1"/>
  <c r="L19" i="262"/>
  <c r="Q24" i="216"/>
  <c r="L27" i="217"/>
  <c r="N26" i="239"/>
  <c r="N17" i="239" s="1"/>
  <c r="N21" i="239" s="1"/>
  <c r="L21" i="262"/>
  <c r="I22" i="214"/>
  <c r="M22" i="214"/>
  <c r="G23" i="262"/>
  <c r="G25" i="262" s="1"/>
  <c r="I91" i="213"/>
  <c r="F18" i="14" s="1"/>
  <c r="AC18" i="231"/>
  <c r="AD18" i="231" s="1"/>
  <c r="L20" i="262"/>
  <c r="L22" i="263"/>
  <c r="L22" i="262"/>
  <c r="P22" i="214"/>
  <c r="F18" i="262"/>
  <c r="C126" i="14"/>
  <c r="P126" i="14" s="1"/>
  <c r="P127" i="14" s="1"/>
  <c r="B20" i="266"/>
  <c r="B100" i="10" s="1"/>
  <c r="H9" i="10"/>
  <c r="E19" i="4"/>
  <c r="I73" i="263"/>
  <c r="I77" i="263"/>
  <c r="I75" i="263"/>
  <c r="F73" i="263"/>
  <c r="F77" i="263"/>
  <c r="F75" i="263"/>
  <c r="O66" i="229"/>
  <c r="N166" i="229"/>
  <c r="P166" i="229"/>
  <c r="N192" i="229"/>
  <c r="P192" i="229"/>
  <c r="N160" i="229"/>
  <c r="P160" i="229" s="1"/>
  <c r="N167" i="229"/>
  <c r="P167" i="229" s="1"/>
  <c r="N95" i="227"/>
  <c r="P95" i="227" s="1"/>
  <c r="N52" i="227"/>
  <c r="P52" i="227"/>
  <c r="N201" i="210"/>
  <c r="P201" i="210"/>
  <c r="N213" i="210"/>
  <c r="P213" i="210" s="1"/>
  <c r="N29" i="210"/>
  <c r="P29" i="210" s="1"/>
  <c r="N108" i="23"/>
  <c r="P108" i="23" s="1"/>
  <c r="N137" i="23"/>
  <c r="P137" i="23"/>
  <c r="N223" i="23"/>
  <c r="P223" i="23" s="1"/>
  <c r="N62" i="23"/>
  <c r="P62" i="23" s="1"/>
  <c r="N236" i="23"/>
  <c r="P236" i="23" s="1"/>
  <c r="N234" i="23"/>
  <c r="P234" i="23"/>
  <c r="N187" i="22"/>
  <c r="P187" i="22" s="1"/>
  <c r="N74" i="22"/>
  <c r="P74" i="22"/>
  <c r="N70" i="22"/>
  <c r="P70" i="22"/>
  <c r="N251" i="22"/>
  <c r="P251" i="22"/>
  <c r="N55" i="229"/>
  <c r="P55" i="229" s="1"/>
  <c r="N224" i="228"/>
  <c r="P224" i="228"/>
  <c r="N160" i="228"/>
  <c r="P160" i="228" s="1"/>
  <c r="N231" i="228"/>
  <c r="P231" i="228"/>
  <c r="N108" i="229"/>
  <c r="P108" i="229" s="1"/>
  <c r="N54" i="229"/>
  <c r="P54" i="229" s="1"/>
  <c r="N240" i="229"/>
  <c r="P240" i="229" s="1"/>
  <c r="N171" i="229"/>
  <c r="P171" i="229"/>
  <c r="N172" i="227"/>
  <c r="P172" i="227" s="1"/>
  <c r="N130" i="227"/>
  <c r="P130" i="227" s="1"/>
  <c r="N154" i="210"/>
  <c r="P154" i="210" s="1"/>
  <c r="N177" i="210"/>
  <c r="P177" i="210" s="1"/>
  <c r="N146" i="210"/>
  <c r="P146" i="210" s="1"/>
  <c r="N246" i="210"/>
  <c r="P246" i="210" s="1"/>
  <c r="N104" i="210"/>
  <c r="P104" i="210" s="1"/>
  <c r="N189" i="23"/>
  <c r="P189" i="23" s="1"/>
  <c r="N219" i="23"/>
  <c r="P219" i="23" s="1"/>
  <c r="N215" i="23"/>
  <c r="P215" i="23" s="1"/>
  <c r="N250" i="23"/>
  <c r="P250" i="23" s="1"/>
  <c r="N213" i="23"/>
  <c r="P213" i="23" s="1"/>
  <c r="N232" i="22"/>
  <c r="P232" i="22" s="1"/>
  <c r="N123" i="22"/>
  <c r="P123" i="22" s="1"/>
  <c r="N82" i="22"/>
  <c r="P82" i="22" s="1"/>
  <c r="N80" i="22"/>
  <c r="P80" i="22" s="1"/>
  <c r="N113" i="22"/>
  <c r="P113" i="22" s="1"/>
  <c r="N205" i="228"/>
  <c r="P205" i="228" s="1"/>
  <c r="N143" i="228"/>
  <c r="P143" i="228" s="1"/>
  <c r="N40" i="228"/>
  <c r="P40" i="228" s="1"/>
  <c r="N253" i="228"/>
  <c r="P253" i="228" s="1"/>
  <c r="N141" i="229"/>
  <c r="P141" i="229" s="1"/>
  <c r="N230" i="229"/>
  <c r="P230" i="229"/>
  <c r="N214" i="229"/>
  <c r="P214" i="229" s="1"/>
  <c r="N260" i="229"/>
  <c r="P260" i="229"/>
  <c r="N159" i="229"/>
  <c r="P159" i="229" s="1"/>
  <c r="N155" i="227"/>
  <c r="P155" i="227" s="1"/>
  <c r="N198" i="227"/>
  <c r="P198" i="227" s="1"/>
  <c r="N93" i="210"/>
  <c r="P93" i="210"/>
  <c r="N149" i="210"/>
  <c r="P149" i="210"/>
  <c r="N207" i="210"/>
  <c r="P207" i="210" s="1"/>
  <c r="N176" i="210"/>
  <c r="P176" i="210" s="1"/>
  <c r="N166" i="210"/>
  <c r="P166" i="210"/>
  <c r="N89" i="23"/>
  <c r="P89" i="23" s="1"/>
  <c r="N228" i="23"/>
  <c r="P228" i="23" s="1"/>
  <c r="N72" i="23"/>
  <c r="P72" i="23" s="1"/>
  <c r="N241" i="23"/>
  <c r="P241" i="23"/>
  <c r="N109" i="22"/>
  <c r="P109" i="22"/>
  <c r="N63" i="22"/>
  <c r="P63" i="22" s="1"/>
  <c r="N259" i="22"/>
  <c r="P259" i="22" s="1"/>
  <c r="N195" i="22"/>
  <c r="P195" i="22" s="1"/>
  <c r="N104" i="229"/>
  <c r="P104" i="229"/>
  <c r="N55" i="228"/>
  <c r="P55" i="228" s="1"/>
  <c r="N120" i="228"/>
  <c r="P120" i="228" s="1"/>
  <c r="H26" i="237"/>
  <c r="G24" i="240" s="1"/>
  <c r="N100" i="229"/>
  <c r="P100" i="229" s="1"/>
  <c r="N161" i="229"/>
  <c r="P161" i="229" s="1"/>
  <c r="N256" i="229"/>
  <c r="P256" i="229" s="1"/>
  <c r="N144" i="229"/>
  <c r="P144" i="229"/>
  <c r="N189" i="229"/>
  <c r="P189" i="229" s="1"/>
  <c r="N219" i="229"/>
  <c r="P219" i="229" s="1"/>
  <c r="N231" i="227"/>
  <c r="P231" i="227" s="1"/>
  <c r="N180" i="227"/>
  <c r="P180" i="227" s="1"/>
  <c r="N46" i="227"/>
  <c r="P46" i="227" s="1"/>
  <c r="N235" i="227"/>
  <c r="P235" i="227" s="1"/>
  <c r="N115" i="210"/>
  <c r="P115" i="210"/>
  <c r="N265" i="210"/>
  <c r="P265" i="210" s="1"/>
  <c r="N212" i="210"/>
  <c r="P212" i="210" s="1"/>
  <c r="N194" i="210"/>
  <c r="P194" i="210" s="1"/>
  <c r="N162" i="23"/>
  <c r="P162" i="23" s="1"/>
  <c r="N166" i="23"/>
  <c r="P166" i="23" s="1"/>
  <c r="N168" i="23"/>
  <c r="P168" i="23" s="1"/>
  <c r="N253" i="23"/>
  <c r="P253" i="23" s="1"/>
  <c r="N237" i="22"/>
  <c r="P237" i="22"/>
  <c r="N84" i="22"/>
  <c r="P84" i="22" s="1"/>
  <c r="N246" i="22"/>
  <c r="P246" i="22" s="1"/>
  <c r="N240" i="22"/>
  <c r="P240" i="22" s="1"/>
  <c r="N108" i="22"/>
  <c r="P108" i="22"/>
  <c r="N121" i="22"/>
  <c r="P121" i="22" s="1"/>
  <c r="N69" i="228"/>
  <c r="P69" i="228" s="1"/>
  <c r="N141" i="228"/>
  <c r="P141" i="228" s="1"/>
  <c r="M118" i="228"/>
  <c r="N138" i="228"/>
  <c r="P138" i="228" s="1"/>
  <c r="N167" i="228"/>
  <c r="P167" i="228" s="1"/>
  <c r="N130" i="228"/>
  <c r="P130" i="228" s="1"/>
  <c r="H38" i="217"/>
  <c r="N34" i="14"/>
  <c r="J34" i="14"/>
  <c r="O35" i="14"/>
  <c r="I94" i="29"/>
  <c r="S21" i="231" s="1"/>
  <c r="V21" i="231" s="1"/>
  <c r="L26" i="237"/>
  <c r="G36" i="14"/>
  <c r="N92" i="229"/>
  <c r="P92" i="229" s="1"/>
  <c r="N164" i="229"/>
  <c r="P164" i="229" s="1"/>
  <c r="N26" i="229"/>
  <c r="P26" i="229" s="1"/>
  <c r="N242" i="229"/>
  <c r="P242" i="229" s="1"/>
  <c r="N148" i="229"/>
  <c r="P148" i="229"/>
  <c r="N113" i="229"/>
  <c r="P113" i="229" s="1"/>
  <c r="N119" i="229"/>
  <c r="P119" i="229" s="1"/>
  <c r="N195" i="229"/>
  <c r="P195" i="229" s="1"/>
  <c r="N60" i="229"/>
  <c r="P60" i="229"/>
  <c r="N205" i="229"/>
  <c r="P205" i="229" s="1"/>
  <c r="N264" i="229"/>
  <c r="P264" i="229" s="1"/>
  <c r="N129" i="229"/>
  <c r="P129" i="229" s="1"/>
  <c r="N223" i="229"/>
  <c r="P223" i="229"/>
  <c r="N236" i="229"/>
  <c r="P236" i="229" s="1"/>
  <c r="N218" i="229"/>
  <c r="P218" i="229" s="1"/>
  <c r="N188" i="229"/>
  <c r="P188" i="229" s="1"/>
  <c r="N131" i="229"/>
  <c r="P131" i="229" s="1"/>
  <c r="N88" i="229"/>
  <c r="P88" i="229" s="1"/>
  <c r="N228" i="227"/>
  <c r="P228" i="227" s="1"/>
  <c r="N252" i="227"/>
  <c r="P252" i="227"/>
  <c r="N263" i="227"/>
  <c r="P263" i="227" s="1"/>
  <c r="N215" i="227"/>
  <c r="P215" i="227" s="1"/>
  <c r="N59" i="227"/>
  <c r="P59" i="227" s="1"/>
  <c r="N91" i="227"/>
  <c r="P91" i="227" s="1"/>
  <c r="N132" i="227"/>
  <c r="P132" i="227" s="1"/>
  <c r="N117" i="227"/>
  <c r="P117" i="227" s="1"/>
  <c r="N94" i="227"/>
  <c r="P94" i="227" s="1"/>
  <c r="N128" i="227"/>
  <c r="P128" i="227" s="1"/>
  <c r="N203" i="227"/>
  <c r="P203" i="227" s="1"/>
  <c r="N144" i="227"/>
  <c r="P144" i="227" s="1"/>
  <c r="N264" i="227"/>
  <c r="P264" i="227" s="1"/>
  <c r="N193" i="210"/>
  <c r="P193" i="210"/>
  <c r="N133" i="210"/>
  <c r="P133" i="210" s="1"/>
  <c r="N185" i="210"/>
  <c r="P185" i="210" s="1"/>
  <c r="N191" i="210"/>
  <c r="P191" i="210" s="1"/>
  <c r="N259" i="210"/>
  <c r="P259" i="210" s="1"/>
  <c r="N81" i="210"/>
  <c r="P81" i="210" s="1"/>
  <c r="N163" i="210"/>
  <c r="P163" i="210" s="1"/>
  <c r="N85" i="210"/>
  <c r="P85" i="210" s="1"/>
  <c r="N219" i="210"/>
  <c r="P219" i="210" s="1"/>
  <c r="N153" i="210"/>
  <c r="P153" i="210"/>
  <c r="N221" i="210"/>
  <c r="P221" i="210" s="1"/>
  <c r="N197" i="210"/>
  <c r="P197" i="210" s="1"/>
  <c r="N57" i="210"/>
  <c r="P57" i="210" s="1"/>
  <c r="N254" i="210"/>
  <c r="P254" i="210" s="1"/>
  <c r="N152" i="210"/>
  <c r="P152" i="210" s="1"/>
  <c r="N236" i="210"/>
  <c r="P236" i="210" s="1"/>
  <c r="N192" i="210"/>
  <c r="P192" i="210"/>
  <c r="N56" i="210"/>
  <c r="P56" i="210" s="1"/>
  <c r="N210" i="210"/>
  <c r="P210" i="210" s="1"/>
  <c r="N178" i="210"/>
  <c r="P178" i="210" s="1"/>
  <c r="N54" i="210"/>
  <c r="P54" i="210"/>
  <c r="N237" i="23"/>
  <c r="P237" i="23"/>
  <c r="N81" i="23"/>
  <c r="P81" i="23" s="1"/>
  <c r="N99" i="23"/>
  <c r="P99" i="23" s="1"/>
  <c r="N224" i="23"/>
  <c r="P224" i="23"/>
  <c r="N163" i="23"/>
  <c r="P163" i="23" s="1"/>
  <c r="N252" i="23"/>
  <c r="P252" i="23" s="1"/>
  <c r="N65" i="23"/>
  <c r="P65" i="23" s="1"/>
  <c r="N262" i="23"/>
  <c r="P262" i="23" s="1"/>
  <c r="N231" i="23"/>
  <c r="P231" i="23" s="1"/>
  <c r="N167" i="23"/>
  <c r="P167" i="23" s="1"/>
  <c r="N71" i="23"/>
  <c r="P71" i="23" s="1"/>
  <c r="N172" i="23"/>
  <c r="P172" i="23" s="1"/>
  <c r="N206" i="23"/>
  <c r="P206" i="23" s="1"/>
  <c r="N220" i="23"/>
  <c r="P220" i="23" s="1"/>
  <c r="N159" i="23"/>
  <c r="P159" i="23" s="1"/>
  <c r="N66" i="23"/>
  <c r="P66" i="23" s="1"/>
  <c r="N120" i="23"/>
  <c r="P120" i="23"/>
  <c r="N218" i="23"/>
  <c r="P218" i="23" s="1"/>
  <c r="N208" i="23"/>
  <c r="P208" i="23" s="1"/>
  <c r="N229" i="23"/>
  <c r="P229" i="23" s="1"/>
  <c r="N165" i="23"/>
  <c r="P165" i="23"/>
  <c r="N107" i="23"/>
  <c r="P107" i="23" s="1"/>
  <c r="N161" i="23"/>
  <c r="P161" i="23" s="1"/>
  <c r="N96" i="23"/>
  <c r="P96" i="23" s="1"/>
  <c r="N263" i="22"/>
  <c r="P263" i="22"/>
  <c r="N212" i="22"/>
  <c r="P212" i="22" s="1"/>
  <c r="N258" i="22"/>
  <c r="P258" i="22" s="1"/>
  <c r="N90" i="22"/>
  <c r="P90" i="22" s="1"/>
  <c r="N116" i="22"/>
  <c r="P116" i="22" s="1"/>
  <c r="N243" i="22"/>
  <c r="P243" i="22" s="1"/>
  <c r="N118" i="22"/>
  <c r="P118" i="22" s="1"/>
  <c r="N136" i="22"/>
  <c r="P136" i="22"/>
  <c r="N117" i="22"/>
  <c r="P117" i="22"/>
  <c r="N146" i="22"/>
  <c r="P146" i="22" s="1"/>
  <c r="N176" i="22"/>
  <c r="P176" i="22" s="1"/>
  <c r="N107" i="22"/>
  <c r="P107" i="22" s="1"/>
  <c r="N149" i="22"/>
  <c r="P149" i="22" s="1"/>
  <c r="N174" i="22"/>
  <c r="P174" i="22" s="1"/>
  <c r="N138" i="22"/>
  <c r="P138" i="22" s="1"/>
  <c r="N204" i="22"/>
  <c r="P204" i="22" s="1"/>
  <c r="N241" i="22"/>
  <c r="P241" i="22" s="1"/>
  <c r="N257" i="22"/>
  <c r="P257" i="22" s="1"/>
  <c r="N64" i="22"/>
  <c r="P64" i="22" s="1"/>
  <c r="N249" i="22"/>
  <c r="P249" i="22"/>
  <c r="N125" i="22"/>
  <c r="P125" i="22" s="1"/>
  <c r="N127" i="229"/>
  <c r="P127" i="229" s="1"/>
  <c r="M39" i="228"/>
  <c r="N129" i="228"/>
  <c r="P129" i="228" s="1"/>
  <c r="N71" i="228"/>
  <c r="P71" i="228" s="1"/>
  <c r="N193" i="228"/>
  <c r="P193" i="228" s="1"/>
  <c r="N251" i="228"/>
  <c r="P251" i="228"/>
  <c r="N154" i="228"/>
  <c r="P154" i="228"/>
  <c r="M84" i="228"/>
  <c r="N197" i="228"/>
  <c r="P197" i="228"/>
  <c r="N114" i="228"/>
  <c r="P114" i="228" s="1"/>
  <c r="N76" i="228"/>
  <c r="P76" i="228" s="1"/>
  <c r="N102" i="228"/>
  <c r="P102" i="228" s="1"/>
  <c r="N100" i="228"/>
  <c r="P100" i="228" s="1"/>
  <c r="N142" i="228"/>
  <c r="P142" i="228" s="1"/>
  <c r="M26" i="19"/>
  <c r="D33" i="14"/>
  <c r="F44" i="10"/>
  <c r="D142" i="10"/>
  <c r="I141" i="10"/>
  <c r="G158" i="10"/>
  <c r="N64" i="228"/>
  <c r="P64" i="228" s="1"/>
  <c r="N188" i="228"/>
  <c r="P188" i="228" s="1"/>
  <c r="N207" i="228"/>
  <c r="P207" i="228" s="1"/>
  <c r="O99" i="236"/>
  <c r="L133" i="249" s="1"/>
  <c r="N82" i="237"/>
  <c r="K31" i="263"/>
  <c r="H37" i="14"/>
  <c r="N90" i="236"/>
  <c r="H64" i="214"/>
  <c r="N112" i="229"/>
  <c r="P112" i="229"/>
  <c r="P93" i="22"/>
  <c r="Z25" i="266"/>
  <c r="P50" i="210"/>
  <c r="P27" i="227"/>
  <c r="P190" i="22"/>
  <c r="P48" i="23"/>
  <c r="P163" i="22"/>
  <c r="P31" i="210"/>
  <c r="K83" i="10"/>
  <c r="H83" i="10"/>
  <c r="J83" i="10"/>
  <c r="N83" i="10"/>
  <c r="L83" i="10"/>
  <c r="O83" i="10"/>
  <c r="P83" i="10"/>
  <c r="G83" i="10"/>
  <c r="I83" i="10"/>
  <c r="E83" i="10"/>
  <c r="F83" i="10"/>
  <c r="M83" i="10"/>
  <c r="G56" i="220"/>
  <c r="G17" i="220"/>
  <c r="P46" i="228"/>
  <c r="P197" i="22"/>
  <c r="Q32" i="10"/>
  <c r="P72" i="210"/>
  <c r="P232" i="227"/>
  <c r="P118" i="210"/>
  <c r="P155" i="22"/>
  <c r="P47" i="227"/>
  <c r="P74" i="227"/>
  <c r="P107" i="210"/>
  <c r="E124" i="1"/>
  <c r="E103" i="233"/>
  <c r="P70" i="210"/>
  <c r="P216" i="227"/>
  <c r="P50" i="22"/>
  <c r="P34" i="23"/>
  <c r="P130" i="22"/>
  <c r="P224" i="22"/>
  <c r="P47" i="228"/>
  <c r="P101" i="10"/>
  <c r="N101" i="10"/>
  <c r="F101" i="10"/>
  <c r="K101" i="10"/>
  <c r="M101" i="10"/>
  <c r="H101" i="10"/>
  <c r="O101" i="10"/>
  <c r="I101" i="10"/>
  <c r="L101" i="10"/>
  <c r="G101" i="10"/>
  <c r="J101" i="10"/>
  <c r="E101" i="10"/>
  <c r="P42" i="229"/>
  <c r="P259" i="227"/>
  <c r="P150" i="227"/>
  <c r="P41" i="229"/>
  <c r="P43" i="229"/>
  <c r="P121" i="227"/>
  <c r="P88" i="210"/>
  <c r="P111" i="229"/>
  <c r="P101" i="229"/>
  <c r="P221" i="227"/>
  <c r="P150" i="229"/>
  <c r="P173" i="227"/>
  <c r="P261" i="227"/>
  <c r="P88" i="227"/>
  <c r="P85" i="229"/>
  <c r="P245" i="227"/>
  <c r="P166" i="227"/>
  <c r="P186" i="229"/>
  <c r="P182" i="229"/>
  <c r="P116" i="210"/>
  <c r="P159" i="210"/>
  <c r="P95" i="228"/>
  <c r="P74" i="23"/>
  <c r="P69" i="22"/>
  <c r="M100" i="10"/>
  <c r="N100" i="10"/>
  <c r="K100" i="10"/>
  <c r="I100" i="10"/>
  <c r="G100" i="10"/>
  <c r="H100" i="10"/>
  <c r="E100" i="10"/>
  <c r="L100" i="10"/>
  <c r="O100" i="10"/>
  <c r="J100" i="10"/>
  <c r="P100" i="10"/>
  <c r="F100" i="10"/>
  <c r="P50" i="227"/>
  <c r="Q49" i="227" s="1"/>
  <c r="P208" i="227"/>
  <c r="P51" i="229"/>
  <c r="P83" i="229"/>
  <c r="O84" i="229" s="1"/>
  <c r="P127" i="228"/>
  <c r="P233" i="227"/>
  <c r="N84" i="229"/>
  <c r="P84" i="229" s="1"/>
  <c r="N91" i="23"/>
  <c r="P91" i="23"/>
  <c r="N177" i="22"/>
  <c r="P177" i="22" s="1"/>
  <c r="N261" i="228"/>
  <c r="P261" i="228" s="1"/>
  <c r="N227" i="228"/>
  <c r="P227" i="228" s="1"/>
  <c r="N218" i="228"/>
  <c r="P218" i="228" s="1"/>
  <c r="N90" i="228"/>
  <c r="P90" i="228" s="1"/>
  <c r="N195" i="228"/>
  <c r="P195" i="228" s="1"/>
  <c r="N180" i="228"/>
  <c r="P180" i="228" s="1"/>
  <c r="N133" i="228"/>
  <c r="P133" i="228" s="1"/>
  <c r="D71" i="217"/>
  <c r="P233" i="22"/>
  <c r="K109" i="10"/>
  <c r="M109" i="10"/>
  <c r="P109" i="10"/>
  <c r="N109" i="10"/>
  <c r="E109" i="10"/>
  <c r="J109" i="10"/>
  <c r="L109" i="10"/>
  <c r="F109" i="10"/>
  <c r="I109" i="10"/>
  <c r="G109" i="10"/>
  <c r="H109" i="10"/>
  <c r="O109" i="10"/>
  <c r="P34" i="229"/>
  <c r="P252" i="22"/>
  <c r="O39" i="22"/>
  <c r="P165" i="22"/>
  <c r="O44" i="228"/>
  <c r="P38" i="229"/>
  <c r="P201" i="22"/>
  <c r="P250" i="22"/>
  <c r="P29" i="227"/>
  <c r="P99" i="227"/>
  <c r="P168" i="227"/>
  <c r="P49" i="210"/>
  <c r="P46" i="229"/>
  <c r="P32" i="227"/>
  <c r="P254" i="227"/>
  <c r="P134" i="210"/>
  <c r="G65" i="232"/>
  <c r="P131" i="227"/>
  <c r="P136" i="227"/>
  <c r="O32" i="22"/>
  <c r="P38" i="210"/>
  <c r="P192" i="22"/>
  <c r="P29" i="22"/>
  <c r="P32" i="229"/>
  <c r="P218" i="227"/>
  <c r="P125" i="227"/>
  <c r="P45" i="228"/>
  <c r="P103" i="227"/>
  <c r="P108" i="210"/>
  <c r="P90" i="23"/>
  <c r="P201" i="227"/>
  <c r="P228" i="229"/>
  <c r="P91" i="229"/>
  <c r="O92" i="229" s="1"/>
  <c r="P234" i="227"/>
  <c r="P93" i="227"/>
  <c r="P134" i="229"/>
  <c r="P134" i="23"/>
  <c r="P72" i="227"/>
  <c r="P226" i="227"/>
  <c r="P109" i="227"/>
  <c r="P95" i="210"/>
  <c r="P68" i="228"/>
  <c r="P97" i="229"/>
  <c r="P79" i="210"/>
  <c r="P139" i="228"/>
  <c r="P36" i="22"/>
  <c r="P44" i="22"/>
  <c r="P126" i="229"/>
  <c r="P54" i="23"/>
  <c r="P73" i="23"/>
  <c r="P147" i="227"/>
  <c r="P120" i="227"/>
  <c r="P56" i="23"/>
  <c r="P93" i="229"/>
  <c r="N115" i="23"/>
  <c r="P115" i="23" s="1"/>
  <c r="N128" i="228"/>
  <c r="P128" i="228"/>
  <c r="N128" i="229"/>
  <c r="P128" i="229" s="1"/>
  <c r="N180" i="210"/>
  <c r="P180" i="210" s="1"/>
  <c r="N94" i="228"/>
  <c r="P94" i="228" s="1"/>
  <c r="N120" i="229"/>
  <c r="P120" i="229" s="1"/>
  <c r="N59" i="228"/>
  <c r="P59" i="228" s="1"/>
  <c r="N53" i="228"/>
  <c r="P53" i="228" s="1"/>
  <c r="N186" i="228"/>
  <c r="P186" i="228" s="1"/>
  <c r="M60" i="217"/>
  <c r="P96" i="22"/>
  <c r="J84" i="10"/>
  <c r="I84" i="10"/>
  <c r="L84" i="10"/>
  <c r="O84" i="10"/>
  <c r="N84" i="10"/>
  <c r="H84" i="10"/>
  <c r="F84" i="10"/>
  <c r="E84" i="10"/>
  <c r="M84" i="10"/>
  <c r="P84" i="10"/>
  <c r="G84" i="10"/>
  <c r="K84" i="10"/>
  <c r="P50" i="229"/>
  <c r="A60" i="263"/>
  <c r="C60" i="262"/>
  <c r="O78" i="22"/>
  <c r="P41" i="227"/>
  <c r="G111" i="10"/>
  <c r="I111" i="10"/>
  <c r="J111" i="10"/>
  <c r="O111" i="10"/>
  <c r="L111" i="10"/>
  <c r="P111" i="10"/>
  <c r="K111" i="10"/>
  <c r="F111" i="10"/>
  <c r="M111" i="10"/>
  <c r="N111" i="10"/>
  <c r="H111" i="10"/>
  <c r="E111" i="10"/>
  <c r="P218" i="22"/>
  <c r="P37" i="23"/>
  <c r="P38" i="23"/>
  <c r="P48" i="22"/>
  <c r="P254" i="22"/>
  <c r="P26" i="228"/>
  <c r="P219" i="22"/>
  <c r="P29" i="23"/>
  <c r="P243" i="227"/>
  <c r="P134" i="227"/>
  <c r="P86" i="23"/>
  <c r="P45" i="22"/>
  <c r="P66" i="210"/>
  <c r="P241" i="227"/>
  <c r="P92" i="210"/>
  <c r="P142" i="23"/>
  <c r="P35" i="210"/>
  <c r="P211" i="227"/>
  <c r="P102" i="227"/>
  <c r="P255" i="22"/>
  <c r="P40" i="227"/>
  <c r="P37" i="22"/>
  <c r="P49" i="22"/>
  <c r="P140" i="227"/>
  <c r="P131" i="210"/>
  <c r="P52" i="23"/>
  <c r="P223" i="227"/>
  <c r="P82" i="229"/>
  <c r="P107" i="228"/>
  <c r="Q53" i="10"/>
  <c r="P99" i="228"/>
  <c r="P146" i="229"/>
  <c r="P170" i="227"/>
  <c r="P76" i="210"/>
  <c r="P178" i="229"/>
  <c r="P217" i="227"/>
  <c r="P63" i="210"/>
  <c r="P89" i="229"/>
  <c r="P45" i="229"/>
  <c r="P156" i="227"/>
  <c r="P155" i="210"/>
  <c r="P142" i="210"/>
  <c r="P98" i="229"/>
  <c r="P198" i="229"/>
  <c r="P115" i="228"/>
  <c r="P142" i="229"/>
  <c r="P40" i="210"/>
  <c r="P33" i="23"/>
  <c r="Q34" i="10"/>
  <c r="R34" i="10" s="1"/>
  <c r="P73" i="210"/>
  <c r="P44" i="23"/>
  <c r="P138" i="23"/>
  <c r="F117" i="16"/>
  <c r="F116" i="16"/>
  <c r="P195" i="227"/>
  <c r="P86" i="227"/>
  <c r="P84" i="23"/>
  <c r="P138" i="229"/>
  <c r="P94" i="210"/>
  <c r="P77" i="229"/>
  <c r="N234" i="229"/>
  <c r="P234" i="229" s="1"/>
  <c r="N250" i="210"/>
  <c r="P250" i="210" s="1"/>
  <c r="N217" i="23"/>
  <c r="P217" i="23" s="1"/>
  <c r="N192" i="228"/>
  <c r="P192" i="228" s="1"/>
  <c r="N235" i="229"/>
  <c r="P235" i="229" s="1"/>
  <c r="N126" i="227"/>
  <c r="P126" i="227" s="1"/>
  <c r="N92" i="23"/>
  <c r="P92" i="23" s="1"/>
  <c r="N99" i="22"/>
  <c r="P99" i="22"/>
  <c r="N235" i="22"/>
  <c r="P235" i="22" s="1"/>
  <c r="N180" i="229"/>
  <c r="P180" i="229" s="1"/>
  <c r="N209" i="210"/>
  <c r="P209" i="210" s="1"/>
  <c r="N204" i="23"/>
  <c r="P204" i="23" s="1"/>
  <c r="N161" i="22"/>
  <c r="P161" i="22" s="1"/>
  <c r="N97" i="228"/>
  <c r="P97" i="228" s="1"/>
  <c r="O62" i="22"/>
  <c r="P43" i="23"/>
  <c r="O50" i="227"/>
  <c r="P265" i="22"/>
  <c r="N110" i="10"/>
  <c r="I110" i="10"/>
  <c r="P110" i="10"/>
  <c r="H110" i="10"/>
  <c r="F110" i="10"/>
  <c r="O110" i="10"/>
  <c r="E110" i="10"/>
  <c r="G110" i="10"/>
  <c r="J110" i="10"/>
  <c r="L110" i="10"/>
  <c r="M110" i="10"/>
  <c r="K110" i="10"/>
  <c r="P247" i="22"/>
  <c r="P36" i="210"/>
  <c r="O35" i="22"/>
  <c r="P41" i="210"/>
  <c r="P69" i="227"/>
  <c r="P28" i="229"/>
  <c r="P169" i="22"/>
  <c r="P30" i="227"/>
  <c r="P210" i="227"/>
  <c r="P141" i="227"/>
  <c r="P130" i="23"/>
  <c r="P45" i="227"/>
  <c r="P64" i="210"/>
  <c r="P224" i="227"/>
  <c r="P136" i="210"/>
  <c r="P79" i="22"/>
  <c r="P31" i="229"/>
  <c r="P34" i="227"/>
  <c r="Q33" i="227" s="1"/>
  <c r="P194" i="227"/>
  <c r="P240" i="227"/>
  <c r="P94" i="22"/>
  <c r="P40" i="23"/>
  <c r="P43" i="227"/>
  <c r="P30" i="210"/>
  <c r="P106" i="227"/>
  <c r="P74" i="210"/>
  <c r="P51" i="227"/>
  <c r="P200" i="227"/>
  <c r="P128" i="210"/>
  <c r="P96" i="210"/>
  <c r="P102" i="229"/>
  <c r="P98" i="210"/>
  <c r="P36" i="23"/>
  <c r="P138" i="227"/>
  <c r="P103" i="210"/>
  <c r="P103" i="229"/>
  <c r="P216" i="229"/>
  <c r="P154" i="23"/>
  <c r="P70" i="228"/>
  <c r="P31" i="228"/>
  <c r="P122" i="227"/>
  <c r="P75" i="210"/>
  <c r="P111" i="228"/>
  <c r="P154" i="229"/>
  <c r="P169" i="227"/>
  <c r="P86" i="229"/>
  <c r="P73" i="229"/>
  <c r="P48" i="210"/>
  <c r="O64" i="23"/>
  <c r="P30" i="22"/>
  <c r="P78" i="23"/>
  <c r="P30" i="23"/>
  <c r="P186" i="227"/>
  <c r="P248" i="227"/>
  <c r="P150" i="23"/>
  <c r="P220" i="229"/>
  <c r="P83" i="228"/>
  <c r="N59" i="229"/>
  <c r="P59" i="229" s="1"/>
  <c r="O60" i="229" s="1"/>
  <c r="N133" i="227"/>
  <c r="P133" i="227" s="1"/>
  <c r="N68" i="23"/>
  <c r="P68" i="23" s="1"/>
  <c r="N245" i="229"/>
  <c r="P245" i="229" s="1"/>
  <c r="N59" i="210"/>
  <c r="P59" i="210" s="1"/>
  <c r="N136" i="23"/>
  <c r="P136" i="23" s="1"/>
  <c r="P26" i="22"/>
  <c r="P28" i="210"/>
  <c r="O49" i="228"/>
  <c r="P128" i="22"/>
  <c r="M85" i="10"/>
  <c r="H85" i="10"/>
  <c r="F85" i="10"/>
  <c r="O85" i="10"/>
  <c r="J85" i="10"/>
  <c r="G85" i="10"/>
  <c r="L85" i="10"/>
  <c r="N85" i="10"/>
  <c r="K85" i="10"/>
  <c r="P85" i="10"/>
  <c r="E85" i="10"/>
  <c r="I85" i="10"/>
  <c r="P37" i="229"/>
  <c r="P98" i="22"/>
  <c r="O43" i="22"/>
  <c r="P183" i="22"/>
  <c r="P48" i="227"/>
  <c r="O34" i="227"/>
  <c r="P33" i="229"/>
  <c r="P222" i="22"/>
  <c r="P65" i="22"/>
  <c r="P124" i="227"/>
  <c r="P71" i="210"/>
  <c r="P106" i="23"/>
  <c r="P42" i="210"/>
  <c r="D80" i="10"/>
  <c r="O80" i="10" s="1"/>
  <c r="Y25" i="266"/>
  <c r="D105" i="10" s="1"/>
  <c r="D112" i="10" s="1"/>
  <c r="P115" i="227"/>
  <c r="P152" i="227"/>
  <c r="P73" i="227"/>
  <c r="P261" i="22"/>
  <c r="P39" i="229"/>
  <c r="P92" i="227"/>
  <c r="P106" i="210"/>
  <c r="P156" i="22"/>
  <c r="E14" i="263"/>
  <c r="E14" i="264" s="1"/>
  <c r="E14" i="265" s="1"/>
  <c r="E14" i="262"/>
  <c r="H14" i="216"/>
  <c r="G116" i="276"/>
  <c r="F118" i="276"/>
  <c r="G117" i="276"/>
  <c r="P28" i="22"/>
  <c r="P34" i="210"/>
  <c r="Q28" i="227"/>
  <c r="O29" i="227"/>
  <c r="P238" i="227"/>
  <c r="P90" i="210"/>
  <c r="P163" i="227"/>
  <c r="P104" i="227"/>
  <c r="P95" i="229"/>
  <c r="P94" i="229"/>
  <c r="P98" i="23"/>
  <c r="P122" i="229"/>
  <c r="P65" i="227"/>
  <c r="P137" i="227"/>
  <c r="P146" i="23"/>
  <c r="P158" i="23"/>
  <c r="P205" i="227"/>
  <c r="P263" i="23"/>
  <c r="P79" i="229"/>
  <c r="P61" i="227"/>
  <c r="P153" i="227"/>
  <c r="P87" i="210"/>
  <c r="O132" i="228"/>
  <c r="P212" i="229"/>
  <c r="P123" i="210"/>
  <c r="P27" i="229"/>
  <c r="P62" i="229"/>
  <c r="P118" i="23"/>
  <c r="P44" i="229"/>
  <c r="P76" i="227"/>
  <c r="P102" i="210"/>
  <c r="P84" i="210"/>
  <c r="P132" i="210"/>
  <c r="P107" i="229"/>
  <c r="P122" i="23"/>
  <c r="N183" i="229"/>
  <c r="P183" i="229" s="1"/>
  <c r="N215" i="229"/>
  <c r="P215" i="229" s="1"/>
  <c r="N199" i="229"/>
  <c r="P199" i="229" s="1"/>
  <c r="N209" i="229"/>
  <c r="P209" i="229" s="1"/>
  <c r="N84" i="227"/>
  <c r="P84" i="227" s="1"/>
  <c r="N214" i="227"/>
  <c r="P214" i="227"/>
  <c r="N160" i="227"/>
  <c r="P160" i="227" s="1"/>
  <c r="N225" i="210"/>
  <c r="P225" i="210" s="1"/>
  <c r="N68" i="210"/>
  <c r="P68" i="210" s="1"/>
  <c r="N97" i="210"/>
  <c r="P97" i="210"/>
  <c r="N228" i="210"/>
  <c r="P228" i="210"/>
  <c r="N206" i="210"/>
  <c r="P206" i="210" s="1"/>
  <c r="N117" i="23"/>
  <c r="P117" i="23" s="1"/>
  <c r="N251" i="23"/>
  <c r="P251" i="23"/>
  <c r="N164" i="23"/>
  <c r="P164" i="23" s="1"/>
  <c r="N212" i="23"/>
  <c r="P212" i="23" s="1"/>
  <c r="N127" i="23"/>
  <c r="P127" i="23" s="1"/>
  <c r="N257" i="23"/>
  <c r="P257" i="23"/>
  <c r="N72" i="22"/>
  <c r="P72" i="22"/>
  <c r="N89" i="22"/>
  <c r="P89" i="22" s="1"/>
  <c r="N150" i="22"/>
  <c r="P150" i="22" s="1"/>
  <c r="N178" i="22"/>
  <c r="P178" i="22"/>
  <c r="N163" i="228"/>
  <c r="P163" i="228" s="1"/>
  <c r="N173" i="23"/>
  <c r="P173" i="23" s="1"/>
  <c r="N152" i="228"/>
  <c r="P152" i="228" s="1"/>
  <c r="N169" i="228"/>
  <c r="P169" i="228" s="1"/>
  <c r="N67" i="229"/>
  <c r="P67" i="229" s="1"/>
  <c r="O68" i="229" s="1"/>
  <c r="N121" i="229"/>
  <c r="P121" i="229" s="1"/>
  <c r="N248" i="229"/>
  <c r="P248" i="229" s="1"/>
  <c r="N247" i="229"/>
  <c r="P247" i="229" s="1"/>
  <c r="N255" i="229"/>
  <c r="P255" i="229" s="1"/>
  <c r="N114" i="229"/>
  <c r="P114" i="229" s="1"/>
  <c r="N98" i="227"/>
  <c r="P98" i="227" s="1"/>
  <c r="N249" i="227"/>
  <c r="P249" i="227" s="1"/>
  <c r="N54" i="227"/>
  <c r="P54" i="227" s="1"/>
  <c r="N56" i="227"/>
  <c r="P56" i="227" s="1"/>
  <c r="N230" i="227"/>
  <c r="P230" i="227" s="1"/>
  <c r="N161" i="210"/>
  <c r="P161" i="210" s="1"/>
  <c r="N67" i="210"/>
  <c r="P67" i="210" s="1"/>
  <c r="N237" i="210"/>
  <c r="P237" i="210" s="1"/>
  <c r="N224" i="210"/>
  <c r="P224" i="210" s="1"/>
  <c r="N170" i="210"/>
  <c r="P170" i="210" s="1"/>
  <c r="N226" i="23"/>
  <c r="P226" i="23" s="1"/>
  <c r="N203" i="23"/>
  <c r="P203" i="23" s="1"/>
  <c r="N184" i="23"/>
  <c r="P184" i="23" s="1"/>
  <c r="N69" i="23"/>
  <c r="P69" i="23" s="1"/>
  <c r="N70" i="23"/>
  <c r="P70" i="23" s="1"/>
  <c r="N225" i="23"/>
  <c r="P225" i="23" s="1"/>
  <c r="N198" i="22"/>
  <c r="P198" i="22" s="1"/>
  <c r="N182" i="22"/>
  <c r="P182" i="22" s="1"/>
  <c r="N236" i="22"/>
  <c r="P236" i="22" s="1"/>
  <c r="N193" i="22"/>
  <c r="P193" i="22" s="1"/>
  <c r="N71" i="229"/>
  <c r="P71" i="229" s="1"/>
  <c r="N226" i="228"/>
  <c r="P226" i="228" s="1"/>
  <c r="N164" i="22"/>
  <c r="P164" i="22" s="1"/>
  <c r="N125" i="228"/>
  <c r="P125" i="228" s="1"/>
  <c r="N255" i="228"/>
  <c r="P255" i="228" s="1"/>
  <c r="N137" i="228"/>
  <c r="P137" i="228" s="1"/>
  <c r="N225" i="228"/>
  <c r="P225" i="228" s="1"/>
  <c r="N222" i="229"/>
  <c r="P222" i="229" s="1"/>
  <c r="N187" i="229"/>
  <c r="P187" i="229" s="1"/>
  <c r="N262" i="229"/>
  <c r="P262" i="229" s="1"/>
  <c r="N53" i="229"/>
  <c r="P53" i="229" s="1"/>
  <c r="N115" i="229"/>
  <c r="P115" i="229" s="1"/>
  <c r="N250" i="229"/>
  <c r="P250" i="229"/>
  <c r="N236" i="227"/>
  <c r="P236" i="227"/>
  <c r="N39" i="227"/>
  <c r="P39" i="227" s="1"/>
  <c r="N241" i="210"/>
  <c r="P241" i="210" s="1"/>
  <c r="N220" i="210"/>
  <c r="P220" i="210" s="1"/>
  <c r="N198" i="210"/>
  <c r="P198" i="210"/>
  <c r="N240" i="23"/>
  <c r="P240" i="23" s="1"/>
  <c r="N207" i="23"/>
  <c r="P207" i="23" s="1"/>
  <c r="N148" i="23"/>
  <c r="P148" i="23"/>
  <c r="N260" i="23"/>
  <c r="P260" i="23"/>
  <c r="N160" i="23"/>
  <c r="P160" i="23" s="1"/>
  <c r="N201" i="23"/>
  <c r="P201" i="23" s="1"/>
  <c r="N133" i="23"/>
  <c r="P133" i="23" s="1"/>
  <c r="N209" i="22"/>
  <c r="P209" i="22" s="1"/>
  <c r="N216" i="22"/>
  <c r="P216" i="22" s="1"/>
  <c r="N91" i="22"/>
  <c r="P91" i="22" s="1"/>
  <c r="N262" i="228"/>
  <c r="P262" i="228"/>
  <c r="N175" i="228"/>
  <c r="P175" i="228" s="1"/>
  <c r="M116" i="210"/>
  <c r="N165" i="228"/>
  <c r="P165" i="228" s="1"/>
  <c r="N121" i="228"/>
  <c r="P121" i="228" s="1"/>
  <c r="N56" i="228"/>
  <c r="P56" i="228" s="1"/>
  <c r="N252" i="228"/>
  <c r="P252" i="228" s="1"/>
  <c r="N179" i="228"/>
  <c r="P179" i="228" s="1"/>
  <c r="N174" i="228"/>
  <c r="P174" i="228" s="1"/>
  <c r="N98" i="228"/>
  <c r="P98" i="228" s="1"/>
  <c r="I78" i="214"/>
  <c r="J33" i="14"/>
  <c r="N133" i="229"/>
  <c r="P133" i="229" s="1"/>
  <c r="N66" i="229"/>
  <c r="P66" i="229" s="1"/>
  <c r="Q65" i="229" s="1"/>
  <c r="N117" i="229"/>
  <c r="P117" i="229" s="1"/>
  <c r="N157" i="229"/>
  <c r="P157" i="229" s="1"/>
  <c r="N29" i="229"/>
  <c r="P29" i="229" s="1"/>
  <c r="N171" i="227"/>
  <c r="P171" i="227"/>
  <c r="N80" i="227"/>
  <c r="P80" i="227"/>
  <c r="N181" i="210"/>
  <c r="P181" i="210" s="1"/>
  <c r="N239" i="210"/>
  <c r="P239" i="210" s="1"/>
  <c r="N238" i="210"/>
  <c r="P238" i="210"/>
  <c r="N172" i="210"/>
  <c r="P172" i="210"/>
  <c r="N162" i="210"/>
  <c r="P162" i="210" s="1"/>
  <c r="N109" i="23"/>
  <c r="P109" i="23" s="1"/>
  <c r="N199" i="23"/>
  <c r="P199" i="23"/>
  <c r="N85" i="23"/>
  <c r="P85" i="23"/>
  <c r="N157" i="23"/>
  <c r="P157" i="23" s="1"/>
  <c r="N83" i="22"/>
  <c r="P83" i="22" s="1"/>
  <c r="N110" i="22"/>
  <c r="P110" i="22" s="1"/>
  <c r="M91" i="229"/>
  <c r="M30" i="228"/>
  <c r="N263" i="228"/>
  <c r="P263" i="228" s="1"/>
  <c r="N243" i="228"/>
  <c r="P243" i="228" s="1"/>
  <c r="N234" i="228"/>
  <c r="P234" i="228" s="1"/>
  <c r="N77" i="228"/>
  <c r="P77" i="228" s="1"/>
  <c r="N220" i="228"/>
  <c r="P220" i="228" s="1"/>
  <c r="N37" i="14"/>
  <c r="P26" i="237"/>
  <c r="O24" i="240" s="1"/>
  <c r="K33" i="14"/>
  <c r="J35" i="14"/>
  <c r="N69" i="229"/>
  <c r="P69" i="229"/>
  <c r="N196" i="229"/>
  <c r="P196" i="229" s="1"/>
  <c r="N136" i="229"/>
  <c r="P136" i="229" s="1"/>
  <c r="N76" i="229"/>
  <c r="P76" i="229" s="1"/>
  <c r="N227" i="229"/>
  <c r="P227" i="229" s="1"/>
  <c r="N118" i="229"/>
  <c r="P118" i="229"/>
  <c r="N158" i="229"/>
  <c r="P158" i="229" s="1"/>
  <c r="N109" i="229"/>
  <c r="P109" i="229" s="1"/>
  <c r="N172" i="229"/>
  <c r="P172" i="229" s="1"/>
  <c r="N254" i="229"/>
  <c r="P254" i="229"/>
  <c r="N68" i="229"/>
  <c r="P68" i="229" s="1"/>
  <c r="N221" i="229"/>
  <c r="P221" i="229" s="1"/>
  <c r="N243" i="229"/>
  <c r="P243" i="229"/>
  <c r="N173" i="229"/>
  <c r="P173" i="229"/>
  <c r="N176" i="229"/>
  <c r="P176" i="229" s="1"/>
  <c r="N197" i="229"/>
  <c r="P197" i="229" s="1"/>
  <c r="N249" i="229"/>
  <c r="P249" i="229"/>
  <c r="N58" i="229"/>
  <c r="P58" i="229"/>
  <c r="N213" i="229"/>
  <c r="P213" i="229" s="1"/>
  <c r="N196" i="227"/>
  <c r="P196" i="227" s="1"/>
  <c r="N82" i="227"/>
  <c r="P82" i="227"/>
  <c r="N139" i="227"/>
  <c r="P139" i="227"/>
  <c r="N212" i="227"/>
  <c r="P212" i="227" s="1"/>
  <c r="N188" i="227"/>
  <c r="P188" i="227" s="1"/>
  <c r="N222" i="227"/>
  <c r="P222" i="227" s="1"/>
  <c r="N42" i="227"/>
  <c r="P42" i="227" s="1"/>
  <c r="N242" i="227"/>
  <c r="P242" i="227" s="1"/>
  <c r="N190" i="227"/>
  <c r="P190" i="227" s="1"/>
  <c r="N162" i="227"/>
  <c r="P162" i="227" s="1"/>
  <c r="N253" i="227"/>
  <c r="P253" i="227" s="1"/>
  <c r="N78" i="227"/>
  <c r="P78" i="227" s="1"/>
  <c r="N96" i="227"/>
  <c r="P96" i="227" s="1"/>
  <c r="N62" i="227"/>
  <c r="P62" i="227"/>
  <c r="N77" i="210"/>
  <c r="P77" i="210"/>
  <c r="N158" i="210"/>
  <c r="P158" i="210" s="1"/>
  <c r="N171" i="210"/>
  <c r="P171" i="210" s="1"/>
  <c r="N61" i="210"/>
  <c r="P61" i="210" s="1"/>
  <c r="N137" i="210"/>
  <c r="P137" i="210"/>
  <c r="N135" i="210"/>
  <c r="P135" i="210" s="1"/>
  <c r="N89" i="210"/>
  <c r="P89" i="210" s="1"/>
  <c r="N179" i="210"/>
  <c r="P179" i="210"/>
  <c r="N205" i="210"/>
  <c r="P205" i="210"/>
  <c r="N231" i="210"/>
  <c r="P231" i="210" s="1"/>
  <c r="N247" i="210"/>
  <c r="P247" i="210" s="1"/>
  <c r="N234" i="210"/>
  <c r="P234" i="210" s="1"/>
  <c r="N252" i="210"/>
  <c r="P252" i="210" s="1"/>
  <c r="N208" i="210"/>
  <c r="P208" i="210" s="1"/>
  <c r="N164" i="210"/>
  <c r="P164" i="210" s="1"/>
  <c r="N222" i="210"/>
  <c r="P222" i="210"/>
  <c r="N190" i="210"/>
  <c r="P190" i="210" s="1"/>
  <c r="N112" i="210"/>
  <c r="P112" i="210" s="1"/>
  <c r="N243" i="23"/>
  <c r="P243" i="23" s="1"/>
  <c r="N230" i="23"/>
  <c r="P230" i="23"/>
  <c r="N259" i="23"/>
  <c r="P259" i="23"/>
  <c r="N156" i="23"/>
  <c r="P156" i="23" s="1"/>
  <c r="N178" i="23"/>
  <c r="P178" i="23" s="1"/>
  <c r="N255" i="23"/>
  <c r="P255" i="23"/>
  <c r="N191" i="23"/>
  <c r="P191" i="23" s="1"/>
  <c r="N49" i="23"/>
  <c r="P49" i="23" s="1"/>
  <c r="N194" i="23"/>
  <c r="P194" i="23" s="1"/>
  <c r="N75" i="23"/>
  <c r="P75" i="23"/>
  <c r="N111" i="23"/>
  <c r="P111" i="23"/>
  <c r="N79" i="23"/>
  <c r="P79" i="23" s="1"/>
  <c r="N170" i="23"/>
  <c r="P170" i="23" s="1"/>
  <c r="N176" i="23"/>
  <c r="P176" i="23"/>
  <c r="N249" i="23"/>
  <c r="P249" i="23" s="1"/>
  <c r="N185" i="23"/>
  <c r="P185" i="23" s="1"/>
  <c r="N155" i="23"/>
  <c r="P155" i="23" s="1"/>
  <c r="N121" i="23"/>
  <c r="P121" i="23" s="1"/>
  <c r="N135" i="23"/>
  <c r="P135" i="23"/>
  <c r="N221" i="23"/>
  <c r="P221" i="23" s="1"/>
  <c r="N207" i="22"/>
  <c r="P207" i="22" s="1"/>
  <c r="N47" i="22"/>
  <c r="P47" i="22" s="1"/>
  <c r="N166" i="22"/>
  <c r="P166" i="22"/>
  <c r="N168" i="22"/>
  <c r="P168" i="22" s="1"/>
  <c r="N57" i="22"/>
  <c r="P57" i="22" s="1"/>
  <c r="N173" i="22"/>
  <c r="P173" i="22"/>
  <c r="N52" i="22"/>
  <c r="P52" i="22"/>
  <c r="N105" i="22"/>
  <c r="P105" i="22" s="1"/>
  <c r="N102" i="22"/>
  <c r="P102" i="22" s="1"/>
  <c r="N120" i="22"/>
  <c r="P120" i="22"/>
  <c r="N248" i="22"/>
  <c r="P248" i="22"/>
  <c r="N203" i="22"/>
  <c r="P203" i="22" s="1"/>
  <c r="N81" i="22"/>
  <c r="P81" i="22" s="1"/>
  <c r="N140" i="22"/>
  <c r="P140" i="22"/>
  <c r="N191" i="22"/>
  <c r="P191" i="22"/>
  <c r="N205" i="22"/>
  <c r="P205" i="22" s="1"/>
  <c r="N151" i="22"/>
  <c r="P151" i="22" s="1"/>
  <c r="N103" i="22"/>
  <c r="P103" i="22" s="1"/>
  <c r="N147" i="22"/>
  <c r="P147" i="22" s="1"/>
  <c r="N101" i="22"/>
  <c r="P101" i="22" s="1"/>
  <c r="N221" i="22"/>
  <c r="P221" i="22" s="1"/>
  <c r="N123" i="229"/>
  <c r="P123" i="229" s="1"/>
  <c r="N162" i="228"/>
  <c r="P162" i="228" s="1"/>
  <c r="N106" i="228"/>
  <c r="P106" i="228" s="1"/>
  <c r="N247" i="228"/>
  <c r="P247" i="228" s="1"/>
  <c r="N116" i="228"/>
  <c r="P116" i="228"/>
  <c r="N254" i="228"/>
  <c r="P254" i="228"/>
  <c r="N181" i="228"/>
  <c r="P181" i="228" s="1"/>
  <c r="M125" i="228"/>
  <c r="M51" i="228"/>
  <c r="N264" i="210"/>
  <c r="P264" i="210" s="1"/>
  <c r="N179" i="22"/>
  <c r="P179" i="22" s="1"/>
  <c r="N43" i="22"/>
  <c r="P43" i="22" s="1"/>
  <c r="M58" i="228"/>
  <c r="N183" i="228"/>
  <c r="P183" i="228" s="1"/>
  <c r="N140" i="228"/>
  <c r="P140" i="228" s="1"/>
  <c r="N264" i="228"/>
  <c r="P264" i="228"/>
  <c r="N187" i="228"/>
  <c r="P187" i="228" s="1"/>
  <c r="M89" i="228"/>
  <c r="N238" i="228"/>
  <c r="P238" i="228"/>
  <c r="N170" i="228"/>
  <c r="P170" i="228" s="1"/>
  <c r="N236" i="228"/>
  <c r="P236" i="228"/>
  <c r="N248" i="228"/>
  <c r="P248" i="228" s="1"/>
  <c r="M109" i="228"/>
  <c r="M151" i="228"/>
  <c r="M122" i="228"/>
  <c r="N233" i="228"/>
  <c r="P233" i="228" s="1"/>
  <c r="N265" i="228"/>
  <c r="P265" i="228"/>
  <c r="N200" i="228"/>
  <c r="P200" i="228"/>
  <c r="L142" i="10"/>
  <c r="L143" i="10" s="1"/>
  <c r="R53" i="10"/>
  <c r="H158" i="10"/>
  <c r="H159" i="10" s="1"/>
  <c r="K158" i="10"/>
  <c r="O63" i="1"/>
  <c r="AK55" i="231"/>
  <c r="AL55" i="231" s="1"/>
  <c r="N93" i="228"/>
  <c r="P93" i="228"/>
  <c r="N167" i="22"/>
  <c r="P167" i="22" s="1"/>
  <c r="G92" i="214"/>
  <c r="G97" i="214" s="1"/>
  <c r="D18" i="1" s="1"/>
  <c r="O34" i="217"/>
  <c r="I37" i="14"/>
  <c r="M82" i="237"/>
  <c r="H33" i="263"/>
  <c r="H36" i="14"/>
  <c r="I88" i="236"/>
  <c r="N89" i="236"/>
  <c r="K89" i="236"/>
  <c r="K38" i="217"/>
  <c r="K84" i="217" s="1"/>
  <c r="AI23" i="231" s="1"/>
  <c r="P119" i="22"/>
  <c r="P45" i="210"/>
  <c r="P36" i="229"/>
  <c r="P223" i="22"/>
  <c r="P28" i="23"/>
  <c r="P37" i="227"/>
  <c r="P32" i="210"/>
  <c r="P160" i="22"/>
  <c r="P35" i="227"/>
  <c r="B165" i="10"/>
  <c r="B169" i="10" s="1"/>
  <c r="B167" i="10"/>
  <c r="B171" i="10" s="1"/>
  <c r="P18" i="266"/>
  <c r="P24" i="266" s="1"/>
  <c r="P21" i="267"/>
  <c r="X21" i="267" s="1"/>
  <c r="T76" i="10" s="1"/>
  <c r="S76" i="10" s="1"/>
  <c r="P126" i="22"/>
  <c r="P62" i="22"/>
  <c r="Q61" i="22" s="1"/>
  <c r="P49" i="229"/>
  <c r="P46" i="22"/>
  <c r="P48" i="229"/>
  <c r="P90" i="227"/>
  <c r="P119" i="210"/>
  <c r="P95" i="22"/>
  <c r="P70" i="227"/>
  <c r="O55" i="10"/>
  <c r="O62" i="10" s="1"/>
  <c r="M55" i="10"/>
  <c r="M62" i="10" s="1"/>
  <c r="N55" i="10"/>
  <c r="L55" i="10"/>
  <c r="E55" i="10"/>
  <c r="H55" i="10"/>
  <c r="H62" i="10" s="1"/>
  <c r="G55" i="10"/>
  <c r="G62" i="10" s="1"/>
  <c r="P227" i="227"/>
  <c r="P118" i="227"/>
  <c r="P124" i="22"/>
  <c r="P66" i="228"/>
  <c r="P89" i="227"/>
  <c r="P120" i="210"/>
  <c r="P39" i="210"/>
  <c r="P264" i="22"/>
  <c r="P137" i="22"/>
  <c r="P47" i="23"/>
  <c r="P59" i="23"/>
  <c r="P151" i="227"/>
  <c r="P86" i="210"/>
  <c r="P94" i="23"/>
  <c r="P179" i="227"/>
  <c r="P77" i="227"/>
  <c r="P193" i="227"/>
  <c r="P206" i="229"/>
  <c r="P190" i="229"/>
  <c r="P82" i="23"/>
  <c r="P81" i="229"/>
  <c r="P60" i="23"/>
  <c r="P119" i="227"/>
  <c r="P63" i="227"/>
  <c r="P123" i="228"/>
  <c r="M37" i="14"/>
  <c r="P127" i="210"/>
  <c r="P194" i="229"/>
  <c r="P47" i="229"/>
  <c r="P61" i="23"/>
  <c r="P135" i="227"/>
  <c r="P76" i="23"/>
  <c r="P74" i="229"/>
  <c r="P68" i="227"/>
  <c r="P126" i="210"/>
  <c r="P38" i="228"/>
  <c r="P40" i="229"/>
  <c r="P80" i="23"/>
  <c r="P66" i="227"/>
  <c r="E75" i="10"/>
  <c r="I75" i="10"/>
  <c r="G75" i="10"/>
  <c r="K75" i="10"/>
  <c r="L75" i="10"/>
  <c r="P105" i="227"/>
  <c r="P114" i="210"/>
  <c r="P151" i="210"/>
  <c r="P213" i="227"/>
  <c r="P64" i="227"/>
  <c r="L30" i="14"/>
  <c r="P30" i="14" s="1"/>
  <c r="N241" i="229"/>
  <c r="P241" i="229" s="1"/>
  <c r="N75" i="227"/>
  <c r="P75" i="227" s="1"/>
  <c r="N161" i="227"/>
  <c r="P161" i="227" s="1"/>
  <c r="N58" i="227"/>
  <c r="P58" i="227" s="1"/>
  <c r="N111" i="210"/>
  <c r="P111" i="210" s="1"/>
  <c r="N169" i="210"/>
  <c r="P169" i="210" s="1"/>
  <c r="N117" i="210"/>
  <c r="P117" i="210" s="1"/>
  <c r="N175" i="210"/>
  <c r="P175" i="210" s="1"/>
  <c r="N174" i="210"/>
  <c r="P174" i="210"/>
  <c r="N198" i="23"/>
  <c r="P198" i="23" s="1"/>
  <c r="N235" i="23"/>
  <c r="P235" i="23" s="1"/>
  <c r="N238" i="23"/>
  <c r="P238" i="23"/>
  <c r="N128" i="23"/>
  <c r="P128" i="23" s="1"/>
  <c r="N134" i="22"/>
  <c r="P134" i="22" s="1"/>
  <c r="N170" i="22"/>
  <c r="P170" i="22" s="1"/>
  <c r="N217" i="22"/>
  <c r="P217" i="22"/>
  <c r="N177" i="228"/>
  <c r="P177" i="228" s="1"/>
  <c r="N245" i="228"/>
  <c r="P245" i="228" s="1"/>
  <c r="M239" i="228"/>
  <c r="N64" i="229"/>
  <c r="P64" i="229" s="1"/>
  <c r="N140" i="229"/>
  <c r="P140" i="229" s="1"/>
  <c r="N193" i="229"/>
  <c r="P193" i="229" s="1"/>
  <c r="N263" i="229"/>
  <c r="P263" i="229" s="1"/>
  <c r="N265" i="229"/>
  <c r="P265" i="229" s="1"/>
  <c r="N164" i="227"/>
  <c r="P164" i="227" s="1"/>
  <c r="N44" i="227"/>
  <c r="P44" i="227" s="1"/>
  <c r="N97" i="227"/>
  <c r="P97" i="227" s="1"/>
  <c r="N123" i="227"/>
  <c r="P123" i="227" s="1"/>
  <c r="N127" i="227"/>
  <c r="P127" i="227" s="1"/>
  <c r="N182" i="227"/>
  <c r="P182" i="227" s="1"/>
  <c r="N219" i="227"/>
  <c r="P219" i="227" s="1"/>
  <c r="N129" i="210"/>
  <c r="P129" i="210" s="1"/>
  <c r="N217" i="210"/>
  <c r="P217" i="210" s="1"/>
  <c r="N125" i="210"/>
  <c r="P125" i="210" s="1"/>
  <c r="N183" i="210"/>
  <c r="P183" i="210" s="1"/>
  <c r="N116" i="23"/>
  <c r="P116" i="23" s="1"/>
  <c r="N232" i="23"/>
  <c r="P232" i="23" s="1"/>
  <c r="N244" i="23"/>
  <c r="P244" i="23" s="1"/>
  <c r="N256" i="23"/>
  <c r="P256" i="23" s="1"/>
  <c r="N148" i="22"/>
  <c r="P148" i="22" s="1"/>
  <c r="N181" i="22"/>
  <c r="P181" i="22" s="1"/>
  <c r="N208" i="22"/>
  <c r="P208" i="22" s="1"/>
  <c r="N202" i="22"/>
  <c r="P202" i="22" s="1"/>
  <c r="N66" i="22"/>
  <c r="P66" i="22" s="1"/>
  <c r="N185" i="22"/>
  <c r="P185" i="22" s="1"/>
  <c r="N221" i="228"/>
  <c r="P221" i="228" s="1"/>
  <c r="N194" i="228"/>
  <c r="P194" i="228" s="1"/>
  <c r="N110" i="228"/>
  <c r="P110" i="228" s="1"/>
  <c r="N168" i="228"/>
  <c r="P168" i="228" s="1"/>
  <c r="N171" i="228"/>
  <c r="P171" i="228" s="1"/>
  <c r="N137" i="229"/>
  <c r="P137" i="229" s="1"/>
  <c r="N225" i="229"/>
  <c r="P225" i="229"/>
  <c r="N124" i="229"/>
  <c r="P124" i="229" s="1"/>
  <c r="N152" i="229"/>
  <c r="P152" i="229" s="1"/>
  <c r="N146" i="227"/>
  <c r="P146" i="227" s="1"/>
  <c r="N265" i="227"/>
  <c r="P265" i="227" s="1"/>
  <c r="N237" i="227"/>
  <c r="P237" i="227" s="1"/>
  <c r="N251" i="227"/>
  <c r="P251" i="227" s="1"/>
  <c r="N105" i="210"/>
  <c r="P105" i="210"/>
  <c r="N249" i="210"/>
  <c r="P249" i="210" s="1"/>
  <c r="N263" i="210"/>
  <c r="P263" i="210" s="1"/>
  <c r="N242" i="210"/>
  <c r="P242" i="210" s="1"/>
  <c r="N254" i="23"/>
  <c r="P254" i="23"/>
  <c r="N171" i="23"/>
  <c r="P171" i="23"/>
  <c r="N149" i="23"/>
  <c r="P149" i="23" s="1"/>
  <c r="N144" i="23"/>
  <c r="P144" i="23" s="1"/>
  <c r="N153" i="23"/>
  <c r="P153" i="23"/>
  <c r="N51" i="23"/>
  <c r="P51" i="23"/>
  <c r="N262" i="22"/>
  <c r="P262" i="22" s="1"/>
  <c r="N145" i="22"/>
  <c r="P145" i="22" s="1"/>
  <c r="N86" i="22"/>
  <c r="P86" i="22" s="1"/>
  <c r="N234" i="22"/>
  <c r="P234" i="22" s="1"/>
  <c r="N215" i="22"/>
  <c r="P215" i="22" s="1"/>
  <c r="N153" i="22"/>
  <c r="P153" i="22" s="1"/>
  <c r="N117" i="228"/>
  <c r="P117" i="228" s="1"/>
  <c r="N242" i="228"/>
  <c r="P242" i="228" s="1"/>
  <c r="N213" i="228"/>
  <c r="P213" i="228" s="1"/>
  <c r="X23" i="268"/>
  <c r="T53" i="10" s="1"/>
  <c r="S53" i="10" s="1"/>
  <c r="I158" i="10"/>
  <c r="N63" i="229"/>
  <c r="P63" i="229"/>
  <c r="N258" i="229"/>
  <c r="P258" i="229"/>
  <c r="N153" i="229"/>
  <c r="P153" i="229" s="1"/>
  <c r="N139" i="229"/>
  <c r="N116" i="227"/>
  <c r="P116" i="227" s="1"/>
  <c r="N159" i="227"/>
  <c r="P159" i="227" s="1"/>
  <c r="N53" i="210"/>
  <c r="P53" i="210" s="1"/>
  <c r="N261" i="210"/>
  <c r="P261" i="210" s="1"/>
  <c r="N256" i="210"/>
  <c r="P256" i="210" s="1"/>
  <c r="N141" i="23"/>
  <c r="P141" i="23" s="1"/>
  <c r="N216" i="23"/>
  <c r="P216" i="23" s="1"/>
  <c r="N100" i="23"/>
  <c r="P100" i="23" s="1"/>
  <c r="N265" i="23"/>
  <c r="P265" i="23"/>
  <c r="N261" i="23"/>
  <c r="P261" i="23"/>
  <c r="N244" i="22"/>
  <c r="P244" i="22" s="1"/>
  <c r="N112" i="22"/>
  <c r="P112" i="22" s="1"/>
  <c r="N97" i="22"/>
  <c r="P97" i="22" s="1"/>
  <c r="N27" i="22"/>
  <c r="P27" i="22"/>
  <c r="N129" i="22"/>
  <c r="P129" i="22" s="1"/>
  <c r="N253" i="22"/>
  <c r="P253" i="22" s="1"/>
  <c r="N219" i="228"/>
  <c r="P219" i="228"/>
  <c r="N57" i="228"/>
  <c r="P57" i="228"/>
  <c r="N260" i="228"/>
  <c r="P260" i="228" s="1"/>
  <c r="E35" i="14"/>
  <c r="P43" i="232"/>
  <c r="M158" i="10"/>
  <c r="N96" i="228"/>
  <c r="P96" i="228" s="1"/>
  <c r="P92" i="214"/>
  <c r="K78" i="214"/>
  <c r="O33" i="217"/>
  <c r="N36" i="14"/>
  <c r="I26" i="237"/>
  <c r="H24" i="240" s="1"/>
  <c r="F33" i="14"/>
  <c r="N26" i="237"/>
  <c r="M24" i="240" s="1"/>
  <c r="I21" i="29"/>
  <c r="I95" i="29" s="1"/>
  <c r="H29" i="14" s="1"/>
  <c r="N125" i="229"/>
  <c r="P125" i="229" s="1"/>
  <c r="N165" i="229"/>
  <c r="P165" i="229" s="1"/>
  <c r="N259" i="229"/>
  <c r="P259" i="229"/>
  <c r="N229" i="229"/>
  <c r="P229" i="229"/>
  <c r="N116" i="229"/>
  <c r="P116" i="229" s="1"/>
  <c r="N244" i="229"/>
  <c r="P244" i="229" s="1"/>
  <c r="N191" i="229"/>
  <c r="P191" i="229" s="1"/>
  <c r="N174" i="229"/>
  <c r="P174" i="229"/>
  <c r="N145" i="229"/>
  <c r="P145" i="229" s="1"/>
  <c r="N211" i="229"/>
  <c r="P211" i="229" s="1"/>
  <c r="N238" i="229"/>
  <c r="P238" i="229"/>
  <c r="N135" i="229"/>
  <c r="P135" i="229"/>
  <c r="N184" i="229"/>
  <c r="P184" i="229" s="1"/>
  <c r="N162" i="229"/>
  <c r="P162" i="229" s="1"/>
  <c r="N201" i="229"/>
  <c r="P201" i="229" s="1"/>
  <c r="N253" i="229"/>
  <c r="P253" i="229" s="1"/>
  <c r="N204" i="229"/>
  <c r="P204" i="229" s="1"/>
  <c r="N175" i="229"/>
  <c r="P175" i="229" s="1"/>
  <c r="N233" i="229"/>
  <c r="P233" i="229"/>
  <c r="N61" i="229"/>
  <c r="P61" i="229" s="1"/>
  <c r="N79" i="227"/>
  <c r="P79" i="227" s="1"/>
  <c r="N204" i="227"/>
  <c r="P204" i="227" s="1"/>
  <c r="N206" i="227"/>
  <c r="P206" i="227"/>
  <c r="N143" i="227"/>
  <c r="P143" i="227"/>
  <c r="N220" i="227"/>
  <c r="P220" i="227" s="1"/>
  <c r="N145" i="227"/>
  <c r="S147" i="227" s="1"/>
  <c r="N258" i="227"/>
  <c r="P258" i="227"/>
  <c r="N85" i="227"/>
  <c r="P85" i="227" s="1"/>
  <c r="N187" i="227"/>
  <c r="P187" i="227" s="1"/>
  <c r="N67" i="227"/>
  <c r="P67" i="227" s="1"/>
  <c r="N55" i="227"/>
  <c r="P55" i="227"/>
  <c r="N195" i="210"/>
  <c r="P195" i="210"/>
  <c r="N109" i="210"/>
  <c r="P109" i="210" s="1"/>
  <c r="N62" i="210"/>
  <c r="P62" i="210" s="1"/>
  <c r="N187" i="210"/>
  <c r="P187" i="210"/>
  <c r="N229" i="210"/>
  <c r="P229" i="210" s="1"/>
  <c r="N121" i="210"/>
  <c r="P121" i="210" s="1"/>
  <c r="N255" i="210"/>
  <c r="P255" i="210" s="1"/>
  <c r="N165" i="210"/>
  <c r="P165" i="210" s="1"/>
  <c r="N60" i="210"/>
  <c r="P60" i="210"/>
  <c r="N262" i="210"/>
  <c r="P262" i="210" s="1"/>
  <c r="N230" i="210"/>
  <c r="P230" i="210" s="1"/>
  <c r="N244" i="210"/>
  <c r="P244" i="210" s="1"/>
  <c r="N204" i="210"/>
  <c r="P204" i="210"/>
  <c r="N160" i="210"/>
  <c r="P160" i="210" s="1"/>
  <c r="N58" i="210"/>
  <c r="P58" i="210" s="1"/>
  <c r="N218" i="210"/>
  <c r="P218" i="210"/>
  <c r="N186" i="210"/>
  <c r="P186" i="210"/>
  <c r="N148" i="210"/>
  <c r="P148" i="210" s="1"/>
  <c r="N205" i="23"/>
  <c r="P205" i="23" s="1"/>
  <c r="N124" i="23"/>
  <c r="P124" i="23"/>
  <c r="N211" i="23"/>
  <c r="P211" i="23"/>
  <c r="N258" i="23"/>
  <c r="P258" i="23" s="1"/>
  <c r="N227" i="23"/>
  <c r="P227" i="23" s="1"/>
  <c r="N214" i="23"/>
  <c r="P214" i="23"/>
  <c r="N26" i="23"/>
  <c r="P26" i="23"/>
  <c r="N190" i="23"/>
  <c r="P190" i="23" s="1"/>
  <c r="N247" i="23"/>
  <c r="P247" i="23" s="1"/>
  <c r="N183" i="23"/>
  <c r="P183" i="23" s="1"/>
  <c r="N210" i="23"/>
  <c r="P210" i="23" s="1"/>
  <c r="N131" i="23"/>
  <c r="P131" i="23" s="1"/>
  <c r="N140" i="23"/>
  <c r="P140" i="23" s="1"/>
  <c r="N145" i="23"/>
  <c r="P145" i="23" s="1"/>
  <c r="N87" i="23"/>
  <c r="P87" i="23" s="1"/>
  <c r="N186" i="23"/>
  <c r="P186" i="23" s="1"/>
  <c r="N192" i="23"/>
  <c r="P192" i="23" s="1"/>
  <c r="N245" i="23"/>
  <c r="P245" i="23"/>
  <c r="N181" i="23"/>
  <c r="P181" i="23"/>
  <c r="N139" i="23"/>
  <c r="P139" i="23" s="1"/>
  <c r="N119" i="23"/>
  <c r="P119" i="23" s="1"/>
  <c r="N147" i="23"/>
  <c r="P147" i="23" s="1"/>
  <c r="N88" i="22"/>
  <c r="P88" i="22"/>
  <c r="N76" i="22"/>
  <c r="P76" i="22" s="1"/>
  <c r="N104" i="22"/>
  <c r="P104" i="22" s="1"/>
  <c r="N230" i="22"/>
  <c r="P230" i="22"/>
  <c r="N154" i="22"/>
  <c r="P154" i="22" s="1"/>
  <c r="N39" i="22"/>
  <c r="P39" i="22" s="1"/>
  <c r="N58" i="22"/>
  <c r="P58" i="22" s="1"/>
  <c r="N73" i="22"/>
  <c r="P73" i="22" s="1"/>
  <c r="N32" i="22"/>
  <c r="P32" i="22" s="1"/>
  <c r="Q31" i="22" s="1"/>
  <c r="N144" i="22"/>
  <c r="P144" i="22" s="1"/>
  <c r="N54" i="22"/>
  <c r="P54" i="22" s="1"/>
  <c r="N171" i="22"/>
  <c r="P171" i="22"/>
  <c r="N41" i="22"/>
  <c r="P41" i="22" s="1"/>
  <c r="N142" i="22"/>
  <c r="P142" i="22" s="1"/>
  <c r="N172" i="22"/>
  <c r="P172" i="22" s="1"/>
  <c r="N53" i="22"/>
  <c r="P53" i="22"/>
  <c r="N159" i="22"/>
  <c r="P159" i="22"/>
  <c r="N141" i="22"/>
  <c r="N135" i="22"/>
  <c r="P135" i="22" s="1"/>
  <c r="N71" i="22"/>
  <c r="P71" i="22"/>
  <c r="N131" i="22"/>
  <c r="P131" i="22" s="1"/>
  <c r="N189" i="22"/>
  <c r="P189" i="22" s="1"/>
  <c r="N177" i="229"/>
  <c r="P177" i="229" s="1"/>
  <c r="M83" i="228"/>
  <c r="N74" i="228"/>
  <c r="P74" i="228" s="1"/>
  <c r="N101" i="228"/>
  <c r="P101" i="228" s="1"/>
  <c r="N88" i="228"/>
  <c r="P88" i="228" s="1"/>
  <c r="N230" i="228"/>
  <c r="P230" i="228" s="1"/>
  <c r="M154" i="228"/>
  <c r="N199" i="228"/>
  <c r="P199" i="228" s="1"/>
  <c r="N176" i="228"/>
  <c r="P176" i="228" s="1"/>
  <c r="N126" i="228"/>
  <c r="P126" i="228" s="1"/>
  <c r="N134" i="228"/>
  <c r="P134" i="228"/>
  <c r="N202" i="228"/>
  <c r="P202" i="228"/>
  <c r="N201" i="228"/>
  <c r="P201" i="228" s="1"/>
  <c r="N156" i="228"/>
  <c r="P156" i="228" s="1"/>
  <c r="N136" i="228"/>
  <c r="P136" i="228"/>
  <c r="N223" i="228"/>
  <c r="P223" i="228"/>
  <c r="N65" i="228"/>
  <c r="P65" i="228" s="1"/>
  <c r="N155" i="228"/>
  <c r="P155" i="228" s="1"/>
  <c r="N244" i="228"/>
  <c r="P244" i="228" s="1"/>
  <c r="N215" i="228"/>
  <c r="P215" i="228" s="1"/>
  <c r="N257" i="228"/>
  <c r="P257" i="228" s="1"/>
  <c r="N144" i="228"/>
  <c r="P144" i="228" s="1"/>
  <c r="N206" i="228"/>
  <c r="P206" i="228"/>
  <c r="N158" i="228"/>
  <c r="P158" i="228" s="1"/>
  <c r="N92" i="228"/>
  <c r="P92" i="228" s="1"/>
  <c r="E37" i="14"/>
  <c r="L158" i="10"/>
  <c r="F158" i="10"/>
  <c r="P147" i="10"/>
  <c r="E54" i="2" s="1"/>
  <c r="N38" i="227"/>
  <c r="P38" i="227"/>
  <c r="E77" i="263"/>
  <c r="O78" i="214"/>
  <c r="O97" i="214" s="1"/>
  <c r="L18" i="1" s="1"/>
  <c r="O32" i="217"/>
  <c r="N92" i="214"/>
  <c r="I35" i="14"/>
  <c r="C33" i="263"/>
  <c r="Q23" i="10"/>
  <c r="P158" i="22"/>
  <c r="P31" i="227"/>
  <c r="P39" i="228"/>
  <c r="P35" i="23"/>
  <c r="P227" i="22"/>
  <c r="P45" i="23"/>
  <c r="K76" i="10"/>
  <c r="F76" i="10"/>
  <c r="E76" i="10"/>
  <c r="G76" i="10"/>
  <c r="P26" i="227"/>
  <c r="P46" i="210"/>
  <c r="P28" i="228"/>
  <c r="P32" i="228"/>
  <c r="P188" i="22"/>
  <c r="P46" i="23"/>
  <c r="P51" i="22"/>
  <c r="P33" i="228"/>
  <c r="P32" i="23"/>
  <c r="P53" i="23"/>
  <c r="P246" i="227"/>
  <c r="P138" i="210"/>
  <c r="P229" i="22"/>
  <c r="P202" i="227"/>
  <c r="P157" i="227"/>
  <c r="P27" i="210"/>
  <c r="P209" i="227"/>
  <c r="P140" i="210"/>
  <c r="P58" i="23"/>
  <c r="P111" i="22"/>
  <c r="P194" i="22"/>
  <c r="J76" i="10"/>
  <c r="P34" i="228"/>
  <c r="P65" i="210"/>
  <c r="P175" i="227"/>
  <c r="P72" i="228"/>
  <c r="P36" i="228"/>
  <c r="H19" i="276"/>
  <c r="H52" i="276"/>
  <c r="P178" i="227"/>
  <c r="P177" i="227"/>
  <c r="P225" i="227"/>
  <c r="P75" i="229"/>
  <c r="O76" i="229" s="1"/>
  <c r="P83" i="210"/>
  <c r="P91" i="228"/>
  <c r="P189" i="227"/>
  <c r="P51" i="228"/>
  <c r="P207" i="227"/>
  <c r="P130" i="210"/>
  <c r="P90" i="229"/>
  <c r="P78" i="229"/>
  <c r="P43" i="210"/>
  <c r="P36" i="227"/>
  <c r="P50" i="228"/>
  <c r="P191" i="227"/>
  <c r="P73" i="228"/>
  <c r="P181" i="227"/>
  <c r="P210" i="229"/>
  <c r="P229" i="227"/>
  <c r="P126" i="23"/>
  <c r="P41" i="228"/>
  <c r="P185" i="227"/>
  <c r="O75" i="10"/>
  <c r="P87" i="227"/>
  <c r="P202" i="229"/>
  <c r="P100" i="210"/>
  <c r="P122" i="210"/>
  <c r="C140" i="10"/>
  <c r="N80" i="229"/>
  <c r="P80" i="229" s="1"/>
  <c r="N208" i="229"/>
  <c r="P208" i="229" s="1"/>
  <c r="N185" i="229"/>
  <c r="P185" i="229" s="1"/>
  <c r="N237" i="229"/>
  <c r="P237" i="229" s="1"/>
  <c r="N226" i="229"/>
  <c r="P226" i="229" s="1"/>
  <c r="N56" i="229"/>
  <c r="P56" i="229"/>
  <c r="N100" i="227"/>
  <c r="P100" i="227" s="1"/>
  <c r="N148" i="227"/>
  <c r="P148" i="227" s="1"/>
  <c r="N142" i="227"/>
  <c r="P142" i="227" s="1"/>
  <c r="N251" i="210"/>
  <c r="P251" i="210" s="1"/>
  <c r="N203" i="210"/>
  <c r="P203" i="210" s="1"/>
  <c r="N227" i="210"/>
  <c r="P227" i="210" s="1"/>
  <c r="N245" i="210"/>
  <c r="P245" i="210"/>
  <c r="N188" i="210"/>
  <c r="P188" i="210" s="1"/>
  <c r="N41" i="23"/>
  <c r="P41" i="23" s="1"/>
  <c r="N77" i="23"/>
  <c r="P77" i="23" s="1"/>
  <c r="N101" i="23"/>
  <c r="P101" i="23"/>
  <c r="N248" i="23"/>
  <c r="P248" i="23"/>
  <c r="N113" i="23"/>
  <c r="P113" i="23" s="1"/>
  <c r="N231" i="22"/>
  <c r="P231" i="22" s="1"/>
  <c r="N184" i="22"/>
  <c r="P184" i="22"/>
  <c r="N67" i="22"/>
  <c r="P67" i="22" s="1"/>
  <c r="N228" i="22"/>
  <c r="P228" i="22" s="1"/>
  <c r="N225" i="22"/>
  <c r="P225" i="22" s="1"/>
  <c r="N161" i="228"/>
  <c r="P161" i="228" s="1"/>
  <c r="M132" i="22"/>
  <c r="N60" i="228"/>
  <c r="P60" i="228" s="1"/>
  <c r="N132" i="229"/>
  <c r="P132" i="229" s="1"/>
  <c r="N257" i="229"/>
  <c r="P257" i="229" s="1"/>
  <c r="N252" i="229"/>
  <c r="P252" i="229"/>
  <c r="N168" i="229"/>
  <c r="P168" i="229"/>
  <c r="N70" i="229"/>
  <c r="P70" i="229" s="1"/>
  <c r="N57" i="227"/>
  <c r="P57" i="227" s="1"/>
  <c r="N149" i="227"/>
  <c r="P149" i="227" s="1"/>
  <c r="N233" i="210"/>
  <c r="P233" i="210"/>
  <c r="N243" i="210"/>
  <c r="P243" i="210" s="1"/>
  <c r="N110" i="210"/>
  <c r="P110" i="210" s="1"/>
  <c r="N202" i="210"/>
  <c r="P202" i="210" s="1"/>
  <c r="N182" i="23"/>
  <c r="P182" i="23" s="1"/>
  <c r="N97" i="23"/>
  <c r="P97" i="23" s="1"/>
  <c r="N188" i="23"/>
  <c r="P188" i="23" s="1"/>
  <c r="N95" i="23"/>
  <c r="P95" i="23" s="1"/>
  <c r="N27" i="23"/>
  <c r="P27" i="23" s="1"/>
  <c r="N143" i="22"/>
  <c r="P143" i="22" s="1"/>
  <c r="N180" i="22"/>
  <c r="P180" i="22" s="1"/>
  <c r="N200" i="22"/>
  <c r="P200" i="22"/>
  <c r="N210" i="22"/>
  <c r="P210" i="22"/>
  <c r="N206" i="22"/>
  <c r="P206" i="22" s="1"/>
  <c r="N239" i="22"/>
  <c r="P239" i="22" s="1"/>
  <c r="N203" i="228"/>
  <c r="P203" i="228" s="1"/>
  <c r="N177" i="23"/>
  <c r="P177" i="23"/>
  <c r="N240" i="228"/>
  <c r="P240" i="228" s="1"/>
  <c r="N80" i="228"/>
  <c r="P80" i="228" s="1"/>
  <c r="N232" i="229"/>
  <c r="P232" i="229"/>
  <c r="N261" i="229"/>
  <c r="P261" i="229"/>
  <c r="N114" i="227"/>
  <c r="P114" i="227" s="1"/>
  <c r="N81" i="227"/>
  <c r="P81" i="227" s="1"/>
  <c r="N113" i="227"/>
  <c r="P113" i="227" s="1"/>
  <c r="N165" i="227"/>
  <c r="P165" i="227" s="1"/>
  <c r="N256" i="227"/>
  <c r="P256" i="227" s="1"/>
  <c r="N253" i="210"/>
  <c r="P253" i="210" s="1"/>
  <c r="N260" i="210"/>
  <c r="P260" i="210"/>
  <c r="N187" i="23"/>
  <c r="P187" i="23" s="1"/>
  <c r="N132" i="23"/>
  <c r="P132" i="23" s="1"/>
  <c r="N264" i="23"/>
  <c r="P264" i="23" s="1"/>
  <c r="N129" i="23"/>
  <c r="P129" i="23"/>
  <c r="N125" i="23"/>
  <c r="P125" i="23"/>
  <c r="N214" i="22"/>
  <c r="P214" i="22" s="1"/>
  <c r="N242" i="22"/>
  <c r="P242" i="22" s="1"/>
  <c r="N260" i="22"/>
  <c r="P260" i="22"/>
  <c r="N149" i="229"/>
  <c r="P149" i="229" s="1"/>
  <c r="M227" i="228"/>
  <c r="N237" i="228"/>
  <c r="P237" i="228" s="1"/>
  <c r="N146" i="228"/>
  <c r="P146" i="228" s="1"/>
  <c r="N209" i="228"/>
  <c r="P209" i="228" s="1"/>
  <c r="N190" i="228"/>
  <c r="P190" i="228" s="1"/>
  <c r="N124" i="228"/>
  <c r="P124" i="228"/>
  <c r="N246" i="228"/>
  <c r="P246" i="228" s="1"/>
  <c r="E34" i="14"/>
  <c r="C158" i="10"/>
  <c r="C159" i="10" s="1"/>
  <c r="N148" i="228"/>
  <c r="P148" i="228" s="1"/>
  <c r="N57" i="229"/>
  <c r="P57" i="229" s="1"/>
  <c r="N203" i="229"/>
  <c r="P203" i="229"/>
  <c r="N156" i="229"/>
  <c r="P156" i="229" s="1"/>
  <c r="N239" i="229"/>
  <c r="P239" i="229" s="1"/>
  <c r="N251" i="229"/>
  <c r="P251" i="229" s="1"/>
  <c r="N111" i="227"/>
  <c r="P111" i="227"/>
  <c r="N158" i="227"/>
  <c r="P158" i="227" s="1"/>
  <c r="N260" i="227"/>
  <c r="P260" i="227" s="1"/>
  <c r="N113" i="210"/>
  <c r="P113" i="210"/>
  <c r="N55" i="210"/>
  <c r="P55" i="210"/>
  <c r="N157" i="210"/>
  <c r="P157" i="210" s="1"/>
  <c r="N215" i="210"/>
  <c r="P215" i="210" s="1"/>
  <c r="N52" i="210"/>
  <c r="P52" i="210"/>
  <c r="N83" i="23"/>
  <c r="P83" i="23"/>
  <c r="N152" i="23"/>
  <c r="P152" i="23"/>
  <c r="N197" i="23"/>
  <c r="P197" i="23" s="1"/>
  <c r="N151" i="23"/>
  <c r="P151" i="23"/>
  <c r="N55" i="22"/>
  <c r="P55" i="22" s="1"/>
  <c r="N238" i="22"/>
  <c r="P238" i="22"/>
  <c r="N75" i="22"/>
  <c r="P75" i="22" s="1"/>
  <c r="N155" i="229"/>
  <c r="P155" i="229" s="1"/>
  <c r="N228" i="228"/>
  <c r="P228" i="228"/>
  <c r="N216" i="210"/>
  <c r="P216" i="210" s="1"/>
  <c r="N144" i="210"/>
  <c r="P144" i="210" s="1"/>
  <c r="E36" i="14"/>
  <c r="N200" i="210"/>
  <c r="P200" i="210" s="1"/>
  <c r="I64" i="214"/>
  <c r="L99" i="236"/>
  <c r="I133" i="249" s="1"/>
  <c r="G22" i="16"/>
  <c r="G23" i="16" s="1"/>
  <c r="G25" i="16" s="1"/>
  <c r="N110" i="229"/>
  <c r="P110" i="229" s="1"/>
  <c r="N30" i="229"/>
  <c r="P30" i="229"/>
  <c r="N207" i="229"/>
  <c r="P207" i="229" s="1"/>
  <c r="N179" i="229"/>
  <c r="P179" i="229"/>
  <c r="N151" i="229"/>
  <c r="P151" i="229" s="1"/>
  <c r="N72" i="229"/>
  <c r="P72" i="229" s="1"/>
  <c r="N181" i="229"/>
  <c r="P181" i="229" s="1"/>
  <c r="N231" i="229"/>
  <c r="P231" i="229"/>
  <c r="N200" i="229"/>
  <c r="P200" i="229" s="1"/>
  <c r="N170" i="229"/>
  <c r="P170" i="229" s="1"/>
  <c r="N217" i="229"/>
  <c r="P217" i="229" s="1"/>
  <c r="N143" i="229"/>
  <c r="P143" i="229" s="1"/>
  <c r="N246" i="229"/>
  <c r="P246" i="229" s="1"/>
  <c r="N169" i="229"/>
  <c r="P169" i="229" s="1"/>
  <c r="N52" i="229"/>
  <c r="P52" i="229"/>
  <c r="N147" i="229"/>
  <c r="P147" i="229" s="1"/>
  <c r="N247" i="227"/>
  <c r="P247" i="227" s="1"/>
  <c r="N107" i="227"/>
  <c r="P107" i="227"/>
  <c r="N129" i="227"/>
  <c r="P129" i="227"/>
  <c r="N199" i="227"/>
  <c r="P199" i="227" s="1"/>
  <c r="N60" i="227"/>
  <c r="P60" i="227" s="1"/>
  <c r="N174" i="227"/>
  <c r="P174" i="227" s="1"/>
  <c r="N183" i="227"/>
  <c r="P183" i="227"/>
  <c r="N250" i="227"/>
  <c r="P250" i="227" s="1"/>
  <c r="N101" i="227"/>
  <c r="P101" i="227" s="1"/>
  <c r="N262" i="227"/>
  <c r="P262" i="227"/>
  <c r="N112" i="227"/>
  <c r="P112" i="227" s="1"/>
  <c r="N244" i="227"/>
  <c r="P244" i="227"/>
  <c r="N53" i="227"/>
  <c r="P53" i="227" s="1"/>
  <c r="N110" i="227"/>
  <c r="P110" i="227" s="1"/>
  <c r="N71" i="227"/>
  <c r="P71" i="227"/>
  <c r="N235" i="210"/>
  <c r="P235" i="210"/>
  <c r="N101" i="210"/>
  <c r="P101" i="210" s="1"/>
  <c r="N223" i="210"/>
  <c r="P223" i="210"/>
  <c r="N167" i="210"/>
  <c r="P167" i="210" s="1"/>
  <c r="N199" i="210"/>
  <c r="P199" i="210"/>
  <c r="N141" i="210"/>
  <c r="P141" i="210" s="1"/>
  <c r="N211" i="210"/>
  <c r="P211" i="210" s="1"/>
  <c r="N257" i="210"/>
  <c r="P257" i="210" s="1"/>
  <c r="N145" i="210"/>
  <c r="P145" i="210"/>
  <c r="N173" i="210"/>
  <c r="P173" i="210" s="1"/>
  <c r="N189" i="210"/>
  <c r="P189" i="210"/>
  <c r="N258" i="210"/>
  <c r="P258" i="210"/>
  <c r="N226" i="210"/>
  <c r="P226" i="210"/>
  <c r="N156" i="210"/>
  <c r="P156" i="210" s="1"/>
  <c r="N240" i="210"/>
  <c r="P240" i="210"/>
  <c r="N196" i="210"/>
  <c r="P196" i="210"/>
  <c r="N214" i="210"/>
  <c r="P214" i="210"/>
  <c r="N182" i="210"/>
  <c r="P182" i="210" s="1"/>
  <c r="N150" i="210"/>
  <c r="P150" i="210" s="1"/>
  <c r="N209" i="23"/>
  <c r="P209" i="23"/>
  <c r="N242" i="23"/>
  <c r="P242" i="23" s="1"/>
  <c r="N179" i="23"/>
  <c r="P179" i="23" s="1"/>
  <c r="N180" i="23"/>
  <c r="P180" i="23" s="1"/>
  <c r="N195" i="23"/>
  <c r="P195" i="23"/>
  <c r="N196" i="23"/>
  <c r="P196" i="23" s="1"/>
  <c r="N246" i="23"/>
  <c r="P246" i="23" s="1"/>
  <c r="N239" i="23"/>
  <c r="P239" i="23"/>
  <c r="N175" i="23"/>
  <c r="P175" i="23"/>
  <c r="N67" i="23"/>
  <c r="P67" i="23" s="1"/>
  <c r="N222" i="23"/>
  <c r="P222" i="23" s="1"/>
  <c r="N105" i="23"/>
  <c r="P105" i="23" s="1"/>
  <c r="N174" i="23"/>
  <c r="P174" i="23" s="1"/>
  <c r="N143" i="23"/>
  <c r="P143" i="23" s="1"/>
  <c r="N93" i="23"/>
  <c r="P93" i="23" s="1"/>
  <c r="N64" i="23"/>
  <c r="P64" i="23"/>
  <c r="Q63" i="23" s="1"/>
  <c r="N104" i="23"/>
  <c r="P104" i="23" s="1"/>
  <c r="N202" i="23"/>
  <c r="P202" i="23" s="1"/>
  <c r="N200" i="23"/>
  <c r="P200" i="23" s="1"/>
  <c r="N233" i="23"/>
  <c r="P233" i="23"/>
  <c r="N169" i="23"/>
  <c r="P169" i="23" s="1"/>
  <c r="N123" i="23"/>
  <c r="P123" i="23"/>
  <c r="N102" i="23"/>
  <c r="P102" i="23" s="1"/>
  <c r="N103" i="23"/>
  <c r="P103" i="23"/>
  <c r="N193" i="23"/>
  <c r="P193" i="23"/>
  <c r="N112" i="23"/>
  <c r="P112" i="23"/>
  <c r="N186" i="22"/>
  <c r="P186" i="22" s="1"/>
  <c r="N122" i="22"/>
  <c r="P122" i="22"/>
  <c r="N78" i="22"/>
  <c r="P78" i="22" s="1"/>
  <c r="Q77" i="22" s="1"/>
  <c r="N60" i="22"/>
  <c r="P60" i="22" s="1"/>
  <c r="N226" i="22"/>
  <c r="P226" i="22" s="1"/>
  <c r="N245" i="22"/>
  <c r="P245" i="22"/>
  <c r="N114" i="22"/>
  <c r="P114" i="22"/>
  <c r="N152" i="22"/>
  <c r="P152" i="22" s="1"/>
  <c r="N56" i="22"/>
  <c r="P56" i="22" s="1"/>
  <c r="N139" i="22"/>
  <c r="P139" i="22" s="1"/>
  <c r="N213" i="22"/>
  <c r="P213" i="22" s="1"/>
  <c r="N106" i="22"/>
  <c r="P106" i="22" s="1"/>
  <c r="N196" i="22"/>
  <c r="P196" i="22" s="1"/>
  <c r="N59" i="22"/>
  <c r="P59" i="22"/>
  <c r="N127" i="22"/>
  <c r="P127" i="22"/>
  <c r="N68" i="22"/>
  <c r="P68" i="22" s="1"/>
  <c r="N87" i="22"/>
  <c r="P87" i="22" s="1"/>
  <c r="N115" i="22"/>
  <c r="P115" i="22" s="1"/>
  <c r="N85" i="22"/>
  <c r="P85" i="22" s="1"/>
  <c r="N157" i="22"/>
  <c r="P157" i="22" s="1"/>
  <c r="N85" i="228"/>
  <c r="P85" i="228" s="1"/>
  <c r="N145" i="228"/>
  <c r="P145" i="228"/>
  <c r="N27" i="228"/>
  <c r="P27" i="228" s="1"/>
  <c r="N150" i="228"/>
  <c r="P150" i="228" s="1"/>
  <c r="M186" i="228"/>
  <c r="M137" i="228"/>
  <c r="N168" i="210"/>
  <c r="P168" i="210" s="1"/>
  <c r="N100" i="22"/>
  <c r="P100" i="22"/>
  <c r="N82" i="228"/>
  <c r="P82" i="228" s="1"/>
  <c r="N149" i="228"/>
  <c r="P149" i="228" s="1"/>
  <c r="N153" i="228"/>
  <c r="P153" i="228"/>
  <c r="N222" i="228"/>
  <c r="P222" i="228"/>
  <c r="N78" i="228"/>
  <c r="P78" i="228"/>
  <c r="N249" i="228"/>
  <c r="P249" i="228" s="1"/>
  <c r="N184" i="228"/>
  <c r="P184" i="228"/>
  <c r="N229" i="228"/>
  <c r="P229" i="228" s="1"/>
  <c r="N259" i="228"/>
  <c r="P259" i="228"/>
  <c r="N182" i="228"/>
  <c r="P182" i="228" s="1"/>
  <c r="N108" i="228"/>
  <c r="P108" i="228" s="1"/>
  <c r="N52" i="228"/>
  <c r="P52" i="228" s="1"/>
  <c r="N208" i="228"/>
  <c r="P208" i="228"/>
  <c r="N216" i="228"/>
  <c r="P216" i="228" s="1"/>
  <c r="N258" i="228"/>
  <c r="P258" i="228"/>
  <c r="N178" i="228"/>
  <c r="P178" i="228"/>
  <c r="N164" i="228"/>
  <c r="P164" i="228" s="1"/>
  <c r="N172" i="228"/>
  <c r="P172" i="228" s="1"/>
  <c r="N96" i="229"/>
  <c r="P96" i="229"/>
  <c r="D34" i="14"/>
  <c r="H25" i="16"/>
  <c r="J158" i="10"/>
  <c r="J159" i="10" s="1"/>
  <c r="N163" i="229"/>
  <c r="P163" i="229" s="1"/>
  <c r="N241" i="228"/>
  <c r="P241" i="228" s="1"/>
  <c r="N248" i="210"/>
  <c r="P248" i="210" s="1"/>
  <c r="H34" i="14"/>
  <c r="I49" i="217"/>
  <c r="M36" i="262"/>
  <c r="I36" i="14"/>
  <c r="O35" i="217"/>
  <c r="G69" i="262"/>
  <c r="F36" i="236"/>
  <c r="H40" i="238"/>
  <c r="K34" i="238" s="1"/>
  <c r="P220" i="22"/>
  <c r="P49" i="228"/>
  <c r="Q48" i="228" s="1"/>
  <c r="E78" i="10"/>
  <c r="H78" i="10"/>
  <c r="J78" i="10"/>
  <c r="Z23" i="266"/>
  <c r="N78" i="10"/>
  <c r="L78" i="10"/>
  <c r="O78" i="10"/>
  <c r="P78" i="10"/>
  <c r="I78" i="10"/>
  <c r="G78" i="10"/>
  <c r="F78" i="10"/>
  <c r="P26" i="210"/>
  <c r="P133" i="22"/>
  <c r="P44" i="210"/>
  <c r="P42" i="228"/>
  <c r="P135" i="228"/>
  <c r="K78" i="10"/>
  <c r="R24" i="266"/>
  <c r="S24" i="266"/>
  <c r="U24" i="266"/>
  <c r="Q24" i="266"/>
  <c r="V24" i="266"/>
  <c r="C104" i="10"/>
  <c r="W24" i="266"/>
  <c r="T24" i="266"/>
  <c r="K108" i="10"/>
  <c r="I108" i="10"/>
  <c r="G108" i="10"/>
  <c r="N108" i="10"/>
  <c r="O108" i="10"/>
  <c r="E108" i="10"/>
  <c r="M108" i="10"/>
  <c r="F108" i="10"/>
  <c r="J108" i="10"/>
  <c r="P108" i="10"/>
  <c r="H108" i="10"/>
  <c r="L108" i="10"/>
  <c r="P40" i="22"/>
  <c r="P42" i="23"/>
  <c r="G81" i="10"/>
  <c r="L81" i="10"/>
  <c r="Z26" i="266"/>
  <c r="O81" i="10"/>
  <c r="J81" i="10"/>
  <c r="H81" i="10"/>
  <c r="N81" i="10"/>
  <c r="P81" i="10"/>
  <c r="S81" i="10" s="1"/>
  <c r="M81" i="10"/>
  <c r="E81" i="10"/>
  <c r="I81" i="10"/>
  <c r="F81" i="10"/>
  <c r="P50" i="23"/>
  <c r="P35" i="22"/>
  <c r="P47" i="210"/>
  <c r="P69" i="210"/>
  <c r="P257" i="227"/>
  <c r="P91" i="210"/>
  <c r="P92" i="22"/>
  <c r="P37" i="210"/>
  <c r="P35" i="229"/>
  <c r="P108" i="227"/>
  <c r="P57" i="23"/>
  <c r="P31" i="23"/>
  <c r="P255" i="227"/>
  <c r="P139" i="210"/>
  <c r="P110" i="23"/>
  <c r="P175" i="22"/>
  <c r="P162" i="22"/>
  <c r="P256" i="22"/>
  <c r="L76" i="10"/>
  <c r="P62" i="228"/>
  <c r="P83" i="227"/>
  <c r="P176" i="227"/>
  <c r="P44" i="228"/>
  <c r="P33" i="22"/>
  <c r="P154" i="227"/>
  <c r="P55" i="23"/>
  <c r="P87" i="228"/>
  <c r="P103" i="228"/>
  <c r="P75" i="228"/>
  <c r="P99" i="229"/>
  <c r="P124" i="210"/>
  <c r="P105" i="229"/>
  <c r="P192" i="227"/>
  <c r="P106" i="229"/>
  <c r="P147" i="210"/>
  <c r="P30" i="228"/>
  <c r="P197" i="227"/>
  <c r="P184" i="227"/>
  <c r="P99" i="210"/>
  <c r="O100" i="210" s="1"/>
  <c r="P87" i="229"/>
  <c r="P51" i="210"/>
  <c r="P78" i="210"/>
  <c r="P39" i="23"/>
  <c r="F156" i="10"/>
  <c r="F157" i="10" s="1"/>
  <c r="C156" i="10"/>
  <c r="K156" i="10"/>
  <c r="K157" i="10" s="1"/>
  <c r="P114" i="23"/>
  <c r="J47" i="262"/>
  <c r="P88" i="23"/>
  <c r="P224" i="229"/>
  <c r="N75" i="10"/>
  <c r="P239" i="227"/>
  <c r="P80" i="210"/>
  <c r="P167" i="227"/>
  <c r="P130" i="229"/>
  <c r="P119" i="228"/>
  <c r="E12" i="272"/>
  <c r="F12" i="272" s="1"/>
  <c r="G12" i="272" s="1"/>
  <c r="H12" i="272" s="1"/>
  <c r="I12" i="272" s="1"/>
  <c r="J12" i="272" s="1"/>
  <c r="K12" i="272" s="1"/>
  <c r="L12" i="272" s="1"/>
  <c r="M12" i="272" s="1"/>
  <c r="N12" i="272" s="1"/>
  <c r="O12" i="272" s="1"/>
  <c r="D12" i="273"/>
  <c r="E12" i="273" s="1"/>
  <c r="F12" i="273" s="1"/>
  <c r="G12" i="273" s="1"/>
  <c r="H12" i="273" s="1"/>
  <c r="I12" i="273" s="1"/>
  <c r="J12" i="273" s="1"/>
  <c r="K12" i="273" s="1"/>
  <c r="L12" i="273" s="1"/>
  <c r="M12" i="273" s="1"/>
  <c r="N12" i="273" s="1"/>
  <c r="O12" i="273" s="1"/>
  <c r="M39" i="19"/>
  <c r="M35" i="19"/>
  <c r="D91" i="14"/>
  <c r="E46" i="232" s="1"/>
  <c r="M43" i="19"/>
  <c r="M48" i="19"/>
  <c r="O61" i="18"/>
  <c r="Q60" i="18"/>
  <c r="O50" i="18"/>
  <c r="Q49" i="18"/>
  <c r="O60" i="18"/>
  <c r="Q59" i="18"/>
  <c r="O44" i="18"/>
  <c r="O49" i="18"/>
  <c r="Q48" i="18"/>
  <c r="O34" i="18"/>
  <c r="O32" i="18"/>
  <c r="Q31" i="18"/>
  <c r="O43" i="18"/>
  <c r="Q42" i="18"/>
  <c r="N46" i="18"/>
  <c r="P46" i="18" s="1"/>
  <c r="N28" i="18"/>
  <c r="F91" i="14" s="1"/>
  <c r="M46" i="18"/>
  <c r="N38" i="18"/>
  <c r="P38" i="18" s="1"/>
  <c r="N37" i="18"/>
  <c r="P37" i="18" s="1"/>
  <c r="M27" i="19"/>
  <c r="N29" i="18"/>
  <c r="G91" i="14" s="1"/>
  <c r="N36" i="18"/>
  <c r="P36" i="18" s="1"/>
  <c r="O52" i="18"/>
  <c r="Q51" i="18"/>
  <c r="N34" i="18"/>
  <c r="P34" i="18" s="1"/>
  <c r="Q33" i="18" s="1"/>
  <c r="N35" i="18"/>
  <c r="P35" i="18" s="1"/>
  <c r="O51" i="18"/>
  <c r="Q50" i="18"/>
  <c r="O59" i="18"/>
  <c r="Q58" i="18"/>
  <c r="O57" i="18"/>
  <c r="Q56" i="18"/>
  <c r="I91" i="14"/>
  <c r="N30" i="18"/>
  <c r="H91" i="14" s="1"/>
  <c r="O42" i="18"/>
  <c r="Q41" i="18"/>
  <c r="O41" i="18"/>
  <c r="Q40" i="18"/>
  <c r="Q57" i="18"/>
  <c r="O65" i="18"/>
  <c r="Q39" i="18"/>
  <c r="O40" i="18"/>
  <c r="O27" i="18"/>
  <c r="E92" i="14" s="1"/>
  <c r="O33" i="18"/>
  <c r="Q32" i="18"/>
  <c r="O46" i="18"/>
  <c r="M28" i="18"/>
  <c r="M38" i="18"/>
  <c r="M30" i="18"/>
  <c r="N44" i="18"/>
  <c r="P44" i="18" s="1"/>
  <c r="Q43" i="18" s="1"/>
  <c r="N47" i="18"/>
  <c r="P47" i="18" s="1"/>
  <c r="N27" i="18"/>
  <c r="E91" i="14" s="1"/>
  <c r="P27" i="18"/>
  <c r="Q26" i="18" s="1"/>
  <c r="O53" i="18"/>
  <c r="Q52" i="18"/>
  <c r="O55" i="18"/>
  <c r="Q54" i="18"/>
  <c r="Q55" i="18"/>
  <c r="O54" i="18"/>
  <c r="Q53" i="18"/>
  <c r="E28" i="20"/>
  <c r="G28" i="20" s="1"/>
  <c r="B29" i="20"/>
  <c r="P24" i="215"/>
  <c r="P22" i="19"/>
  <c r="P26" i="19"/>
  <c r="Q25" i="19" s="1"/>
  <c r="P22" i="18"/>
  <c r="Q25" i="18"/>
  <c r="A33" i="253"/>
  <c r="A33" i="1"/>
  <c r="A33" i="252"/>
  <c r="A33" i="249"/>
  <c r="A30" i="237"/>
  <c r="G28" i="237" s="1"/>
  <c r="C21" i="262"/>
  <c r="C20" i="262"/>
  <c r="D97" i="233"/>
  <c r="C19" i="262"/>
  <c r="E26" i="216"/>
  <c r="C23" i="262"/>
  <c r="B59" i="10"/>
  <c r="B29" i="267"/>
  <c r="A58" i="238"/>
  <c r="G56" i="238" s="1"/>
  <c r="G56" i="237"/>
  <c r="C68" i="239"/>
  <c r="E68" i="216"/>
  <c r="C55" i="240"/>
  <c r="C55" i="241" s="1"/>
  <c r="E55" i="241" s="1"/>
  <c r="K71" i="16"/>
  <c r="C29" i="239"/>
  <c r="E29" i="216"/>
  <c r="A72" i="238"/>
  <c r="G70" i="238" s="1"/>
  <c r="G70" i="237"/>
  <c r="O133" i="1"/>
  <c r="P137" i="14"/>
  <c r="X20" i="268"/>
  <c r="T50" i="10" s="1"/>
  <c r="S50" i="10" s="1"/>
  <c r="X28" i="267"/>
  <c r="T83" i="10" s="1"/>
  <c r="S83" i="10" s="1"/>
  <c r="K71" i="276"/>
  <c r="E16" i="240"/>
  <c r="C16" i="241"/>
  <c r="E16" i="241" s="1"/>
  <c r="B76" i="10"/>
  <c r="B21" i="266"/>
  <c r="B101" i="10" s="1"/>
  <c r="A49" i="264"/>
  <c r="C49" i="263"/>
  <c r="A35" i="1"/>
  <c r="A35" i="252"/>
  <c r="A35" i="249"/>
  <c r="A35" i="253"/>
  <c r="A16" i="238"/>
  <c r="G14" i="238" s="1"/>
  <c r="G14" i="237"/>
  <c r="A34" i="1"/>
  <c r="A34" i="252"/>
  <c r="A34" i="249"/>
  <c r="A34" i="253"/>
  <c r="C42" i="239"/>
  <c r="E42" i="216"/>
  <c r="A16" i="264"/>
  <c r="C16" i="263"/>
  <c r="S43" i="10"/>
  <c r="C27" i="264"/>
  <c r="A27" i="265"/>
  <c r="C27" i="265" s="1"/>
  <c r="G84" i="237"/>
  <c r="A86" i="238"/>
  <c r="G84" i="238" s="1"/>
  <c r="A44" i="238"/>
  <c r="G42" i="238" s="1"/>
  <c r="G42" i="237"/>
  <c r="P16" i="30"/>
  <c r="M27" i="18"/>
  <c r="M44" i="18"/>
  <c r="N36" i="19"/>
  <c r="M36" i="19"/>
  <c r="M37" i="19"/>
  <c r="M53" i="19"/>
  <c r="M47" i="19"/>
  <c r="C49" i="19"/>
  <c r="I49" i="19" s="1"/>
  <c r="H49" i="19" s="1"/>
  <c r="C34" i="19"/>
  <c r="I34" i="19" s="1"/>
  <c r="H34" i="19" s="1"/>
  <c r="C46" i="19"/>
  <c r="I46" i="19" s="1"/>
  <c r="H46" i="19" s="1"/>
  <c r="C42" i="19"/>
  <c r="I42" i="19" s="1"/>
  <c r="H42" i="19" s="1"/>
  <c r="C32" i="19"/>
  <c r="I32" i="19" s="1"/>
  <c r="H32" i="19" s="1"/>
  <c r="C33" i="19"/>
  <c r="I33" i="19" s="1"/>
  <c r="H33" i="19" s="1"/>
  <c r="C31" i="19"/>
  <c r="I31" i="19" s="1"/>
  <c r="H31" i="19" s="1"/>
  <c r="C38" i="19"/>
  <c r="I38" i="19" s="1"/>
  <c r="H38" i="19" s="1"/>
  <c r="M56" i="228"/>
  <c r="M108" i="228"/>
  <c r="M184" i="228"/>
  <c r="M153" i="228"/>
  <c r="M208" i="228"/>
  <c r="M165" i="228"/>
  <c r="M174" i="228"/>
  <c r="M258" i="228"/>
  <c r="M182" i="228"/>
  <c r="M34" i="228"/>
  <c r="M133" i="228"/>
  <c r="M246" i="228"/>
  <c r="M169" i="228"/>
  <c r="M72" i="228"/>
  <c r="M237" i="228"/>
  <c r="M120" i="229"/>
  <c r="M38" i="228"/>
  <c r="M148" i="228"/>
  <c r="M33" i="228"/>
  <c r="M45" i="19"/>
  <c r="M29" i="19"/>
  <c r="E47" i="232"/>
  <c r="F47" i="232" s="1"/>
  <c r="M40" i="19"/>
  <c r="M41" i="19"/>
  <c r="C184" i="210"/>
  <c r="I184" i="210" s="1"/>
  <c r="H184" i="210" s="1"/>
  <c r="C82" i="210"/>
  <c r="I82" i="210" s="1"/>
  <c r="H82" i="210" s="1"/>
  <c r="C33" i="210"/>
  <c r="I33" i="210" s="1"/>
  <c r="H33" i="210" s="1"/>
  <c r="M163" i="229"/>
  <c r="M112" i="229"/>
  <c r="M199" i="228"/>
  <c r="M143" i="228"/>
  <c r="M206" i="228"/>
  <c r="M147" i="210"/>
  <c r="M118" i="23"/>
  <c r="M34" i="22"/>
  <c r="M44" i="19"/>
  <c r="M30" i="19"/>
  <c r="C143" i="210"/>
  <c r="I143" i="210" s="1"/>
  <c r="H143" i="210" s="1"/>
  <c r="F48" i="238"/>
  <c r="P46" i="237"/>
  <c r="Q47" i="237"/>
  <c r="O45" i="237"/>
  <c r="N50" i="240"/>
  <c r="N52" i="240" s="1"/>
  <c r="N43" i="240" s="1"/>
  <c r="N47" i="240" s="1"/>
  <c r="J76" i="240"/>
  <c r="N76" i="237"/>
  <c r="L74" i="237"/>
  <c r="M75" i="237"/>
  <c r="K73" i="237"/>
  <c r="O78" i="216"/>
  <c r="O69" i="216" s="1"/>
  <c r="O73" i="216" s="1"/>
  <c r="M62" i="262"/>
  <c r="M63" i="262"/>
  <c r="M65" i="262"/>
  <c r="M67" i="262"/>
  <c r="M66" i="262"/>
  <c r="M64" i="262"/>
  <c r="K63" i="240"/>
  <c r="I54" i="264" s="1"/>
  <c r="O62" i="237"/>
  <c r="M60" i="237"/>
  <c r="N61" i="237"/>
  <c r="L59" i="237"/>
  <c r="J50" i="239"/>
  <c r="N48" i="236"/>
  <c r="L46" i="236"/>
  <c r="M47" i="236"/>
  <c r="K45" i="236"/>
  <c r="N65" i="216"/>
  <c r="N56" i="216" s="1"/>
  <c r="N60" i="216" s="1"/>
  <c r="L55" i="262"/>
  <c r="L53" i="262"/>
  <c r="L51" i="262"/>
  <c r="L56" i="262"/>
  <c r="L54" i="262"/>
  <c r="L52" i="262"/>
  <c r="E43" i="216"/>
  <c r="E47" i="216" s="1"/>
  <c r="F74" i="1"/>
  <c r="F80" i="233"/>
  <c r="E49" i="1"/>
  <c r="E45" i="220"/>
  <c r="E36" i="233"/>
  <c r="O75" i="217"/>
  <c r="C82" i="217"/>
  <c r="D12" i="234"/>
  <c r="E12" i="234" s="1"/>
  <c r="F12" i="234" s="1"/>
  <c r="G12" i="234" s="1"/>
  <c r="H12" i="234" s="1"/>
  <c r="I12" i="234" s="1"/>
  <c r="J12" i="234" s="1"/>
  <c r="K12" i="234" s="1"/>
  <c r="L12" i="234" s="1"/>
  <c r="M12" i="234" s="1"/>
  <c r="N12" i="234" s="1"/>
  <c r="C12" i="235"/>
  <c r="D12" i="235" s="1"/>
  <c r="E12" i="235" s="1"/>
  <c r="F12" i="235" s="1"/>
  <c r="G12" i="235" s="1"/>
  <c r="H12" i="235" s="1"/>
  <c r="I12" i="235" s="1"/>
  <c r="J12" i="235" s="1"/>
  <c r="K12" i="235" s="1"/>
  <c r="L12" i="235" s="1"/>
  <c r="M12" i="235" s="1"/>
  <c r="N12" i="235" s="1"/>
  <c r="G34" i="238"/>
  <c r="O37" i="240"/>
  <c r="M31" i="264" s="1"/>
  <c r="Q32" i="237"/>
  <c r="F33" i="238"/>
  <c r="P31" i="237"/>
  <c r="H78" i="216"/>
  <c r="H69" i="216" s="1"/>
  <c r="H73" i="216" s="1"/>
  <c r="F67" i="262"/>
  <c r="F65" i="262"/>
  <c r="F63" i="262"/>
  <c r="F62" i="262"/>
  <c r="F66" i="262"/>
  <c r="F64" i="262"/>
  <c r="O61" i="236"/>
  <c r="M59" i="236"/>
  <c r="L63" i="239"/>
  <c r="N60" i="236"/>
  <c r="P62" i="236"/>
  <c r="B55" i="265"/>
  <c r="N64" i="231"/>
  <c r="M64" i="231"/>
  <c r="D49" i="249"/>
  <c r="D45" i="276"/>
  <c r="D36" i="234"/>
  <c r="F90" i="237"/>
  <c r="P88" i="236"/>
  <c r="N89" i="239"/>
  <c r="Q89" i="236"/>
  <c r="O87" i="236"/>
  <c r="O39" i="239"/>
  <c r="O30" i="239" s="1"/>
  <c r="O34" i="239" s="1"/>
  <c r="M29" i="263"/>
  <c r="M32" i="263"/>
  <c r="I92" i="214"/>
  <c r="E30" i="216"/>
  <c r="F49" i="16"/>
  <c r="G54" i="14"/>
  <c r="G44" i="218"/>
  <c r="F44" i="219"/>
  <c r="F38" i="217"/>
  <c r="L50" i="214"/>
  <c r="H20" i="31"/>
  <c r="D30" i="3"/>
  <c r="F34" i="238"/>
  <c r="N37" i="240"/>
  <c r="P32" i="237"/>
  <c r="Q33" i="237"/>
  <c r="O31" i="237"/>
  <c r="P52" i="216"/>
  <c r="P43" i="216" s="1"/>
  <c r="P47" i="216" s="1"/>
  <c r="N41" i="262"/>
  <c r="N44" i="262"/>
  <c r="N43" i="262"/>
  <c r="N40" i="262"/>
  <c r="N45" i="262"/>
  <c r="N42" i="262"/>
  <c r="F41" i="1"/>
  <c r="F36" i="220"/>
  <c r="F20" i="233"/>
  <c r="B44" i="265"/>
  <c r="H80" i="14"/>
  <c r="G89" i="219"/>
  <c r="H89" i="218"/>
  <c r="S72" i="231"/>
  <c r="R66" i="231"/>
  <c r="Q66" i="231"/>
  <c r="G76" i="14"/>
  <c r="G82" i="218"/>
  <c r="F82" i="219"/>
  <c r="O65" i="217"/>
  <c r="N47" i="236"/>
  <c r="L45" i="236"/>
  <c r="K50" i="239"/>
  <c r="O48" i="236"/>
  <c r="M46" i="236"/>
  <c r="L39" i="238"/>
  <c r="L40" i="238" s="1"/>
  <c r="L40" i="237"/>
  <c r="J91" i="239"/>
  <c r="J82" i="239" s="1"/>
  <c r="J86" i="239" s="1"/>
  <c r="H78" i="263"/>
  <c r="H74" i="263"/>
  <c r="H76" i="263"/>
  <c r="O43" i="217"/>
  <c r="F68" i="237"/>
  <c r="D66" i="238"/>
  <c r="N68" i="238" s="1"/>
  <c r="P68" i="237"/>
  <c r="K68" i="237"/>
  <c r="H68" i="237"/>
  <c r="E39" i="249"/>
  <c r="E34" i="276"/>
  <c r="E16" i="234"/>
  <c r="C82" i="252"/>
  <c r="C95" i="235"/>
  <c r="G79" i="14"/>
  <c r="F87" i="219"/>
  <c r="G87" i="218"/>
  <c r="O70" i="231"/>
  <c r="J24" i="220"/>
  <c r="J21" i="220"/>
  <c r="Q43" i="10"/>
  <c r="H81" i="238"/>
  <c r="H82" i="237"/>
  <c r="F59" i="1"/>
  <c r="F55" i="233"/>
  <c r="J91" i="216"/>
  <c r="J82" i="216" s="1"/>
  <c r="J86" i="216" s="1"/>
  <c r="H77" i="262"/>
  <c r="H75" i="262"/>
  <c r="H73" i="262"/>
  <c r="H74" i="262"/>
  <c r="H76" i="262"/>
  <c r="H78" i="262"/>
  <c r="F48" i="1"/>
  <c r="F44" i="220"/>
  <c r="F34" i="233"/>
  <c r="M30" i="231"/>
  <c r="N30" i="231" s="1"/>
  <c r="C20" i="249"/>
  <c r="D29" i="271"/>
  <c r="J90" i="236"/>
  <c r="H88" i="236"/>
  <c r="F89" i="239"/>
  <c r="I89" i="236"/>
  <c r="G87" i="236"/>
  <c r="G71" i="217"/>
  <c r="F50" i="239"/>
  <c r="I47" i="236"/>
  <c r="G45" i="236"/>
  <c r="J48" i="236"/>
  <c r="H46" i="236"/>
  <c r="K76" i="239"/>
  <c r="N75" i="236"/>
  <c r="L73" i="236"/>
  <c r="O76" i="236"/>
  <c r="M74" i="236"/>
  <c r="G65" i="216"/>
  <c r="G56" i="216" s="1"/>
  <c r="G60" i="216" s="1"/>
  <c r="E56" i="262"/>
  <c r="E54" i="262"/>
  <c r="E52" i="262"/>
  <c r="E51" i="262"/>
  <c r="E53" i="262"/>
  <c r="E55" i="262"/>
  <c r="E77" i="249"/>
  <c r="E85" i="234"/>
  <c r="E45" i="1"/>
  <c r="E41" i="220"/>
  <c r="E28" i="233"/>
  <c r="G83" i="14"/>
  <c r="F95" i="219"/>
  <c r="G95" i="218"/>
  <c r="C61" i="252"/>
  <c r="C59" i="235"/>
  <c r="E25" i="215"/>
  <c r="N38" i="217"/>
  <c r="F87" i="236"/>
  <c r="F92" i="236" s="1"/>
  <c r="G88" i="236"/>
  <c r="H89" i="236"/>
  <c r="I90" i="236"/>
  <c r="I92" i="236" s="1"/>
  <c r="E89" i="239"/>
  <c r="R96" i="236"/>
  <c r="D39" i="24"/>
  <c r="G23" i="31"/>
  <c r="F33" i="3" s="1"/>
  <c r="H33" i="3" s="1"/>
  <c r="J33" i="3" s="1"/>
  <c r="L33" i="3" s="1"/>
  <c r="N33" i="3" s="1"/>
  <c r="J54" i="237"/>
  <c r="H73" i="263"/>
  <c r="C55" i="253"/>
  <c r="D29" i="232"/>
  <c r="E29" i="232" s="1"/>
  <c r="F29" i="232" s="1"/>
  <c r="G29" i="232" s="1"/>
  <c r="H29" i="232" s="1"/>
  <c r="I29" i="232" s="1"/>
  <c r="J29" i="232" s="1"/>
  <c r="K29" i="232" s="1"/>
  <c r="L29" i="232" s="1"/>
  <c r="M29" i="232" s="1"/>
  <c r="N29" i="232" s="1"/>
  <c r="O29" i="232" s="1"/>
  <c r="P29" i="232" s="1"/>
  <c r="N122" i="1"/>
  <c r="D24" i="238"/>
  <c r="P26" i="238" s="1"/>
  <c r="O26" i="237"/>
  <c r="F26" i="237"/>
  <c r="K53" i="238"/>
  <c r="K54" i="237"/>
  <c r="H50" i="239"/>
  <c r="L48" i="236"/>
  <c r="J46" i="236"/>
  <c r="K47" i="236"/>
  <c r="I45" i="236"/>
  <c r="E40" i="252"/>
  <c r="E18" i="235"/>
  <c r="E40" i="253" s="1"/>
  <c r="D70" i="252"/>
  <c r="D72" i="235"/>
  <c r="D70" i="253" s="1"/>
  <c r="D61" i="249"/>
  <c r="D59" i="234"/>
  <c r="I21" i="276"/>
  <c r="I24" i="276"/>
  <c r="O37" i="241"/>
  <c r="M34" i="265" s="1"/>
  <c r="Q32" i="238"/>
  <c r="R62" i="231"/>
  <c r="Q62" i="231"/>
  <c r="H54" i="237"/>
  <c r="B54" i="265"/>
  <c r="B77" i="265"/>
  <c r="C67" i="252"/>
  <c r="C66" i="235"/>
  <c r="C57" i="252"/>
  <c r="C51" i="235"/>
  <c r="E71" i="1"/>
  <c r="E74" i="233"/>
  <c r="G56" i="16"/>
  <c r="G17" i="16"/>
  <c r="E118" i="220"/>
  <c r="F117" i="220"/>
  <c r="F116" i="220"/>
  <c r="D33" i="232"/>
  <c r="E33" i="232" s="1"/>
  <c r="F33" i="232" s="1"/>
  <c r="G33" i="232" s="1"/>
  <c r="H33" i="232" s="1"/>
  <c r="I33" i="232" s="1"/>
  <c r="J33" i="232" s="1"/>
  <c r="K33" i="232" s="1"/>
  <c r="L33" i="232" s="1"/>
  <c r="M33" i="232" s="1"/>
  <c r="N33" i="232" s="1"/>
  <c r="O33" i="232" s="1"/>
  <c r="P33" i="232" s="1"/>
  <c r="M89" i="239"/>
  <c r="Q90" i="236"/>
  <c r="O88" i="236"/>
  <c r="P89" i="236"/>
  <c r="N87" i="236"/>
  <c r="B45" i="265"/>
  <c r="R34" i="231"/>
  <c r="Q34" i="231"/>
  <c r="C58" i="252"/>
  <c r="C53" i="235"/>
  <c r="D79" i="249"/>
  <c r="D89" i="234"/>
  <c r="E53" i="1"/>
  <c r="E49" i="220"/>
  <c r="E44" i="233"/>
  <c r="C41" i="252"/>
  <c r="C20" i="235"/>
  <c r="C79" i="252"/>
  <c r="C89" i="235"/>
  <c r="J89" i="240"/>
  <c r="H73" i="264" s="1"/>
  <c r="N90" i="237"/>
  <c r="L88" i="237"/>
  <c r="M89" i="237"/>
  <c r="K87" i="237"/>
  <c r="N37" i="241"/>
  <c r="L32" i="265" s="1"/>
  <c r="Q33" i="238"/>
  <c r="P32" i="238"/>
  <c r="G36" i="16"/>
  <c r="H42" i="14"/>
  <c r="H20" i="218"/>
  <c r="G20" i="219"/>
  <c r="S33" i="231"/>
  <c r="F79" i="1"/>
  <c r="F89" i="233"/>
  <c r="F72" i="1"/>
  <c r="F76" i="233"/>
  <c r="C73" i="252"/>
  <c r="C78" i="235"/>
  <c r="D77" i="249"/>
  <c r="D85" i="234"/>
  <c r="F12" i="238"/>
  <c r="G12" i="238" s="1"/>
  <c r="H12" i="238" s="1"/>
  <c r="I12" i="238" s="1"/>
  <c r="J12" i="238" s="1"/>
  <c r="K12" i="238" s="1"/>
  <c r="L12" i="238" s="1"/>
  <c r="M12" i="238" s="1"/>
  <c r="N12" i="238" s="1"/>
  <c r="O12" i="238" s="1"/>
  <c r="P12" i="238" s="1"/>
  <c r="Q12" i="238" s="1"/>
  <c r="H12" i="237"/>
  <c r="I12" i="237" s="1"/>
  <c r="J12" i="237" s="1"/>
  <c r="K12" i="237" s="1"/>
  <c r="L12" i="237" s="1"/>
  <c r="M12" i="237" s="1"/>
  <c r="N12" i="237" s="1"/>
  <c r="O12" i="237" s="1"/>
  <c r="P12" i="237" s="1"/>
  <c r="Q12" i="237" s="1"/>
  <c r="L53" i="238"/>
  <c r="L54" i="237"/>
  <c r="D36" i="24"/>
  <c r="G38" i="31"/>
  <c r="G44" i="31" s="1"/>
  <c r="F36" i="8" s="1"/>
  <c r="O50" i="239"/>
  <c r="G48" i="237"/>
  <c r="Q46" i="236"/>
  <c r="F47" i="237"/>
  <c r="P45" i="236"/>
  <c r="O124" i="14"/>
  <c r="F59" i="236"/>
  <c r="F64" i="236" s="1"/>
  <c r="E63" i="239"/>
  <c r="G60" i="236"/>
  <c r="H61" i="236"/>
  <c r="I62" i="236"/>
  <c r="R68" i="236"/>
  <c r="H66" i="264"/>
  <c r="B66" i="265"/>
  <c r="O57" i="217"/>
  <c r="E78" i="1"/>
  <c r="E87" i="233"/>
  <c r="D81" i="249"/>
  <c r="D93" i="234"/>
  <c r="Q36" i="236"/>
  <c r="D37" i="24"/>
  <c r="G21" i="31"/>
  <c r="H21" i="31" s="1"/>
  <c r="M36" i="214"/>
  <c r="I39" i="216"/>
  <c r="I30" i="216" s="1"/>
  <c r="G32" i="262"/>
  <c r="G34" i="262"/>
  <c r="G30" i="262"/>
  <c r="G31" i="262"/>
  <c r="G33" i="262"/>
  <c r="G29" i="262"/>
  <c r="C36" i="262"/>
  <c r="C42" i="253"/>
  <c r="E38" i="1"/>
  <c r="E33" i="220"/>
  <c r="E14" i="233"/>
  <c r="E97" i="219"/>
  <c r="N74" i="231"/>
  <c r="M74" i="231"/>
  <c r="P24" i="30"/>
  <c r="P65" i="216"/>
  <c r="P56" i="216" s="1"/>
  <c r="P60" i="216" s="1"/>
  <c r="N56" i="262"/>
  <c r="N54" i="262"/>
  <c r="N52" i="262"/>
  <c r="N53" i="262"/>
  <c r="N55" i="262"/>
  <c r="N51" i="262"/>
  <c r="D31" i="24"/>
  <c r="G15" i="31"/>
  <c r="H15" i="31" s="1"/>
  <c r="N68" i="237"/>
  <c r="J39" i="216"/>
  <c r="H30" i="262"/>
  <c r="H32" i="262"/>
  <c r="H33" i="262"/>
  <c r="H34" i="262"/>
  <c r="H29" i="262"/>
  <c r="H31" i="262"/>
  <c r="R60" i="231"/>
  <c r="Q60" i="231"/>
  <c r="E43" i="249"/>
  <c r="E39" i="276"/>
  <c r="E24" i="234"/>
  <c r="C52" i="253"/>
  <c r="F41" i="16"/>
  <c r="G46" i="14"/>
  <c r="G28" i="218"/>
  <c r="F28" i="219"/>
  <c r="O37" i="231"/>
  <c r="E82" i="1"/>
  <c r="E95" i="233"/>
  <c r="C124" i="252"/>
  <c r="C103" i="235"/>
  <c r="C105" i="234"/>
  <c r="M54" i="237"/>
  <c r="E70" i="249"/>
  <c r="E72" i="234"/>
  <c r="P64" i="214"/>
  <c r="E48" i="249"/>
  <c r="E44" i="276"/>
  <c r="E34" i="234"/>
  <c r="N59" i="231"/>
  <c r="M59" i="231"/>
  <c r="I52" i="16"/>
  <c r="I19" i="16"/>
  <c r="X29" i="268"/>
  <c r="T59" i="10" s="1"/>
  <c r="S59" i="10" s="1"/>
  <c r="O63" i="239"/>
  <c r="G62" i="237"/>
  <c r="Q60" i="236"/>
  <c r="P59" i="236"/>
  <c r="F61" i="237"/>
  <c r="F99" i="236"/>
  <c r="C133" i="249" s="1"/>
  <c r="F17" i="236"/>
  <c r="F22" i="236" s="1"/>
  <c r="I20" i="236"/>
  <c r="H19" i="236"/>
  <c r="E24" i="239"/>
  <c r="G18" i="236"/>
  <c r="N63" i="239"/>
  <c r="F62" i="237"/>
  <c r="P60" i="236"/>
  <c r="Q61" i="236"/>
  <c r="O59" i="236"/>
  <c r="D82" i="217"/>
  <c r="P50" i="239"/>
  <c r="H48" i="237"/>
  <c r="F46" i="237"/>
  <c r="Q45" i="236"/>
  <c r="G47" i="237"/>
  <c r="L34" i="265"/>
  <c r="E89" i="276"/>
  <c r="F86" i="276"/>
  <c r="B79" i="10"/>
  <c r="B24" i="266"/>
  <c r="B104" i="10" s="1"/>
  <c r="O77" i="217"/>
  <c r="H71" i="14"/>
  <c r="G72" i="219"/>
  <c r="H72" i="218"/>
  <c r="S62" i="231"/>
  <c r="D47" i="262"/>
  <c r="F78" i="216"/>
  <c r="F69" i="216" s="1"/>
  <c r="F73" i="216" s="1"/>
  <c r="D67" i="262"/>
  <c r="D65" i="262"/>
  <c r="D63" i="262"/>
  <c r="D66" i="262"/>
  <c r="D62" i="262"/>
  <c r="D64" i="262"/>
  <c r="G72" i="14"/>
  <c r="G74" i="218"/>
  <c r="F74" i="219"/>
  <c r="O64" i="231"/>
  <c r="N95" i="238"/>
  <c r="N96" i="237"/>
  <c r="B31" i="265"/>
  <c r="H62" i="14"/>
  <c r="H59" i="218"/>
  <c r="G59" i="219"/>
  <c r="N91" i="216"/>
  <c r="N82" i="216" s="1"/>
  <c r="N86" i="216" s="1"/>
  <c r="L74" i="262"/>
  <c r="L78" i="262"/>
  <c r="L76" i="262"/>
  <c r="L75" i="262"/>
  <c r="L77" i="262"/>
  <c r="L73" i="262"/>
  <c r="B42" i="265"/>
  <c r="D41" i="252"/>
  <c r="D20" i="235"/>
  <c r="D41" i="253" s="1"/>
  <c r="F42" i="1"/>
  <c r="F38" i="220"/>
  <c r="F22" i="233"/>
  <c r="D65" i="249"/>
  <c r="D62" i="234"/>
  <c r="D35" i="3"/>
  <c r="K39" i="216"/>
  <c r="K30" i="216" s="1"/>
  <c r="I34" i="262"/>
  <c r="I32" i="262"/>
  <c r="I30" i="262"/>
  <c r="I33" i="262"/>
  <c r="I29" i="262"/>
  <c r="I31" i="262"/>
  <c r="C69" i="262"/>
  <c r="F81" i="1"/>
  <c r="F93" i="233"/>
  <c r="E61" i="249"/>
  <c r="E59" i="234"/>
  <c r="H73" i="14"/>
  <c r="H76" i="218"/>
  <c r="G76" i="219"/>
  <c r="S66" i="231"/>
  <c r="E69" i="29"/>
  <c r="E73" i="29" s="1"/>
  <c r="Q78" i="29"/>
  <c r="P76" i="239"/>
  <c r="G75" i="237"/>
  <c r="Q73" i="236"/>
  <c r="H76" i="237"/>
  <c r="F74" i="237"/>
  <c r="D38" i="24"/>
  <c r="G22" i="31"/>
  <c r="O45" i="217"/>
  <c r="E81" i="249"/>
  <c r="E93" i="234"/>
  <c r="O55" i="217"/>
  <c r="C78" i="252"/>
  <c r="C87" i="235"/>
  <c r="C72" i="252"/>
  <c r="C76" i="235"/>
  <c r="Q24" i="10"/>
  <c r="R13" i="10"/>
  <c r="E60" i="217"/>
  <c r="E66" i="249"/>
  <c r="E64" i="234"/>
  <c r="I91" i="216"/>
  <c r="I82" i="216" s="1"/>
  <c r="I86" i="216" s="1"/>
  <c r="G78" i="262"/>
  <c r="G76" i="262"/>
  <c r="G74" i="262"/>
  <c r="G75" i="262"/>
  <c r="G77" i="262"/>
  <c r="G73" i="262"/>
  <c r="I52" i="216"/>
  <c r="I43" i="216" s="1"/>
  <c r="I47" i="216" s="1"/>
  <c r="G44" i="262"/>
  <c r="G42" i="262"/>
  <c r="G40" i="262"/>
  <c r="G41" i="262"/>
  <c r="G43" i="262"/>
  <c r="G45" i="262"/>
  <c r="R31" i="231"/>
  <c r="Q31" i="231"/>
  <c r="C74" i="253"/>
  <c r="E80" i="1"/>
  <c r="E91" i="233"/>
  <c r="C71" i="252"/>
  <c r="C74" i="235"/>
  <c r="G52" i="220"/>
  <c r="G19" i="220"/>
  <c r="R18" i="30"/>
  <c r="Q24" i="30"/>
  <c r="Q19" i="30"/>
  <c r="Q22" i="30" s="1"/>
  <c r="F124" i="14"/>
  <c r="E106" i="218"/>
  <c r="O102" i="218"/>
  <c r="R58" i="231"/>
  <c r="Q58" i="231"/>
  <c r="E39" i="239"/>
  <c r="C32" i="263"/>
  <c r="C30" i="263"/>
  <c r="C29" i="263"/>
  <c r="C34" i="263"/>
  <c r="H91" i="239"/>
  <c r="H82" i="239" s="1"/>
  <c r="H86" i="239" s="1"/>
  <c r="F74" i="263"/>
  <c r="F76" i="263"/>
  <c r="F78" i="263"/>
  <c r="F68" i="1"/>
  <c r="F68" i="233"/>
  <c r="O76" i="239"/>
  <c r="G76" i="237"/>
  <c r="Q74" i="236"/>
  <c r="F75" i="237"/>
  <c r="P73" i="236"/>
  <c r="I124" i="14"/>
  <c r="P61" i="236"/>
  <c r="N59" i="236"/>
  <c r="Q62" i="236"/>
  <c r="O60" i="236"/>
  <c r="M63" i="239"/>
  <c r="J52" i="216"/>
  <c r="J43" i="216" s="1"/>
  <c r="H43" i="262"/>
  <c r="H41" i="262"/>
  <c r="H32" i="1" s="1"/>
  <c r="H45" i="262"/>
  <c r="H42" i="262"/>
  <c r="H44" i="262"/>
  <c r="H40" i="262"/>
  <c r="B73" i="265"/>
  <c r="H51" i="263"/>
  <c r="E67" i="1"/>
  <c r="E66" i="233"/>
  <c r="Q65" i="29"/>
  <c r="O91" i="216"/>
  <c r="O82" i="216" s="1"/>
  <c r="O86" i="216" s="1"/>
  <c r="M78" i="262"/>
  <c r="M76" i="262"/>
  <c r="M74" i="262"/>
  <c r="M75" i="262"/>
  <c r="M77" i="262"/>
  <c r="M73" i="262"/>
  <c r="M80" i="262" s="1"/>
  <c r="I63" i="239"/>
  <c r="M62" i="236"/>
  <c r="K60" i="236"/>
  <c r="L61" i="236"/>
  <c r="J59" i="236"/>
  <c r="E122" i="252"/>
  <c r="O122" i="252" s="1"/>
  <c r="O101" i="234"/>
  <c r="H18" i="31"/>
  <c r="D28" i="3"/>
  <c r="F54" i="237"/>
  <c r="D52" i="238"/>
  <c r="O54" i="238" s="1"/>
  <c r="I54" i="237"/>
  <c r="Q54" i="237"/>
  <c r="Q35" i="231"/>
  <c r="R35" i="231"/>
  <c r="E42" i="252"/>
  <c r="E22" i="235"/>
  <c r="E42" i="253" s="1"/>
  <c r="D45" i="249"/>
  <c r="D41" i="276"/>
  <c r="D28" i="234"/>
  <c r="N61" i="231"/>
  <c r="M61" i="231"/>
  <c r="D44" i="249"/>
  <c r="D40" i="276"/>
  <c r="D26" i="234"/>
  <c r="O80" i="217"/>
  <c r="N89" i="240"/>
  <c r="L73" i="264" s="1"/>
  <c r="F90" i="238"/>
  <c r="Q89" i="237"/>
  <c r="O87" i="237"/>
  <c r="P88" i="237"/>
  <c r="N54" i="237"/>
  <c r="F70" i="1"/>
  <c r="F72" i="233"/>
  <c r="C51" i="252"/>
  <c r="C40" i="235"/>
  <c r="R36" i="231"/>
  <c r="Q36" i="231"/>
  <c r="K47" i="263"/>
  <c r="E79" i="249"/>
  <c r="E89" i="234"/>
  <c r="D124" i="249"/>
  <c r="D103" i="234"/>
  <c r="D105" i="233"/>
  <c r="C68" i="252"/>
  <c r="C68" i="235"/>
  <c r="D68" i="249"/>
  <c r="D68" i="234"/>
  <c r="H63" i="239"/>
  <c r="L62" i="236"/>
  <c r="J60" i="236"/>
  <c r="K61" i="236"/>
  <c r="I59" i="236"/>
  <c r="D35" i="24"/>
  <c r="G19" i="31"/>
  <c r="O34" i="216"/>
  <c r="M71" i="220" s="1"/>
  <c r="M76" i="239"/>
  <c r="Q76" i="236"/>
  <c r="O74" i="236"/>
  <c r="P75" i="236"/>
  <c r="N73" i="236"/>
  <c r="N78" i="216"/>
  <c r="N69" i="216" s="1"/>
  <c r="N73" i="216" s="1"/>
  <c r="L67" i="262"/>
  <c r="L36" i="1" s="1"/>
  <c r="L65" i="262"/>
  <c r="L62" i="262"/>
  <c r="L64" i="262"/>
  <c r="L66" i="262"/>
  <c r="L63" i="262"/>
  <c r="F61" i="1"/>
  <c r="F59" i="233"/>
  <c r="C53" i="253"/>
  <c r="D55" i="249"/>
  <c r="D47" i="234"/>
  <c r="J92" i="236"/>
  <c r="P54" i="237"/>
  <c r="B86" i="238"/>
  <c r="F86" i="238" s="1"/>
  <c r="F86" i="237"/>
  <c r="H82" i="14"/>
  <c r="H93" i="218"/>
  <c r="G93" i="219"/>
  <c r="B33" i="265"/>
  <c r="C69" i="252"/>
  <c r="C70" i="235"/>
  <c r="M48" i="231"/>
  <c r="N48" i="231"/>
  <c r="D69" i="249"/>
  <c r="D70" i="234"/>
  <c r="F89" i="220"/>
  <c r="G86" i="220"/>
  <c r="O69" i="217"/>
  <c r="H34" i="238"/>
  <c r="F32" i="238"/>
  <c r="P37" i="240"/>
  <c r="N33" i="264" s="1"/>
  <c r="G33" i="238"/>
  <c r="Q31" i="237"/>
  <c r="B30" i="238"/>
  <c r="K31" i="238" s="1"/>
  <c r="F30" i="237"/>
  <c r="Q81" i="238"/>
  <c r="Q82" i="237"/>
  <c r="M78" i="216"/>
  <c r="M69" i="216" s="1"/>
  <c r="M73" i="216" s="1"/>
  <c r="K63" i="262"/>
  <c r="K62" i="262"/>
  <c r="K65" i="262"/>
  <c r="K64" i="262"/>
  <c r="K66" i="262"/>
  <c r="K67" i="262"/>
  <c r="O46" i="217"/>
  <c r="D60" i="217"/>
  <c r="D60" i="252"/>
  <c r="D57" i="235"/>
  <c r="D60" i="253" s="1"/>
  <c r="M51" i="231"/>
  <c r="N51" i="231"/>
  <c r="J37" i="240"/>
  <c r="M33" i="237"/>
  <c r="K31" i="237"/>
  <c r="N34" i="237"/>
  <c r="L32" i="237"/>
  <c r="H34" i="216"/>
  <c r="F71" i="220" s="1"/>
  <c r="L39" i="216"/>
  <c r="L30" i="216" s="1"/>
  <c r="J33" i="262"/>
  <c r="J31" i="262"/>
  <c r="J30" i="262"/>
  <c r="J32" i="262"/>
  <c r="J29" i="262"/>
  <c r="J34" i="262"/>
  <c r="G91" i="239"/>
  <c r="G82" i="239" s="1"/>
  <c r="G86" i="239" s="1"/>
  <c r="E74" i="263"/>
  <c r="E76" i="263"/>
  <c r="E78" i="263"/>
  <c r="Q76" i="216"/>
  <c r="B67" i="265"/>
  <c r="H67" i="264"/>
  <c r="F33" i="16"/>
  <c r="G39" i="14"/>
  <c r="G14" i="218"/>
  <c r="F97" i="218"/>
  <c r="F14" i="219"/>
  <c r="O30" i="231"/>
  <c r="G81" i="14"/>
  <c r="G91" i="218"/>
  <c r="F91" i="219"/>
  <c r="O74" i="231"/>
  <c r="W22" i="267"/>
  <c r="T22" i="267"/>
  <c r="O22" i="266"/>
  <c r="Q22" i="267"/>
  <c r="U22" i="267"/>
  <c r="S22" i="267"/>
  <c r="R22" i="267"/>
  <c r="V22" i="267"/>
  <c r="C77" i="10"/>
  <c r="R77" i="10" s="1"/>
  <c r="P22" i="267"/>
  <c r="H78" i="214"/>
  <c r="E82" i="217"/>
  <c r="H67" i="14"/>
  <c r="G64" i="219"/>
  <c r="H64" i="218"/>
  <c r="S58" i="231"/>
  <c r="F37" i="239"/>
  <c r="I33" i="236"/>
  <c r="I36" i="236" s="1"/>
  <c r="G31" i="236"/>
  <c r="G36" i="236" s="1"/>
  <c r="H32" i="236"/>
  <c r="H36" i="236" s="1"/>
  <c r="J34" i="236"/>
  <c r="O91" i="239"/>
  <c r="O82" i="239" s="1"/>
  <c r="O86" i="239" s="1"/>
  <c r="M74" i="263"/>
  <c r="M76" i="263"/>
  <c r="M78" i="263"/>
  <c r="Q63" i="216"/>
  <c r="H69" i="14"/>
  <c r="H68" i="218"/>
  <c r="G68" i="219"/>
  <c r="S60" i="231"/>
  <c r="E74" i="249"/>
  <c r="E80" i="234"/>
  <c r="H29" i="10"/>
  <c r="E19" i="269"/>
  <c r="P81" i="238"/>
  <c r="P82" i="237"/>
  <c r="E55" i="249"/>
  <c r="E47" i="234"/>
  <c r="E122" i="249"/>
  <c r="O122" i="249" s="1"/>
  <c r="O101" i="233"/>
  <c r="E105" i="233"/>
  <c r="J58" i="262"/>
  <c r="E37" i="241"/>
  <c r="G32" i="238"/>
  <c r="I34" i="238"/>
  <c r="H33" i="238"/>
  <c r="K50" i="214"/>
  <c r="B51" i="265"/>
  <c r="G68" i="14"/>
  <c r="G66" i="218"/>
  <c r="F66" i="219"/>
  <c r="O59" i="231"/>
  <c r="C77" i="252"/>
  <c r="C85" i="235"/>
  <c r="D57" i="249"/>
  <c r="D51" i="234"/>
  <c r="X25" i="268"/>
  <c r="T55" i="10" s="1"/>
  <c r="S55" i="10" s="1"/>
  <c r="X31" i="267"/>
  <c r="T86" i="10" s="1"/>
  <c r="O47" i="236"/>
  <c r="M45" i="236"/>
  <c r="L50" i="239"/>
  <c r="P48" i="236"/>
  <c r="N46" i="236"/>
  <c r="J67" i="238"/>
  <c r="J68" i="237"/>
  <c r="I50" i="239"/>
  <c r="M48" i="236"/>
  <c r="K46" i="236"/>
  <c r="L47" i="236"/>
  <c r="J45" i="236"/>
  <c r="F76" i="240"/>
  <c r="I75" i="237"/>
  <c r="G73" i="237"/>
  <c r="J76" i="237"/>
  <c r="H74" i="237"/>
  <c r="G46" i="236"/>
  <c r="E50" i="239"/>
  <c r="H47" i="236"/>
  <c r="I48" i="236"/>
  <c r="F45" i="236"/>
  <c r="F50" i="236" s="1"/>
  <c r="R54" i="236"/>
  <c r="N71" i="217"/>
  <c r="E44" i="249"/>
  <c r="E40" i="276"/>
  <c r="E26" i="234"/>
  <c r="G39" i="16"/>
  <c r="H44" i="14"/>
  <c r="H24" i="218"/>
  <c r="G24" i="219"/>
  <c r="S35" i="231"/>
  <c r="H75" i="264"/>
  <c r="B75" i="265"/>
  <c r="L75" i="264"/>
  <c r="C46" i="252"/>
  <c r="C30" i="235"/>
  <c r="G70" i="14"/>
  <c r="F70" i="219"/>
  <c r="G70" i="218"/>
  <c r="O61" i="231"/>
  <c r="C59" i="252"/>
  <c r="C55" i="235"/>
  <c r="O78" i="217"/>
  <c r="C133" i="10"/>
  <c r="O132" i="10"/>
  <c r="P135" i="10" s="1"/>
  <c r="C54" i="2" s="1"/>
  <c r="D54" i="2" s="1"/>
  <c r="E46" i="249"/>
  <c r="E42" i="276"/>
  <c r="E30" i="234"/>
  <c r="G40" i="16"/>
  <c r="H45" i="14"/>
  <c r="H26" i="218"/>
  <c r="G26" i="219"/>
  <c r="S36" i="231"/>
  <c r="B43" i="265"/>
  <c r="B40" i="265"/>
  <c r="R32" i="231"/>
  <c r="Q32" i="231"/>
  <c r="D74" i="249"/>
  <c r="D80" i="234"/>
  <c r="E51" i="1"/>
  <c r="E47" i="220"/>
  <c r="E40" i="233"/>
  <c r="J49" i="217"/>
  <c r="I37" i="240"/>
  <c r="G33" i="264" s="1"/>
  <c r="L33" i="237"/>
  <c r="J31" i="237"/>
  <c r="M34" i="237"/>
  <c r="K32" i="237"/>
  <c r="I67" i="238"/>
  <c r="I68" i="237"/>
  <c r="D43" i="24"/>
  <c r="G25" i="31"/>
  <c r="H25" i="31" s="1"/>
  <c r="K25" i="31" s="1"/>
  <c r="H76" i="239"/>
  <c r="L76" i="236"/>
  <c r="J74" i="236"/>
  <c r="K75" i="236"/>
  <c r="I73" i="236"/>
  <c r="H91" i="216"/>
  <c r="H82" i="216" s="1"/>
  <c r="H86" i="216" s="1"/>
  <c r="F78" i="262"/>
  <c r="F76" i="262"/>
  <c r="F74" i="262"/>
  <c r="F75" i="262"/>
  <c r="F77" i="262"/>
  <c r="F73" i="262"/>
  <c r="C40" i="253"/>
  <c r="G38" i="16"/>
  <c r="H43" i="14"/>
  <c r="G22" i="219"/>
  <c r="H22" i="218"/>
  <c r="S34" i="231"/>
  <c r="G74" i="14"/>
  <c r="F78" i="219"/>
  <c r="G78" i="218"/>
  <c r="D31" i="3"/>
  <c r="I14" i="29"/>
  <c r="F14" i="217"/>
  <c r="H65" i="216"/>
  <c r="H56" i="216" s="1"/>
  <c r="H60" i="216" s="1"/>
  <c r="F56" i="262"/>
  <c r="F54" i="262"/>
  <c r="F52" i="262"/>
  <c r="F55" i="262"/>
  <c r="F51" i="262"/>
  <c r="F53" i="262"/>
  <c r="L76" i="240"/>
  <c r="J67" i="264" s="1"/>
  <c r="P76" i="237"/>
  <c r="N74" i="237"/>
  <c r="O75" i="237"/>
  <c r="M73" i="237"/>
  <c r="N49" i="217"/>
  <c r="C49" i="253"/>
  <c r="E56" i="1"/>
  <c r="E49" i="233"/>
  <c r="O67" i="217"/>
  <c r="P37" i="241"/>
  <c r="N32" i="265" s="1"/>
  <c r="R45" i="231"/>
  <c r="Q45" i="231"/>
  <c r="L76" i="239"/>
  <c r="O75" i="236"/>
  <c r="M73" i="236"/>
  <c r="P76" i="236"/>
  <c r="N74" i="236"/>
  <c r="O44" i="217"/>
  <c r="F82" i="237"/>
  <c r="D80" i="238"/>
  <c r="N82" i="238" s="1"/>
  <c r="J82" i="237"/>
  <c r="O82" i="237"/>
  <c r="C38" i="253"/>
  <c r="O58" i="217"/>
  <c r="D56" i="252"/>
  <c r="D49" i="235"/>
  <c r="D56" i="253" s="1"/>
  <c r="D47" i="252"/>
  <c r="D32" i="235"/>
  <c r="D47" i="253" s="1"/>
  <c r="B65" i="265"/>
  <c r="H65" i="264"/>
  <c r="G59" i="14"/>
  <c r="F53" i="219"/>
  <c r="G53" i="218"/>
  <c r="O51" i="231"/>
  <c r="D73" i="249"/>
  <c r="D78" i="234"/>
  <c r="W21" i="266"/>
  <c r="C101" i="10"/>
  <c r="U21" i="266"/>
  <c r="T21" i="266"/>
  <c r="P21" i="266"/>
  <c r="R21" i="266"/>
  <c r="Q21" i="266"/>
  <c r="S21" i="266"/>
  <c r="V21" i="266"/>
  <c r="I18" i="231"/>
  <c r="J18" i="231" s="1"/>
  <c r="N34" i="238"/>
  <c r="L32" i="238"/>
  <c r="M33" i="238"/>
  <c r="J37" i="241"/>
  <c r="L124" i="14"/>
  <c r="E69" i="216"/>
  <c r="E73" i="216" s="1"/>
  <c r="G34" i="16"/>
  <c r="H40" i="14"/>
  <c r="H16" i="218"/>
  <c r="G16" i="219"/>
  <c r="S31" i="231"/>
  <c r="D20" i="14"/>
  <c r="E64" i="232"/>
  <c r="D29" i="215"/>
  <c r="E91" i="216"/>
  <c r="Q89" i="216"/>
  <c r="C74" i="262"/>
  <c r="C76" i="262"/>
  <c r="C34" i="1" s="1"/>
  <c r="C73" i="262"/>
  <c r="C75" i="262"/>
  <c r="C78" i="262"/>
  <c r="C77" i="262"/>
  <c r="F66" i="1"/>
  <c r="F64" i="233"/>
  <c r="I71" i="217"/>
  <c r="G39" i="238"/>
  <c r="G40" i="237"/>
  <c r="R39" i="237"/>
  <c r="E56" i="216"/>
  <c r="E60" i="216" s="1"/>
  <c r="D67" i="252"/>
  <c r="D66" i="235"/>
  <c r="D67" i="253" s="1"/>
  <c r="D66" i="252"/>
  <c r="D64" i="235"/>
  <c r="D66" i="253" s="1"/>
  <c r="M57" i="231"/>
  <c r="N57" i="231"/>
  <c r="D82" i="249"/>
  <c r="D95" i="234"/>
  <c r="C80" i="252"/>
  <c r="C91" i="235"/>
  <c r="F60" i="217"/>
  <c r="E37" i="240"/>
  <c r="C31" i="264" s="1"/>
  <c r="G32" i="237"/>
  <c r="H33" i="237"/>
  <c r="I34" i="237"/>
  <c r="F31" i="237"/>
  <c r="F36" i="237" s="1"/>
  <c r="O65" i="216"/>
  <c r="O56" i="216" s="1"/>
  <c r="O60" i="216" s="1"/>
  <c r="M56" i="262"/>
  <c r="M36" i="1" s="1"/>
  <c r="M54" i="262"/>
  <c r="M52" i="262"/>
  <c r="M51" i="262"/>
  <c r="M53" i="262"/>
  <c r="M55" i="262"/>
  <c r="E57" i="249"/>
  <c r="E51" i="234"/>
  <c r="C47" i="252"/>
  <c r="C32" i="235"/>
  <c r="D51" i="252"/>
  <c r="D40" i="235"/>
  <c r="D51" i="253" s="1"/>
  <c r="N39" i="231"/>
  <c r="M39" i="231"/>
  <c r="N26" i="238"/>
  <c r="M24" i="241" s="1"/>
  <c r="Q47" i="231"/>
  <c r="R47" i="231"/>
  <c r="G82" i="238"/>
  <c r="I58" i="262"/>
  <c r="B52" i="265"/>
  <c r="F43" i="1"/>
  <c r="F39" i="220"/>
  <c r="F24" i="233"/>
  <c r="E69" i="1"/>
  <c r="E70" i="233"/>
  <c r="G17" i="276"/>
  <c r="G56" i="276"/>
  <c r="O76" i="217"/>
  <c r="L33" i="238"/>
  <c r="M34" i="238"/>
  <c r="K32" i="238"/>
  <c r="I37" i="241"/>
  <c r="G32" i="265" s="1"/>
  <c r="D33" i="24"/>
  <c r="G17" i="31"/>
  <c r="H17" i="31" s="1"/>
  <c r="M76" i="240"/>
  <c r="P75" i="237"/>
  <c r="N73" i="237"/>
  <c r="Q76" i="237"/>
  <c r="O74" i="237"/>
  <c r="F44" i="1"/>
  <c r="F40" i="220"/>
  <c r="F26" i="233"/>
  <c r="F47" i="16"/>
  <c r="G52" i="14"/>
  <c r="G40" i="218"/>
  <c r="F40" i="219"/>
  <c r="D58" i="249"/>
  <c r="D53" i="234"/>
  <c r="H37" i="240"/>
  <c r="F33" i="264" s="1"/>
  <c r="K33" i="237"/>
  <c r="I31" i="237"/>
  <c r="L34" i="237"/>
  <c r="J32" i="237"/>
  <c r="I81" i="238"/>
  <c r="I82" i="237"/>
  <c r="R38" i="231"/>
  <c r="Q38" i="231"/>
  <c r="H52" i="216"/>
  <c r="H43" i="216" s="1"/>
  <c r="H47" i="216" s="1"/>
  <c r="F44" i="262"/>
  <c r="F43" i="262"/>
  <c r="F40" i="262"/>
  <c r="F45" i="262"/>
  <c r="F42" i="262"/>
  <c r="F41" i="262"/>
  <c r="O31" i="217"/>
  <c r="D38" i="217"/>
  <c r="C65" i="252"/>
  <c r="C62" i="235"/>
  <c r="E73" i="1"/>
  <c r="E78" i="233"/>
  <c r="D53" i="249"/>
  <c r="D49" i="276"/>
  <c r="D44" i="234"/>
  <c r="H122" i="1"/>
  <c r="Q78" i="214"/>
  <c r="I91" i="239"/>
  <c r="I82" i="239" s="1"/>
  <c r="I86" i="239" s="1"/>
  <c r="G76" i="263"/>
  <c r="G78" i="263"/>
  <c r="G74" i="263"/>
  <c r="L92" i="214"/>
  <c r="C43" i="253"/>
  <c r="G57" i="14"/>
  <c r="G49" i="218"/>
  <c r="F49" i="219"/>
  <c r="O48" i="231"/>
  <c r="I24" i="16"/>
  <c r="I21" i="16"/>
  <c r="O68" i="217"/>
  <c r="G46" i="16"/>
  <c r="H51" i="14"/>
  <c r="G38" i="219"/>
  <c r="H38" i="218"/>
  <c r="S45" i="231"/>
  <c r="M37" i="240"/>
  <c r="Q34" i="237"/>
  <c r="O32" i="237"/>
  <c r="P33" i="237"/>
  <c r="N31" i="237"/>
  <c r="N39" i="239"/>
  <c r="N30" i="239" s="1"/>
  <c r="N34" i="239" s="1"/>
  <c r="L29" i="263"/>
  <c r="L34" i="263"/>
  <c r="L32" i="263"/>
  <c r="L30" i="263"/>
  <c r="O47" i="217"/>
  <c r="E76" i="239"/>
  <c r="F73" i="236"/>
  <c r="F78" i="236" s="1"/>
  <c r="G74" i="236"/>
  <c r="H75" i="236"/>
  <c r="I76" i="236"/>
  <c r="R82" i="236"/>
  <c r="C97" i="234"/>
  <c r="C97" i="235" s="1"/>
  <c r="D59" i="252"/>
  <c r="D55" i="235"/>
  <c r="D59" i="253" s="1"/>
  <c r="E58" i="1"/>
  <c r="E53" i="233"/>
  <c r="B25" i="266"/>
  <c r="B105" i="10" s="1"/>
  <c r="B80" i="10"/>
  <c r="P39" i="239"/>
  <c r="P30" i="239" s="1"/>
  <c r="P34" i="239" s="1"/>
  <c r="N34" i="263"/>
  <c r="N32" i="263"/>
  <c r="N30" i="263"/>
  <c r="N29" i="263"/>
  <c r="P63" i="239"/>
  <c r="H62" i="237"/>
  <c r="F60" i="237"/>
  <c r="G61" i="237"/>
  <c r="Q59" i="236"/>
  <c r="L82" i="237"/>
  <c r="H16" i="31"/>
  <c r="K16" i="31" s="1"/>
  <c r="D26" i="3"/>
  <c r="M39" i="239"/>
  <c r="M30" i="239" s="1"/>
  <c r="M34" i="239" s="1"/>
  <c r="K29" i="263"/>
  <c r="K34" i="263"/>
  <c r="K32" i="263"/>
  <c r="K30" i="263"/>
  <c r="P34" i="216"/>
  <c r="N71" i="16" s="1"/>
  <c r="D80" i="252"/>
  <c r="D91" i="235"/>
  <c r="D80" i="253" s="1"/>
  <c r="K92" i="214"/>
  <c r="R69" i="231"/>
  <c r="Q69" i="231"/>
  <c r="D38" i="252"/>
  <c r="D14" i="235"/>
  <c r="D38" i="253" s="1"/>
  <c r="F39" i="1"/>
  <c r="F34" i="220"/>
  <c r="F16" i="233"/>
  <c r="F124" i="1"/>
  <c r="F105" i="219"/>
  <c r="F103" i="233"/>
  <c r="D32" i="24"/>
  <c r="C20" i="1"/>
  <c r="D29" i="270"/>
  <c r="G78" i="216"/>
  <c r="G69" i="216" s="1"/>
  <c r="G73" i="216" s="1"/>
  <c r="E64" i="262"/>
  <c r="E63" i="262"/>
  <c r="E62" i="262"/>
  <c r="E65" i="262"/>
  <c r="E34" i="1" s="1"/>
  <c r="E67" i="262"/>
  <c r="E66" i="262"/>
  <c r="L92" i="236"/>
  <c r="M92" i="214"/>
  <c r="R49" i="231"/>
  <c r="Q49" i="231"/>
  <c r="D75" i="252"/>
  <c r="D82" i="235"/>
  <c r="D75" i="253" s="1"/>
  <c r="C39" i="253"/>
  <c r="G66" i="14"/>
  <c r="F62" i="219"/>
  <c r="G62" i="218"/>
  <c r="O57" i="231"/>
  <c r="AR163" i="38"/>
  <c r="C39" i="7" s="1"/>
  <c r="C70" i="14" s="1"/>
  <c r="C61" i="231" s="1"/>
  <c r="AR170" i="38"/>
  <c r="I38" i="7" s="1"/>
  <c r="AR158" i="38"/>
  <c r="AR162" i="38"/>
  <c r="C38" i="7" s="1"/>
  <c r="C78" i="14" s="1"/>
  <c r="C69" i="231" s="1"/>
  <c r="E69" i="231" s="1"/>
  <c r="AR165" i="38"/>
  <c r="C41" i="7" s="1"/>
  <c r="AR173" i="38"/>
  <c r="I41" i="7" s="1"/>
  <c r="AR169" i="38"/>
  <c r="I37" i="7" s="1"/>
  <c r="AR160" i="38"/>
  <c r="C36" i="7" s="1"/>
  <c r="AR159" i="38"/>
  <c r="C35" i="7" s="1"/>
  <c r="C57" i="14" s="1"/>
  <c r="AR168" i="38"/>
  <c r="I36" i="7" s="1"/>
  <c r="AR167" i="38"/>
  <c r="I35" i="7" s="1"/>
  <c r="AR164" i="38"/>
  <c r="C40" i="7" s="1"/>
  <c r="C66" i="14" s="1"/>
  <c r="C57" i="231" s="1"/>
  <c r="AR166" i="38"/>
  <c r="I34" i="7" s="1"/>
  <c r="AR172" i="38"/>
  <c r="I40" i="7" s="1"/>
  <c r="E20" i="232" s="1"/>
  <c r="AR171" i="38"/>
  <c r="I39" i="7" s="1"/>
  <c r="AR161" i="38"/>
  <c r="C37" i="7" s="1"/>
  <c r="C45" i="14" s="1"/>
  <c r="C36" i="231" s="1"/>
  <c r="H19" i="268"/>
  <c r="H19" i="267" s="1"/>
  <c r="H19" i="266" s="1"/>
  <c r="K48" i="10"/>
  <c r="G37" i="240"/>
  <c r="K34" i="237"/>
  <c r="I32" i="237"/>
  <c r="J33" i="237"/>
  <c r="H31" i="237"/>
  <c r="J64" i="214"/>
  <c r="O68" i="237"/>
  <c r="F65" i="216"/>
  <c r="F56" i="216" s="1"/>
  <c r="F60" i="216" s="1"/>
  <c r="D55" i="262"/>
  <c r="D53" i="262"/>
  <c r="D51" i="262"/>
  <c r="D56" i="262"/>
  <c r="D54" i="262"/>
  <c r="D52" i="262"/>
  <c r="G49" i="217"/>
  <c r="Q92" i="236"/>
  <c r="E47" i="1"/>
  <c r="E43" i="220"/>
  <c r="E32" i="233"/>
  <c r="G39" i="239"/>
  <c r="G30" i="239" s="1"/>
  <c r="G34" i="239" s="1"/>
  <c r="E29" i="263"/>
  <c r="E34" i="263"/>
  <c r="E32" i="263"/>
  <c r="E30" i="263"/>
  <c r="H56" i="14"/>
  <c r="G47" i="219"/>
  <c r="H47" i="218"/>
  <c r="S47" i="231"/>
  <c r="G60" i="217"/>
  <c r="D34" i="3"/>
  <c r="D71" i="252"/>
  <c r="D74" i="235"/>
  <c r="D71" i="253" s="1"/>
  <c r="N43" i="231"/>
  <c r="M43" i="231"/>
  <c r="O79" i="217"/>
  <c r="G91" i="216"/>
  <c r="G82" i="216" s="1"/>
  <c r="G86" i="216" s="1"/>
  <c r="E78" i="262"/>
  <c r="E76" i="262"/>
  <c r="E74" i="262"/>
  <c r="E77" i="262"/>
  <c r="E73" i="262"/>
  <c r="E75" i="262"/>
  <c r="E122" i="1"/>
  <c r="E105" i="219"/>
  <c r="O101" i="219"/>
  <c r="G35" i="16"/>
  <c r="H41" i="14"/>
  <c r="G18" i="219"/>
  <c r="H18" i="218"/>
  <c r="S32" i="231"/>
  <c r="D50" i="249"/>
  <c r="D46" i="276"/>
  <c r="D38" i="234"/>
  <c r="C70" i="252"/>
  <c r="C72" i="235"/>
  <c r="G15" i="16"/>
  <c r="G15" i="220" s="1"/>
  <c r="G15" i="276" s="1"/>
  <c r="L12" i="213"/>
  <c r="H37" i="241"/>
  <c r="F29" i="265" s="1"/>
  <c r="K33" i="238"/>
  <c r="L34" i="238"/>
  <c r="J32" i="238"/>
  <c r="M82" i="217"/>
  <c r="N82" i="217"/>
  <c r="I89" i="240"/>
  <c r="G77" i="264" s="1"/>
  <c r="M90" i="237"/>
  <c r="K88" i="237"/>
  <c r="L89" i="237"/>
  <c r="J87" i="237"/>
  <c r="M31" i="263"/>
  <c r="G42" i="16"/>
  <c r="H47" i="14"/>
  <c r="G30" i="219"/>
  <c r="H30" i="218"/>
  <c r="S38" i="231"/>
  <c r="H49" i="217"/>
  <c r="G48" i="16"/>
  <c r="H53" i="14"/>
  <c r="H42" i="218"/>
  <c r="G42" i="219"/>
  <c r="D46" i="252"/>
  <c r="D30" i="235"/>
  <c r="D46" i="253" s="1"/>
  <c r="I56" i="264"/>
  <c r="B56" i="265"/>
  <c r="C75" i="252"/>
  <c r="C82" i="235"/>
  <c r="D72" i="249"/>
  <c r="D76" i="234"/>
  <c r="O53" i="217"/>
  <c r="M91" i="216"/>
  <c r="M82" i="216" s="1"/>
  <c r="M86" i="216" s="1"/>
  <c r="K77" i="262"/>
  <c r="K74" i="262"/>
  <c r="K76" i="262"/>
  <c r="K34" i="1" s="1"/>
  <c r="K73" i="262"/>
  <c r="K75" i="262"/>
  <c r="K78" i="262"/>
  <c r="M47" i="262"/>
  <c r="P78" i="216"/>
  <c r="P69" i="216" s="1"/>
  <c r="P73" i="216" s="1"/>
  <c r="N67" i="262"/>
  <c r="N65" i="262"/>
  <c r="N63" i="262"/>
  <c r="N66" i="262"/>
  <c r="N64" i="262"/>
  <c r="N62" i="262"/>
  <c r="G63" i="239"/>
  <c r="K62" i="236"/>
  <c r="I60" i="236"/>
  <c r="J61" i="236"/>
  <c r="H59" i="236"/>
  <c r="H64" i="236" s="1"/>
  <c r="E33" i="263"/>
  <c r="B63" i="265"/>
  <c r="J63" i="264"/>
  <c r="H63" i="264"/>
  <c r="D63" i="264"/>
  <c r="K63" i="264"/>
  <c r="C66" i="252"/>
  <c r="C64" i="235"/>
  <c r="O66" i="217"/>
  <c r="G38" i="217"/>
  <c r="F50" i="1"/>
  <c r="F46" i="220"/>
  <c r="F38" i="233"/>
  <c r="K92" i="236"/>
  <c r="Q34" i="238"/>
  <c r="O32" i="238"/>
  <c r="M37" i="241"/>
  <c r="K29" i="265" s="1"/>
  <c r="P33" i="238"/>
  <c r="R67" i="237"/>
  <c r="O42" i="217"/>
  <c r="D49" i="217"/>
  <c r="O56" i="217"/>
  <c r="E72" i="249"/>
  <c r="E76" i="234"/>
  <c r="D52" i="249"/>
  <c r="D48" i="276"/>
  <c r="D42" i="234"/>
  <c r="C60" i="252"/>
  <c r="C57" i="235"/>
  <c r="R95" i="237"/>
  <c r="Q67" i="238"/>
  <c r="Q68" i="238" s="1"/>
  <c r="Q68" i="237"/>
  <c r="R53" i="237"/>
  <c r="H22" i="31"/>
  <c r="D32" i="3"/>
  <c r="R53" i="231"/>
  <c r="Q53" i="231"/>
  <c r="L89" i="239"/>
  <c r="P90" i="236"/>
  <c r="P92" i="236" s="1"/>
  <c r="N88" i="236"/>
  <c r="O89" i="236"/>
  <c r="M87" i="236"/>
  <c r="M92" i="236" s="1"/>
  <c r="J50" i="214"/>
  <c r="Q41" i="231"/>
  <c r="R41" i="231"/>
  <c r="E38" i="217"/>
  <c r="F77" i="1"/>
  <c r="F85" i="233"/>
  <c r="H65" i="232"/>
  <c r="E60" i="1"/>
  <c r="E57" i="233"/>
  <c r="D78" i="249"/>
  <c r="D87" i="234"/>
  <c r="C20" i="252"/>
  <c r="D29" i="272"/>
  <c r="E122" i="253"/>
  <c r="O122" i="253" s="1"/>
  <c r="O101" i="235"/>
  <c r="L37" i="239"/>
  <c r="O33" i="236"/>
  <c r="M31" i="236"/>
  <c r="P34" i="236"/>
  <c r="N32" i="236"/>
  <c r="H58" i="14"/>
  <c r="H51" i="218"/>
  <c r="G51" i="219"/>
  <c r="S49" i="231"/>
  <c r="E65" i="1"/>
  <c r="E62" i="233"/>
  <c r="A56" i="1"/>
  <c r="B47" i="2"/>
  <c r="A56" i="249"/>
  <c r="B41" i="225"/>
  <c r="B48" i="231"/>
  <c r="A56" i="253"/>
  <c r="A56" i="252"/>
  <c r="E63" i="16"/>
  <c r="E63" i="276"/>
  <c r="I12" i="214"/>
  <c r="E63" i="220"/>
  <c r="D25" i="3"/>
  <c r="D26" i="31"/>
  <c r="F82" i="217"/>
  <c r="E68" i="249"/>
  <c r="E68" i="234"/>
  <c r="F43" i="16"/>
  <c r="G48" i="14"/>
  <c r="G32" i="218"/>
  <c r="F32" i="219"/>
  <c r="O39" i="231"/>
  <c r="C44" i="252"/>
  <c r="C26" i="235"/>
  <c r="C110" i="10"/>
  <c r="P30" i="266"/>
  <c r="Q30" i="266"/>
  <c r="W30" i="266"/>
  <c r="R30" i="266"/>
  <c r="S30" i="266"/>
  <c r="T30" i="266"/>
  <c r="U30" i="266"/>
  <c r="V30" i="266"/>
  <c r="G64" i="236"/>
  <c r="M32" i="1"/>
  <c r="N152" i="10"/>
  <c r="E55" i="240"/>
  <c r="N60" i="217"/>
  <c r="F55" i="1"/>
  <c r="F47" i="233"/>
  <c r="N50" i="239"/>
  <c r="Q47" i="236"/>
  <c r="O45" i="236"/>
  <c r="F48" i="237"/>
  <c r="P46" i="236"/>
  <c r="L63" i="240"/>
  <c r="P62" i="237"/>
  <c r="N60" i="237"/>
  <c r="M59" i="237"/>
  <c r="O61" i="237"/>
  <c r="B41" i="265"/>
  <c r="H75" i="14"/>
  <c r="G80" i="219"/>
  <c r="H80" i="218"/>
  <c r="I53" i="264"/>
  <c r="B53" i="265"/>
  <c r="C50" i="253"/>
  <c r="F45" i="16"/>
  <c r="G50" i="14"/>
  <c r="G36" i="218"/>
  <c r="F36" i="219"/>
  <c r="O43" i="231"/>
  <c r="B31" i="266"/>
  <c r="B111" i="10" s="1"/>
  <c r="B86" i="10"/>
  <c r="E82" i="29"/>
  <c r="E86" i="29" s="1"/>
  <c r="E95" i="29" s="1"/>
  <c r="D29" i="14" s="1"/>
  <c r="E41" i="232" s="1"/>
  <c r="Q91" i="29"/>
  <c r="N76" i="239"/>
  <c r="F76" i="237"/>
  <c r="P74" i="236"/>
  <c r="Q75" i="236"/>
  <c r="O73" i="236"/>
  <c r="K63" i="239"/>
  <c r="N61" i="236"/>
  <c r="L59" i="236"/>
  <c r="O62" i="236"/>
  <c r="M60" i="236"/>
  <c r="F91" i="216"/>
  <c r="F82" i="216" s="1"/>
  <c r="F86" i="216" s="1"/>
  <c r="D78" i="262"/>
  <c r="D76" i="262"/>
  <c r="D74" i="262"/>
  <c r="D75" i="262"/>
  <c r="D77" i="262"/>
  <c r="D73" i="262"/>
  <c r="F40" i="1"/>
  <c r="F35" i="220"/>
  <c r="F18" i="233"/>
  <c r="C81" i="252"/>
  <c r="C93" i="235"/>
  <c r="C81" i="240"/>
  <c r="E81" i="239"/>
  <c r="G50" i="239"/>
  <c r="K48" i="236"/>
  <c r="I46" i="236"/>
  <c r="J47" i="236"/>
  <c r="H45" i="236"/>
  <c r="F46" i="1"/>
  <c r="F42" i="220"/>
  <c r="F30" i="233"/>
  <c r="K64" i="264"/>
  <c r="J64" i="264"/>
  <c r="H64" i="264"/>
  <c r="B64" i="265"/>
  <c r="F52" i="1"/>
  <c r="F48" i="220"/>
  <c r="F42" i="233"/>
  <c r="D43" i="249"/>
  <c r="D39" i="276"/>
  <c r="D24" i="234"/>
  <c r="K52" i="216"/>
  <c r="K43" i="216" s="1"/>
  <c r="K47" i="216" s="1"/>
  <c r="I45" i="262"/>
  <c r="I43" i="262"/>
  <c r="I41" i="262"/>
  <c r="I44" i="262"/>
  <c r="I40" i="262"/>
  <c r="I42" i="262"/>
  <c r="E50" i="249"/>
  <c r="E46" i="276"/>
  <c r="E38" i="234"/>
  <c r="D34" i="24"/>
  <c r="K91" i="216"/>
  <c r="K82" i="216" s="1"/>
  <c r="K86" i="216" s="1"/>
  <c r="I78" i="262"/>
  <c r="I76" i="262"/>
  <c r="I77" i="262"/>
  <c r="I75" i="262"/>
  <c r="I73" i="262"/>
  <c r="I74" i="262"/>
  <c r="M33" i="263"/>
  <c r="E52" i="249"/>
  <c r="E48" i="276"/>
  <c r="E42" i="234"/>
  <c r="R33" i="231"/>
  <c r="Q33" i="231"/>
  <c r="Q72" i="231"/>
  <c r="R72" i="231"/>
  <c r="D48" i="249"/>
  <c r="D44" i="276"/>
  <c r="D34" i="234"/>
  <c r="E75" i="1"/>
  <c r="E82" i="233"/>
  <c r="C56" i="252"/>
  <c r="C49" i="235"/>
  <c r="D27" i="3"/>
  <c r="O64" i="217"/>
  <c r="C71" i="217"/>
  <c r="L29" i="265"/>
  <c r="O34" i="236"/>
  <c r="M32" i="236"/>
  <c r="K37" i="239"/>
  <c r="N33" i="236"/>
  <c r="L31" i="236"/>
  <c r="E59" i="249"/>
  <c r="E55" i="234"/>
  <c r="F63" i="240"/>
  <c r="F65" i="240" s="1"/>
  <c r="F56" i="240" s="1"/>
  <c r="F60" i="240" s="1"/>
  <c r="I61" i="237"/>
  <c r="G59" i="237"/>
  <c r="J62" i="237"/>
  <c r="H60" i="237"/>
  <c r="F43" i="29"/>
  <c r="Q52" i="29"/>
  <c r="O54" i="217"/>
  <c r="E41" i="249"/>
  <c r="E36" i="276"/>
  <c r="E20" i="234"/>
  <c r="N70" i="231"/>
  <c r="M70" i="231"/>
  <c r="D39" i="249"/>
  <c r="D34" i="276"/>
  <c r="D16" i="234"/>
  <c r="D42" i="24"/>
  <c r="G24" i="31"/>
  <c r="H24" i="31" s="1"/>
  <c r="K24" i="31" s="1"/>
  <c r="D36" i="14"/>
  <c r="G76" i="239"/>
  <c r="K76" i="236"/>
  <c r="I74" i="236"/>
  <c r="H73" i="236"/>
  <c r="J75" i="236"/>
  <c r="F89" i="240"/>
  <c r="I89" i="237"/>
  <c r="G87" i="237"/>
  <c r="J90" i="237"/>
  <c r="H88" i="237"/>
  <c r="G54" i="237"/>
  <c r="J92" i="214"/>
  <c r="K89" i="240"/>
  <c r="I73" i="264" s="1"/>
  <c r="O90" i="237"/>
  <c r="M88" i="237"/>
  <c r="N89" i="237"/>
  <c r="L87" i="237"/>
  <c r="H60" i="14"/>
  <c r="G55" i="219"/>
  <c r="H55" i="218"/>
  <c r="S53" i="231"/>
  <c r="M95" i="238"/>
  <c r="M96" i="237"/>
  <c r="G44" i="16"/>
  <c r="H49" i="14"/>
  <c r="H34" i="218"/>
  <c r="G34" i="219"/>
  <c r="S41" i="231"/>
  <c r="H78" i="14"/>
  <c r="H85" i="218"/>
  <c r="G85" i="219"/>
  <c r="S69" i="231"/>
  <c r="H128" i="14"/>
  <c r="H104" i="218"/>
  <c r="H106" i="218" s="1"/>
  <c r="G103" i="219"/>
  <c r="G106" i="218"/>
  <c r="G61" i="14"/>
  <c r="G57" i="218"/>
  <c r="F57" i="219"/>
  <c r="E89" i="16"/>
  <c r="F86" i="16"/>
  <c r="C20" i="253"/>
  <c r="D29" i="273"/>
  <c r="Q64" i="214"/>
  <c r="J39" i="239"/>
  <c r="J30" i="239" s="1"/>
  <c r="J34" i="239" s="1"/>
  <c r="H34" i="263"/>
  <c r="H29" i="263"/>
  <c r="H32" i="263"/>
  <c r="H30" i="263"/>
  <c r="M39" i="238"/>
  <c r="M40" i="238" s="1"/>
  <c r="M40" i="237"/>
  <c r="K91" i="239"/>
  <c r="K82" i="239" s="1"/>
  <c r="K86" i="239" s="1"/>
  <c r="I78" i="263"/>
  <c r="I74" i="263"/>
  <c r="I76" i="263"/>
  <c r="L91" i="216"/>
  <c r="L82" i="216" s="1"/>
  <c r="L86" i="216" s="1"/>
  <c r="J74" i="262"/>
  <c r="J76" i="262"/>
  <c r="J73" i="262"/>
  <c r="J75" i="262"/>
  <c r="J77" i="262"/>
  <c r="J78" i="262"/>
  <c r="K36" i="214"/>
  <c r="F57" i="1"/>
  <c r="F51" i="233"/>
  <c r="M37" i="231"/>
  <c r="N37" i="231" s="1"/>
  <c r="F96" i="237"/>
  <c r="D94" i="238"/>
  <c r="G96" i="238" s="1"/>
  <c r="I96" i="237"/>
  <c r="H96" i="237"/>
  <c r="P96" i="237"/>
  <c r="Q96" i="237"/>
  <c r="I65" i="216"/>
  <c r="I56" i="216" s="1"/>
  <c r="I60" i="216" s="1"/>
  <c r="G56" i="262"/>
  <c r="G54" i="262"/>
  <c r="G52" i="262"/>
  <c r="G32" i="1" s="1"/>
  <c r="G53" i="262"/>
  <c r="G55" i="262"/>
  <c r="G51" i="262"/>
  <c r="G34" i="216"/>
  <c r="E71" i="16" s="1"/>
  <c r="H71" i="217"/>
  <c r="J76" i="239"/>
  <c r="M75" i="236"/>
  <c r="K73" i="236"/>
  <c r="N76" i="236"/>
  <c r="L74" i="236"/>
  <c r="J76" i="236"/>
  <c r="H74" i="236"/>
  <c r="F76" i="239"/>
  <c r="I75" i="236"/>
  <c r="G73" i="236"/>
  <c r="G78" i="236" s="1"/>
  <c r="P91" i="239"/>
  <c r="P82" i="239" s="1"/>
  <c r="P86" i="239" s="1"/>
  <c r="N74" i="263"/>
  <c r="N76" i="263"/>
  <c r="N78" i="263"/>
  <c r="G73" i="263"/>
  <c r="C45" i="252"/>
  <c r="C28" i="235"/>
  <c r="D42" i="249"/>
  <c r="D38" i="276"/>
  <c r="D22" i="234"/>
  <c r="X30" i="267"/>
  <c r="T85" i="10" s="1"/>
  <c r="S85" i="10" s="1"/>
  <c r="I78" i="239"/>
  <c r="I69" i="239" s="1"/>
  <c r="I73" i="239" s="1"/>
  <c r="G62" i="263"/>
  <c r="G69" i="263" s="1"/>
  <c r="M73" i="229"/>
  <c r="M96" i="229"/>
  <c r="M49" i="227"/>
  <c r="M144" i="210"/>
  <c r="M200" i="210"/>
  <c r="M132" i="210"/>
  <c r="M43" i="22"/>
  <c r="M42" i="22"/>
  <c r="N62" i="18"/>
  <c r="P62" i="18" s="1"/>
  <c r="N63" i="18"/>
  <c r="P63" i="18" s="1"/>
  <c r="M211" i="22"/>
  <c r="N211" i="22"/>
  <c r="P211" i="22" s="1"/>
  <c r="M164" i="22"/>
  <c r="N132" i="22"/>
  <c r="P132" i="22" s="1"/>
  <c r="M199" i="22"/>
  <c r="N199" i="22"/>
  <c r="P199" i="22" s="1"/>
  <c r="N232" i="210"/>
  <c r="P232" i="210" s="1"/>
  <c r="M232" i="210"/>
  <c r="M188" i="228"/>
  <c r="M160" i="228"/>
  <c r="M183" i="228"/>
  <c r="M167" i="228"/>
  <c r="M102" i="228"/>
  <c r="M57" i="228"/>
  <c r="M234" i="228"/>
  <c r="M96" i="228"/>
  <c r="M130" i="228"/>
  <c r="M220" i="228"/>
  <c r="M207" i="228"/>
  <c r="M139" i="228"/>
  <c r="M142" i="228"/>
  <c r="M76" i="228"/>
  <c r="M82" i="229"/>
  <c r="M35" i="229"/>
  <c r="M140" i="228"/>
  <c r="M192" i="228"/>
  <c r="M90" i="228"/>
  <c r="M265" i="228"/>
  <c r="M261" i="228"/>
  <c r="M45" i="228"/>
  <c r="M32" i="228"/>
  <c r="M264" i="228"/>
  <c r="M152" i="228"/>
  <c r="M180" i="228"/>
  <c r="M26" i="228"/>
  <c r="P22" i="228" s="1"/>
  <c r="M195" i="228"/>
  <c r="M93" i="228"/>
  <c r="M187" i="228"/>
  <c r="M233" i="228"/>
  <c r="M128" i="228"/>
  <c r="M238" i="228"/>
  <c r="M94" i="228"/>
  <c r="M91" i="228"/>
  <c r="M176" i="228"/>
  <c r="M111" i="228"/>
  <c r="M218" i="228"/>
  <c r="M59" i="228"/>
  <c r="M43" i="228"/>
  <c r="M231" i="228"/>
  <c r="M200" i="228"/>
  <c r="M236" i="228"/>
  <c r="M33" i="227"/>
  <c r="M68" i="228"/>
  <c r="M156" i="228"/>
  <c r="M48" i="228"/>
  <c r="M44" i="228"/>
  <c r="M225" i="228"/>
  <c r="M158" i="228"/>
  <c r="M257" i="228"/>
  <c r="M65" i="228"/>
  <c r="M253" i="228"/>
  <c r="M134" i="228"/>
  <c r="M255" i="228"/>
  <c r="M223" i="228"/>
  <c r="M136" i="228"/>
  <c r="M146" i="228"/>
  <c r="M80" i="228"/>
  <c r="M179" i="228"/>
  <c r="M168" i="228"/>
  <c r="M46" i="228"/>
  <c r="M78" i="228"/>
  <c r="M190" i="228"/>
  <c r="M215" i="228"/>
  <c r="M241" i="228"/>
  <c r="M149" i="228"/>
  <c r="M222" i="228"/>
  <c r="M126" i="228"/>
  <c r="M107" i="228"/>
  <c r="M172" i="228"/>
  <c r="M178" i="228"/>
  <c r="M31" i="228"/>
  <c r="M99" i="228"/>
  <c r="M47" i="228"/>
  <c r="N58" i="228"/>
  <c r="P58" i="228" s="1"/>
  <c r="M67" i="228"/>
  <c r="N67" i="228"/>
  <c r="P67" i="228" s="1"/>
  <c r="M211" i="228"/>
  <c r="N211" i="228"/>
  <c r="P211" i="228" s="1"/>
  <c r="M214" i="228"/>
  <c r="N214" i="228"/>
  <c r="P214" i="228" s="1"/>
  <c r="M173" i="228"/>
  <c r="N173" i="228"/>
  <c r="P173" i="228" s="1"/>
  <c r="M256" i="228"/>
  <c r="N256" i="228"/>
  <c r="P256" i="228" s="1"/>
  <c r="N89" i="228"/>
  <c r="P89" i="228" s="1"/>
  <c r="N239" i="228"/>
  <c r="P239" i="228" s="1"/>
  <c r="M132" i="228"/>
  <c r="N132" i="228"/>
  <c r="M159" i="228"/>
  <c r="N159" i="228"/>
  <c r="P159" i="228" s="1"/>
  <c r="N109" i="228"/>
  <c r="P109" i="228" s="1"/>
  <c r="N151" i="228"/>
  <c r="P151" i="228" s="1"/>
  <c r="N122" i="228"/>
  <c r="P122" i="228" s="1"/>
  <c r="M191" i="228"/>
  <c r="N191" i="228"/>
  <c r="P191" i="228" s="1"/>
  <c r="M157" i="228"/>
  <c r="N157" i="228"/>
  <c r="P157" i="228" s="1"/>
  <c r="N104" i="228"/>
  <c r="P104" i="228" s="1"/>
  <c r="M35" i="228"/>
  <c r="N35" i="228"/>
  <c r="P35" i="228" s="1"/>
  <c r="M185" i="228"/>
  <c r="N185" i="228"/>
  <c r="M66" i="228"/>
  <c r="M202" i="228"/>
  <c r="M95" i="228"/>
  <c r="M259" i="228"/>
  <c r="M201" i="228"/>
  <c r="M98" i="228"/>
  <c r="M41" i="228"/>
  <c r="M97" i="228"/>
  <c r="M52" i="228"/>
  <c r="M92" i="228"/>
  <c r="M144" i="228"/>
  <c r="M62" i="228"/>
  <c r="M155" i="228"/>
  <c r="M252" i="228"/>
  <c r="M244" i="228"/>
  <c r="M40" i="228"/>
  <c r="M135" i="228"/>
  <c r="M82" i="228"/>
  <c r="M240" i="228"/>
  <c r="M124" i="228"/>
  <c r="M127" i="228"/>
  <c r="M171" i="228"/>
  <c r="M120" i="228"/>
  <c r="M53" i="228"/>
  <c r="M110" i="228"/>
  <c r="N63" i="228"/>
  <c r="P63" i="228" s="1"/>
  <c r="M166" i="228"/>
  <c r="N166" i="228"/>
  <c r="N84" i="228"/>
  <c r="P84" i="228" s="1"/>
  <c r="M37" i="228"/>
  <c r="N37" i="228"/>
  <c r="P37" i="228" s="1"/>
  <c r="M54" i="228"/>
  <c r="N54" i="228"/>
  <c r="P54" i="228" s="1"/>
  <c r="N217" i="228"/>
  <c r="P217" i="228" s="1"/>
  <c r="N118" i="228"/>
  <c r="P118" i="228" s="1"/>
  <c r="M61" i="228"/>
  <c r="N61" i="228"/>
  <c r="P61" i="228" s="1"/>
  <c r="N86" i="228"/>
  <c r="P86" i="228" s="1"/>
  <c r="M147" i="228"/>
  <c r="N147" i="228"/>
  <c r="M232" i="228"/>
  <c r="N232" i="228"/>
  <c r="P232" i="228" s="1"/>
  <c r="N204" i="228"/>
  <c r="P204" i="228" s="1"/>
  <c r="M189" i="228"/>
  <c r="N189" i="228"/>
  <c r="P189" i="228" s="1"/>
  <c r="N196" i="228"/>
  <c r="P196" i="228" s="1"/>
  <c r="M198" i="228"/>
  <c r="N198" i="228"/>
  <c r="P198" i="228" s="1"/>
  <c r="M113" i="228"/>
  <c r="N113" i="228"/>
  <c r="P113" i="228" s="1"/>
  <c r="H115" i="14"/>
  <c r="N29" i="228"/>
  <c r="P29" i="228" s="1"/>
  <c r="M79" i="228"/>
  <c r="N79" i="228"/>
  <c r="P79" i="228" s="1"/>
  <c r="M105" i="228"/>
  <c r="N105" i="228"/>
  <c r="P105" i="228" s="1"/>
  <c r="M210" i="228"/>
  <c r="N210" i="228"/>
  <c r="P210" i="228" s="1"/>
  <c r="M250" i="228"/>
  <c r="N250" i="228"/>
  <c r="P250" i="228" s="1"/>
  <c r="M81" i="228"/>
  <c r="N81" i="228"/>
  <c r="P81" i="228" s="1"/>
  <c r="M112" i="228"/>
  <c r="N112" i="228"/>
  <c r="P112" i="228" s="1"/>
  <c r="N212" i="228"/>
  <c r="P212" i="228" s="1"/>
  <c r="N235" i="228"/>
  <c r="M97" i="229"/>
  <c r="M105" i="229"/>
  <c r="G43" i="232"/>
  <c r="T31" i="266"/>
  <c r="Q31" i="266"/>
  <c r="U31" i="266"/>
  <c r="R31" i="266"/>
  <c r="V31" i="266"/>
  <c r="W31" i="266"/>
  <c r="C111" i="10"/>
  <c r="S31" i="266"/>
  <c r="L43" i="232"/>
  <c r="T29" i="267"/>
  <c r="P29" i="267"/>
  <c r="O29" i="266"/>
  <c r="W29" i="267"/>
  <c r="S29" i="267"/>
  <c r="C84" i="10"/>
  <c r="I170" i="10" s="1"/>
  <c r="V29" i="267"/>
  <c r="R29" i="267"/>
  <c r="U29" i="267"/>
  <c r="Q29" i="267"/>
  <c r="F55" i="231"/>
  <c r="E55" i="231"/>
  <c r="I159" i="10"/>
  <c r="U55" i="231"/>
  <c r="V55" i="231" s="1"/>
  <c r="U28" i="266"/>
  <c r="Q28" i="266"/>
  <c r="S28" i="266"/>
  <c r="V28" i="266"/>
  <c r="W28" i="266"/>
  <c r="T28" i="266"/>
  <c r="C108" i="10"/>
  <c r="R28" i="266"/>
  <c r="P28" i="266"/>
  <c r="Y55" i="231"/>
  <c r="Z55" i="231" s="1"/>
  <c r="O135" i="10"/>
  <c r="AY55" i="231"/>
  <c r="I55" i="231"/>
  <c r="J55" i="231" s="1"/>
  <c r="F43" i="232"/>
  <c r="G159" i="10"/>
  <c r="M159" i="10"/>
  <c r="F170" i="10"/>
  <c r="C170" i="10"/>
  <c r="D170" i="10"/>
  <c r="AG55" i="231"/>
  <c r="AH55" i="231" s="1"/>
  <c r="D64" i="1"/>
  <c r="O64" i="1" s="1"/>
  <c r="O147" i="10"/>
  <c r="R147" i="10" s="1"/>
  <c r="E55" i="2" s="1"/>
  <c r="E159" i="10"/>
  <c r="K159" i="10"/>
  <c r="AW55" i="231"/>
  <c r="AX55" i="231" s="1"/>
  <c r="AS55" i="231"/>
  <c r="AT55" i="231" s="1"/>
  <c r="M55" i="231"/>
  <c r="N55" i="231" s="1"/>
  <c r="J43" i="232"/>
  <c r="N159" i="10"/>
  <c r="L159" i="10"/>
  <c r="D159" i="10"/>
  <c r="E64" i="249" s="1"/>
  <c r="D63" i="249"/>
  <c r="F159" i="10"/>
  <c r="G64" i="249" s="1"/>
  <c r="F63" i="249"/>
  <c r="Q55" i="231"/>
  <c r="R55" i="231" s="1"/>
  <c r="O27" i="266"/>
  <c r="R27" i="267"/>
  <c r="V27" i="267"/>
  <c r="W27" i="267"/>
  <c r="S27" i="267"/>
  <c r="P27" i="267"/>
  <c r="T27" i="267"/>
  <c r="C82" i="10"/>
  <c r="R82" i="10" s="1"/>
  <c r="Q27" i="267"/>
  <c r="U27" i="267"/>
  <c r="F152" i="10"/>
  <c r="J152" i="10"/>
  <c r="J28" i="276" s="1"/>
  <c r="I31" i="14"/>
  <c r="I43" i="232" s="1"/>
  <c r="K31" i="14"/>
  <c r="K43" i="232" s="1"/>
  <c r="G152" i="10"/>
  <c r="G28" i="276" s="1"/>
  <c r="M152" i="10"/>
  <c r="M153" i="10" s="1"/>
  <c r="H141" i="10"/>
  <c r="H28" i="220"/>
  <c r="E152" i="10"/>
  <c r="E28" i="276" s="1"/>
  <c r="I152" i="10"/>
  <c r="I28" i="276" s="1"/>
  <c r="L152" i="10"/>
  <c r="S23" i="267"/>
  <c r="O23" i="266"/>
  <c r="C78" i="10"/>
  <c r="Q23" i="267"/>
  <c r="U23" i="267"/>
  <c r="R23" i="267"/>
  <c r="V23" i="267"/>
  <c r="W23" i="267"/>
  <c r="P23" i="267"/>
  <c r="T23" i="267"/>
  <c r="G28" i="220"/>
  <c r="G29" i="220" s="1"/>
  <c r="G30" i="220" s="1"/>
  <c r="G141" i="10"/>
  <c r="D141" i="10"/>
  <c r="D28" i="220"/>
  <c r="M141" i="10"/>
  <c r="M28" i="220"/>
  <c r="O140" i="10"/>
  <c r="L28" i="220"/>
  <c r="L141" i="10"/>
  <c r="H152" i="10"/>
  <c r="H153" i="10" s="1"/>
  <c r="K152" i="10"/>
  <c r="K153" i="10" s="1"/>
  <c r="S25" i="267"/>
  <c r="O25" i="266"/>
  <c r="C80" i="10"/>
  <c r="Q25" i="267"/>
  <c r="U25" i="267"/>
  <c r="R25" i="267"/>
  <c r="V25" i="267"/>
  <c r="W25" i="267"/>
  <c r="P25" i="267"/>
  <c r="T25" i="267"/>
  <c r="J28" i="220"/>
  <c r="J29" i="220" s="1"/>
  <c r="J30" i="220" s="1"/>
  <c r="J141" i="10"/>
  <c r="F28" i="220"/>
  <c r="F141" i="10"/>
  <c r="N28" i="220"/>
  <c r="N141" i="10"/>
  <c r="O129" i="10"/>
  <c r="E29" i="16"/>
  <c r="E30" i="16" s="1"/>
  <c r="J29" i="16"/>
  <c r="J30" i="16" s="1"/>
  <c r="K29" i="220"/>
  <c r="K30" i="220" s="1"/>
  <c r="N28" i="276"/>
  <c r="N153" i="10"/>
  <c r="L29" i="16"/>
  <c r="L30" i="16" s="1"/>
  <c r="D29" i="16"/>
  <c r="D30" i="16" s="1"/>
  <c r="N31" i="14"/>
  <c r="N43" i="232" s="1"/>
  <c r="H31" i="14"/>
  <c r="H43" i="232" s="1"/>
  <c r="I29" i="16"/>
  <c r="I30" i="16" s="1"/>
  <c r="I29" i="220"/>
  <c r="I30" i="220" s="1"/>
  <c r="G29" i="16"/>
  <c r="G30" i="16" s="1"/>
  <c r="K29" i="16"/>
  <c r="K30" i="16" s="1"/>
  <c r="D28" i="221"/>
  <c r="C29" i="16"/>
  <c r="C30" i="16" s="1"/>
  <c r="O28" i="16"/>
  <c r="M29" i="16"/>
  <c r="M30" i="16" s="1"/>
  <c r="N29" i="16"/>
  <c r="N30" i="16" s="1"/>
  <c r="H28" i="276"/>
  <c r="F29" i="16"/>
  <c r="F30" i="16" s="1"/>
  <c r="E29" i="220"/>
  <c r="E30" i="220" s="1"/>
  <c r="M143" i="10"/>
  <c r="M29" i="1"/>
  <c r="N29" i="1"/>
  <c r="N143" i="10"/>
  <c r="D29" i="1"/>
  <c r="D143" i="10"/>
  <c r="C154" i="10"/>
  <c r="E154" i="10"/>
  <c r="G154" i="10"/>
  <c r="J154" i="10"/>
  <c r="L154" i="10"/>
  <c r="H154" i="10"/>
  <c r="K154" i="10"/>
  <c r="O69" i="10"/>
  <c r="N154" i="10"/>
  <c r="M69" i="10"/>
  <c r="F154" i="10"/>
  <c r="J69" i="10"/>
  <c r="F69" i="10"/>
  <c r="M154" i="10"/>
  <c r="I69" i="10"/>
  <c r="R50" i="10"/>
  <c r="D154" i="10"/>
  <c r="I154" i="10"/>
  <c r="P131" i="10"/>
  <c r="J143" i="10"/>
  <c r="J29" i="1"/>
  <c r="L29" i="1"/>
  <c r="G29" i="1"/>
  <c r="G143" i="10"/>
  <c r="O131" i="10"/>
  <c r="E31" i="14"/>
  <c r="K29" i="1"/>
  <c r="K143" i="10"/>
  <c r="L30" i="1" s="1"/>
  <c r="E29" i="1"/>
  <c r="E143" i="10"/>
  <c r="F30" i="1" s="1"/>
  <c r="I143" i="10"/>
  <c r="J30" i="1" s="1"/>
  <c r="I29" i="1"/>
  <c r="H143" i="10"/>
  <c r="H29" i="1"/>
  <c r="C29" i="1"/>
  <c r="C143" i="10"/>
  <c r="O142" i="10"/>
  <c r="F29" i="1"/>
  <c r="F143" i="10"/>
  <c r="O20" i="266"/>
  <c r="W20" i="267"/>
  <c r="Q20" i="267"/>
  <c r="V20" i="267"/>
  <c r="S20" i="267"/>
  <c r="P20" i="267"/>
  <c r="C75" i="10"/>
  <c r="R20" i="267"/>
  <c r="U20" i="267"/>
  <c r="T20" i="267"/>
  <c r="Z21" i="231"/>
  <c r="Y21" i="231"/>
  <c r="K26" i="237"/>
  <c r="K25" i="238"/>
  <c r="O23" i="217"/>
  <c r="D27" i="217"/>
  <c r="M19" i="236"/>
  <c r="N20" i="236"/>
  <c r="L18" i="236"/>
  <c r="L22" i="236" s="1"/>
  <c r="K17" i="236"/>
  <c r="K22" i="236" s="1"/>
  <c r="K99" i="236"/>
  <c r="H133" i="249" s="1"/>
  <c r="J24" i="239"/>
  <c r="F18" i="231"/>
  <c r="D35" i="14"/>
  <c r="S49" i="18"/>
  <c r="K65" i="18"/>
  <c r="N65" i="18" s="1"/>
  <c r="P65" i="18" s="1"/>
  <c r="Q64" i="18" s="1"/>
  <c r="S61" i="19"/>
  <c r="G94" i="14"/>
  <c r="K67" i="19"/>
  <c r="N67" i="19" s="1"/>
  <c r="M63" i="228"/>
  <c r="M212" i="228"/>
  <c r="M29" i="228"/>
  <c r="M103" i="228"/>
  <c r="M123" i="228"/>
  <c r="M196" i="228"/>
  <c r="M170" i="228"/>
  <c r="M204" i="228"/>
  <c r="M235" i="228"/>
  <c r="M60" i="228"/>
  <c r="M70" i="228"/>
  <c r="M260" i="228"/>
  <c r="M263" i="228"/>
  <c r="M104" i="228"/>
  <c r="M86" i="228"/>
  <c r="M248" i="228"/>
  <c r="M217" i="228"/>
  <c r="M138" i="228"/>
  <c r="M114" i="228"/>
  <c r="M197" i="228"/>
  <c r="M77" i="228"/>
  <c r="M243" i="228"/>
  <c r="AA15" i="231"/>
  <c r="J91" i="14"/>
  <c r="K14" i="232"/>
  <c r="K115" i="14"/>
  <c r="M21" i="29"/>
  <c r="M95" i="29" s="1"/>
  <c r="L29" i="14" s="1"/>
  <c r="F82" i="7"/>
  <c r="H76" i="7"/>
  <c r="J20" i="3"/>
  <c r="M88" i="22"/>
  <c r="M76" i="22"/>
  <c r="M104" i="22"/>
  <c r="M230" i="22"/>
  <c r="M198" i="22"/>
  <c r="M181" i="22"/>
  <c r="M180" i="22"/>
  <c r="M123" i="22"/>
  <c r="M39" i="22"/>
  <c r="M162" i="22"/>
  <c r="M58" i="22"/>
  <c r="M73" i="22"/>
  <c r="M32" i="22"/>
  <c r="M144" i="22"/>
  <c r="M54" i="22"/>
  <c r="M171" i="22"/>
  <c r="M41" i="22"/>
  <c r="M142" i="22"/>
  <c r="M30" i="22"/>
  <c r="M172" i="22"/>
  <c r="M53" i="22"/>
  <c r="M113" i="22"/>
  <c r="M239" i="22"/>
  <c r="M193" i="22"/>
  <c r="M95" i="22"/>
  <c r="M235" i="22"/>
  <c r="M131" i="22"/>
  <c r="M93" i="22"/>
  <c r="M189" i="22"/>
  <c r="M179" i="22"/>
  <c r="M252" i="22"/>
  <c r="M209" i="22"/>
  <c r="M130" i="22"/>
  <c r="M78" i="22"/>
  <c r="M60" i="22"/>
  <c r="M218" i="22"/>
  <c r="M46" i="22"/>
  <c r="M98" i="22"/>
  <c r="M226" i="22"/>
  <c r="M37" i="22"/>
  <c r="M245" i="22"/>
  <c r="M114" i="22"/>
  <c r="M152" i="22"/>
  <c r="M56" i="22"/>
  <c r="M139" i="22"/>
  <c r="M213" i="22"/>
  <c r="M158" i="22"/>
  <c r="M106" i="22"/>
  <c r="M196" i="22"/>
  <c r="M59" i="22"/>
  <c r="M127" i="22"/>
  <c r="M215" i="22"/>
  <c r="M161" i="22"/>
  <c r="M197" i="22"/>
  <c r="M195" i="22"/>
  <c r="M153" i="22"/>
  <c r="M263" i="22"/>
  <c r="M55" i="22"/>
  <c r="M212" i="22"/>
  <c r="M237" i="22"/>
  <c r="M124" i="22"/>
  <c r="M28" i="22"/>
  <c r="M258" i="22"/>
  <c r="M50" i="22"/>
  <c r="M90" i="22"/>
  <c r="M194" i="22"/>
  <c r="M155" i="22"/>
  <c r="M84" i="22"/>
  <c r="M116" i="22"/>
  <c r="M244" i="22"/>
  <c r="M243" i="22"/>
  <c r="M83" i="22"/>
  <c r="M118" i="22"/>
  <c r="M246" i="22"/>
  <c r="M136" i="22"/>
  <c r="M264" i="22"/>
  <c r="M48" i="22"/>
  <c r="M233" i="22"/>
  <c r="M117" i="22"/>
  <c r="M94" i="22"/>
  <c r="M146" i="22"/>
  <c r="M112" i="22"/>
  <c r="M176" i="22"/>
  <c r="M240" i="22"/>
  <c r="H103" i="14"/>
  <c r="M29" i="22"/>
  <c r="M227" i="22"/>
  <c r="M107" i="22"/>
  <c r="M97" i="22"/>
  <c r="M149" i="22"/>
  <c r="M110" i="22"/>
  <c r="M174" i="22"/>
  <c r="M238" i="22"/>
  <c r="M138" i="22"/>
  <c r="M108" i="22"/>
  <c r="M204" i="22"/>
  <c r="M27" i="22"/>
  <c r="M61" i="22"/>
  <c r="M223" i="22"/>
  <c r="M241" i="22"/>
  <c r="M75" i="22"/>
  <c r="M38" i="22"/>
  <c r="M183" i="22"/>
  <c r="M257" i="22"/>
  <c r="M129" i="22"/>
  <c r="M79" i="22"/>
  <c r="M165" i="22"/>
  <c r="M64" i="22"/>
  <c r="M163" i="22"/>
  <c r="M249" i="22"/>
  <c r="M121" i="22"/>
  <c r="M77" i="22"/>
  <c r="M253" i="22"/>
  <c r="M125" i="22"/>
  <c r="M148" i="22"/>
  <c r="M143" i="22"/>
  <c r="M99" i="22"/>
  <c r="M232" i="22"/>
  <c r="M169" i="22"/>
  <c r="M192" i="22"/>
  <c r="M154" i="22"/>
  <c r="M33" i="22"/>
  <c r="M182" i="22"/>
  <c r="M200" i="22"/>
  <c r="M175" i="22"/>
  <c r="M82" i="22"/>
  <c r="M210" i="22"/>
  <c r="M208" i="22"/>
  <c r="M44" i="22"/>
  <c r="M201" i="22"/>
  <c r="M80" i="22"/>
  <c r="M206" i="22"/>
  <c r="M202" i="22"/>
  <c r="M236" i="22"/>
  <c r="M66" i="22"/>
  <c r="M159" i="22"/>
  <c r="M141" i="22"/>
  <c r="M135" i="22"/>
  <c r="M229" i="22"/>
  <c r="M71" i="22"/>
  <c r="M185" i="22"/>
  <c r="M65" i="22"/>
  <c r="M188" i="22"/>
  <c r="M186" i="22"/>
  <c r="M122" i="22"/>
  <c r="M109" i="22"/>
  <c r="M256" i="22"/>
  <c r="M262" i="22"/>
  <c r="M63" i="22"/>
  <c r="M220" i="22"/>
  <c r="M145" i="22"/>
  <c r="M214" i="22"/>
  <c r="M224" i="22"/>
  <c r="M111" i="22"/>
  <c r="M86" i="22"/>
  <c r="M242" i="22"/>
  <c r="M216" i="22"/>
  <c r="M259" i="22"/>
  <c r="M137" i="22"/>
  <c r="M92" i="22"/>
  <c r="M222" i="22"/>
  <c r="M234" i="22"/>
  <c r="M260" i="22"/>
  <c r="M247" i="22"/>
  <c r="M91" i="22"/>
  <c r="M68" i="22"/>
  <c r="M119" i="22"/>
  <c r="M87" i="22"/>
  <c r="M40" i="22"/>
  <c r="M115" i="22"/>
  <c r="M85" i="22"/>
  <c r="M45" i="22"/>
  <c r="M157" i="22"/>
  <c r="M62" i="22"/>
  <c r="M250" i="22"/>
  <c r="M207" i="22"/>
  <c r="M72" i="22"/>
  <c r="M47" i="22"/>
  <c r="M35" i="22"/>
  <c r="M166" i="22"/>
  <c r="M128" i="22"/>
  <c r="M219" i="22"/>
  <c r="M134" i="22"/>
  <c r="M168" i="22"/>
  <c r="M89" i="22"/>
  <c r="M96" i="22"/>
  <c r="M156" i="22"/>
  <c r="M57" i="22"/>
  <c r="M187" i="22"/>
  <c r="M173" i="22"/>
  <c r="M150" i="22"/>
  <c r="M36" i="22"/>
  <c r="M160" i="22"/>
  <c r="M52" i="22"/>
  <c r="M231" i="22"/>
  <c r="M105" i="22"/>
  <c r="M74" i="22"/>
  <c r="M102" i="22"/>
  <c r="M178" i="22"/>
  <c r="M120" i="22"/>
  <c r="M184" i="22"/>
  <c r="M248" i="22"/>
  <c r="M70" i="22"/>
  <c r="M203" i="22"/>
  <c r="M265" i="22"/>
  <c r="M81" i="22"/>
  <c r="M67" i="22"/>
  <c r="M126" i="22"/>
  <c r="M190" i="22"/>
  <c r="M254" i="22"/>
  <c r="M170" i="22"/>
  <c r="M140" i="22"/>
  <c r="M228" i="22"/>
  <c r="M51" i="22"/>
  <c r="M26" i="22"/>
  <c r="P22" i="22" s="1"/>
  <c r="M191" i="22"/>
  <c r="M177" i="22"/>
  <c r="M205" i="22"/>
  <c r="M255" i="22"/>
  <c r="M151" i="22"/>
  <c r="M225" i="22"/>
  <c r="M103" i="22"/>
  <c r="M261" i="22"/>
  <c r="M133" i="22"/>
  <c r="M251" i="22"/>
  <c r="M147" i="22"/>
  <c r="M217" i="22"/>
  <c r="M101" i="22"/>
  <c r="M69" i="22"/>
  <c r="M221" i="22"/>
  <c r="M49" i="22"/>
  <c r="M237" i="23"/>
  <c r="M81" i="23"/>
  <c r="M83" i="23"/>
  <c r="M142" i="23"/>
  <c r="M100" i="23"/>
  <c r="M56" i="23"/>
  <c r="M162" i="23"/>
  <c r="M262" i="23"/>
  <c r="M231" i="23"/>
  <c r="M167" i="23"/>
  <c r="M71" i="23"/>
  <c r="M172" i="23"/>
  <c r="M85" i="23"/>
  <c r="M265" i="23"/>
  <c r="M32" i="23"/>
  <c r="M220" i="23"/>
  <c r="M159" i="23"/>
  <c r="M66" i="23"/>
  <c r="M120" i="23"/>
  <c r="M218" i="23"/>
  <c r="M208" i="23"/>
  <c r="M261" i="23"/>
  <c r="M197" i="23"/>
  <c r="M36" i="23"/>
  <c r="M157" i="23"/>
  <c r="M151" i="23"/>
  <c r="M60" i="23"/>
  <c r="M193" i="23"/>
  <c r="M112" i="23"/>
  <c r="M108" i="23"/>
  <c r="M117" i="23"/>
  <c r="M42" i="23"/>
  <c r="M243" i="23"/>
  <c r="M230" i="23"/>
  <c r="M259" i="23"/>
  <c r="M156" i="23"/>
  <c r="M77" i="23"/>
  <c r="M164" i="23"/>
  <c r="M223" i="23"/>
  <c r="M34" i="23"/>
  <c r="M38" i="23"/>
  <c r="M212" i="23"/>
  <c r="M62" i="23"/>
  <c r="M238" i="23"/>
  <c r="M101" i="23"/>
  <c r="M236" i="23"/>
  <c r="M127" i="23"/>
  <c r="M68" i="23"/>
  <c r="M128" i="23"/>
  <c r="M234" i="23"/>
  <c r="M248" i="23"/>
  <c r="M115" i="23"/>
  <c r="M217" i="23"/>
  <c r="M146" i="23"/>
  <c r="M91" i="23"/>
  <c r="M30" i="23"/>
  <c r="M113" i="23"/>
  <c r="M161" i="23"/>
  <c r="M96" i="23"/>
  <c r="M35" i="23"/>
  <c r="M209" i="23"/>
  <c r="M240" i="23"/>
  <c r="M242" i="23"/>
  <c r="M254" i="23"/>
  <c r="M179" i="23"/>
  <c r="M89" i="23"/>
  <c r="M180" i="23"/>
  <c r="M187" i="23"/>
  <c r="M195" i="23"/>
  <c r="M45" i="23"/>
  <c r="M196" i="23"/>
  <c r="M171" i="23"/>
  <c r="M47" i="23"/>
  <c r="M132" i="23"/>
  <c r="M246" i="23"/>
  <c r="M228" i="23"/>
  <c r="M239" i="23"/>
  <c r="M207" i="23"/>
  <c r="M175" i="23"/>
  <c r="M149" i="23"/>
  <c r="M67" i="23"/>
  <c r="M148" i="23"/>
  <c r="M222" i="23"/>
  <c r="M110" i="23"/>
  <c r="M105" i="23"/>
  <c r="M73" i="23"/>
  <c r="M174" i="23"/>
  <c r="M204" i="23"/>
  <c r="M143" i="23"/>
  <c r="M84" i="23"/>
  <c r="M93" i="23"/>
  <c r="M260" i="23"/>
  <c r="M57" i="23"/>
  <c r="M37" i="23"/>
  <c r="M64" i="23"/>
  <c r="M72" i="23"/>
  <c r="S115" i="23"/>
  <c r="M104" i="23"/>
  <c r="M144" i="23"/>
  <c r="M202" i="23"/>
  <c r="M160" i="23"/>
  <c r="M200" i="23"/>
  <c r="M264" i="23"/>
  <c r="M82" i="23"/>
  <c r="M153" i="23"/>
  <c r="M233" i="23"/>
  <c r="M201" i="23"/>
  <c r="M169" i="23"/>
  <c r="M74" i="23"/>
  <c r="M123" i="23"/>
  <c r="M129" i="23"/>
  <c r="M102" i="23"/>
  <c r="M51" i="23"/>
  <c r="M103" i="23"/>
  <c r="M133" i="23"/>
  <c r="M86" i="23"/>
  <c r="M134" i="23"/>
  <c r="M147" i="23"/>
  <c r="M225" i="23"/>
  <c r="M173" i="23"/>
  <c r="M141" i="23"/>
  <c r="M109" i="23"/>
  <c r="M216" i="23"/>
  <c r="M99" i="23"/>
  <c r="M224" i="23"/>
  <c r="M163" i="23"/>
  <c r="M252" i="23"/>
  <c r="M65" i="23"/>
  <c r="M263" i="23"/>
  <c r="M199" i="23"/>
  <c r="M33" i="23"/>
  <c r="K106" i="14"/>
  <c r="M166" i="23"/>
  <c r="M61" i="23"/>
  <c r="M43" i="23"/>
  <c r="M206" i="23"/>
  <c r="M58" i="23"/>
  <c r="M158" i="23"/>
  <c r="M29" i="23"/>
  <c r="M46" i="23"/>
  <c r="M152" i="23"/>
  <c r="M168" i="23"/>
  <c r="M154" i="23"/>
  <c r="M88" i="23"/>
  <c r="M229" i="23"/>
  <c r="M165" i="23"/>
  <c r="M107" i="23"/>
  <c r="M78" i="23"/>
  <c r="M50" i="23"/>
  <c r="M241" i="23"/>
  <c r="M125" i="23"/>
  <c r="M177" i="23"/>
  <c r="M31" i="23"/>
  <c r="M198" i="23"/>
  <c r="M41" i="23"/>
  <c r="M251" i="23"/>
  <c r="M137" i="23"/>
  <c r="M235" i="23"/>
  <c r="M80" i="23"/>
  <c r="M178" i="23"/>
  <c r="M255" i="23"/>
  <c r="M191" i="23"/>
  <c r="M49" i="23"/>
  <c r="M194" i="23"/>
  <c r="M76" i="23"/>
  <c r="M75" i="23"/>
  <c r="M138" i="23"/>
  <c r="M111" i="23"/>
  <c r="M126" i="23"/>
  <c r="M39" i="23"/>
  <c r="M79" i="23"/>
  <c r="M170" i="23"/>
  <c r="M176" i="23"/>
  <c r="M122" i="23"/>
  <c r="M249" i="23"/>
  <c r="M185" i="23"/>
  <c r="M155" i="23"/>
  <c r="M121" i="23"/>
  <c r="M135" i="23"/>
  <c r="M253" i="23"/>
  <c r="M55" i="23"/>
  <c r="M189" i="23"/>
  <c r="M205" i="23"/>
  <c r="M182" i="23"/>
  <c r="M124" i="23"/>
  <c r="M226" i="23"/>
  <c r="M211" i="23"/>
  <c r="M48" i="23"/>
  <c r="M258" i="23"/>
  <c r="M219" i="23"/>
  <c r="M227" i="23"/>
  <c r="M97" i="23"/>
  <c r="M214" i="23"/>
  <c r="M203" i="23"/>
  <c r="M26" i="23"/>
  <c r="P22" i="23" s="1"/>
  <c r="M116" i="23"/>
  <c r="M190" i="23"/>
  <c r="M184" i="23"/>
  <c r="M247" i="23"/>
  <c r="M215" i="23"/>
  <c r="M183" i="23"/>
  <c r="M28" i="23"/>
  <c r="G106" i="14"/>
  <c r="M44" i="23"/>
  <c r="M92" i="23"/>
  <c r="M210" i="23"/>
  <c r="M232" i="23"/>
  <c r="M131" i="23"/>
  <c r="M69" i="23"/>
  <c r="M140" i="23"/>
  <c r="M188" i="23"/>
  <c r="M53" i="23"/>
  <c r="M106" i="23"/>
  <c r="M145" i="23"/>
  <c r="M244" i="23"/>
  <c r="M94" i="23"/>
  <c r="M95" i="23"/>
  <c r="M40" i="23"/>
  <c r="M70" i="23"/>
  <c r="M87" i="23"/>
  <c r="M136" i="23"/>
  <c r="M186" i="23"/>
  <c r="M250" i="23"/>
  <c r="M192" i="23"/>
  <c r="M256" i="23"/>
  <c r="M90" i="23"/>
  <c r="M27" i="23"/>
  <c r="F106" i="14"/>
  <c r="M245" i="23"/>
  <c r="M213" i="23"/>
  <c r="M181" i="23"/>
  <c r="M98" i="23"/>
  <c r="M139" i="23"/>
  <c r="M54" i="23"/>
  <c r="M150" i="23"/>
  <c r="M59" i="23"/>
  <c r="M119" i="23"/>
  <c r="M52" i="23"/>
  <c r="M130" i="23"/>
  <c r="M114" i="23"/>
  <c r="M221" i="23"/>
  <c r="M257" i="23"/>
  <c r="M142" i="210"/>
  <c r="M113" i="210"/>
  <c r="M115" i="210"/>
  <c r="M53" i="210"/>
  <c r="M126" i="210"/>
  <c r="M259" i="210"/>
  <c r="M81" i="210"/>
  <c r="M163" i="210"/>
  <c r="M46" i="210"/>
  <c r="M85" i="210"/>
  <c r="M219" i="210"/>
  <c r="M119" i="210"/>
  <c r="M75" i="210"/>
  <c r="M215" i="210"/>
  <c r="M239" i="210"/>
  <c r="M261" i="210"/>
  <c r="M254" i="210"/>
  <c r="M100" i="210"/>
  <c r="M152" i="210"/>
  <c r="M212" i="210"/>
  <c r="M172" i="210"/>
  <c r="M140" i="210"/>
  <c r="M32" i="210"/>
  <c r="M178" i="210"/>
  <c r="M54" i="210"/>
  <c r="M90" i="210"/>
  <c r="M168" i="210"/>
  <c r="M77" i="210"/>
  <c r="M158" i="210"/>
  <c r="M171" i="210"/>
  <c r="M251" i="210"/>
  <c r="M68" i="210"/>
  <c r="M169" i="210"/>
  <c r="M70" i="210"/>
  <c r="M71" i="210"/>
  <c r="M89" i="210"/>
  <c r="M179" i="210"/>
  <c r="M128" i="210"/>
  <c r="M87" i="210"/>
  <c r="M175" i="210"/>
  <c r="M247" i="210"/>
  <c r="M151" i="210"/>
  <c r="M36" i="210"/>
  <c r="M234" i="210"/>
  <c r="M34" i="210"/>
  <c r="M228" i="210"/>
  <c r="M164" i="210"/>
  <c r="M124" i="210"/>
  <c r="M222" i="210"/>
  <c r="M190" i="210"/>
  <c r="M127" i="210"/>
  <c r="M112" i="210"/>
  <c r="M216" i="210"/>
  <c r="M155" i="210"/>
  <c r="M30" i="210"/>
  <c r="M91" i="210"/>
  <c r="M154" i="210"/>
  <c r="M83" i="210"/>
  <c r="M233" i="210"/>
  <c r="M195" i="210"/>
  <c r="M129" i="210"/>
  <c r="M109" i="210"/>
  <c r="M177" i="210"/>
  <c r="M63" i="210"/>
  <c r="M45" i="210"/>
  <c r="M159" i="210"/>
  <c r="M217" i="210"/>
  <c r="M74" i="210"/>
  <c r="M130" i="210"/>
  <c r="M62" i="210"/>
  <c r="M161" i="210"/>
  <c r="M65" i="210"/>
  <c r="M122" i="210"/>
  <c r="M41" i="210"/>
  <c r="M125" i="210"/>
  <c r="M187" i="210"/>
  <c r="M243" i="210"/>
  <c r="M229" i="210"/>
  <c r="M67" i="210"/>
  <c r="M118" i="210"/>
  <c r="M146" i="210"/>
  <c r="M121" i="210"/>
  <c r="M183" i="210"/>
  <c r="M255" i="210"/>
  <c r="M110" i="210"/>
  <c r="M165" i="210"/>
  <c r="M237" i="210"/>
  <c r="M60" i="210"/>
  <c r="M114" i="210"/>
  <c r="M262" i="210"/>
  <c r="M246" i="210"/>
  <c r="M230" i="210"/>
  <c r="M31" i="210"/>
  <c r="M51" i="210"/>
  <c r="M28" i="210"/>
  <c r="M244" i="210"/>
  <c r="M224" i="210"/>
  <c r="M204" i="210"/>
  <c r="M180" i="210"/>
  <c r="M160" i="210"/>
  <c r="M59" i="210"/>
  <c r="M58" i="210"/>
  <c r="M104" i="210"/>
  <c r="M218" i="210"/>
  <c r="M202" i="210"/>
  <c r="M186" i="210"/>
  <c r="M170" i="210"/>
  <c r="M94" i="210"/>
  <c r="M136" i="210"/>
  <c r="M148" i="210"/>
  <c r="M264" i="210"/>
  <c r="M193" i="210"/>
  <c r="M133" i="210"/>
  <c r="M185" i="210"/>
  <c r="M191" i="210"/>
  <c r="M55" i="210"/>
  <c r="M47" i="210"/>
  <c r="M265" i="210"/>
  <c r="M49" i="210"/>
  <c r="M48" i="210"/>
  <c r="M64" i="210"/>
  <c r="M157" i="210"/>
  <c r="M181" i="210"/>
  <c r="M44" i="210"/>
  <c r="M38" i="210"/>
  <c r="M153" i="210"/>
  <c r="M221" i="210"/>
  <c r="M197" i="210"/>
  <c r="M57" i="210"/>
  <c r="M96" i="210"/>
  <c r="M238" i="210"/>
  <c r="M92" i="210"/>
  <c r="M256" i="210"/>
  <c r="M236" i="210"/>
  <c r="M192" i="210"/>
  <c r="M108" i="210"/>
  <c r="M56" i="210"/>
  <c r="M210" i="210"/>
  <c r="M194" i="210"/>
  <c r="M162" i="210"/>
  <c r="M52" i="210"/>
  <c r="M42" i="210"/>
  <c r="M225" i="210"/>
  <c r="M201" i="210"/>
  <c r="M111" i="210"/>
  <c r="M103" i="210"/>
  <c r="M61" i="210"/>
  <c r="M137" i="210"/>
  <c r="M135" i="210"/>
  <c r="M99" i="210"/>
  <c r="M203" i="210"/>
  <c r="M97" i="210"/>
  <c r="M117" i="210"/>
  <c r="M227" i="210"/>
  <c r="M205" i="210"/>
  <c r="M95" i="210"/>
  <c r="M107" i="210"/>
  <c r="M231" i="210"/>
  <c r="M245" i="210"/>
  <c r="M213" i="210"/>
  <c r="M35" i="210"/>
  <c r="M250" i="210"/>
  <c r="M84" i="210"/>
  <c r="M37" i="210"/>
  <c r="M252" i="210"/>
  <c r="M208" i="210"/>
  <c r="M188" i="210"/>
  <c r="M76" i="210"/>
  <c r="H109" i="14"/>
  <c r="M29" i="210"/>
  <c r="M206" i="210"/>
  <c r="M174" i="210"/>
  <c r="M27" i="210"/>
  <c r="M79" i="210"/>
  <c r="M235" i="210"/>
  <c r="M40" i="210"/>
  <c r="M101" i="210"/>
  <c r="M105" i="210"/>
  <c r="M223" i="210"/>
  <c r="M86" i="210"/>
  <c r="M167" i="210"/>
  <c r="M241" i="210"/>
  <c r="M66" i="210"/>
  <c r="M93" i="210"/>
  <c r="M199" i="210"/>
  <c r="M249" i="210"/>
  <c r="M88" i="210"/>
  <c r="M72" i="210"/>
  <c r="M141" i="210"/>
  <c r="M209" i="210"/>
  <c r="M73" i="210"/>
  <c r="M138" i="210"/>
  <c r="M43" i="210"/>
  <c r="M149" i="210"/>
  <c r="M211" i="210"/>
  <c r="M263" i="210"/>
  <c r="M257" i="210"/>
  <c r="M69" i="210"/>
  <c r="M134" i="210"/>
  <c r="M39" i="210"/>
  <c r="M145" i="210"/>
  <c r="M207" i="210"/>
  <c r="M173" i="210"/>
  <c r="M102" i="210"/>
  <c r="M189" i="210"/>
  <c r="M253" i="210"/>
  <c r="M106" i="210"/>
  <c r="M26" i="210"/>
  <c r="P22" i="210" s="1"/>
  <c r="M258" i="210"/>
  <c r="M242" i="210"/>
  <c r="M226" i="210"/>
  <c r="M139" i="210"/>
  <c r="M156" i="210"/>
  <c r="M260" i="210"/>
  <c r="M240" i="210"/>
  <c r="M220" i="210"/>
  <c r="M196" i="210"/>
  <c r="M176" i="210"/>
  <c r="M123" i="210"/>
  <c r="M80" i="210"/>
  <c r="M131" i="210"/>
  <c r="M98" i="210"/>
  <c r="M214" i="210"/>
  <c r="M198" i="210"/>
  <c r="M182" i="210"/>
  <c r="M166" i="210"/>
  <c r="M78" i="210"/>
  <c r="M120" i="210"/>
  <c r="M150" i="210"/>
  <c r="M50" i="210"/>
  <c r="M114" i="227"/>
  <c r="M236" i="227"/>
  <c r="M154" i="227"/>
  <c r="M201" i="227"/>
  <c r="M83" i="227"/>
  <c r="M108" i="227"/>
  <c r="M207" i="227"/>
  <c r="M174" i="227"/>
  <c r="M183" i="227"/>
  <c r="M250" i="227"/>
  <c r="M265" i="227"/>
  <c r="M156" i="227"/>
  <c r="M193" i="227"/>
  <c r="M155" i="227"/>
  <c r="M74" i="227"/>
  <c r="M39" i="227"/>
  <c r="M135" i="227"/>
  <c r="M262" i="227"/>
  <c r="M50" i="227"/>
  <c r="M112" i="227"/>
  <c r="M200" i="227"/>
  <c r="M195" i="227"/>
  <c r="M244" i="227"/>
  <c r="M251" i="227"/>
  <c r="M166" i="227"/>
  <c r="M178" i="227"/>
  <c r="M256" i="227"/>
  <c r="M71" i="227"/>
  <c r="M66" i="227"/>
  <c r="M181" i="227"/>
  <c r="M228" i="227"/>
  <c r="M122" i="227"/>
  <c r="M157" i="227"/>
  <c r="M221" i="227"/>
  <c r="M257" i="227"/>
  <c r="M111" i="227"/>
  <c r="M180" i="227"/>
  <c r="M153" i="227"/>
  <c r="M37" i="227"/>
  <c r="M215" i="227"/>
  <c r="M45" i="227"/>
  <c r="M59" i="227"/>
  <c r="M30" i="227"/>
  <c r="M225" i="227"/>
  <c r="M91" i="227"/>
  <c r="M163" i="227"/>
  <c r="M138" i="227"/>
  <c r="M46" i="227"/>
  <c r="M87" i="227"/>
  <c r="M40" i="227"/>
  <c r="M245" i="227"/>
  <c r="M158" i="227"/>
  <c r="M176" i="227"/>
  <c r="M171" i="227"/>
  <c r="M64" i="227"/>
  <c r="M61" i="227"/>
  <c r="M259" i="227"/>
  <c r="M80" i="227"/>
  <c r="M260" i="227"/>
  <c r="M170" i="227"/>
  <c r="M264" i="227"/>
  <c r="M229" i="227"/>
  <c r="M31" i="227"/>
  <c r="M75" i="227"/>
  <c r="M89" i="227"/>
  <c r="M100" i="227"/>
  <c r="M226" i="227"/>
  <c r="M147" i="227"/>
  <c r="M196" i="227"/>
  <c r="M161" i="227"/>
  <c r="M82" i="227"/>
  <c r="M93" i="227"/>
  <c r="S104" i="227"/>
  <c r="M139" i="227"/>
  <c r="M90" i="227"/>
  <c r="M212" i="227"/>
  <c r="M186" i="227"/>
  <c r="M115" i="227"/>
  <c r="M241" i="227"/>
  <c r="M188" i="227"/>
  <c r="M209" i="227"/>
  <c r="M137" i="227"/>
  <c r="M95" i="227"/>
  <c r="M222" i="227"/>
  <c r="G112" i="14"/>
  <c r="M29" i="227"/>
  <c r="M255" i="227"/>
  <c r="M84" i="227"/>
  <c r="M42" i="227"/>
  <c r="M77" i="227"/>
  <c r="M242" i="227"/>
  <c r="M99" i="227"/>
  <c r="M190" i="227"/>
  <c r="M52" i="227"/>
  <c r="M162" i="227"/>
  <c r="M148" i="227"/>
  <c r="M177" i="227"/>
  <c r="M133" i="227"/>
  <c r="M103" i="227"/>
  <c r="M167" i="227"/>
  <c r="M217" i="227"/>
  <c r="M35" i="227"/>
  <c r="M253" i="227"/>
  <c r="M102" i="227"/>
  <c r="M34" i="227"/>
  <c r="M136" i="227"/>
  <c r="M184" i="227"/>
  <c r="M216" i="227"/>
  <c r="M179" i="227"/>
  <c r="M211" i="227"/>
  <c r="M194" i="227"/>
  <c r="M214" i="227"/>
  <c r="M65" i="227"/>
  <c r="M58" i="227"/>
  <c r="M78" i="227"/>
  <c r="M142" i="227"/>
  <c r="M96" i="227"/>
  <c r="M160" i="227"/>
  <c r="M189" i="227"/>
  <c r="M205" i="227"/>
  <c r="M62" i="227"/>
  <c r="M248" i="227"/>
  <c r="M213" i="227"/>
  <c r="M63" i="227"/>
  <c r="M247" i="227"/>
  <c r="M107" i="227"/>
  <c r="M129" i="227"/>
  <c r="M47" i="227"/>
  <c r="M199" i="227"/>
  <c r="M60" i="227"/>
  <c r="M125" i="227"/>
  <c r="M146" i="227"/>
  <c r="M81" i="227"/>
  <c r="M131" i="227"/>
  <c r="M238" i="227"/>
  <c r="M106" i="227"/>
  <c r="M113" i="227"/>
  <c r="M41" i="227"/>
  <c r="M254" i="227"/>
  <c r="M92" i="227"/>
  <c r="M101" i="227"/>
  <c r="M165" i="227"/>
  <c r="M198" i="227"/>
  <c r="M237" i="227"/>
  <c r="M134" i="227"/>
  <c r="M168" i="227"/>
  <c r="M232" i="227"/>
  <c r="M227" i="227"/>
  <c r="M72" i="227"/>
  <c r="M53" i="227"/>
  <c r="M110" i="227"/>
  <c r="M120" i="227"/>
  <c r="M202" i="227"/>
  <c r="M223" i="227"/>
  <c r="M231" i="227"/>
  <c r="M124" i="227"/>
  <c r="M252" i="227"/>
  <c r="M263" i="227"/>
  <c r="E112" i="14"/>
  <c r="M26" i="227"/>
  <c r="P22" i="227" s="1"/>
  <c r="M116" i="227"/>
  <c r="M109" i="227"/>
  <c r="M159" i="227"/>
  <c r="M239" i="227"/>
  <c r="M210" i="227"/>
  <c r="M141" i="227"/>
  <c r="M51" i="227"/>
  <c r="M132" i="227"/>
  <c r="M117" i="227"/>
  <c r="S127" i="227"/>
  <c r="M151" i="227"/>
  <c r="M27" i="227"/>
  <c r="F112" i="14"/>
  <c r="M94" i="227"/>
  <c r="M128" i="227"/>
  <c r="M208" i="227"/>
  <c r="M203" i="227"/>
  <c r="M235" i="227"/>
  <c r="M185" i="227"/>
  <c r="M118" i="227"/>
  <c r="M144" i="227"/>
  <c r="M240" i="227"/>
  <c r="M36" i="227"/>
  <c r="M164" i="227"/>
  <c r="M79" i="227"/>
  <c r="M172" i="227"/>
  <c r="M68" i="227"/>
  <c r="M57" i="227"/>
  <c r="M191" i="227"/>
  <c r="M44" i="227"/>
  <c r="M204" i="227"/>
  <c r="S131" i="227"/>
  <c r="M121" i="227"/>
  <c r="M206" i="227"/>
  <c r="M130" i="227"/>
  <c r="M175" i="227"/>
  <c r="M97" i="227"/>
  <c r="M143" i="227"/>
  <c r="M98" i="227"/>
  <c r="M220" i="227"/>
  <c r="M73" i="227"/>
  <c r="M145" i="227"/>
  <c r="M123" i="227"/>
  <c r="M233" i="227"/>
  <c r="M249" i="227"/>
  <c r="M32" i="227"/>
  <c r="M140" i="227"/>
  <c r="M48" i="227"/>
  <c r="M105" i="227"/>
  <c r="M258" i="227"/>
  <c r="M127" i="227"/>
  <c r="M169" i="227"/>
  <c r="M54" i="227"/>
  <c r="M76" i="227"/>
  <c r="M69" i="227"/>
  <c r="M85" i="227"/>
  <c r="M149" i="227"/>
  <c r="M119" i="227"/>
  <c r="M182" i="227"/>
  <c r="M246" i="227"/>
  <c r="M56" i="227"/>
  <c r="M261" i="227"/>
  <c r="M126" i="227"/>
  <c r="M88" i="227"/>
  <c r="M152" i="227"/>
  <c r="M192" i="227"/>
  <c r="M224" i="227"/>
  <c r="M187" i="227"/>
  <c r="M219" i="227"/>
  <c r="M67" i="227"/>
  <c r="M230" i="227"/>
  <c r="M55" i="227"/>
  <c r="M243" i="227"/>
  <c r="M86" i="227"/>
  <c r="M150" i="227"/>
  <c r="M104" i="227"/>
  <c r="M218" i="227"/>
  <c r="M234" i="227"/>
  <c r="M173" i="227"/>
  <c r="M70" i="227"/>
  <c r="M43" i="227"/>
  <c r="M197" i="227"/>
  <c r="M69" i="228"/>
  <c r="M73" i="228"/>
  <c r="M28" i="228"/>
  <c r="M228" i="228"/>
  <c r="M219" i="228"/>
  <c r="M141" i="228"/>
  <c r="M162" i="228"/>
  <c r="M106" i="228"/>
  <c r="M247" i="228"/>
  <c r="M116" i="228"/>
  <c r="M254" i="228"/>
  <c r="M181" i="228"/>
  <c r="J115" i="14"/>
  <c r="M117" i="228"/>
  <c r="M85" i="228"/>
  <c r="M262" i="228"/>
  <c r="M119" i="228"/>
  <c r="M50" i="228"/>
  <c r="M145" i="228"/>
  <c r="M242" i="228"/>
  <c r="M27" i="228"/>
  <c r="E115" i="14"/>
  <c r="M175" i="228"/>
  <c r="M49" i="228"/>
  <c r="M55" i="228"/>
  <c r="M150" i="228"/>
  <c r="M129" i="228"/>
  <c r="M71" i="228"/>
  <c r="M193" i="228"/>
  <c r="M251" i="228"/>
  <c r="M115" i="228"/>
  <c r="M75" i="228"/>
  <c r="M177" i="228"/>
  <c r="M224" i="228"/>
  <c r="M163" i="228"/>
  <c r="M161" i="228"/>
  <c r="M245" i="228"/>
  <c r="M74" i="228"/>
  <c r="M221" i="228"/>
  <c r="M42" i="228"/>
  <c r="M226" i="228"/>
  <c r="M101" i="228"/>
  <c r="M203" i="228"/>
  <c r="M87" i="228"/>
  <c r="M205" i="228"/>
  <c r="M88" i="228"/>
  <c r="M194" i="228"/>
  <c r="M230" i="228"/>
  <c r="M133" i="229"/>
  <c r="M57" i="229"/>
  <c r="M51" i="229"/>
  <c r="M100" i="229"/>
  <c r="M94" i="229"/>
  <c r="M66" i="229"/>
  <c r="M203" i="229"/>
  <c r="M148" i="229"/>
  <c r="M113" i="229"/>
  <c r="M41" i="229"/>
  <c r="M119" i="229"/>
  <c r="M195" i="229"/>
  <c r="M60" i="229"/>
  <c r="M40" i="229"/>
  <c r="M205" i="229"/>
  <c r="M264" i="229"/>
  <c r="M129" i="229"/>
  <c r="M186" i="229"/>
  <c r="M38" i="229"/>
  <c r="M50" i="229"/>
  <c r="M258" i="229"/>
  <c r="M206" i="229"/>
  <c r="M219" i="229"/>
  <c r="S164" i="229"/>
  <c r="M153" i="229"/>
  <c r="M251" i="229"/>
  <c r="M29" i="229"/>
  <c r="M75" i="229"/>
  <c r="M88" i="229"/>
  <c r="M177" i="229"/>
  <c r="M80" i="229"/>
  <c r="M183" i="229"/>
  <c r="M166" i="229"/>
  <c r="M136" i="229"/>
  <c r="S107" i="229"/>
  <c r="M99" i="229"/>
  <c r="M84" i="229"/>
  <c r="M215" i="229"/>
  <c r="M192" i="229"/>
  <c r="M43" i="229"/>
  <c r="M208" i="229"/>
  <c r="M199" i="229"/>
  <c r="M254" i="229"/>
  <c r="M212" i="229"/>
  <c r="M68" i="229"/>
  <c r="M221" i="229"/>
  <c r="M243" i="229"/>
  <c r="M173" i="229"/>
  <c r="M176" i="229"/>
  <c r="M197" i="229"/>
  <c r="M249" i="229"/>
  <c r="M241" i="229"/>
  <c r="M209" i="229"/>
  <c r="M226" i="229"/>
  <c r="M178" i="229"/>
  <c r="M138" i="229"/>
  <c r="M56" i="229"/>
  <c r="M106" i="229"/>
  <c r="M98" i="229"/>
  <c r="M107" i="229"/>
  <c r="M37" i="229"/>
  <c r="M180" i="229"/>
  <c r="M81" i="229"/>
  <c r="M222" i="229"/>
  <c r="M126" i="229"/>
  <c r="M49" i="229"/>
  <c r="M150" i="229"/>
  <c r="M228" i="229"/>
  <c r="M110" i="229"/>
  <c r="M42" i="229"/>
  <c r="M30" i="229"/>
  <c r="H118" i="14"/>
  <c r="M187" i="229"/>
  <c r="M207" i="229"/>
  <c r="M137" i="229"/>
  <c r="M34" i="229"/>
  <c r="M78" i="229"/>
  <c r="M44" i="229"/>
  <c r="M262" i="229"/>
  <c r="M87" i="229"/>
  <c r="M141" i="229"/>
  <c r="M179" i="229"/>
  <c r="M225" i="229"/>
  <c r="M151" i="229"/>
  <c r="M53" i="229"/>
  <c r="M72" i="229"/>
  <c r="M48" i="229"/>
  <c r="M181" i="229"/>
  <c r="M124" i="229"/>
  <c r="M231" i="229"/>
  <c r="M230" i="229"/>
  <c r="M31" i="229"/>
  <c r="M115" i="229"/>
  <c r="M200" i="229"/>
  <c r="M86" i="229"/>
  <c r="M170" i="229"/>
  <c r="M39" i="229"/>
  <c r="M217" i="229"/>
  <c r="M214" i="229"/>
  <c r="M224" i="229"/>
  <c r="M250" i="229"/>
  <c r="M210" i="229"/>
  <c r="M232" i="229"/>
  <c r="M143" i="229"/>
  <c r="M152" i="229"/>
  <c r="M246" i="229"/>
  <c r="M260" i="229"/>
  <c r="M169" i="229"/>
  <c r="M261" i="229"/>
  <c r="M52" i="229"/>
  <c r="M27" i="229"/>
  <c r="M147" i="229"/>
  <c r="M85" i="229"/>
  <c r="M45" i="229"/>
  <c r="M159" i="229"/>
  <c r="M71" i="229"/>
  <c r="M123" i="229"/>
  <c r="M55" i="229"/>
  <c r="M74" i="229"/>
  <c r="M92" i="229"/>
  <c r="M164" i="229"/>
  <c r="M26" i="229"/>
  <c r="P22" i="229" s="1"/>
  <c r="M242" i="229"/>
  <c r="M111" i="229"/>
  <c r="M161" i="229"/>
  <c r="M130" i="229"/>
  <c r="M220" i="229"/>
  <c r="M156" i="229"/>
  <c r="M256" i="229"/>
  <c r="M117" i="229"/>
  <c r="M63" i="229"/>
  <c r="M144" i="229"/>
  <c r="M239" i="229"/>
  <c r="M157" i="229"/>
  <c r="M146" i="229"/>
  <c r="M189" i="229"/>
  <c r="M223" i="229"/>
  <c r="M198" i="229"/>
  <c r="M236" i="229"/>
  <c r="M77" i="229"/>
  <c r="M218" i="229"/>
  <c r="M188" i="229"/>
  <c r="M95" i="229"/>
  <c r="M131" i="229"/>
  <c r="M139" i="229"/>
  <c r="M149" i="229"/>
  <c r="M83" i="229"/>
  <c r="M69" i="229"/>
  <c r="M32" i="229"/>
  <c r="M196" i="229"/>
  <c r="M33" i="229"/>
  <c r="M76" i="229"/>
  <c r="M227" i="229"/>
  <c r="M118" i="229"/>
  <c r="M103" i="229"/>
  <c r="M158" i="229"/>
  <c r="M109" i="229"/>
  <c r="M172" i="229"/>
  <c r="M36" i="229"/>
  <c r="M160" i="229"/>
  <c r="M185" i="229"/>
  <c r="M194" i="229"/>
  <c r="M59" i="229"/>
  <c r="M234" i="229"/>
  <c r="M46" i="229"/>
  <c r="M237" i="229"/>
  <c r="M167" i="229"/>
  <c r="M58" i="229"/>
  <c r="M190" i="229"/>
  <c r="M213" i="229"/>
  <c r="M134" i="229"/>
  <c r="M216" i="229"/>
  <c r="M122" i="229"/>
  <c r="M89" i="229"/>
  <c r="M104" i="229"/>
  <c r="M67" i="229"/>
  <c r="M125" i="229"/>
  <c r="M90" i="229"/>
  <c r="M165" i="229"/>
  <c r="M132" i="229"/>
  <c r="M259" i="229"/>
  <c r="M64" i="229"/>
  <c r="M229" i="229"/>
  <c r="M121" i="229"/>
  <c r="M116" i="229"/>
  <c r="M257" i="229"/>
  <c r="M244" i="229"/>
  <c r="M108" i="229"/>
  <c r="M191" i="229"/>
  <c r="M248" i="229"/>
  <c r="M79" i="229"/>
  <c r="M202" i="229"/>
  <c r="M174" i="229"/>
  <c r="M252" i="229"/>
  <c r="M145" i="229"/>
  <c r="M247" i="229"/>
  <c r="M62" i="229"/>
  <c r="M140" i="229"/>
  <c r="M211" i="229"/>
  <c r="M142" i="229"/>
  <c r="M102" i="229"/>
  <c r="M168" i="229"/>
  <c r="M47" i="229"/>
  <c r="M193" i="229"/>
  <c r="M238" i="229"/>
  <c r="M255" i="229"/>
  <c r="M135" i="229"/>
  <c r="M54" i="229"/>
  <c r="M184" i="229"/>
  <c r="M263" i="229"/>
  <c r="M162" i="229"/>
  <c r="M70" i="229"/>
  <c r="M201" i="229"/>
  <c r="M240" i="229"/>
  <c r="M253" i="229"/>
  <c r="M93" i="229"/>
  <c r="M204" i="229"/>
  <c r="M245" i="229"/>
  <c r="M175" i="229"/>
  <c r="M128" i="229"/>
  <c r="M233" i="229"/>
  <c r="M235" i="229"/>
  <c r="M61" i="229"/>
  <c r="M265" i="229"/>
  <c r="M182" i="229"/>
  <c r="M171" i="229"/>
  <c r="M101" i="229"/>
  <c r="M154" i="229"/>
  <c r="M28" i="229"/>
  <c r="M114" i="229"/>
  <c r="M127" i="229"/>
  <c r="M155" i="229"/>
  <c r="G103" i="14"/>
  <c r="J103" i="14"/>
  <c r="S222" i="22"/>
  <c r="S195" i="23"/>
  <c r="E106" i="14"/>
  <c r="S211" i="23"/>
  <c r="I106" i="14"/>
  <c r="J106" i="14"/>
  <c r="G109" i="14"/>
  <c r="E109" i="14"/>
  <c r="I109" i="14"/>
  <c r="F109" i="14"/>
  <c r="S130" i="210"/>
  <c r="J109" i="14"/>
  <c r="J112" i="14"/>
  <c r="H112" i="14"/>
  <c r="I112" i="14"/>
  <c r="J118" i="14"/>
  <c r="K118" i="14"/>
  <c r="S82" i="229"/>
  <c r="I118" i="14"/>
  <c r="E118" i="14"/>
  <c r="F118" i="14"/>
  <c r="G118" i="14"/>
  <c r="D115" i="14"/>
  <c r="S229" i="228"/>
  <c r="E28" i="21"/>
  <c r="G28" i="21" s="1"/>
  <c r="B29" i="21"/>
  <c r="F72" i="21"/>
  <c r="AS18" i="231"/>
  <c r="AT18" i="231" s="1"/>
  <c r="O24" i="241"/>
  <c r="AW18" i="231"/>
  <c r="AX18" i="231" s="1"/>
  <c r="H26" i="239"/>
  <c r="F20" i="263"/>
  <c r="F18" i="263"/>
  <c r="F22" i="263"/>
  <c r="F23" i="263"/>
  <c r="F19" i="263"/>
  <c r="F21" i="263"/>
  <c r="O21" i="217"/>
  <c r="P26" i="216"/>
  <c r="N20" i="262"/>
  <c r="N22" i="262"/>
  <c r="N35" i="1" s="1"/>
  <c r="N19" i="262"/>
  <c r="N18" i="262"/>
  <c r="N23" i="262"/>
  <c r="N21" i="262"/>
  <c r="N34" i="1" s="1"/>
  <c r="L31" i="1"/>
  <c r="F36" i="14"/>
  <c r="O24" i="217"/>
  <c r="J32" i="14"/>
  <c r="I27" i="217"/>
  <c r="K94" i="29"/>
  <c r="AA21" i="231" s="1"/>
  <c r="K17" i="29"/>
  <c r="K21" i="29" s="1"/>
  <c r="K95" i="29" s="1"/>
  <c r="J29" i="14" s="1"/>
  <c r="I22" i="16"/>
  <c r="D18" i="262"/>
  <c r="D22" i="262"/>
  <c r="D20" i="262"/>
  <c r="F26" i="216"/>
  <c r="D21" i="262"/>
  <c r="D19" i="262"/>
  <c r="D23" i="262"/>
  <c r="P94" i="29"/>
  <c r="AU21" i="231" s="1"/>
  <c r="P17" i="29"/>
  <c r="P21" i="29" s="1"/>
  <c r="P95" i="29" s="1"/>
  <c r="O29" i="14" s="1"/>
  <c r="N22" i="16"/>
  <c r="K26" i="239"/>
  <c r="I20" i="263"/>
  <c r="I18" i="263"/>
  <c r="I22" i="263"/>
  <c r="I19" i="263"/>
  <c r="I23" i="263"/>
  <c r="I21" i="263"/>
  <c r="M31" i="1"/>
  <c r="M25" i="262"/>
  <c r="G17" i="236"/>
  <c r="G99" i="236"/>
  <c r="D133" i="249" s="1"/>
  <c r="F24" i="239"/>
  <c r="I19" i="236"/>
  <c r="H18" i="236"/>
  <c r="J20" i="236"/>
  <c r="J22" i="236" s="1"/>
  <c r="R26" i="236"/>
  <c r="J99" i="237"/>
  <c r="G133" i="252" s="1"/>
  <c r="I24" i="240"/>
  <c r="J17" i="237"/>
  <c r="M20" i="237"/>
  <c r="K18" i="237"/>
  <c r="L19" i="237"/>
  <c r="H94" i="29"/>
  <c r="O21" i="231" s="1"/>
  <c r="H17" i="29"/>
  <c r="H21" i="29" s="1"/>
  <c r="H95" i="29" s="1"/>
  <c r="G29" i="14" s="1"/>
  <c r="F22" i="16"/>
  <c r="F23" i="16" s="1"/>
  <c r="F25" i="16" s="1"/>
  <c r="N32" i="14"/>
  <c r="M27" i="217"/>
  <c r="M84" i="217" s="1"/>
  <c r="AQ23" i="231" s="1"/>
  <c r="G20" i="238"/>
  <c r="L22" i="276"/>
  <c r="G94" i="29"/>
  <c r="K21" i="231" s="1"/>
  <c r="G17" i="29"/>
  <c r="G21" i="29" s="1"/>
  <c r="G95" i="29" s="1"/>
  <c r="E22" i="16"/>
  <c r="E23" i="16" s="1"/>
  <c r="E25" i="16" s="1"/>
  <c r="Q26" i="29"/>
  <c r="Q99" i="236"/>
  <c r="N133" i="249" s="1"/>
  <c r="G19" i="237"/>
  <c r="P24" i="239"/>
  <c r="H20" i="237"/>
  <c r="Q17" i="236"/>
  <c r="Q22" i="236" s="1"/>
  <c r="F18" i="237"/>
  <c r="I17" i="216"/>
  <c r="I21" i="216" s="1"/>
  <c r="AG18" i="231"/>
  <c r="AH18" i="231" s="1"/>
  <c r="O25" i="217"/>
  <c r="I18" i="237"/>
  <c r="K24" i="240"/>
  <c r="L17" i="237"/>
  <c r="O20" i="237"/>
  <c r="N19" i="237"/>
  <c r="M18" i="237"/>
  <c r="I25" i="262"/>
  <c r="K17" i="216"/>
  <c r="K21" i="216" s="1"/>
  <c r="I22" i="220"/>
  <c r="I23" i="220" s="1"/>
  <c r="I25" i="220" s="1"/>
  <c r="M26" i="237"/>
  <c r="M25" i="238"/>
  <c r="M26" i="238" s="1"/>
  <c r="M17" i="216"/>
  <c r="M21" i="216" s="1"/>
  <c r="K22" i="220"/>
  <c r="K22" i="276"/>
  <c r="G32" i="14"/>
  <c r="F27" i="217"/>
  <c r="K32" i="14"/>
  <c r="J27" i="217"/>
  <c r="E31" i="1"/>
  <c r="Q18" i="231"/>
  <c r="AY18" i="231"/>
  <c r="Q26" i="237"/>
  <c r="Q25" i="238"/>
  <c r="Q20" i="238"/>
  <c r="O18" i="238"/>
  <c r="O17" i="216"/>
  <c r="O21" i="216" s="1"/>
  <c r="M22" i="220"/>
  <c r="M22" i="276"/>
  <c r="L26" i="216"/>
  <c r="J18" i="262"/>
  <c r="J22" i="262"/>
  <c r="J20" i="262"/>
  <c r="J33" i="1" s="1"/>
  <c r="J21" i="262"/>
  <c r="J23" i="262"/>
  <c r="J19" i="262"/>
  <c r="M26" i="239"/>
  <c r="K18" i="263"/>
  <c r="K22" i="263"/>
  <c r="K20" i="263"/>
  <c r="K23" i="263"/>
  <c r="K19" i="263"/>
  <c r="K21" i="263"/>
  <c r="M99" i="236"/>
  <c r="J133" i="249" s="1"/>
  <c r="L24" i="239"/>
  <c r="M17" i="236"/>
  <c r="O19" i="236"/>
  <c r="N18" i="236"/>
  <c r="P20" i="236"/>
  <c r="P22" i="236" s="1"/>
  <c r="O22" i="217"/>
  <c r="O20" i="217"/>
  <c r="G26" i="239"/>
  <c r="E18" i="263"/>
  <c r="E22" i="263"/>
  <c r="E20" i="263"/>
  <c r="E21" i="263"/>
  <c r="E19" i="263"/>
  <c r="E23" i="263"/>
  <c r="O94" i="29"/>
  <c r="AQ21" i="231" s="1"/>
  <c r="O17" i="29"/>
  <c r="O21" i="29" s="1"/>
  <c r="O95" i="29" s="1"/>
  <c r="N29" i="14" s="1"/>
  <c r="M22" i="16"/>
  <c r="I26" i="239"/>
  <c r="G18" i="263"/>
  <c r="G22" i="263"/>
  <c r="G20" i="263"/>
  <c r="G21" i="263"/>
  <c r="G23" i="263"/>
  <c r="G19" i="263"/>
  <c r="L17" i="29"/>
  <c r="L21" i="29" s="1"/>
  <c r="L95" i="29" s="1"/>
  <c r="K29" i="14" s="1"/>
  <c r="L94" i="29"/>
  <c r="AE21" i="231" s="1"/>
  <c r="J22" i="16"/>
  <c r="G17" i="216"/>
  <c r="G21" i="216" s="1"/>
  <c r="E22" i="220"/>
  <c r="E23" i="220" s="1"/>
  <c r="E25" i="220" s="1"/>
  <c r="E22" i="276"/>
  <c r="E23" i="276" s="1"/>
  <c r="E25" i="276" s="1"/>
  <c r="F32" i="14"/>
  <c r="E27" i="217"/>
  <c r="O32" i="14"/>
  <c r="N27" i="217"/>
  <c r="Q20" i="237"/>
  <c r="P19" i="237"/>
  <c r="G26" i="237"/>
  <c r="G25" i="238"/>
  <c r="R25" i="237"/>
  <c r="O26" i="239"/>
  <c r="M20" i="263"/>
  <c r="M18" i="263"/>
  <c r="M22" i="263"/>
  <c r="M21" i="263"/>
  <c r="M23" i="263"/>
  <c r="M19" i="263"/>
  <c r="AL21" i="231"/>
  <c r="AK21" i="231"/>
  <c r="O22" i="236"/>
  <c r="K31" i="1"/>
  <c r="K25" i="262"/>
  <c r="E21" i="231"/>
  <c r="F21" i="231" s="1"/>
  <c r="A21" i="231"/>
  <c r="C33" i="1"/>
  <c r="C35" i="1"/>
  <c r="E17" i="2"/>
  <c r="E157" i="10" l="1"/>
  <c r="E63" i="249"/>
  <c r="D28" i="276"/>
  <c r="D153" i="10"/>
  <c r="C32" i="1"/>
  <c r="C60" i="14"/>
  <c r="C51" i="231" s="1"/>
  <c r="C62" i="14"/>
  <c r="C53" i="231" s="1"/>
  <c r="C47" i="14"/>
  <c r="C38" i="231" s="1"/>
  <c r="C40" i="14"/>
  <c r="C31" i="231" s="1"/>
  <c r="C49" i="14"/>
  <c r="C40" i="231" s="1"/>
  <c r="F40" i="231" s="1"/>
  <c r="C72" i="14"/>
  <c r="C63" i="231" s="1"/>
  <c r="C58" i="14"/>
  <c r="C49" i="231" s="1"/>
  <c r="E49" i="231" s="1"/>
  <c r="C51" i="14"/>
  <c r="C42" i="231" s="1"/>
  <c r="E42" i="231" s="1"/>
  <c r="C73" i="14"/>
  <c r="C64" i="231" s="1"/>
  <c r="F64" i="231" s="1"/>
  <c r="C52" i="14"/>
  <c r="C43" i="231" s="1"/>
  <c r="F43" i="231" s="1"/>
  <c r="C50" i="14"/>
  <c r="C41" i="231" s="1"/>
  <c r="C74" i="14"/>
  <c r="C65" i="231" s="1"/>
  <c r="F65" i="231" s="1"/>
  <c r="C43" i="14"/>
  <c r="C34" i="231" s="1"/>
  <c r="E34" i="231" s="1"/>
  <c r="C39" i="14"/>
  <c r="C30" i="231" s="1"/>
  <c r="E30" i="231" s="1"/>
  <c r="F30" i="231" s="1"/>
  <c r="C42" i="14"/>
  <c r="C33" i="231" s="1"/>
  <c r="E33" i="231" s="1"/>
  <c r="C75" i="14"/>
  <c r="C66" i="231" s="1"/>
  <c r="F66" i="231" s="1"/>
  <c r="C71" i="14"/>
  <c r="C62" i="231" s="1"/>
  <c r="E62" i="231" s="1"/>
  <c r="C56" i="14"/>
  <c r="C47" i="231" s="1"/>
  <c r="F47" i="231" s="1"/>
  <c r="C76" i="14"/>
  <c r="C67" i="231" s="1"/>
  <c r="C54" i="14"/>
  <c r="C45" i="231" s="1"/>
  <c r="C53" i="14"/>
  <c r="C44" i="231" s="1"/>
  <c r="AY44" i="231" s="1"/>
  <c r="C46" i="14"/>
  <c r="C37" i="231" s="1"/>
  <c r="C59" i="14"/>
  <c r="C50" i="231" s="1"/>
  <c r="E50" i="231" s="1"/>
  <c r="C68" i="14"/>
  <c r="C59" i="231" s="1"/>
  <c r="F59" i="231" s="1"/>
  <c r="C41" i="14"/>
  <c r="C32" i="231" s="1"/>
  <c r="F32" i="231" s="1"/>
  <c r="C61" i="14"/>
  <c r="C52" i="231" s="1"/>
  <c r="AY52" i="231" s="1"/>
  <c r="C69" i="14"/>
  <c r="C60" i="231" s="1"/>
  <c r="F60" i="231" s="1"/>
  <c r="C48" i="14"/>
  <c r="C39" i="231" s="1"/>
  <c r="F39" i="231" s="1"/>
  <c r="I153" i="10"/>
  <c r="F64" i="249"/>
  <c r="K80" i="10"/>
  <c r="E80" i="10"/>
  <c r="I80" i="263"/>
  <c r="I80" i="10"/>
  <c r="N80" i="10"/>
  <c r="Q54" i="10"/>
  <c r="R54" i="10" s="1"/>
  <c r="S148" i="22"/>
  <c r="F80" i="10"/>
  <c r="P80" i="10"/>
  <c r="F80" i="263"/>
  <c r="G80" i="10"/>
  <c r="D33" i="1"/>
  <c r="J80" i="10"/>
  <c r="N170" i="10"/>
  <c r="D35" i="1"/>
  <c r="H92" i="236"/>
  <c r="E84" i="217"/>
  <c r="K23" i="231" s="1"/>
  <c r="M35" i="1"/>
  <c r="L32" i="1"/>
  <c r="I62" i="10"/>
  <c r="S79" i="10"/>
  <c r="S54" i="10"/>
  <c r="D87" i="10"/>
  <c r="N28" i="19"/>
  <c r="F94" i="14" s="1"/>
  <c r="G47" i="232" s="1"/>
  <c r="H47" i="232" s="1"/>
  <c r="I47" i="232" s="1"/>
  <c r="M28" i="19"/>
  <c r="Q97" i="214"/>
  <c r="N18" i="1" s="1"/>
  <c r="I104" i="10"/>
  <c r="K104" i="10"/>
  <c r="L104" i="10"/>
  <c r="G104" i="10"/>
  <c r="H104" i="10"/>
  <c r="F104" i="10"/>
  <c r="M104" i="10"/>
  <c r="N104" i="10"/>
  <c r="O104" i="10"/>
  <c r="P104" i="10"/>
  <c r="J104" i="10"/>
  <c r="E104" i="10"/>
  <c r="M34" i="1"/>
  <c r="L99" i="237"/>
  <c r="I133" i="252" s="1"/>
  <c r="I79" i="10"/>
  <c r="J79" i="10"/>
  <c r="O79" i="10"/>
  <c r="E79" i="10"/>
  <c r="F79" i="10"/>
  <c r="K79" i="10"/>
  <c r="P79" i="10"/>
  <c r="L79" i="10"/>
  <c r="M79" i="10"/>
  <c r="G79" i="10"/>
  <c r="H79" i="10"/>
  <c r="N79" i="10"/>
  <c r="M28" i="276"/>
  <c r="J65" i="264"/>
  <c r="A30" i="238"/>
  <c r="G28" i="238" s="1"/>
  <c r="K62" i="10"/>
  <c r="G153" i="10"/>
  <c r="I68" i="238"/>
  <c r="J68" i="238"/>
  <c r="I97" i="214"/>
  <c r="F18" i="1" s="1"/>
  <c r="D58" i="263"/>
  <c r="M33" i="264"/>
  <c r="O29" i="1"/>
  <c r="S141" i="229"/>
  <c r="K36" i="236"/>
  <c r="C31" i="1"/>
  <c r="L26" i="238"/>
  <c r="H80" i="262"/>
  <c r="K32" i="1"/>
  <c r="H26" i="238"/>
  <c r="K20" i="238" s="1"/>
  <c r="K36" i="1"/>
  <c r="K35" i="1"/>
  <c r="M80" i="263"/>
  <c r="K33" i="1"/>
  <c r="P31" i="14"/>
  <c r="E25" i="262"/>
  <c r="L62" i="10"/>
  <c r="N62" i="10"/>
  <c r="N69" i="10"/>
  <c r="N64" i="249"/>
  <c r="L157" i="10"/>
  <c r="M64" i="249" s="1"/>
  <c r="L63" i="249"/>
  <c r="I156" i="10"/>
  <c r="J62" i="10"/>
  <c r="H156" i="10"/>
  <c r="H157" i="10" s="1"/>
  <c r="I64" i="249" s="1"/>
  <c r="S61" i="10"/>
  <c r="Q61" i="10"/>
  <c r="R61" i="10" s="1"/>
  <c r="P69" i="10"/>
  <c r="K64" i="249"/>
  <c r="G156" i="10"/>
  <c r="I86" i="10"/>
  <c r="G168" i="10" s="1"/>
  <c r="G169" i="10" s="1"/>
  <c r="G86" i="10"/>
  <c r="E168" i="10" s="1"/>
  <c r="E169" i="10" s="1"/>
  <c r="E86" i="10"/>
  <c r="C168" i="10" s="1"/>
  <c r="K86" i="10"/>
  <c r="I168" i="10" s="1"/>
  <c r="I169" i="10" s="1"/>
  <c r="N86" i="10"/>
  <c r="L168" i="10" s="1"/>
  <c r="P86" i="10"/>
  <c r="N168" i="10" s="1"/>
  <c r="M86" i="10"/>
  <c r="K168" i="10" s="1"/>
  <c r="K169" i="10" s="1"/>
  <c r="J86" i="10"/>
  <c r="O86" i="10"/>
  <c r="M168" i="10" s="1"/>
  <c r="M169" i="10" s="1"/>
  <c r="L86" i="10"/>
  <c r="J168" i="10" s="1"/>
  <c r="J169" i="10" s="1"/>
  <c r="H86" i="10"/>
  <c r="F168" i="10" s="1"/>
  <c r="F169" i="10" s="1"/>
  <c r="F86" i="10"/>
  <c r="D168" i="10" s="1"/>
  <c r="K69" i="10"/>
  <c r="P62" i="10"/>
  <c r="N87" i="10"/>
  <c r="P87" i="10"/>
  <c r="F62" i="10"/>
  <c r="N63" i="249"/>
  <c r="K63" i="249"/>
  <c r="L64" i="249"/>
  <c r="M63" i="249"/>
  <c r="O40" i="262"/>
  <c r="J84" i="217"/>
  <c r="AE23" i="231" s="1"/>
  <c r="P36" i="236"/>
  <c r="M32" i="265"/>
  <c r="F32" i="263"/>
  <c r="I32" i="238"/>
  <c r="F34" i="263"/>
  <c r="M30" i="263"/>
  <c r="M36" i="263" s="1"/>
  <c r="F29" i="263"/>
  <c r="F30" i="263"/>
  <c r="M29" i="265"/>
  <c r="K64" i="236"/>
  <c r="H58" i="263"/>
  <c r="L41" i="264"/>
  <c r="R53" i="238"/>
  <c r="O18" i="237"/>
  <c r="N17" i="237"/>
  <c r="M18" i="238"/>
  <c r="L42" i="264"/>
  <c r="L40" i="264"/>
  <c r="L45" i="264"/>
  <c r="G31" i="1"/>
  <c r="L97" i="214"/>
  <c r="I18" i="1" s="1"/>
  <c r="L43" i="264"/>
  <c r="L44" i="264"/>
  <c r="J36" i="236"/>
  <c r="L36" i="236"/>
  <c r="J35" i="1"/>
  <c r="H33" i="1"/>
  <c r="P19" i="238"/>
  <c r="N17" i="216"/>
  <c r="N21" i="216" s="1"/>
  <c r="F36" i="1"/>
  <c r="N17" i="238"/>
  <c r="Q18" i="237"/>
  <c r="P97" i="214"/>
  <c r="M18" i="1" s="1"/>
  <c r="L25" i="263"/>
  <c r="F19" i="238"/>
  <c r="P99" i="237"/>
  <c r="M133" i="252" s="1"/>
  <c r="P17" i="237"/>
  <c r="H36" i="1"/>
  <c r="N97" i="214"/>
  <c r="K18" i="1" s="1"/>
  <c r="F32" i="1"/>
  <c r="L20" i="237"/>
  <c r="P37" i="14"/>
  <c r="F25" i="262"/>
  <c r="E13" i="38"/>
  <c r="E32" i="1"/>
  <c r="H97" i="214"/>
  <c r="G19" i="232"/>
  <c r="H19" i="232" s="1"/>
  <c r="I19" i="232" s="1"/>
  <c r="J19" i="232" s="1"/>
  <c r="K19" i="232" s="1"/>
  <c r="L19" i="232" s="1"/>
  <c r="M19" i="232" s="1"/>
  <c r="N19" i="232" s="1"/>
  <c r="O19" i="232" s="1"/>
  <c r="P19" i="232" s="1"/>
  <c r="P18" i="14"/>
  <c r="S91" i="213"/>
  <c r="G21" i="38" s="1"/>
  <c r="N50" i="236"/>
  <c r="Q94" i="29"/>
  <c r="D78" i="7" s="1"/>
  <c r="N33" i="1"/>
  <c r="G54" i="238"/>
  <c r="G45" i="238" s="1"/>
  <c r="P54" i="238"/>
  <c r="O50" i="241" s="1"/>
  <c r="O52" i="241" s="1"/>
  <c r="O43" i="241" s="1"/>
  <c r="O47" i="241" s="1"/>
  <c r="G30" i="263"/>
  <c r="G32" i="263"/>
  <c r="G29" i="263"/>
  <c r="G31" i="263"/>
  <c r="I39" i="239"/>
  <c r="I30" i="239" s="1"/>
  <c r="I34" i="239" s="1"/>
  <c r="G34" i="263"/>
  <c r="G33" i="263"/>
  <c r="N29" i="265"/>
  <c r="G29" i="265"/>
  <c r="G84" i="217"/>
  <c r="S23" i="231" s="1"/>
  <c r="E138" i="14"/>
  <c r="F139" i="14" s="1"/>
  <c r="F44" i="232" s="1"/>
  <c r="F33" i="263"/>
  <c r="F31" i="263"/>
  <c r="L35" i="1"/>
  <c r="L25" i="262"/>
  <c r="J19" i="237"/>
  <c r="U21" i="231"/>
  <c r="AM26" i="231"/>
  <c r="AO26" i="231" s="1"/>
  <c r="AP26" i="231" s="1"/>
  <c r="H17" i="237"/>
  <c r="L33" i="1"/>
  <c r="AP23" i="231"/>
  <c r="K20" i="237"/>
  <c r="K97" i="214"/>
  <c r="H18" i="1" s="1"/>
  <c r="H99" i="237"/>
  <c r="E133" i="252" s="1"/>
  <c r="H22" i="236"/>
  <c r="I99" i="237"/>
  <c r="F133" i="252" s="1"/>
  <c r="C25" i="262"/>
  <c r="I17" i="237"/>
  <c r="J18" i="237"/>
  <c r="K19" i="237"/>
  <c r="L34" i="1"/>
  <c r="J16" i="31"/>
  <c r="D34" i="31" s="1"/>
  <c r="O122" i="1"/>
  <c r="E40" i="231"/>
  <c r="AY40" i="231"/>
  <c r="E94" i="216"/>
  <c r="I9" i="10"/>
  <c r="F19" i="4"/>
  <c r="Q106" i="22"/>
  <c r="O107" i="22"/>
  <c r="Q157" i="210"/>
  <c r="O158" i="210"/>
  <c r="Q164" i="228"/>
  <c r="O165" i="228"/>
  <c r="Q199" i="227"/>
  <c r="O200" i="227"/>
  <c r="Q163" i="229"/>
  <c r="O164" i="229"/>
  <c r="Q157" i="22"/>
  <c r="O158" i="22"/>
  <c r="Q242" i="23"/>
  <c r="O243" i="23"/>
  <c r="Q250" i="227"/>
  <c r="O251" i="227"/>
  <c r="Q82" i="228"/>
  <c r="O83" i="228"/>
  <c r="Q152" i="22"/>
  <c r="O153" i="22"/>
  <c r="Q196" i="23"/>
  <c r="O197" i="23"/>
  <c r="Q196" i="228"/>
  <c r="O197" i="228"/>
  <c r="Q67" i="228"/>
  <c r="O68" i="228"/>
  <c r="P32" i="14"/>
  <c r="Q61" i="228"/>
  <c r="O62" i="228"/>
  <c r="O64" i="262"/>
  <c r="O19" i="262"/>
  <c r="G170" i="10"/>
  <c r="J170" i="10"/>
  <c r="K170" i="10"/>
  <c r="M170" i="10"/>
  <c r="L170" i="10"/>
  <c r="H170" i="10"/>
  <c r="Q54" i="228"/>
  <c r="O55" i="228"/>
  <c r="Q191" i="228"/>
  <c r="O192" i="228"/>
  <c r="K78" i="236"/>
  <c r="O49" i="217"/>
  <c r="M68" i="238"/>
  <c r="M59" i="238" s="1"/>
  <c r="L68" i="238"/>
  <c r="O68" i="238"/>
  <c r="K65" i="240"/>
  <c r="K56" i="240" s="1"/>
  <c r="K60" i="240" s="1"/>
  <c r="I55" i="264"/>
  <c r="I52" i="264"/>
  <c r="I51" i="264"/>
  <c r="Q239" i="227"/>
  <c r="O240" i="227"/>
  <c r="Q197" i="227"/>
  <c r="O198" i="227"/>
  <c r="Q75" i="228"/>
  <c r="O76" i="228"/>
  <c r="Q83" i="227"/>
  <c r="O84" i="227"/>
  <c r="Q255" i="227"/>
  <c r="O256" i="227"/>
  <c r="Q257" i="227"/>
  <c r="O258" i="227"/>
  <c r="Q78" i="10"/>
  <c r="Q87" i="22"/>
  <c r="O88" i="22"/>
  <c r="Q222" i="23"/>
  <c r="O223" i="23"/>
  <c r="Q53" i="227"/>
  <c r="O54" i="227"/>
  <c r="Q197" i="23"/>
  <c r="O198" i="23"/>
  <c r="Q253" i="210"/>
  <c r="O254" i="210"/>
  <c r="Q180" i="22"/>
  <c r="O181" i="22"/>
  <c r="Q257" i="229"/>
  <c r="O258" i="229"/>
  <c r="Q228" i="22"/>
  <c r="O229" i="22"/>
  <c r="Q100" i="227"/>
  <c r="O101" i="227"/>
  <c r="Q201" i="228"/>
  <c r="O202" i="228"/>
  <c r="Q177" i="229"/>
  <c r="O178" i="229"/>
  <c r="Q58" i="22"/>
  <c r="O59" i="22"/>
  <c r="Q140" i="23"/>
  <c r="O141" i="23"/>
  <c r="Q58" i="210"/>
  <c r="O59" i="210"/>
  <c r="Q67" i="227"/>
  <c r="O68" i="227"/>
  <c r="Q162" i="229"/>
  <c r="O163" i="229"/>
  <c r="Q261" i="210"/>
  <c r="O262" i="210"/>
  <c r="Q149" i="23"/>
  <c r="O150" i="23"/>
  <c r="Q168" i="228"/>
  <c r="O169" i="228"/>
  <c r="Q208" i="22"/>
  <c r="O209" i="22"/>
  <c r="Q125" i="210"/>
  <c r="O126" i="210"/>
  <c r="Q44" i="227"/>
  <c r="O45" i="227"/>
  <c r="Q245" i="228"/>
  <c r="O246" i="228"/>
  <c r="Q75" i="227"/>
  <c r="O76" i="227"/>
  <c r="Q221" i="22"/>
  <c r="O222" i="22"/>
  <c r="Q57" i="22"/>
  <c r="O58" i="22"/>
  <c r="Q194" i="23"/>
  <c r="O195" i="23"/>
  <c r="Q247" i="210"/>
  <c r="O248" i="210"/>
  <c r="Q190" i="227"/>
  <c r="O191" i="227"/>
  <c r="Q221" i="229"/>
  <c r="O222" i="229"/>
  <c r="Q109" i="23"/>
  <c r="O110" i="23"/>
  <c r="Q174" i="228"/>
  <c r="O175" i="228"/>
  <c r="Q240" i="23"/>
  <c r="O241" i="23"/>
  <c r="Q226" i="228"/>
  <c r="O227" i="228"/>
  <c r="Q69" i="23"/>
  <c r="O70" i="23"/>
  <c r="Q161" i="210"/>
  <c r="O162" i="210"/>
  <c r="Q247" i="229"/>
  <c r="O248" i="229"/>
  <c r="Q117" i="23"/>
  <c r="O118" i="23"/>
  <c r="Q245" i="229"/>
  <c r="O246" i="229"/>
  <c r="Q161" i="22"/>
  <c r="O162" i="22"/>
  <c r="Q92" i="23"/>
  <c r="O93" i="23"/>
  <c r="Q218" i="228"/>
  <c r="O219" i="228"/>
  <c r="Q83" i="229"/>
  <c r="Q84" i="229"/>
  <c r="O85" i="229"/>
  <c r="Q207" i="228"/>
  <c r="O208" i="228"/>
  <c r="Q118" i="22"/>
  <c r="O119" i="22"/>
  <c r="Q159" i="23"/>
  <c r="O160" i="23"/>
  <c r="Q178" i="210"/>
  <c r="O179" i="210"/>
  <c r="Q191" i="210"/>
  <c r="O192" i="210"/>
  <c r="Q228" i="227"/>
  <c r="O229" i="227"/>
  <c r="Q26" i="229"/>
  <c r="Q25" i="229"/>
  <c r="O27" i="229"/>
  <c r="Q141" i="228"/>
  <c r="O142" i="228"/>
  <c r="Q235" i="227"/>
  <c r="O236" i="227"/>
  <c r="Q55" i="228"/>
  <c r="O56" i="228"/>
  <c r="Q155" i="227"/>
  <c r="O156" i="227"/>
  <c r="Q215" i="23"/>
  <c r="O216" i="23"/>
  <c r="Q108" i="229"/>
  <c r="O109" i="229"/>
  <c r="Q112" i="228"/>
  <c r="O113" i="228"/>
  <c r="Q105" i="228"/>
  <c r="O106" i="228"/>
  <c r="Q198" i="228"/>
  <c r="O199" i="228"/>
  <c r="Q239" i="228"/>
  <c r="O240" i="228"/>
  <c r="Q211" i="228"/>
  <c r="O212" i="228"/>
  <c r="J15" i="31"/>
  <c r="K15" i="31"/>
  <c r="M82" i="238"/>
  <c r="L82" i="238"/>
  <c r="L31" i="264"/>
  <c r="L33" i="264"/>
  <c r="Q85" i="228"/>
  <c r="O86" i="228"/>
  <c r="Q68" i="22"/>
  <c r="O69" i="22"/>
  <c r="Q93" i="23"/>
  <c r="O94" i="23"/>
  <c r="Q67" i="23"/>
  <c r="O68" i="23"/>
  <c r="Q101" i="210"/>
  <c r="O102" i="210"/>
  <c r="Q244" i="227"/>
  <c r="O245" i="227"/>
  <c r="Q110" i="229"/>
  <c r="O111" i="229"/>
  <c r="Q212" i="228"/>
  <c r="O213" i="228"/>
  <c r="Q75" i="22"/>
  <c r="O76" i="22"/>
  <c r="Q152" i="23"/>
  <c r="O153" i="23"/>
  <c r="Q190" i="228"/>
  <c r="O191" i="228"/>
  <c r="Q256" i="227"/>
  <c r="O257" i="227"/>
  <c r="Q143" i="22"/>
  <c r="O144" i="22"/>
  <c r="Q132" i="229"/>
  <c r="O133" i="229"/>
  <c r="Q227" i="210"/>
  <c r="O228" i="210"/>
  <c r="Q155" i="228"/>
  <c r="O156" i="228"/>
  <c r="Q189" i="22"/>
  <c r="O190" i="22"/>
  <c r="Q39" i="22"/>
  <c r="O40" i="22"/>
  <c r="Q38" i="22"/>
  <c r="Q131" i="23"/>
  <c r="O132" i="23"/>
  <c r="Q160" i="210"/>
  <c r="O161" i="210"/>
  <c r="Q187" i="227"/>
  <c r="O188" i="227"/>
  <c r="Q184" i="229"/>
  <c r="O185" i="229"/>
  <c r="Q260" i="228"/>
  <c r="O261" i="228"/>
  <c r="Q53" i="210"/>
  <c r="O54" i="210"/>
  <c r="Q145" i="22"/>
  <c r="O146" i="22"/>
  <c r="Q152" i="229"/>
  <c r="O153" i="229"/>
  <c r="Q181" i="22"/>
  <c r="O182" i="22"/>
  <c r="Q217" i="210"/>
  <c r="O218" i="210"/>
  <c r="Q164" i="227"/>
  <c r="O165" i="227"/>
  <c r="Q117" i="210"/>
  <c r="O118" i="210"/>
  <c r="Q101" i="22"/>
  <c r="O102" i="22"/>
  <c r="Q168" i="22"/>
  <c r="O169" i="22"/>
  <c r="Q49" i="23"/>
  <c r="O50" i="23"/>
  <c r="Q231" i="210"/>
  <c r="O232" i="210"/>
  <c r="Q242" i="227"/>
  <c r="O243" i="227"/>
  <c r="Q67" i="229"/>
  <c r="Q68" i="229"/>
  <c r="O69" i="229"/>
  <c r="Q162" i="210"/>
  <c r="O163" i="210"/>
  <c r="Q179" i="228"/>
  <c r="O180" i="228"/>
  <c r="Q201" i="23"/>
  <c r="O202" i="23"/>
  <c r="Q222" i="229"/>
  <c r="O223" i="229"/>
  <c r="Q71" i="229"/>
  <c r="O72" i="229"/>
  <c r="Q184" i="23"/>
  <c r="O185" i="23"/>
  <c r="Q230" i="227"/>
  <c r="O231" i="227"/>
  <c r="Q248" i="229"/>
  <c r="O249" i="229"/>
  <c r="Q206" i="210"/>
  <c r="O207" i="210"/>
  <c r="Q68" i="23"/>
  <c r="O69" i="23"/>
  <c r="Q126" i="227"/>
  <c r="O127" i="227"/>
  <c r="Q94" i="228"/>
  <c r="O95" i="228"/>
  <c r="Q227" i="228"/>
  <c r="O228" i="228"/>
  <c r="Q188" i="228"/>
  <c r="O189" i="228"/>
  <c r="Q142" i="228"/>
  <c r="O143" i="228"/>
  <c r="Q127" i="229"/>
  <c r="O128" i="229"/>
  <c r="Q243" i="22"/>
  <c r="O244" i="22"/>
  <c r="Q220" i="23"/>
  <c r="O221" i="23"/>
  <c r="Q210" i="210"/>
  <c r="O211" i="210"/>
  <c r="Q185" i="210"/>
  <c r="O186" i="210"/>
  <c r="Q88" i="229"/>
  <c r="O89" i="229"/>
  <c r="Q164" i="229"/>
  <c r="O165" i="229"/>
  <c r="Q69" i="228"/>
  <c r="O70" i="228"/>
  <c r="Q46" i="227"/>
  <c r="O47" i="227"/>
  <c r="Q176" i="210"/>
  <c r="O177" i="210"/>
  <c r="Q219" i="23"/>
  <c r="O220" i="23"/>
  <c r="Q154" i="210"/>
  <c r="O155" i="210"/>
  <c r="Q149" i="228"/>
  <c r="O150" i="228"/>
  <c r="Q200" i="23"/>
  <c r="O201" i="23"/>
  <c r="Q143" i="23"/>
  <c r="O144" i="23"/>
  <c r="Q141" i="210"/>
  <c r="O142" i="210"/>
  <c r="Q235" i="210"/>
  <c r="O236" i="210"/>
  <c r="Q151" i="229"/>
  <c r="O152" i="229"/>
  <c r="Q144" i="210"/>
  <c r="O145" i="210"/>
  <c r="Q238" i="22"/>
  <c r="O239" i="22"/>
  <c r="Q148" i="228"/>
  <c r="O149" i="228"/>
  <c r="Q209" i="228"/>
  <c r="O210" i="228"/>
  <c r="Q264" i="23"/>
  <c r="O265" i="23"/>
  <c r="Q239" i="22"/>
  <c r="O240" i="22"/>
  <c r="Q57" i="227"/>
  <c r="O58" i="227"/>
  <c r="Q203" i="210"/>
  <c r="O204" i="210"/>
  <c r="Q65" i="228"/>
  <c r="O66" i="228"/>
  <c r="Q230" i="228"/>
  <c r="O231" i="228"/>
  <c r="Q54" i="22"/>
  <c r="O55" i="22"/>
  <c r="Q192" i="23"/>
  <c r="O193" i="23"/>
  <c r="Q205" i="23"/>
  <c r="O206" i="23"/>
  <c r="Q62" i="210"/>
  <c r="O63" i="210"/>
  <c r="Q175" i="229"/>
  <c r="O176" i="229"/>
  <c r="Q165" i="229"/>
  <c r="O166" i="229"/>
  <c r="Q100" i="23"/>
  <c r="O101" i="23"/>
  <c r="Q262" i="22"/>
  <c r="O263" i="22"/>
  <c r="Q124" i="229"/>
  <c r="O125" i="229"/>
  <c r="Q148" i="22"/>
  <c r="O149" i="22"/>
  <c r="Q129" i="210"/>
  <c r="O130" i="210"/>
  <c r="Q265" i="229"/>
  <c r="O266" i="229"/>
  <c r="Q169" i="210"/>
  <c r="O170" i="210"/>
  <c r="Q233" i="228"/>
  <c r="O234" i="228"/>
  <c r="Q170" i="228"/>
  <c r="O171" i="228"/>
  <c r="Q140" i="228"/>
  <c r="O141" i="228"/>
  <c r="Q247" i="228"/>
  <c r="O248" i="228"/>
  <c r="Q102" i="22"/>
  <c r="O103" i="22"/>
  <c r="Q170" i="23"/>
  <c r="O171" i="23"/>
  <c r="Q164" i="210"/>
  <c r="O165" i="210"/>
  <c r="Q96" i="227"/>
  <c r="O97" i="227"/>
  <c r="Q197" i="229"/>
  <c r="O198" i="229"/>
  <c r="Q83" i="22"/>
  <c r="O84" i="22"/>
  <c r="Q252" i="228"/>
  <c r="O253" i="228"/>
  <c r="Q160" i="23"/>
  <c r="O161" i="23"/>
  <c r="Q193" i="22"/>
  <c r="O194" i="22"/>
  <c r="Q203" i="23"/>
  <c r="O204" i="23"/>
  <c r="Q56" i="227"/>
  <c r="O57" i="227"/>
  <c r="Q121" i="229"/>
  <c r="O122" i="229"/>
  <c r="Q127" i="23"/>
  <c r="O128" i="23"/>
  <c r="Q183" i="229"/>
  <c r="O184" i="229"/>
  <c r="Q133" i="227"/>
  <c r="O134" i="227"/>
  <c r="Q235" i="229"/>
  <c r="O236" i="229"/>
  <c r="Q180" i="210"/>
  <c r="O181" i="210"/>
  <c r="Q64" i="228"/>
  <c r="O65" i="228"/>
  <c r="Q100" i="228"/>
  <c r="O101" i="228"/>
  <c r="Q176" i="22"/>
  <c r="O177" i="22"/>
  <c r="Q208" i="23"/>
  <c r="O209" i="23"/>
  <c r="Q99" i="23"/>
  <c r="O100" i="23"/>
  <c r="Q85" i="210"/>
  <c r="O86" i="210"/>
  <c r="Q59" i="227"/>
  <c r="O60" i="227"/>
  <c r="Q119" i="229"/>
  <c r="O120" i="229"/>
  <c r="Q194" i="210"/>
  <c r="O195" i="210"/>
  <c r="Q207" i="210"/>
  <c r="O208" i="210"/>
  <c r="Q253" i="228"/>
  <c r="O254" i="228"/>
  <c r="Q82" i="22"/>
  <c r="O83" i="22"/>
  <c r="Q130" i="227"/>
  <c r="O131" i="227"/>
  <c r="Q167" i="229"/>
  <c r="O168" i="229"/>
  <c r="Q81" i="228"/>
  <c r="O82" i="228"/>
  <c r="N99" i="237"/>
  <c r="K133" i="252" s="1"/>
  <c r="Q249" i="228"/>
  <c r="O250" i="228"/>
  <c r="Q150" i="228"/>
  <c r="O151" i="228"/>
  <c r="Q102" i="23"/>
  <c r="O103" i="23"/>
  <c r="Q202" i="23"/>
  <c r="O203" i="23"/>
  <c r="Q173" i="210"/>
  <c r="O174" i="210"/>
  <c r="Q199" i="210"/>
  <c r="O200" i="210"/>
  <c r="Q200" i="229"/>
  <c r="O201" i="229"/>
  <c r="Q179" i="229"/>
  <c r="O180" i="229"/>
  <c r="Q216" i="210"/>
  <c r="O217" i="210"/>
  <c r="Q132" i="23"/>
  <c r="O133" i="23"/>
  <c r="Q206" i="22"/>
  <c r="O207" i="22"/>
  <c r="Q70" i="229"/>
  <c r="O71" i="229"/>
  <c r="Q60" i="228"/>
  <c r="O61" i="228"/>
  <c r="Q77" i="23"/>
  <c r="O78" i="23"/>
  <c r="Q144" i="228"/>
  <c r="O145" i="228"/>
  <c r="Q144" i="22"/>
  <c r="O145" i="22"/>
  <c r="Q186" i="23"/>
  <c r="O187" i="23"/>
  <c r="Q148" i="210"/>
  <c r="O149" i="210"/>
  <c r="Q109" i="210"/>
  <c r="O110" i="210"/>
  <c r="Q204" i="229"/>
  <c r="O205" i="229"/>
  <c r="Q125" i="229"/>
  <c r="O126" i="229"/>
  <c r="Q216" i="23"/>
  <c r="O217" i="23"/>
  <c r="Q153" i="22"/>
  <c r="O154" i="22"/>
  <c r="Q251" i="227"/>
  <c r="O252" i="227"/>
  <c r="Q194" i="228"/>
  <c r="O195" i="228"/>
  <c r="Q256" i="23"/>
  <c r="O257" i="23"/>
  <c r="Q219" i="227"/>
  <c r="O220" i="227"/>
  <c r="Q263" i="229"/>
  <c r="O264" i="229"/>
  <c r="Q235" i="23"/>
  <c r="O236" i="23"/>
  <c r="Q183" i="228"/>
  <c r="O184" i="228"/>
  <c r="Q106" i="228"/>
  <c r="O107" i="228"/>
  <c r="Q105" i="22"/>
  <c r="O106" i="22"/>
  <c r="Q79" i="23"/>
  <c r="O80" i="23"/>
  <c r="Q208" i="210"/>
  <c r="O209" i="210"/>
  <c r="Q78" i="227"/>
  <c r="O79" i="227"/>
  <c r="Q176" i="229"/>
  <c r="O177" i="229"/>
  <c r="Q157" i="23"/>
  <c r="O158" i="23"/>
  <c r="Q56" i="228"/>
  <c r="O57" i="228"/>
  <c r="Q91" i="22"/>
  <c r="O92" i="22"/>
  <c r="Q115" i="229"/>
  <c r="O116" i="229"/>
  <c r="Q225" i="228"/>
  <c r="O226" i="228"/>
  <c r="Q236" i="22"/>
  <c r="O237" i="22"/>
  <c r="Q226" i="23"/>
  <c r="O227" i="23"/>
  <c r="Q54" i="227"/>
  <c r="O55" i="227"/>
  <c r="Q212" i="23"/>
  <c r="O213" i="23"/>
  <c r="Q209" i="210"/>
  <c r="O210" i="210"/>
  <c r="Q128" i="229"/>
  <c r="O129" i="229"/>
  <c r="Q133" i="228"/>
  <c r="O134" i="228"/>
  <c r="Q102" i="228"/>
  <c r="O103" i="228"/>
  <c r="Q146" i="22"/>
  <c r="O147" i="22"/>
  <c r="Q218" i="23"/>
  <c r="O219" i="23"/>
  <c r="Q81" i="23"/>
  <c r="O82" i="23"/>
  <c r="Q163" i="210"/>
  <c r="O164" i="210"/>
  <c r="Q215" i="227"/>
  <c r="O216" i="227"/>
  <c r="Q113" i="229"/>
  <c r="O114" i="229"/>
  <c r="Q130" i="228"/>
  <c r="O131" i="228"/>
  <c r="Q212" i="210"/>
  <c r="O213" i="210"/>
  <c r="Q72" i="23"/>
  <c r="O73" i="23"/>
  <c r="Q123" i="22"/>
  <c r="O124" i="22"/>
  <c r="Q172" i="227"/>
  <c r="O173" i="227"/>
  <c r="Q160" i="228"/>
  <c r="O161" i="228"/>
  <c r="Q213" i="210"/>
  <c r="O214" i="210"/>
  <c r="Q182" i="228"/>
  <c r="O183" i="228"/>
  <c r="Q78" i="228"/>
  <c r="O79" i="228"/>
  <c r="Q123" i="23"/>
  <c r="O124" i="23"/>
  <c r="Q156" i="210"/>
  <c r="O157" i="210"/>
  <c r="Q145" i="210"/>
  <c r="O146" i="210"/>
  <c r="Q246" i="229"/>
  <c r="O247" i="229"/>
  <c r="Q231" i="229"/>
  <c r="O232" i="229"/>
  <c r="Q239" i="229"/>
  <c r="O240" i="229"/>
  <c r="Q242" i="22"/>
  <c r="O243" i="22"/>
  <c r="Q80" i="228"/>
  <c r="O81" i="228"/>
  <c r="Q110" i="210"/>
  <c r="O111" i="210"/>
  <c r="Q41" i="23"/>
  <c r="O42" i="23"/>
  <c r="Q257" i="228"/>
  <c r="O258" i="228"/>
  <c r="Q172" i="22"/>
  <c r="O173" i="22"/>
  <c r="Q119" i="23"/>
  <c r="O120" i="23"/>
  <c r="Q227" i="23"/>
  <c r="O228" i="23"/>
  <c r="Q255" i="210"/>
  <c r="O256" i="210"/>
  <c r="Q204" i="227"/>
  <c r="O205" i="227"/>
  <c r="Q244" i="229"/>
  <c r="O245" i="229"/>
  <c r="Q112" i="22"/>
  <c r="O113" i="22"/>
  <c r="Q215" i="22"/>
  <c r="O216" i="22"/>
  <c r="Q237" i="227"/>
  <c r="O238" i="227"/>
  <c r="Q221" i="228"/>
  <c r="O222" i="228"/>
  <c r="Q244" i="23"/>
  <c r="O245" i="23"/>
  <c r="Q182" i="227"/>
  <c r="O183" i="227"/>
  <c r="Q193" i="229"/>
  <c r="O194" i="229"/>
  <c r="Q198" i="23"/>
  <c r="O199" i="23"/>
  <c r="Q81" i="22"/>
  <c r="O82" i="22"/>
  <c r="Q155" i="23"/>
  <c r="O156" i="23"/>
  <c r="Q243" i="23"/>
  <c r="O244" i="23"/>
  <c r="Q171" i="210"/>
  <c r="O172" i="210"/>
  <c r="Q196" i="227"/>
  <c r="O197" i="227"/>
  <c r="Q75" i="229"/>
  <c r="Q76" i="229"/>
  <c r="O77" i="229"/>
  <c r="Q243" i="228"/>
  <c r="O244" i="228"/>
  <c r="Q133" i="229"/>
  <c r="O134" i="229"/>
  <c r="Q121" i="228"/>
  <c r="O122" i="228"/>
  <c r="Q216" i="22"/>
  <c r="O217" i="22"/>
  <c r="Q53" i="229"/>
  <c r="O54" i="229"/>
  <c r="Q137" i="228"/>
  <c r="O138" i="228"/>
  <c r="Q182" i="22"/>
  <c r="O183" i="22"/>
  <c r="Q170" i="210"/>
  <c r="O171" i="210"/>
  <c r="Q249" i="227"/>
  <c r="O250" i="227"/>
  <c r="Q150" i="22"/>
  <c r="O151" i="22"/>
  <c r="Q84" i="227"/>
  <c r="O85" i="227"/>
  <c r="Q180" i="229"/>
  <c r="O181" i="229"/>
  <c r="Q186" i="228"/>
  <c r="O187" i="228"/>
  <c r="Q180" i="228"/>
  <c r="O181" i="228"/>
  <c r="Q76" i="228"/>
  <c r="O77" i="228"/>
  <c r="Q138" i="22"/>
  <c r="O139" i="22"/>
  <c r="Q161" i="23"/>
  <c r="O162" i="23"/>
  <c r="Q65" i="23"/>
  <c r="O66" i="23"/>
  <c r="Q197" i="210"/>
  <c r="O198" i="210"/>
  <c r="Q94" i="227"/>
  <c r="O95" i="227"/>
  <c r="Q264" i="229"/>
  <c r="O265" i="229"/>
  <c r="Q253" i="23"/>
  <c r="O254" i="23"/>
  <c r="Q161" i="229"/>
  <c r="O162" i="229"/>
  <c r="Q228" i="23"/>
  <c r="O229" i="23"/>
  <c r="Q232" i="22"/>
  <c r="O233" i="22"/>
  <c r="Q104" i="210"/>
  <c r="O105" i="210"/>
  <c r="Q223" i="23"/>
  <c r="O224" i="23"/>
  <c r="Q79" i="228"/>
  <c r="O80" i="228"/>
  <c r="Q35" i="228"/>
  <c r="O36" i="228"/>
  <c r="Q189" i="228"/>
  <c r="O190" i="228"/>
  <c r="I65" i="232"/>
  <c r="F30" i="238"/>
  <c r="N31" i="238"/>
  <c r="Q31" i="238"/>
  <c r="F31" i="238"/>
  <c r="J21" i="31"/>
  <c r="D39" i="31" s="1"/>
  <c r="H39" i="31" s="1"/>
  <c r="K21" i="31"/>
  <c r="Q250" i="228"/>
  <c r="O251" i="228"/>
  <c r="Q29" i="228"/>
  <c r="O30" i="228"/>
  <c r="S171" i="228"/>
  <c r="P166" i="228"/>
  <c r="Q104" i="228"/>
  <c r="O105" i="228"/>
  <c r="Q159" i="228"/>
  <c r="O160" i="228"/>
  <c r="Q173" i="228"/>
  <c r="O174" i="228"/>
  <c r="Q58" i="228"/>
  <c r="O59" i="228"/>
  <c r="Q132" i="22"/>
  <c r="O133" i="22"/>
  <c r="P36" i="14"/>
  <c r="L65" i="240"/>
  <c r="L56" i="240" s="1"/>
  <c r="L60" i="240" s="1"/>
  <c r="J53" i="264"/>
  <c r="I31" i="238"/>
  <c r="I82" i="238"/>
  <c r="C34" i="265"/>
  <c r="C29" i="265"/>
  <c r="G37" i="241"/>
  <c r="E29" i="265" s="1"/>
  <c r="J33" i="238"/>
  <c r="H31" i="238"/>
  <c r="Q248" i="210"/>
  <c r="O249" i="210"/>
  <c r="Q216" i="228"/>
  <c r="O217" i="228"/>
  <c r="Q259" i="228"/>
  <c r="O260" i="228"/>
  <c r="Q226" i="22"/>
  <c r="O227" i="22"/>
  <c r="Q112" i="23"/>
  <c r="O113" i="23"/>
  <c r="Q182" i="210"/>
  <c r="O183" i="210"/>
  <c r="Q226" i="210"/>
  <c r="O227" i="210"/>
  <c r="Q247" i="227"/>
  <c r="O248" i="227"/>
  <c r="Q143" i="229"/>
  <c r="O144" i="229"/>
  <c r="Q156" i="229"/>
  <c r="O157" i="229"/>
  <c r="Q214" i="22"/>
  <c r="O215" i="22"/>
  <c r="Q240" i="228"/>
  <c r="O241" i="228"/>
  <c r="S217" i="22"/>
  <c r="Q243" i="210"/>
  <c r="O244" i="210"/>
  <c r="Q231" i="22"/>
  <c r="O232" i="22"/>
  <c r="Q237" i="229"/>
  <c r="O238" i="229"/>
  <c r="Q126" i="228"/>
  <c r="O127" i="228"/>
  <c r="Q101" i="228"/>
  <c r="O102" i="228"/>
  <c r="Q142" i="22"/>
  <c r="O143" i="22"/>
  <c r="Q139" i="23"/>
  <c r="O140" i="23"/>
  <c r="Q258" i="23"/>
  <c r="O259" i="23"/>
  <c r="Q121" i="210"/>
  <c r="O122" i="210"/>
  <c r="Q79" i="227"/>
  <c r="O80" i="227"/>
  <c r="Q116" i="229"/>
  <c r="O117" i="229"/>
  <c r="Q244" i="22"/>
  <c r="O245" i="22"/>
  <c r="Q242" i="210"/>
  <c r="O243" i="210"/>
  <c r="Q185" i="22"/>
  <c r="O186" i="22"/>
  <c r="Q232" i="23"/>
  <c r="O233" i="23"/>
  <c r="Q127" i="227"/>
  <c r="O128" i="227"/>
  <c r="Q140" i="229"/>
  <c r="O141" i="229"/>
  <c r="Q170" i="22"/>
  <c r="O171" i="22"/>
  <c r="Q167" i="22"/>
  <c r="O168" i="22"/>
  <c r="Q181" i="228"/>
  <c r="O182" i="228"/>
  <c r="Q203" i="22"/>
  <c r="O204" i="22"/>
  <c r="Q185" i="23"/>
  <c r="O186" i="23"/>
  <c r="Q112" i="210"/>
  <c r="O113" i="210"/>
  <c r="Q158" i="210"/>
  <c r="O159" i="210"/>
  <c r="Q213" i="229"/>
  <c r="O214" i="229"/>
  <c r="Q136" i="229"/>
  <c r="O137" i="229"/>
  <c r="Q263" i="228"/>
  <c r="O264" i="228"/>
  <c r="Q29" i="229"/>
  <c r="O30" i="229"/>
  <c r="Q165" i="228"/>
  <c r="O166" i="228"/>
  <c r="Q241" i="210"/>
  <c r="O242" i="210"/>
  <c r="Q255" i="228"/>
  <c r="O256" i="228"/>
  <c r="Q198" i="22"/>
  <c r="O199" i="22"/>
  <c r="Q224" i="210"/>
  <c r="O225" i="210"/>
  <c r="Q98" i="227"/>
  <c r="O99" i="227"/>
  <c r="Q89" i="22"/>
  <c r="O90" i="22"/>
  <c r="Q209" i="229"/>
  <c r="O210" i="229"/>
  <c r="Q235" i="22"/>
  <c r="O236" i="22"/>
  <c r="Q217" i="23"/>
  <c r="O218" i="23"/>
  <c r="Q53" i="228"/>
  <c r="O54" i="228"/>
  <c r="Q114" i="228"/>
  <c r="O115" i="228"/>
  <c r="Q193" i="228"/>
  <c r="O194" i="228"/>
  <c r="Q174" i="22"/>
  <c r="O175" i="22"/>
  <c r="Q107" i="23"/>
  <c r="O108" i="23"/>
  <c r="Q252" i="23"/>
  <c r="O253" i="23"/>
  <c r="Q221" i="210"/>
  <c r="O222" i="210"/>
  <c r="Q117" i="227"/>
  <c r="O118" i="227"/>
  <c r="Q205" i="229"/>
  <c r="O206" i="229"/>
  <c r="Q167" i="228"/>
  <c r="O168" i="228"/>
  <c r="Q168" i="23"/>
  <c r="O169" i="23"/>
  <c r="Q100" i="229"/>
  <c r="O101" i="229"/>
  <c r="Q259" i="22"/>
  <c r="O260" i="22"/>
  <c r="Q214" i="229"/>
  <c r="O215" i="229"/>
  <c r="Q143" i="228"/>
  <c r="O144" i="228"/>
  <c r="Q246" i="210"/>
  <c r="O247" i="210"/>
  <c r="Q187" i="22"/>
  <c r="O188" i="22"/>
  <c r="Q151" i="228"/>
  <c r="O152" i="228"/>
  <c r="Q199" i="22"/>
  <c r="O200" i="22"/>
  <c r="Q84" i="228"/>
  <c r="O85" i="228"/>
  <c r="Q64" i="236"/>
  <c r="E17" i="216"/>
  <c r="E21" i="216" s="1"/>
  <c r="F28" i="276"/>
  <c r="F153" i="10"/>
  <c r="J63" i="249"/>
  <c r="Q204" i="228"/>
  <c r="O205" i="228"/>
  <c r="Q118" i="228"/>
  <c r="O119" i="228"/>
  <c r="Q157" i="228"/>
  <c r="O158" i="228"/>
  <c r="N36" i="236"/>
  <c r="E33" i="1"/>
  <c r="F31" i="1"/>
  <c r="J31" i="238"/>
  <c r="D67" i="264"/>
  <c r="D64" i="264"/>
  <c r="H17" i="238"/>
  <c r="I18" i="238"/>
  <c r="J19" i="238"/>
  <c r="G24" i="241"/>
  <c r="E20" i="265" s="1"/>
  <c r="F34" i="1"/>
  <c r="Q167" i="227"/>
  <c r="O168" i="227"/>
  <c r="Q124" i="210"/>
  <c r="O125" i="210"/>
  <c r="Q44" i="228"/>
  <c r="O45" i="228"/>
  <c r="Q43" i="228"/>
  <c r="Q110" i="23"/>
  <c r="O111" i="23"/>
  <c r="Q92" i="22"/>
  <c r="O93" i="22"/>
  <c r="P106" i="10"/>
  <c r="G106" i="10"/>
  <c r="J106" i="10"/>
  <c r="F106" i="10"/>
  <c r="H106" i="10"/>
  <c r="E106" i="10"/>
  <c r="O106" i="10"/>
  <c r="M106" i="10"/>
  <c r="K106" i="10"/>
  <c r="N106" i="10"/>
  <c r="I106" i="10"/>
  <c r="L106" i="10"/>
  <c r="Q241" i="228"/>
  <c r="O242" i="228"/>
  <c r="Q172" i="228"/>
  <c r="O173" i="228"/>
  <c r="Q208" i="228"/>
  <c r="O209" i="228"/>
  <c r="Q56" i="22"/>
  <c r="O57" i="22"/>
  <c r="Q60" i="22"/>
  <c r="O61" i="22"/>
  <c r="Q179" i="23"/>
  <c r="O180" i="23"/>
  <c r="Q214" i="210"/>
  <c r="O215" i="210"/>
  <c r="Q60" i="227"/>
  <c r="O61" i="227"/>
  <c r="Q147" i="229"/>
  <c r="O148" i="229"/>
  <c r="Q260" i="227"/>
  <c r="O261" i="227"/>
  <c r="Q81" i="227"/>
  <c r="O82" i="227"/>
  <c r="Q188" i="23"/>
  <c r="O189" i="23"/>
  <c r="Q113" i="23"/>
  <c r="O114" i="23"/>
  <c r="Q185" i="229"/>
  <c r="O186" i="229"/>
  <c r="Q92" i="228"/>
  <c r="O93" i="228"/>
  <c r="Q176" i="228"/>
  <c r="O177" i="228"/>
  <c r="Q74" i="228"/>
  <c r="O75" i="228"/>
  <c r="Q135" i="22"/>
  <c r="O136" i="22"/>
  <c r="Q104" i="22"/>
  <c r="O105" i="22"/>
  <c r="Q247" i="23"/>
  <c r="O248" i="23"/>
  <c r="Q230" i="210"/>
  <c r="O231" i="210"/>
  <c r="Q211" i="229"/>
  <c r="O212" i="229"/>
  <c r="Q253" i="22"/>
  <c r="O254" i="22"/>
  <c r="Q213" i="228"/>
  <c r="O214" i="228"/>
  <c r="Q263" i="210"/>
  <c r="O264" i="210"/>
  <c r="Q66" i="22"/>
  <c r="O67" i="22"/>
  <c r="Q116" i="23"/>
  <c r="O117" i="23"/>
  <c r="Q123" i="227"/>
  <c r="O124" i="227"/>
  <c r="Q64" i="229"/>
  <c r="O65" i="229"/>
  <c r="Q134" i="22"/>
  <c r="O135" i="22"/>
  <c r="Q43" i="22"/>
  <c r="O44" i="22"/>
  <c r="Q42" i="22"/>
  <c r="Q151" i="22"/>
  <c r="O152" i="22"/>
  <c r="Q207" i="22"/>
  <c r="O208" i="22"/>
  <c r="Q178" i="23"/>
  <c r="O179" i="23"/>
  <c r="Q89" i="210"/>
  <c r="O90" i="210"/>
  <c r="Q188" i="227"/>
  <c r="O189" i="227"/>
  <c r="Q109" i="229"/>
  <c r="O110" i="229"/>
  <c r="Q239" i="210"/>
  <c r="O240" i="210"/>
  <c r="Q39" i="227"/>
  <c r="O40" i="227"/>
  <c r="Q125" i="228"/>
  <c r="O126" i="228"/>
  <c r="Q225" i="23"/>
  <c r="O226" i="23"/>
  <c r="Q237" i="210"/>
  <c r="O238" i="210"/>
  <c r="Q114" i="229"/>
  <c r="O115" i="229"/>
  <c r="Q152" i="228"/>
  <c r="O153" i="228"/>
  <c r="Q68" i="210"/>
  <c r="O69" i="210"/>
  <c r="Q136" i="23"/>
  <c r="O137" i="23"/>
  <c r="Q250" i="210"/>
  <c r="O251" i="210"/>
  <c r="Q59" i="228"/>
  <c r="O60" i="228"/>
  <c r="Q115" i="23"/>
  <c r="O116" i="23"/>
  <c r="Q71" i="228"/>
  <c r="O72" i="228"/>
  <c r="Q64" i="22"/>
  <c r="O65" i="22"/>
  <c r="Q258" i="22"/>
  <c r="O259" i="22"/>
  <c r="Q71" i="23"/>
  <c r="O72" i="23"/>
  <c r="Q236" i="210"/>
  <c r="O237" i="210"/>
  <c r="Q264" i="227"/>
  <c r="O265" i="227"/>
  <c r="Q218" i="229"/>
  <c r="O219" i="229"/>
  <c r="Q138" i="228"/>
  <c r="O139" i="228"/>
  <c r="Q240" i="22"/>
  <c r="O241" i="22"/>
  <c r="Q219" i="229"/>
  <c r="O220" i="229"/>
  <c r="Q63" i="22"/>
  <c r="O64" i="22"/>
  <c r="Q205" i="228"/>
  <c r="O206" i="228"/>
  <c r="Q146" i="210"/>
  <c r="O147" i="210"/>
  <c r="Q240" i="229"/>
  <c r="O241" i="229"/>
  <c r="Q55" i="229"/>
  <c r="O56" i="229"/>
  <c r="Q86" i="228"/>
  <c r="O87" i="228"/>
  <c r="L28" i="276"/>
  <c r="L153" i="10"/>
  <c r="Q109" i="228"/>
  <c r="O110" i="228"/>
  <c r="Q186" i="22"/>
  <c r="O187" i="22"/>
  <c r="AI26" i="231"/>
  <c r="AK26" i="231" s="1"/>
  <c r="AK23" i="231"/>
  <c r="AL23" i="231" s="1"/>
  <c r="K28" i="276"/>
  <c r="E170" i="10"/>
  <c r="S240" i="228"/>
  <c r="P235" i="228"/>
  <c r="Q210" i="228"/>
  <c r="O211" i="228"/>
  <c r="Q113" i="228"/>
  <c r="O114" i="228"/>
  <c r="Q232" i="228"/>
  <c r="O233" i="228"/>
  <c r="Q217" i="228"/>
  <c r="O218" i="228"/>
  <c r="Q63" i="228"/>
  <c r="O64" i="228"/>
  <c r="S137" i="228"/>
  <c r="P132" i="228"/>
  <c r="Q214" i="228"/>
  <c r="O215" i="228"/>
  <c r="Q211" i="22"/>
  <c r="O212" i="22"/>
  <c r="N80" i="263"/>
  <c r="G33" i="1"/>
  <c r="J17" i="31"/>
  <c r="D35" i="31" s="1"/>
  <c r="K17" i="31"/>
  <c r="H34" i="265"/>
  <c r="H29" i="265"/>
  <c r="D65" i="264"/>
  <c r="I31" i="1"/>
  <c r="P17" i="238"/>
  <c r="Q18" i="238"/>
  <c r="Q80" i="210"/>
  <c r="O81" i="210"/>
  <c r="C157" i="10"/>
  <c r="C63" i="249"/>
  <c r="Q184" i="227"/>
  <c r="O185" i="227"/>
  <c r="Q99" i="229"/>
  <c r="O100" i="229"/>
  <c r="Q176" i="227"/>
  <c r="O177" i="227"/>
  <c r="Q139" i="210"/>
  <c r="O140" i="210"/>
  <c r="Q91" i="210"/>
  <c r="O92" i="210"/>
  <c r="Q81" i="10"/>
  <c r="R81" i="10" s="1"/>
  <c r="Q196" i="22"/>
  <c r="O197" i="22"/>
  <c r="Q246" i="23"/>
  <c r="O247" i="23"/>
  <c r="S221" i="210"/>
  <c r="Q101" i="227"/>
  <c r="O102" i="227"/>
  <c r="Q200" i="210"/>
  <c r="O201" i="210"/>
  <c r="Q215" i="210"/>
  <c r="O216" i="210"/>
  <c r="Q158" i="227"/>
  <c r="O159" i="227"/>
  <c r="Q114" i="227"/>
  <c r="O115" i="227"/>
  <c r="Q97" i="23"/>
  <c r="O98" i="23"/>
  <c r="Q225" i="22"/>
  <c r="O226" i="22"/>
  <c r="Q148" i="227"/>
  <c r="O149" i="227"/>
  <c r="Q156" i="228"/>
  <c r="O157" i="228"/>
  <c r="Q76" i="22"/>
  <c r="O77" i="22"/>
  <c r="Q190" i="23"/>
  <c r="O191" i="23"/>
  <c r="Q262" i="210"/>
  <c r="O263" i="210"/>
  <c r="Q220" i="227"/>
  <c r="O221" i="227"/>
  <c r="Q145" i="229"/>
  <c r="O146" i="229"/>
  <c r="Q129" i="22"/>
  <c r="O130" i="22"/>
  <c r="Q153" i="229"/>
  <c r="O154" i="229"/>
  <c r="Q144" i="23"/>
  <c r="O145" i="23"/>
  <c r="Q171" i="228"/>
  <c r="O172" i="228"/>
  <c r="Q202" i="22"/>
  <c r="O203" i="22"/>
  <c r="O184" i="210"/>
  <c r="Q97" i="227"/>
  <c r="O98" i="227"/>
  <c r="Q161" i="227"/>
  <c r="O162" i="227"/>
  <c r="Q248" i="228"/>
  <c r="O249" i="228"/>
  <c r="Q187" i="228"/>
  <c r="O188" i="228"/>
  <c r="Q205" i="22"/>
  <c r="O206" i="22"/>
  <c r="Q221" i="23"/>
  <c r="O222" i="23"/>
  <c r="Q156" i="23"/>
  <c r="O157" i="23"/>
  <c r="Q135" i="210"/>
  <c r="O136" i="210"/>
  <c r="Q212" i="227"/>
  <c r="O213" i="227"/>
  <c r="Q158" i="229"/>
  <c r="O159" i="229"/>
  <c r="Q220" i="228"/>
  <c r="O221" i="228"/>
  <c r="Q98" i="228"/>
  <c r="O99" i="228"/>
  <c r="Q207" i="23"/>
  <c r="O208" i="23"/>
  <c r="Q164" i="22"/>
  <c r="O165" i="22"/>
  <c r="Q70" i="23"/>
  <c r="O71" i="23"/>
  <c r="Q67" i="210"/>
  <c r="O68" i="210"/>
  <c r="Q255" i="229"/>
  <c r="O256" i="229"/>
  <c r="Q173" i="23"/>
  <c r="O174" i="23"/>
  <c r="Q225" i="210"/>
  <c r="O226" i="210"/>
  <c r="Q59" i="210"/>
  <c r="O60" i="210"/>
  <c r="Q97" i="228"/>
  <c r="O98" i="228"/>
  <c r="Q234" i="229"/>
  <c r="O235" i="229"/>
  <c r="Q90" i="228"/>
  <c r="O91" i="228"/>
  <c r="Q129" i="228"/>
  <c r="O130" i="228"/>
  <c r="Q257" i="22"/>
  <c r="O258" i="22"/>
  <c r="Q212" i="22"/>
  <c r="O213" i="22"/>
  <c r="Q167" i="23"/>
  <c r="O168" i="23"/>
  <c r="Q152" i="210"/>
  <c r="O153" i="210"/>
  <c r="O145" i="227"/>
  <c r="Q236" i="229"/>
  <c r="O237" i="229"/>
  <c r="Q246" i="22"/>
  <c r="O247" i="22"/>
  <c r="Q189" i="229"/>
  <c r="O190" i="229"/>
  <c r="Q120" i="228"/>
  <c r="O121" i="228"/>
  <c r="Q198" i="227"/>
  <c r="O199" i="227"/>
  <c r="Q113" i="22"/>
  <c r="O114" i="22"/>
  <c r="Q250" i="23"/>
  <c r="O251" i="23"/>
  <c r="Q54" i="229"/>
  <c r="O55" i="229"/>
  <c r="Q103" i="228"/>
  <c r="O104" i="228"/>
  <c r="X24" i="266"/>
  <c r="T104" i="10" s="1"/>
  <c r="S104" i="10" s="1"/>
  <c r="Q127" i="22"/>
  <c r="O128" i="22"/>
  <c r="Q229" i="210"/>
  <c r="O230" i="210"/>
  <c r="J34" i="1"/>
  <c r="BA18" i="231"/>
  <c r="BB18" i="231" s="1"/>
  <c r="D34" i="1"/>
  <c r="I84" i="217"/>
  <c r="AA23" i="231" s="1"/>
  <c r="AA26" i="231" s="1"/>
  <c r="S144" i="23"/>
  <c r="K26" i="238"/>
  <c r="J24" i="241" s="1"/>
  <c r="L69" i="10"/>
  <c r="C64" i="252"/>
  <c r="O158" i="10"/>
  <c r="G80" i="263"/>
  <c r="J97" i="214"/>
  <c r="G18" i="1" s="1"/>
  <c r="O71" i="217"/>
  <c r="O78" i="236"/>
  <c r="E36" i="1"/>
  <c r="O38" i="217"/>
  <c r="M54" i="238"/>
  <c r="O66" i="262"/>
  <c r="Q130" i="229"/>
  <c r="O131" i="229"/>
  <c r="Q114" i="23"/>
  <c r="O115" i="23"/>
  <c r="Q87" i="229"/>
  <c r="O88" i="229"/>
  <c r="Q105" i="229"/>
  <c r="O106" i="229"/>
  <c r="Q33" i="22"/>
  <c r="O34" i="22"/>
  <c r="Q175" i="22"/>
  <c r="O176" i="22"/>
  <c r="Q37" i="210"/>
  <c r="O38" i="210"/>
  <c r="Q25" i="210"/>
  <c r="Q26" i="210"/>
  <c r="O27" i="210"/>
  <c r="G103" i="10"/>
  <c r="I103" i="10"/>
  <c r="I112" i="10" s="1"/>
  <c r="M103" i="10"/>
  <c r="K103" i="10"/>
  <c r="K112" i="10" s="1"/>
  <c r="O103" i="10"/>
  <c r="O112" i="10" s="1"/>
  <c r="H103" i="10"/>
  <c r="L103" i="10"/>
  <c r="P103" i="10"/>
  <c r="N103" i="10"/>
  <c r="F103" i="10"/>
  <c r="F112" i="10" s="1"/>
  <c r="J103" i="10"/>
  <c r="E103" i="10"/>
  <c r="C77" i="276"/>
  <c r="C28" i="220"/>
  <c r="C29" i="220" s="1"/>
  <c r="C77" i="16"/>
  <c r="C77" i="220"/>
  <c r="C141" i="10"/>
  <c r="Q185" i="227"/>
  <c r="O186" i="227"/>
  <c r="Q50" i="228"/>
  <c r="O51" i="228"/>
  <c r="Q189" i="227"/>
  <c r="O190" i="227"/>
  <c r="Q111" i="22"/>
  <c r="O112" i="22"/>
  <c r="Q138" i="210"/>
  <c r="O139" i="210"/>
  <c r="Q32" i="228"/>
  <c r="O33" i="228"/>
  <c r="Q45" i="23"/>
  <c r="O46" i="23"/>
  <c r="P145" i="227"/>
  <c r="P139" i="229"/>
  <c r="Q138" i="229" s="1"/>
  <c r="Q213" i="227"/>
  <c r="O214" i="227"/>
  <c r="E87" i="10"/>
  <c r="Q75" i="10"/>
  <c r="Q74" i="229"/>
  <c r="O75" i="229"/>
  <c r="Q123" i="228"/>
  <c r="O124" i="228"/>
  <c r="Q193" i="227"/>
  <c r="O194" i="227"/>
  <c r="Q137" i="22"/>
  <c r="O138" i="22"/>
  <c r="Q227" i="227"/>
  <c r="O228" i="227"/>
  <c r="Q70" i="227"/>
  <c r="O71" i="227"/>
  <c r="Q126" i="22"/>
  <c r="O127" i="22"/>
  <c r="Q37" i="227"/>
  <c r="O38" i="227"/>
  <c r="Q44" i="229"/>
  <c r="O45" i="229"/>
  <c r="Q158" i="23"/>
  <c r="O159" i="23"/>
  <c r="Q104" i="227"/>
  <c r="O105" i="227"/>
  <c r="Q92" i="227"/>
  <c r="O93" i="227"/>
  <c r="Q42" i="210"/>
  <c r="O43" i="210"/>
  <c r="Q85" i="10"/>
  <c r="R85" i="10" s="1"/>
  <c r="Q220" i="229"/>
  <c r="O221" i="229"/>
  <c r="Q122" i="227"/>
  <c r="O123" i="227"/>
  <c r="Q36" i="23"/>
  <c r="O37" i="23"/>
  <c r="Q106" i="227"/>
  <c r="O107" i="227"/>
  <c r="Q31" i="229"/>
  <c r="O32" i="229"/>
  <c r="Q210" i="227"/>
  <c r="O211" i="227"/>
  <c r="Q36" i="210"/>
  <c r="O37" i="210"/>
  <c r="Q115" i="228"/>
  <c r="O116" i="228"/>
  <c r="Q63" i="210"/>
  <c r="O64" i="210"/>
  <c r="Q107" i="228"/>
  <c r="O108" i="228"/>
  <c r="Q40" i="227"/>
  <c r="O41" i="227"/>
  <c r="Q66" i="210"/>
  <c r="O67" i="210"/>
  <c r="Q254" i="22"/>
  <c r="O255" i="22"/>
  <c r="Q147" i="227"/>
  <c r="O148" i="227"/>
  <c r="Q97" i="229"/>
  <c r="O98" i="229"/>
  <c r="Q93" i="227"/>
  <c r="O94" i="227"/>
  <c r="Q103" i="227"/>
  <c r="O104" i="227"/>
  <c r="Q32" i="227"/>
  <c r="O33" i="227"/>
  <c r="Q38" i="229"/>
  <c r="O39" i="229"/>
  <c r="Q116" i="210"/>
  <c r="O117" i="210"/>
  <c r="Q173" i="227"/>
  <c r="O174" i="227"/>
  <c r="Q41" i="229"/>
  <c r="O42" i="229"/>
  <c r="Q47" i="228"/>
  <c r="O48" i="228"/>
  <c r="R32" i="10"/>
  <c r="Q44" i="10"/>
  <c r="Q149" i="229"/>
  <c r="O150" i="229"/>
  <c r="Q125" i="23"/>
  <c r="O126" i="23"/>
  <c r="Q187" i="23"/>
  <c r="O188" i="23"/>
  <c r="Q165" i="227"/>
  <c r="O166" i="227"/>
  <c r="Q261" i="229"/>
  <c r="O262" i="229"/>
  <c r="Q177" i="23"/>
  <c r="O178" i="23"/>
  <c r="Q210" i="22"/>
  <c r="O211" i="22"/>
  <c r="Q27" i="23"/>
  <c r="O28" i="23"/>
  <c r="Q182" i="23"/>
  <c r="O183" i="23"/>
  <c r="Q233" i="210"/>
  <c r="O234" i="210"/>
  <c r="Q168" i="229"/>
  <c r="O169" i="229"/>
  <c r="Q256" i="228"/>
  <c r="O257" i="228"/>
  <c r="Q122" i="210"/>
  <c r="O123" i="210"/>
  <c r="Q41" i="228"/>
  <c r="O42" i="228"/>
  <c r="Q36" i="227"/>
  <c r="O37" i="227"/>
  <c r="Q91" i="228"/>
  <c r="O92" i="228"/>
  <c r="Q36" i="228"/>
  <c r="O37" i="228"/>
  <c r="Q58" i="23"/>
  <c r="O59" i="23"/>
  <c r="Q246" i="227"/>
  <c r="O247" i="227"/>
  <c r="Q28" i="228"/>
  <c r="O29" i="228"/>
  <c r="Q227" i="22"/>
  <c r="O228" i="22"/>
  <c r="Q88" i="228"/>
  <c r="O89" i="228"/>
  <c r="Q151" i="210"/>
  <c r="O152" i="210"/>
  <c r="Q76" i="23"/>
  <c r="O77" i="23"/>
  <c r="Q63" i="227"/>
  <c r="O64" i="227"/>
  <c r="Q77" i="227"/>
  <c r="O78" i="227"/>
  <c r="Q264" i="22"/>
  <c r="O265" i="22"/>
  <c r="Q95" i="22"/>
  <c r="O96" i="22"/>
  <c r="Q28" i="23"/>
  <c r="O29" i="23"/>
  <c r="Q238" i="228"/>
  <c r="O239" i="228"/>
  <c r="Q264" i="228"/>
  <c r="O265" i="228"/>
  <c r="Q232" i="210"/>
  <c r="O233" i="210"/>
  <c r="Q146" i="23"/>
  <c r="O147" i="23"/>
  <c r="Q163" i="227"/>
  <c r="O164" i="227"/>
  <c r="Q39" i="229"/>
  <c r="O40" i="229"/>
  <c r="Q106" i="23"/>
  <c r="O107" i="23"/>
  <c r="Q48" i="227"/>
  <c r="O49" i="227"/>
  <c r="Q150" i="23"/>
  <c r="O151" i="23"/>
  <c r="Q48" i="210"/>
  <c r="O49" i="210"/>
  <c r="Q31" i="228"/>
  <c r="O32" i="228"/>
  <c r="Q98" i="210"/>
  <c r="O99" i="210"/>
  <c r="Q30" i="210"/>
  <c r="O31" i="210"/>
  <c r="Q79" i="22"/>
  <c r="O80" i="22"/>
  <c r="Q30" i="227"/>
  <c r="O31" i="227"/>
  <c r="Q247" i="22"/>
  <c r="O248" i="22"/>
  <c r="Q43" i="23"/>
  <c r="O44" i="23"/>
  <c r="Q204" i="23"/>
  <c r="O205" i="23"/>
  <c r="Q99" i="22"/>
  <c r="O100" i="22"/>
  <c r="Q192" i="228"/>
  <c r="O193" i="228"/>
  <c r="Q77" i="229"/>
  <c r="O78" i="229"/>
  <c r="Q138" i="23"/>
  <c r="O139" i="23"/>
  <c r="Q198" i="229"/>
  <c r="O199" i="229"/>
  <c r="Q217" i="227"/>
  <c r="O218" i="227"/>
  <c r="Q82" i="229"/>
  <c r="O83" i="229"/>
  <c r="Q255" i="22"/>
  <c r="O256" i="22"/>
  <c r="Q45" i="22"/>
  <c r="O46" i="22"/>
  <c r="Q48" i="22"/>
  <c r="O49" i="22"/>
  <c r="Q41" i="227"/>
  <c r="O42" i="227"/>
  <c r="Q120" i="229"/>
  <c r="O121" i="229"/>
  <c r="Q128" i="228"/>
  <c r="O129" i="228"/>
  <c r="Q73" i="23"/>
  <c r="O74" i="23"/>
  <c r="Q68" i="228"/>
  <c r="O69" i="228"/>
  <c r="Q234" i="227"/>
  <c r="O235" i="227"/>
  <c r="Q45" i="228"/>
  <c r="O46" i="228"/>
  <c r="Q46" i="229"/>
  <c r="O47" i="229"/>
  <c r="Q195" i="228"/>
  <c r="O196" i="228"/>
  <c r="Q182" i="229"/>
  <c r="O183" i="229"/>
  <c r="Q150" i="229"/>
  <c r="O151" i="229"/>
  <c r="Q150" i="227"/>
  <c r="O151" i="227"/>
  <c r="Q224" i="22"/>
  <c r="O225" i="22"/>
  <c r="Q107" i="210"/>
  <c r="O108" i="210"/>
  <c r="Q197" i="22"/>
  <c r="O198" i="22"/>
  <c r="Q31" i="210"/>
  <c r="O32" i="210"/>
  <c r="Q112" i="229"/>
  <c r="O113" i="229"/>
  <c r="Q197" i="228"/>
  <c r="O198" i="228"/>
  <c r="Q251" i="228"/>
  <c r="O252" i="228"/>
  <c r="Q40" i="228"/>
  <c r="O41" i="228"/>
  <c r="Q80" i="22"/>
  <c r="O81" i="22"/>
  <c r="Q213" i="23"/>
  <c r="O214" i="23"/>
  <c r="Q189" i="23"/>
  <c r="O190" i="23"/>
  <c r="Q177" i="210"/>
  <c r="O178" i="210"/>
  <c r="Q171" i="229"/>
  <c r="O172" i="229"/>
  <c r="Q231" i="228"/>
  <c r="O232" i="228"/>
  <c r="Q99" i="210"/>
  <c r="Q100" i="210"/>
  <c r="O101" i="210"/>
  <c r="Q126" i="23"/>
  <c r="O127" i="23"/>
  <c r="Q43" i="210"/>
  <c r="O44" i="210"/>
  <c r="Q83" i="210"/>
  <c r="O84" i="210"/>
  <c r="Q72" i="228"/>
  <c r="O73" i="228"/>
  <c r="Q140" i="210"/>
  <c r="O141" i="210"/>
  <c r="Q53" i="23"/>
  <c r="O54" i="23"/>
  <c r="Q46" i="210"/>
  <c r="O47" i="210"/>
  <c r="Q35" i="23"/>
  <c r="O36" i="23"/>
  <c r="P141" i="22"/>
  <c r="Q114" i="210"/>
  <c r="O115" i="210"/>
  <c r="Q66" i="227"/>
  <c r="O67" i="227"/>
  <c r="Q135" i="227"/>
  <c r="O136" i="227"/>
  <c r="Q119" i="227"/>
  <c r="O120" i="227"/>
  <c r="Q179" i="227"/>
  <c r="O180" i="227"/>
  <c r="Q39" i="210"/>
  <c r="O40" i="210"/>
  <c r="Q119" i="210"/>
  <c r="O120" i="210"/>
  <c r="B177" i="10"/>
  <c r="B181" i="10" s="1"/>
  <c r="B179" i="10"/>
  <c r="B183" i="10" s="1"/>
  <c r="P26" i="266"/>
  <c r="X26" i="266" s="1"/>
  <c r="T106" i="10" s="1"/>
  <c r="S106" i="10" s="1"/>
  <c r="Q223" i="22"/>
  <c r="O224" i="22"/>
  <c r="Q181" i="210"/>
  <c r="O182" i="210"/>
  <c r="Q157" i="229"/>
  <c r="O158" i="229"/>
  <c r="Q122" i="23"/>
  <c r="O123" i="23"/>
  <c r="Q87" i="210"/>
  <c r="O88" i="210"/>
  <c r="Q137" i="227"/>
  <c r="O138" i="227"/>
  <c r="Q90" i="210"/>
  <c r="O91" i="210"/>
  <c r="G118" i="276"/>
  <c r="H117" i="276"/>
  <c r="H116" i="276"/>
  <c r="Q261" i="22"/>
  <c r="O262" i="22"/>
  <c r="Q71" i="210"/>
  <c r="O72" i="210"/>
  <c r="Q183" i="22"/>
  <c r="O184" i="22"/>
  <c r="Q248" i="227"/>
  <c r="O249" i="227"/>
  <c r="Q73" i="229"/>
  <c r="O74" i="229"/>
  <c r="Q70" i="228"/>
  <c r="O71" i="228"/>
  <c r="Q102" i="229"/>
  <c r="O103" i="229"/>
  <c r="Q43" i="227"/>
  <c r="O44" i="227"/>
  <c r="Q136" i="210"/>
  <c r="O137" i="210"/>
  <c r="Q169" i="22"/>
  <c r="O170" i="22"/>
  <c r="Q94" i="210"/>
  <c r="O95" i="210"/>
  <c r="Q44" i="23"/>
  <c r="O45" i="23"/>
  <c r="Q98" i="229"/>
  <c r="O99" i="229"/>
  <c r="Q178" i="229"/>
  <c r="O179" i="229"/>
  <c r="Q223" i="227"/>
  <c r="O224" i="227"/>
  <c r="Q102" i="227"/>
  <c r="O103" i="227"/>
  <c r="Q86" i="23"/>
  <c r="O87" i="23"/>
  <c r="Q38" i="23"/>
  <c r="O39" i="23"/>
  <c r="Q54" i="23"/>
  <c r="O55" i="23"/>
  <c r="Q95" i="210"/>
  <c r="O96" i="210"/>
  <c r="Q125" i="227"/>
  <c r="O126" i="227"/>
  <c r="Q136" i="227"/>
  <c r="O137" i="227"/>
  <c r="Q49" i="210"/>
  <c r="O50" i="210"/>
  <c r="Q261" i="228"/>
  <c r="O262" i="228"/>
  <c r="Q233" i="227"/>
  <c r="O234" i="227"/>
  <c r="N112" i="10"/>
  <c r="Q186" i="229"/>
  <c r="O187" i="229"/>
  <c r="Q221" i="227"/>
  <c r="O222" i="227"/>
  <c r="Q259" i="227"/>
  <c r="O260" i="227"/>
  <c r="Q130" i="22"/>
  <c r="O131" i="22"/>
  <c r="Q74" i="227"/>
  <c r="O75" i="227"/>
  <c r="Q46" i="228"/>
  <c r="O47" i="228"/>
  <c r="Q163" i="22"/>
  <c r="O164" i="22"/>
  <c r="Q230" i="229"/>
  <c r="O231" i="229"/>
  <c r="Q251" i="22"/>
  <c r="O252" i="22"/>
  <c r="Q234" i="23"/>
  <c r="O235" i="23"/>
  <c r="Q137" i="23"/>
  <c r="O138" i="23"/>
  <c r="Q201" i="210"/>
  <c r="O202" i="210"/>
  <c r="Q160" i="229"/>
  <c r="O161" i="229"/>
  <c r="Q260" i="22"/>
  <c r="O261" i="22"/>
  <c r="Q129" i="23"/>
  <c r="O130" i="23"/>
  <c r="Q260" i="210"/>
  <c r="O261" i="210"/>
  <c r="Q113" i="227"/>
  <c r="O114" i="227"/>
  <c r="Q232" i="229"/>
  <c r="O233" i="229"/>
  <c r="Q203" i="228"/>
  <c r="O204" i="228"/>
  <c r="Q200" i="22"/>
  <c r="O201" i="22"/>
  <c r="Q95" i="23"/>
  <c r="O96" i="23"/>
  <c r="Q202" i="210"/>
  <c r="O203" i="210"/>
  <c r="Q149" i="227"/>
  <c r="O150" i="227"/>
  <c r="Q252" i="229"/>
  <c r="O253" i="229"/>
  <c r="Q202" i="229"/>
  <c r="O203" i="229"/>
  <c r="Q229" i="227"/>
  <c r="O230" i="227"/>
  <c r="Q78" i="229"/>
  <c r="O79" i="229"/>
  <c r="Q175" i="227"/>
  <c r="O176" i="227"/>
  <c r="Q209" i="227"/>
  <c r="O210" i="227"/>
  <c r="Q32" i="23"/>
  <c r="O33" i="23"/>
  <c r="Q26" i="227"/>
  <c r="Q25" i="227"/>
  <c r="O27" i="227"/>
  <c r="Q39" i="228"/>
  <c r="O40" i="228"/>
  <c r="Q105" i="227"/>
  <c r="O106" i="227"/>
  <c r="Q80" i="23"/>
  <c r="O81" i="23"/>
  <c r="Q61" i="23"/>
  <c r="O62" i="23"/>
  <c r="Q60" i="23"/>
  <c r="O61" i="23"/>
  <c r="Q94" i="23"/>
  <c r="O95" i="23"/>
  <c r="Q120" i="210"/>
  <c r="O121" i="210"/>
  <c r="E62" i="10"/>
  <c r="Q55" i="10"/>
  <c r="Q90" i="227"/>
  <c r="O91" i="227"/>
  <c r="Q36" i="229"/>
  <c r="O37" i="229"/>
  <c r="Q89" i="228"/>
  <c r="O90" i="228"/>
  <c r="Q107" i="229"/>
  <c r="O108" i="229"/>
  <c r="Q118" i="23"/>
  <c r="O119" i="23"/>
  <c r="Q153" i="227"/>
  <c r="O154" i="227"/>
  <c r="Q65" i="227"/>
  <c r="O66" i="227"/>
  <c r="Q238" i="227"/>
  <c r="O239" i="227"/>
  <c r="I14" i="216"/>
  <c r="F14" i="262"/>
  <c r="F14" i="263"/>
  <c r="F14" i="264" s="1"/>
  <c r="F14" i="265" s="1"/>
  <c r="Q73" i="227"/>
  <c r="O74" i="227"/>
  <c r="Q124" i="227"/>
  <c r="O125" i="227"/>
  <c r="Q128" i="22"/>
  <c r="O129" i="22"/>
  <c r="Q186" i="227"/>
  <c r="O187" i="227"/>
  <c r="Q86" i="229"/>
  <c r="O87" i="229"/>
  <c r="Q154" i="23"/>
  <c r="O155" i="23"/>
  <c r="Q96" i="210"/>
  <c r="O97" i="210"/>
  <c r="Q40" i="23"/>
  <c r="O41" i="23"/>
  <c r="Q224" i="227"/>
  <c r="O225" i="227"/>
  <c r="Q28" i="229"/>
  <c r="O29" i="229"/>
  <c r="O139" i="229"/>
  <c r="Q73" i="210"/>
  <c r="O74" i="210"/>
  <c r="O143" i="210"/>
  <c r="Q76" i="210"/>
  <c r="O77" i="210"/>
  <c r="Q52" i="23"/>
  <c r="O53" i="23"/>
  <c r="Q211" i="227"/>
  <c r="O212" i="227"/>
  <c r="Q134" i="227"/>
  <c r="O135" i="227"/>
  <c r="Q37" i="23"/>
  <c r="O38" i="23"/>
  <c r="Q84" i="10"/>
  <c r="R84" i="10" s="1"/>
  <c r="Q96" i="22"/>
  <c r="O97" i="22"/>
  <c r="Q126" i="229"/>
  <c r="O127" i="229"/>
  <c r="Q109" i="227"/>
  <c r="O110" i="227"/>
  <c r="Q218" i="227"/>
  <c r="O219" i="227"/>
  <c r="Q131" i="227"/>
  <c r="O132" i="227"/>
  <c r="Q168" i="227"/>
  <c r="O169" i="227"/>
  <c r="Q165" i="22"/>
  <c r="O166" i="22"/>
  <c r="Q127" i="228"/>
  <c r="O128" i="228"/>
  <c r="Q166" i="227"/>
  <c r="O167" i="227"/>
  <c r="Q101" i="229"/>
  <c r="O102" i="229"/>
  <c r="Q42" i="229"/>
  <c r="O43" i="229"/>
  <c r="Q34" i="23"/>
  <c r="O35" i="23"/>
  <c r="Q47" i="227"/>
  <c r="O48" i="227"/>
  <c r="Q48" i="23"/>
  <c r="O49" i="23"/>
  <c r="O105" i="10"/>
  <c r="E105" i="10"/>
  <c r="J105" i="10"/>
  <c r="L105" i="10"/>
  <c r="P105" i="10"/>
  <c r="P112" i="10" s="1"/>
  <c r="N105" i="10"/>
  <c r="F105" i="10"/>
  <c r="I105" i="10"/>
  <c r="K105" i="10"/>
  <c r="G105" i="10"/>
  <c r="H105" i="10"/>
  <c r="M105" i="10"/>
  <c r="M112" i="10" s="1"/>
  <c r="Q175" i="23"/>
  <c r="O176" i="23"/>
  <c r="Q248" i="23"/>
  <c r="O249" i="23"/>
  <c r="Q87" i="227"/>
  <c r="O88" i="227"/>
  <c r="Q210" i="229"/>
  <c r="O211" i="229"/>
  <c r="Q225" i="227"/>
  <c r="O226" i="227"/>
  <c r="Q65" i="210"/>
  <c r="O66" i="210"/>
  <c r="Q27" i="210"/>
  <c r="O28" i="210"/>
  <c r="Q33" i="228"/>
  <c r="O34" i="228"/>
  <c r="Q31" i="227"/>
  <c r="O32" i="227"/>
  <c r="Q38" i="227"/>
  <c r="O39" i="227"/>
  <c r="Q158" i="228"/>
  <c r="O159" i="228"/>
  <c r="Q215" i="228"/>
  <c r="O216" i="228"/>
  <c r="Q223" i="228"/>
  <c r="O224" i="228"/>
  <c r="Q202" i="228"/>
  <c r="O203" i="228"/>
  <c r="Q199" i="228"/>
  <c r="O200" i="228"/>
  <c r="Q131" i="22"/>
  <c r="O132" i="22"/>
  <c r="Q159" i="22"/>
  <c r="O160" i="22"/>
  <c r="Q41" i="22"/>
  <c r="O42" i="22"/>
  <c r="Q32" i="22"/>
  <c r="O33" i="22"/>
  <c r="Q154" i="22"/>
  <c r="O155" i="22"/>
  <c r="Q88" i="22"/>
  <c r="O89" i="22"/>
  <c r="Q181" i="23"/>
  <c r="O182" i="23"/>
  <c r="Q87" i="23"/>
  <c r="O88" i="23"/>
  <c r="Q210" i="23"/>
  <c r="O211" i="23"/>
  <c r="Q26" i="23"/>
  <c r="Q25" i="23"/>
  <c r="O27" i="23"/>
  <c r="Q211" i="23"/>
  <c r="O212" i="23"/>
  <c r="Q186" i="210"/>
  <c r="O187" i="210"/>
  <c r="Q204" i="210"/>
  <c r="O205" i="210"/>
  <c r="Q60" i="210"/>
  <c r="O61" i="210"/>
  <c r="Q195" i="210"/>
  <c r="O196" i="210"/>
  <c r="Q85" i="227"/>
  <c r="O86" i="227"/>
  <c r="Q143" i="227"/>
  <c r="O144" i="227"/>
  <c r="Q61" i="229"/>
  <c r="O62" i="229"/>
  <c r="Q253" i="229"/>
  <c r="O254" i="229"/>
  <c r="Q135" i="229"/>
  <c r="O136" i="229"/>
  <c r="Q174" i="229"/>
  <c r="O175" i="229"/>
  <c r="Q229" i="229"/>
  <c r="O230" i="229"/>
  <c r="Q261" i="23"/>
  <c r="O262" i="23"/>
  <c r="Q141" i="23"/>
  <c r="O142" i="23"/>
  <c r="Q159" i="227"/>
  <c r="O160" i="227"/>
  <c r="Q258" i="229"/>
  <c r="O259" i="229"/>
  <c r="Q242" i="228"/>
  <c r="O243" i="228"/>
  <c r="Q234" i="22"/>
  <c r="O235" i="22"/>
  <c r="Q51" i="23"/>
  <c r="O52" i="23"/>
  <c r="Q171" i="23"/>
  <c r="O172" i="23"/>
  <c r="Q249" i="210"/>
  <c r="O250" i="210"/>
  <c r="Q265" i="227"/>
  <c r="O266" i="227"/>
  <c r="Q225" i="229"/>
  <c r="O226" i="229"/>
  <c r="Q110" i="228"/>
  <c r="O111" i="228"/>
  <c r="Q177" i="228"/>
  <c r="O178" i="228"/>
  <c r="Q128" i="23"/>
  <c r="O129" i="23"/>
  <c r="Q174" i="210"/>
  <c r="O175" i="210"/>
  <c r="Q111" i="210"/>
  <c r="O112" i="210"/>
  <c r="Q241" i="229"/>
  <c r="O242" i="229"/>
  <c r="Q40" i="229"/>
  <c r="O41" i="229"/>
  <c r="Q47" i="229"/>
  <c r="O48" i="229"/>
  <c r="Q81" i="229"/>
  <c r="O82" i="229"/>
  <c r="Q86" i="210"/>
  <c r="O87" i="210"/>
  <c r="Q89" i="227"/>
  <c r="O90" i="227"/>
  <c r="Q48" i="229"/>
  <c r="O49" i="229"/>
  <c r="Q45" i="210"/>
  <c r="O46" i="210"/>
  <c r="Q93" i="228"/>
  <c r="O94" i="228"/>
  <c r="Q200" i="228"/>
  <c r="O201" i="228"/>
  <c r="Q122" i="228"/>
  <c r="O123" i="228"/>
  <c r="Q236" i="228"/>
  <c r="O237" i="228"/>
  <c r="Q179" i="22"/>
  <c r="O180" i="22"/>
  <c r="Q254" i="228"/>
  <c r="O255" i="228"/>
  <c r="Q162" i="228"/>
  <c r="O163" i="228"/>
  <c r="Q147" i="22"/>
  <c r="O148" i="22"/>
  <c r="Q191" i="22"/>
  <c r="O192" i="22"/>
  <c r="Q248" i="22"/>
  <c r="O249" i="22"/>
  <c r="Q52" i="22"/>
  <c r="O53" i="22"/>
  <c r="Q166" i="22"/>
  <c r="O167" i="22"/>
  <c r="Q135" i="23"/>
  <c r="O136" i="23"/>
  <c r="Q249" i="23"/>
  <c r="O250" i="23"/>
  <c r="Q111" i="23"/>
  <c r="O112" i="23"/>
  <c r="Q191" i="23"/>
  <c r="O192" i="23"/>
  <c r="Q259" i="23"/>
  <c r="O260" i="23"/>
  <c r="Q190" i="210"/>
  <c r="O191" i="210"/>
  <c r="Q252" i="210"/>
  <c r="O253" i="210"/>
  <c r="Q205" i="210"/>
  <c r="O206" i="210"/>
  <c r="Q137" i="210"/>
  <c r="O138" i="210"/>
  <c r="Q77" i="210"/>
  <c r="O78" i="210"/>
  <c r="Q253" i="227"/>
  <c r="O254" i="227"/>
  <c r="Q42" i="227"/>
  <c r="O43" i="227"/>
  <c r="Q139" i="227"/>
  <c r="O140" i="227"/>
  <c r="Q58" i="229"/>
  <c r="O59" i="229"/>
  <c r="Q173" i="229"/>
  <c r="O174" i="229"/>
  <c r="Q254" i="229"/>
  <c r="O255" i="229"/>
  <c r="Q118" i="229"/>
  <c r="O119" i="229"/>
  <c r="Q196" i="229"/>
  <c r="O197" i="229"/>
  <c r="Q77" i="228"/>
  <c r="O78" i="228"/>
  <c r="Q85" i="23"/>
  <c r="O86" i="23"/>
  <c r="Q172" i="210"/>
  <c r="O173" i="210"/>
  <c r="Q80" i="227"/>
  <c r="O81" i="227"/>
  <c r="Q117" i="229"/>
  <c r="O118" i="229"/>
  <c r="Q175" i="228"/>
  <c r="O176" i="228"/>
  <c r="Q209" i="22"/>
  <c r="O210" i="22"/>
  <c r="Q260" i="23"/>
  <c r="O261" i="23"/>
  <c r="Q198" i="210"/>
  <c r="O199" i="210"/>
  <c r="Q236" i="227"/>
  <c r="O237" i="227"/>
  <c r="Q262" i="229"/>
  <c r="O263" i="229"/>
  <c r="Q163" i="228"/>
  <c r="O164" i="228"/>
  <c r="Q72" i="22"/>
  <c r="O73" i="22"/>
  <c r="Q164" i="23"/>
  <c r="O165" i="23"/>
  <c r="Q228" i="210"/>
  <c r="O229" i="210"/>
  <c r="Q160" i="227"/>
  <c r="O161" i="227"/>
  <c r="Q199" i="229"/>
  <c r="O200" i="229"/>
  <c r="Q132" i="210"/>
  <c r="O133" i="210"/>
  <c r="Q62" i="229"/>
  <c r="O63" i="229"/>
  <c r="Q61" i="227"/>
  <c r="O62" i="227"/>
  <c r="Q122" i="229"/>
  <c r="O123" i="229"/>
  <c r="Q152" i="227"/>
  <c r="O153" i="227"/>
  <c r="Q65" i="22"/>
  <c r="O66" i="22"/>
  <c r="Q30" i="23"/>
  <c r="O31" i="23"/>
  <c r="Q169" i="227"/>
  <c r="O170" i="227"/>
  <c r="Q216" i="229"/>
  <c r="O217" i="229"/>
  <c r="Q128" i="210"/>
  <c r="O129" i="210"/>
  <c r="Q94" i="22"/>
  <c r="O95" i="22"/>
  <c r="Q64" i="210"/>
  <c r="O65" i="210"/>
  <c r="Q69" i="227"/>
  <c r="O70" i="227"/>
  <c r="Q84" i="23"/>
  <c r="O85" i="23"/>
  <c r="Q155" i="210"/>
  <c r="O156" i="210"/>
  <c r="Q170" i="227"/>
  <c r="O171" i="227"/>
  <c r="Q131" i="210"/>
  <c r="O132" i="210"/>
  <c r="Q35" i="210"/>
  <c r="O36" i="210"/>
  <c r="Q243" i="227"/>
  <c r="O244" i="227"/>
  <c r="Q218" i="22"/>
  <c r="O219" i="22"/>
  <c r="Q44" i="22"/>
  <c r="O45" i="22"/>
  <c r="Q226" i="227"/>
  <c r="O227" i="227"/>
  <c r="Q228" i="229"/>
  <c r="O229" i="229"/>
  <c r="Q32" i="229"/>
  <c r="O33" i="229"/>
  <c r="Q99" i="227"/>
  <c r="O100" i="227"/>
  <c r="Q233" i="22"/>
  <c r="O234" i="22"/>
  <c r="Q177" i="22"/>
  <c r="O178" i="22"/>
  <c r="L112" i="10"/>
  <c r="Q69" i="22"/>
  <c r="O70" i="22"/>
  <c r="Q245" i="227"/>
  <c r="O246" i="227"/>
  <c r="Q111" i="229"/>
  <c r="O112" i="229"/>
  <c r="Q101" i="10"/>
  <c r="R101" i="10" s="1"/>
  <c r="Q50" i="22"/>
  <c r="O51" i="22"/>
  <c r="Q155" i="22"/>
  <c r="O156" i="22"/>
  <c r="H17" i="220"/>
  <c r="H56" i="220"/>
  <c r="Q190" i="22"/>
  <c r="O191" i="22"/>
  <c r="Q93" i="22"/>
  <c r="O94" i="22"/>
  <c r="Q125" i="22"/>
  <c r="O126" i="22"/>
  <c r="Q241" i="22"/>
  <c r="O242" i="22"/>
  <c r="Q149" i="22"/>
  <c r="O150" i="22"/>
  <c r="Q117" i="22"/>
  <c r="O118" i="22"/>
  <c r="Q116" i="22"/>
  <c r="O117" i="22"/>
  <c r="Q263" i="22"/>
  <c r="O264" i="22"/>
  <c r="Q165" i="23"/>
  <c r="O166" i="23"/>
  <c r="Q120" i="23"/>
  <c r="O121" i="23"/>
  <c r="Q206" i="23"/>
  <c r="O207" i="23"/>
  <c r="Q231" i="23"/>
  <c r="O232" i="23"/>
  <c r="Q163" i="23"/>
  <c r="O164" i="23"/>
  <c r="Q237" i="23"/>
  <c r="O238" i="23"/>
  <c r="Q56" i="210"/>
  <c r="O57" i="210"/>
  <c r="Q254" i="210"/>
  <c r="O255" i="210"/>
  <c r="Q153" i="210"/>
  <c r="O154" i="210"/>
  <c r="O82" i="210"/>
  <c r="Q133" i="210"/>
  <c r="O134" i="210"/>
  <c r="Q203" i="227"/>
  <c r="O204" i="227"/>
  <c r="Q132" i="227"/>
  <c r="O133" i="227"/>
  <c r="Q263" i="227"/>
  <c r="O264" i="227"/>
  <c r="Q131" i="229"/>
  <c r="O132" i="229"/>
  <c r="Q223" i="229"/>
  <c r="O224" i="229"/>
  <c r="Q59" i="229"/>
  <c r="Q60" i="229"/>
  <c r="O61" i="229"/>
  <c r="Q148" i="229"/>
  <c r="O149" i="229"/>
  <c r="Q91" i="229"/>
  <c r="Q92" i="229"/>
  <c r="O93" i="229"/>
  <c r="Q121" i="22"/>
  <c r="O122" i="22"/>
  <c r="Q84" i="22"/>
  <c r="O85" i="22"/>
  <c r="Q166" i="23"/>
  <c r="O167" i="23"/>
  <c r="Q265" i="210"/>
  <c r="O266" i="210"/>
  <c r="Q180" i="227"/>
  <c r="O181" i="227"/>
  <c r="Q144" i="229"/>
  <c r="O145" i="229"/>
  <c r="Q104" i="229"/>
  <c r="O105" i="229"/>
  <c r="Q109" i="22"/>
  <c r="O110" i="22"/>
  <c r="Q89" i="23"/>
  <c r="O90" i="23"/>
  <c r="Q149" i="210"/>
  <c r="O150" i="210"/>
  <c r="Q159" i="229"/>
  <c r="O160" i="229"/>
  <c r="Q141" i="229"/>
  <c r="O142" i="229"/>
  <c r="Q70" i="22"/>
  <c r="O71" i="22"/>
  <c r="Q236" i="23"/>
  <c r="O237" i="23"/>
  <c r="Q108" i="23"/>
  <c r="O109" i="23"/>
  <c r="Q52" i="227"/>
  <c r="O53" i="227"/>
  <c r="Q192" i="229"/>
  <c r="O193" i="229"/>
  <c r="Q62" i="228"/>
  <c r="O63" i="228"/>
  <c r="Q69" i="210"/>
  <c r="O70" i="210"/>
  <c r="Q42" i="23"/>
  <c r="O43" i="23"/>
  <c r="Q100" i="22"/>
  <c r="O101" i="22"/>
  <c r="Q96" i="228"/>
  <c r="O97" i="228"/>
  <c r="R99" i="236"/>
  <c r="I23" i="16"/>
  <c r="I25" i="16" s="1"/>
  <c r="N36" i="1"/>
  <c r="P35" i="14"/>
  <c r="E69" i="10"/>
  <c r="G69" i="10"/>
  <c r="C152" i="10"/>
  <c r="H63" i="249"/>
  <c r="L169" i="10"/>
  <c r="S147" i="228"/>
  <c r="S188" i="228"/>
  <c r="G34" i="1"/>
  <c r="I33" i="1"/>
  <c r="H50" i="236"/>
  <c r="L64" i="236"/>
  <c r="O36" i="236"/>
  <c r="M97" i="214"/>
  <c r="J18" i="1" s="1"/>
  <c r="L36" i="263"/>
  <c r="M50" i="236"/>
  <c r="I32" i="1"/>
  <c r="H35" i="1"/>
  <c r="G35" i="1"/>
  <c r="H80" i="263"/>
  <c r="Q224" i="229"/>
  <c r="O225" i="229"/>
  <c r="Q39" i="23"/>
  <c r="O40" i="23"/>
  <c r="Q147" i="210"/>
  <c r="O148" i="210"/>
  <c r="Q87" i="228"/>
  <c r="O88" i="228"/>
  <c r="Q57" i="23"/>
  <c r="O58" i="23"/>
  <c r="Q47" i="210"/>
  <c r="O48" i="210"/>
  <c r="Q40" i="22"/>
  <c r="O41" i="22"/>
  <c r="Q42" i="228"/>
  <c r="O43" i="228"/>
  <c r="Q220" i="22"/>
  <c r="O221" i="22"/>
  <c r="P34" i="14"/>
  <c r="Q181" i="227"/>
  <c r="O182" i="227"/>
  <c r="Q130" i="210"/>
  <c r="O131" i="210"/>
  <c r="Q177" i="227"/>
  <c r="O178" i="227"/>
  <c r="Q34" i="228"/>
  <c r="O35" i="228"/>
  <c r="Q157" i="227"/>
  <c r="O158" i="227"/>
  <c r="Q51" i="22"/>
  <c r="O52" i="22"/>
  <c r="Q76" i="10"/>
  <c r="R76" i="10" s="1"/>
  <c r="Q158" i="22"/>
  <c r="O159" i="22"/>
  <c r="Q38" i="228"/>
  <c r="O39" i="228"/>
  <c r="Q194" i="229"/>
  <c r="O195" i="229"/>
  <c r="Q82" i="23"/>
  <c r="O83" i="23"/>
  <c r="Q151" i="227"/>
  <c r="O152" i="227"/>
  <c r="Q66" i="228"/>
  <c r="O67" i="228"/>
  <c r="Q46" i="22"/>
  <c r="O47" i="22"/>
  <c r="Q35" i="227"/>
  <c r="O36" i="227"/>
  <c r="Q119" i="22"/>
  <c r="O120" i="22"/>
  <c r="Q84" i="210"/>
  <c r="O85" i="210"/>
  <c r="Q27" i="229"/>
  <c r="O28" i="229"/>
  <c r="Q79" i="229"/>
  <c r="O80" i="229"/>
  <c r="Q98" i="23"/>
  <c r="O99" i="23"/>
  <c r="Q115" i="227"/>
  <c r="O116" i="227"/>
  <c r="Q222" i="22"/>
  <c r="O223" i="22"/>
  <c r="Q98" i="22"/>
  <c r="O99" i="22"/>
  <c r="Q78" i="23"/>
  <c r="O79" i="23"/>
  <c r="Q154" i="229"/>
  <c r="O155" i="229"/>
  <c r="Q103" i="229"/>
  <c r="O104" i="229"/>
  <c r="Q200" i="227"/>
  <c r="O201" i="227"/>
  <c r="Q240" i="227"/>
  <c r="O241" i="227"/>
  <c r="Q45" i="227"/>
  <c r="O46" i="227"/>
  <c r="Q41" i="210"/>
  <c r="O42" i="210"/>
  <c r="Q86" i="227"/>
  <c r="O87" i="227"/>
  <c r="Q33" i="23"/>
  <c r="O34" i="23"/>
  <c r="Q156" i="227"/>
  <c r="O157" i="227"/>
  <c r="Q146" i="229"/>
  <c r="O147" i="229"/>
  <c r="Q140" i="227"/>
  <c r="O141" i="227"/>
  <c r="Q142" i="23"/>
  <c r="O143" i="23"/>
  <c r="Q29" i="23"/>
  <c r="O30" i="23"/>
  <c r="Q111" i="10"/>
  <c r="R111" i="10" s="1"/>
  <c r="C60" i="263"/>
  <c r="A60" i="264"/>
  <c r="Q93" i="229"/>
  <c r="O94" i="229"/>
  <c r="Q36" i="22"/>
  <c r="O37" i="22"/>
  <c r="Q72" i="227"/>
  <c r="O73" i="227"/>
  <c r="Q201" i="227"/>
  <c r="O202" i="227"/>
  <c r="Q29" i="22"/>
  <c r="O30" i="22"/>
  <c r="Q29" i="227"/>
  <c r="O30" i="227"/>
  <c r="Q51" i="229"/>
  <c r="O52" i="229"/>
  <c r="E112" i="10"/>
  <c r="Q100" i="10"/>
  <c r="Q74" i="23"/>
  <c r="O75" i="23"/>
  <c r="Q85" i="229"/>
  <c r="O86" i="229"/>
  <c r="Q88" i="210"/>
  <c r="O89" i="210"/>
  <c r="Q216" i="227"/>
  <c r="O217" i="227"/>
  <c r="Q118" i="210"/>
  <c r="O119" i="210"/>
  <c r="Q27" i="227"/>
  <c r="O28" i="227"/>
  <c r="L80" i="10"/>
  <c r="P33" i="14"/>
  <c r="Q31" i="23"/>
  <c r="O32" i="23"/>
  <c r="Q135" i="228"/>
  <c r="O136" i="228"/>
  <c r="Q49" i="228"/>
  <c r="O50" i="228"/>
  <c r="Q178" i="228"/>
  <c r="O179" i="228"/>
  <c r="Q52" i="228"/>
  <c r="O53" i="228"/>
  <c r="Q229" i="228"/>
  <c r="O230" i="228"/>
  <c r="Q27" i="228"/>
  <c r="O28" i="228"/>
  <c r="Q85" i="22"/>
  <c r="O86" i="22"/>
  <c r="Q213" i="22"/>
  <c r="O214" i="22"/>
  <c r="Q114" i="22"/>
  <c r="O115" i="22"/>
  <c r="Q78" i="22"/>
  <c r="O79" i="22"/>
  <c r="Q193" i="23"/>
  <c r="O194" i="23"/>
  <c r="Q169" i="23"/>
  <c r="O170" i="23"/>
  <c r="Q104" i="23"/>
  <c r="O105" i="23"/>
  <c r="Q174" i="23"/>
  <c r="O175" i="23"/>
  <c r="Q195" i="23"/>
  <c r="O196" i="23"/>
  <c r="Q209" i="23"/>
  <c r="O210" i="23"/>
  <c r="Q196" i="210"/>
  <c r="O197" i="210"/>
  <c r="Q258" i="210"/>
  <c r="O259" i="210"/>
  <c r="Q257" i="210"/>
  <c r="O258" i="210"/>
  <c r="Q167" i="210"/>
  <c r="O168" i="210"/>
  <c r="Q71" i="227"/>
  <c r="O72" i="227"/>
  <c r="Q112" i="227"/>
  <c r="O113" i="227"/>
  <c r="Q183" i="227"/>
  <c r="O184" i="227"/>
  <c r="Q129" i="227"/>
  <c r="O130" i="227"/>
  <c r="Q52" i="229"/>
  <c r="O53" i="229"/>
  <c r="Q217" i="229"/>
  <c r="O218" i="229"/>
  <c r="Q181" i="229"/>
  <c r="O182" i="229"/>
  <c r="Q207" i="229"/>
  <c r="O208" i="229"/>
  <c r="Q228" i="228"/>
  <c r="O229" i="228"/>
  <c r="Q55" i="22"/>
  <c r="O56" i="22"/>
  <c r="Q83" i="23"/>
  <c r="O84" i="23"/>
  <c r="Q55" i="210"/>
  <c r="O56" i="210"/>
  <c r="Q111" i="227"/>
  <c r="O112" i="227"/>
  <c r="Q203" i="229"/>
  <c r="O204" i="229"/>
  <c r="Q246" i="228"/>
  <c r="O247" i="228"/>
  <c r="O147" i="228"/>
  <c r="Q67" i="22"/>
  <c r="O68" i="22"/>
  <c r="Q188" i="210"/>
  <c r="O189" i="210"/>
  <c r="Q251" i="210"/>
  <c r="O252" i="210"/>
  <c r="Q56" i="229"/>
  <c r="O57" i="229"/>
  <c r="Q208" i="229"/>
  <c r="O209" i="229"/>
  <c r="Q90" i="229"/>
  <c r="O91" i="229"/>
  <c r="Q57" i="228"/>
  <c r="O58" i="228"/>
  <c r="N22" i="236"/>
  <c r="Q26" i="238"/>
  <c r="D84" i="217"/>
  <c r="G23" i="231" s="1"/>
  <c r="G26" i="231" s="1"/>
  <c r="I26" i="231" s="1"/>
  <c r="J26" i="231" s="1"/>
  <c r="H69" i="10"/>
  <c r="N169" i="10"/>
  <c r="Q37" i="228"/>
  <c r="O38" i="228"/>
  <c r="S99" i="228"/>
  <c r="G36" i="1"/>
  <c r="O50" i="236"/>
  <c r="J22" i="31"/>
  <c r="D40" i="31" s="1"/>
  <c r="H40" i="31" s="1"/>
  <c r="K22" i="31"/>
  <c r="N69" i="262"/>
  <c r="F35" i="1"/>
  <c r="Q37" i="239"/>
  <c r="E80" i="263"/>
  <c r="P124" i="14"/>
  <c r="I34" i="1"/>
  <c r="O31" i="262"/>
  <c r="J20" i="31"/>
  <c r="D38" i="31" s="1"/>
  <c r="H38" i="31" s="1"/>
  <c r="K20" i="31"/>
  <c r="P184" i="210"/>
  <c r="F46" i="232"/>
  <c r="G46" i="232" s="1"/>
  <c r="H46" i="232" s="1"/>
  <c r="I46" i="232" s="1"/>
  <c r="J46" i="232" s="1"/>
  <c r="K46" i="232" s="1"/>
  <c r="Q88" i="23"/>
  <c r="O89" i="23"/>
  <c r="Q78" i="210"/>
  <c r="O79" i="210"/>
  <c r="Q106" i="229"/>
  <c r="O107" i="229"/>
  <c r="Q55" i="23"/>
  <c r="O56" i="23"/>
  <c r="Q256" i="22"/>
  <c r="O257" i="22"/>
  <c r="Q108" i="227"/>
  <c r="O109" i="227"/>
  <c r="Q35" i="22"/>
  <c r="O36" i="22"/>
  <c r="Q44" i="210"/>
  <c r="O45" i="210"/>
  <c r="Q96" i="229"/>
  <c r="O97" i="229"/>
  <c r="Q258" i="228"/>
  <c r="O259" i="228"/>
  <c r="Q108" i="228"/>
  <c r="O109" i="228"/>
  <c r="O185" i="228"/>
  <c r="Q153" i="228"/>
  <c r="O154" i="228"/>
  <c r="Q168" i="210"/>
  <c r="O169" i="210"/>
  <c r="Q145" i="228"/>
  <c r="O146" i="228"/>
  <c r="Q115" i="22"/>
  <c r="O116" i="22"/>
  <c r="Q59" i="22"/>
  <c r="O60" i="22"/>
  <c r="Q139" i="22"/>
  <c r="O140" i="22"/>
  <c r="Q245" i="22"/>
  <c r="O246" i="22"/>
  <c r="Q122" i="22"/>
  <c r="O123" i="22"/>
  <c r="Q103" i="23"/>
  <c r="O104" i="23"/>
  <c r="Q233" i="23"/>
  <c r="O234" i="23"/>
  <c r="Q64" i="23"/>
  <c r="O65" i="23"/>
  <c r="Q105" i="23"/>
  <c r="O106" i="23"/>
  <c r="Q239" i="23"/>
  <c r="O240" i="23"/>
  <c r="Q180" i="23"/>
  <c r="O181" i="23"/>
  <c r="Q150" i="210"/>
  <c r="O151" i="210"/>
  <c r="Q240" i="210"/>
  <c r="O241" i="210"/>
  <c r="Q189" i="210"/>
  <c r="O190" i="210"/>
  <c r="Q211" i="210"/>
  <c r="O212" i="210"/>
  <c r="Q223" i="210"/>
  <c r="O224" i="210"/>
  <c r="Q110" i="227"/>
  <c r="O111" i="227"/>
  <c r="Q262" i="227"/>
  <c r="O263" i="227"/>
  <c r="Q174" i="227"/>
  <c r="O175" i="227"/>
  <c r="Q107" i="227"/>
  <c r="O108" i="227"/>
  <c r="Q169" i="229"/>
  <c r="O170" i="229"/>
  <c r="Q170" i="229"/>
  <c r="O171" i="229"/>
  <c r="Q72" i="229"/>
  <c r="O73" i="229"/>
  <c r="Q30" i="229"/>
  <c r="O31" i="229"/>
  <c r="P147" i="228"/>
  <c r="Q155" i="229"/>
  <c r="O156" i="229"/>
  <c r="Q151" i="23"/>
  <c r="O152" i="23"/>
  <c r="Q52" i="210"/>
  <c r="O53" i="210"/>
  <c r="Q113" i="210"/>
  <c r="O114" i="210"/>
  <c r="Q251" i="229"/>
  <c r="O252" i="229"/>
  <c r="Q57" i="229"/>
  <c r="O58" i="229"/>
  <c r="Q124" i="228"/>
  <c r="O125" i="228"/>
  <c r="Q237" i="228"/>
  <c r="O238" i="228"/>
  <c r="Q161" i="228"/>
  <c r="O162" i="228"/>
  <c r="Q184" i="22"/>
  <c r="O185" i="22"/>
  <c r="Q101" i="23"/>
  <c r="O102" i="23"/>
  <c r="Q245" i="210"/>
  <c r="O246" i="210"/>
  <c r="Q142" i="227"/>
  <c r="O143" i="227"/>
  <c r="Q226" i="229"/>
  <c r="O227" i="229"/>
  <c r="Q80" i="229"/>
  <c r="O81" i="229"/>
  <c r="Q73" i="228"/>
  <c r="O74" i="228"/>
  <c r="Q207" i="227"/>
  <c r="O208" i="227"/>
  <c r="Q178" i="227"/>
  <c r="O179" i="227"/>
  <c r="Q202" i="227"/>
  <c r="O203" i="227"/>
  <c r="Q46" i="23"/>
  <c r="O47" i="23"/>
  <c r="Q206" i="228"/>
  <c r="O207" i="228"/>
  <c r="Q244" i="228"/>
  <c r="O245" i="228"/>
  <c r="Q136" i="228"/>
  <c r="O137" i="228"/>
  <c r="Q134" i="228"/>
  <c r="O135" i="228"/>
  <c r="Q71" i="22"/>
  <c r="O72" i="22"/>
  <c r="Q53" i="22"/>
  <c r="O54" i="22"/>
  <c r="Q171" i="22"/>
  <c r="O172" i="22"/>
  <c r="Q73" i="22"/>
  <c r="O74" i="22"/>
  <c r="Q230" i="22"/>
  <c r="O231" i="22"/>
  <c r="Q147" i="23"/>
  <c r="O148" i="23"/>
  <c r="Q245" i="23"/>
  <c r="O246" i="23"/>
  <c r="Q145" i="23"/>
  <c r="O146" i="23"/>
  <c r="Q183" i="23"/>
  <c r="O184" i="23"/>
  <c r="Q214" i="23"/>
  <c r="O215" i="23"/>
  <c r="Q124" i="23"/>
  <c r="O125" i="23"/>
  <c r="Q218" i="210"/>
  <c r="O219" i="210"/>
  <c r="Q244" i="210"/>
  <c r="O245" i="210"/>
  <c r="Q165" i="210"/>
  <c r="O166" i="210"/>
  <c r="Q187" i="210"/>
  <c r="O188" i="210"/>
  <c r="Q55" i="227"/>
  <c r="O56" i="227"/>
  <c r="Q258" i="227"/>
  <c r="O259" i="227"/>
  <c r="Q206" i="227"/>
  <c r="O207" i="227"/>
  <c r="Q233" i="229"/>
  <c r="O234" i="229"/>
  <c r="Q201" i="229"/>
  <c r="O202" i="229"/>
  <c r="Q238" i="229"/>
  <c r="O239" i="229"/>
  <c r="Q191" i="229"/>
  <c r="O192" i="229"/>
  <c r="Q259" i="229"/>
  <c r="O260" i="229"/>
  <c r="Q219" i="228"/>
  <c r="O220" i="228"/>
  <c r="Q97" i="22"/>
  <c r="O98" i="22"/>
  <c r="Q265" i="23"/>
  <c r="O266" i="23"/>
  <c r="Q256" i="210"/>
  <c r="O257" i="210"/>
  <c r="Q116" i="227"/>
  <c r="O117" i="227"/>
  <c r="Q63" i="229"/>
  <c r="O64" i="229"/>
  <c r="Q117" i="228"/>
  <c r="O118" i="228"/>
  <c r="Q86" i="22"/>
  <c r="O87" i="22"/>
  <c r="Q153" i="23"/>
  <c r="O154" i="23"/>
  <c r="Q254" i="23"/>
  <c r="O255" i="23"/>
  <c r="Q105" i="210"/>
  <c r="O106" i="210"/>
  <c r="Q146" i="227"/>
  <c r="O147" i="227"/>
  <c r="Q137" i="229"/>
  <c r="O138" i="229"/>
  <c r="P185" i="228"/>
  <c r="Q184" i="228" s="1"/>
  <c r="Q217" i="22"/>
  <c r="O218" i="22"/>
  <c r="Q238" i="23"/>
  <c r="O239" i="23"/>
  <c r="Q175" i="210"/>
  <c r="O176" i="210"/>
  <c r="Q58" i="227"/>
  <c r="O59" i="227"/>
  <c r="G87" i="10"/>
  <c r="Q126" i="210"/>
  <c r="O127" i="210"/>
  <c r="Q127" i="210"/>
  <c r="O128" i="210"/>
  <c r="Q190" i="229"/>
  <c r="O191" i="229"/>
  <c r="Q59" i="23"/>
  <c r="O60" i="23"/>
  <c r="Q124" i="22"/>
  <c r="O125" i="22"/>
  <c r="Q49" i="229"/>
  <c r="O50" i="229"/>
  <c r="Q160" i="22"/>
  <c r="O161" i="22"/>
  <c r="Q265" i="228"/>
  <c r="O266" i="228"/>
  <c r="Q264" i="210"/>
  <c r="O265" i="210"/>
  <c r="Q116" i="228"/>
  <c r="O117" i="228"/>
  <c r="Q123" i="229"/>
  <c r="O124" i="229"/>
  <c r="Q103" i="22"/>
  <c r="O104" i="22"/>
  <c r="Q140" i="22"/>
  <c r="O141" i="22"/>
  <c r="Q120" i="22"/>
  <c r="O121" i="22"/>
  <c r="Q173" i="22"/>
  <c r="O174" i="22"/>
  <c r="Q47" i="22"/>
  <c r="O48" i="22"/>
  <c r="Q121" i="23"/>
  <c r="O122" i="23"/>
  <c r="Q176" i="23"/>
  <c r="O177" i="23"/>
  <c r="Q75" i="23"/>
  <c r="O76" i="23"/>
  <c r="Q255" i="23"/>
  <c r="O256" i="23"/>
  <c r="Q230" i="23"/>
  <c r="O231" i="23"/>
  <c r="Q222" i="210"/>
  <c r="O223" i="210"/>
  <c r="Q234" i="210"/>
  <c r="O235" i="210"/>
  <c r="Q179" i="210"/>
  <c r="O180" i="210"/>
  <c r="Q61" i="210"/>
  <c r="O62" i="210"/>
  <c r="Q62" i="227"/>
  <c r="O63" i="227"/>
  <c r="Q162" i="227"/>
  <c r="O163" i="227"/>
  <c r="Q222" i="227"/>
  <c r="O223" i="227"/>
  <c r="Q82" i="227"/>
  <c r="O83" i="227"/>
  <c r="Q249" i="229"/>
  <c r="O250" i="229"/>
  <c r="Q243" i="229"/>
  <c r="O244" i="229"/>
  <c r="Q172" i="229"/>
  <c r="O173" i="229"/>
  <c r="Q227" i="229"/>
  <c r="O228" i="229"/>
  <c r="Q69" i="229"/>
  <c r="O70" i="229"/>
  <c r="O235" i="228"/>
  <c r="Q110" i="22"/>
  <c r="O111" i="22"/>
  <c r="Q199" i="23"/>
  <c r="O200" i="23"/>
  <c r="Q238" i="210"/>
  <c r="O239" i="210"/>
  <c r="Q171" i="227"/>
  <c r="O172" i="227"/>
  <c r="Q66" i="229"/>
  <c r="O67" i="229"/>
  <c r="Q262" i="228"/>
  <c r="O263" i="228"/>
  <c r="Q133" i="23"/>
  <c r="O134" i="23"/>
  <c r="Q148" i="23"/>
  <c r="O149" i="23"/>
  <c r="Q220" i="210"/>
  <c r="O221" i="210"/>
  <c r="Q250" i="229"/>
  <c r="O251" i="229"/>
  <c r="Q187" i="229"/>
  <c r="O188" i="229"/>
  <c r="Q169" i="228"/>
  <c r="O170" i="228"/>
  <c r="Q178" i="22"/>
  <c r="O179" i="22"/>
  <c r="Q257" i="23"/>
  <c r="O258" i="23"/>
  <c r="Q251" i="23"/>
  <c r="O252" i="23"/>
  <c r="Q97" i="210"/>
  <c r="O98" i="210"/>
  <c r="Q214" i="227"/>
  <c r="O215" i="227"/>
  <c r="Q215" i="229"/>
  <c r="O216" i="229"/>
  <c r="Q102" i="210"/>
  <c r="O103" i="210"/>
  <c r="Q123" i="210"/>
  <c r="O124" i="210"/>
  <c r="Q263" i="23"/>
  <c r="O264" i="23"/>
  <c r="Q94" i="229"/>
  <c r="O95" i="229"/>
  <c r="Q34" i="210"/>
  <c r="O35" i="210"/>
  <c r="Q156" i="22"/>
  <c r="O157" i="22"/>
  <c r="Q33" i="229"/>
  <c r="O34" i="229"/>
  <c r="Q37" i="229"/>
  <c r="O38" i="229"/>
  <c r="Q28" i="210"/>
  <c r="O29" i="210"/>
  <c r="Q30" i="22"/>
  <c r="O31" i="22"/>
  <c r="Q111" i="228"/>
  <c r="O112" i="228"/>
  <c r="Q103" i="210"/>
  <c r="O104" i="210"/>
  <c r="Q51" i="227"/>
  <c r="O52" i="227"/>
  <c r="Q194" i="227"/>
  <c r="O195" i="227"/>
  <c r="Q130" i="23"/>
  <c r="O131" i="23"/>
  <c r="Q265" i="22"/>
  <c r="O266" i="22"/>
  <c r="Q195" i="227"/>
  <c r="O196" i="227"/>
  <c r="Q40" i="210"/>
  <c r="O41" i="210"/>
  <c r="Q45" i="229"/>
  <c r="O46" i="229"/>
  <c r="Q99" i="228"/>
  <c r="O100" i="228"/>
  <c r="Q49" i="22"/>
  <c r="O50" i="22"/>
  <c r="Q92" i="210"/>
  <c r="O93" i="210"/>
  <c r="Q219" i="22"/>
  <c r="O220" i="22"/>
  <c r="Q50" i="229"/>
  <c r="O51" i="229"/>
  <c r="Q56" i="23"/>
  <c r="O57" i="23"/>
  <c r="Q139" i="228"/>
  <c r="O140" i="228"/>
  <c r="Q134" i="23"/>
  <c r="O135" i="23"/>
  <c r="Q90" i="23"/>
  <c r="O91" i="23"/>
  <c r="Q192" i="22"/>
  <c r="O193" i="22"/>
  <c r="Q134" i="210"/>
  <c r="O135" i="210"/>
  <c r="Q250" i="22"/>
  <c r="O251" i="22"/>
  <c r="Q252" i="22"/>
  <c r="O253" i="22"/>
  <c r="Q91" i="23"/>
  <c r="O92" i="23"/>
  <c r="Q208" i="227"/>
  <c r="O209" i="227"/>
  <c r="Q95" i="228"/>
  <c r="O96" i="228"/>
  <c r="Q88" i="227"/>
  <c r="O89" i="227"/>
  <c r="Q121" i="227"/>
  <c r="O122" i="227"/>
  <c r="Q70" i="210"/>
  <c r="O71" i="210"/>
  <c r="Q232" i="227"/>
  <c r="O233" i="227"/>
  <c r="Q50" i="210"/>
  <c r="O51" i="210"/>
  <c r="H80" i="10"/>
  <c r="H87" i="10" s="1"/>
  <c r="Q154" i="228"/>
  <c r="O155" i="228"/>
  <c r="Q249" i="22"/>
  <c r="O250" i="22"/>
  <c r="Q204" i="22"/>
  <c r="O205" i="22"/>
  <c r="Q107" i="22"/>
  <c r="O108" i="22"/>
  <c r="Q136" i="22"/>
  <c r="O137" i="22"/>
  <c r="Q90" i="22"/>
  <c r="O91" i="22"/>
  <c r="Q96" i="23"/>
  <c r="O97" i="23"/>
  <c r="Q229" i="23"/>
  <c r="O230" i="23"/>
  <c r="Q66" i="23"/>
  <c r="O67" i="23"/>
  <c r="Q172" i="23"/>
  <c r="O173" i="23"/>
  <c r="Q262" i="23"/>
  <c r="O263" i="23"/>
  <c r="Q224" i="23"/>
  <c r="O225" i="23"/>
  <c r="Q54" i="210"/>
  <c r="O55" i="210"/>
  <c r="Q192" i="210"/>
  <c r="O193" i="210"/>
  <c r="Q57" i="210"/>
  <c r="O58" i="210"/>
  <c r="Q219" i="210"/>
  <c r="O220" i="210"/>
  <c r="Q259" i="210"/>
  <c r="O260" i="210"/>
  <c r="Q193" i="210"/>
  <c r="O194" i="210"/>
  <c r="Q128" i="227"/>
  <c r="O129" i="227"/>
  <c r="Q91" i="227"/>
  <c r="O92" i="227"/>
  <c r="Q252" i="227"/>
  <c r="O253" i="227"/>
  <c r="Q188" i="229"/>
  <c r="O189" i="229"/>
  <c r="Q129" i="229"/>
  <c r="O130" i="229"/>
  <c r="Q195" i="229"/>
  <c r="O196" i="229"/>
  <c r="Q242" i="229"/>
  <c r="O243" i="229"/>
  <c r="Q108" i="22"/>
  <c r="O109" i="22"/>
  <c r="Q237" i="22"/>
  <c r="O238" i="22"/>
  <c r="Q162" i="23"/>
  <c r="O163" i="23"/>
  <c r="Q115" i="210"/>
  <c r="O116" i="210"/>
  <c r="Q231" i="227"/>
  <c r="O232" i="227"/>
  <c r="Q256" i="229"/>
  <c r="O257" i="229"/>
  <c r="Q195" i="22"/>
  <c r="O196" i="22"/>
  <c r="Q241" i="23"/>
  <c r="O242" i="23"/>
  <c r="Q166" i="210"/>
  <c r="O167" i="210"/>
  <c r="Q93" i="210"/>
  <c r="O94" i="210"/>
  <c r="Q260" i="229"/>
  <c r="O261" i="229"/>
  <c r="Q224" i="228"/>
  <c r="O225" i="228"/>
  <c r="Q74" i="22"/>
  <c r="O75" i="22"/>
  <c r="Q62" i="23"/>
  <c r="O63" i="23"/>
  <c r="Q29" i="210"/>
  <c r="O30" i="210"/>
  <c r="Q95" i="227"/>
  <c r="O96" i="227"/>
  <c r="Q166" i="229"/>
  <c r="O167" i="229"/>
  <c r="Q30" i="228"/>
  <c r="O31" i="228"/>
  <c r="I116" i="14" s="1"/>
  <c r="Q108" i="10"/>
  <c r="R108" i="10" s="1"/>
  <c r="Q222" i="228"/>
  <c r="O223" i="228"/>
  <c r="Q27" i="22"/>
  <c r="O28" i="22"/>
  <c r="F84" i="217"/>
  <c r="O23" i="231" s="1"/>
  <c r="O26" i="231" s="1"/>
  <c r="Q26" i="231" s="1"/>
  <c r="R26" i="231" s="1"/>
  <c r="J32" i="1"/>
  <c r="D36" i="1"/>
  <c r="N84" i="217"/>
  <c r="AU23" i="231" s="1"/>
  <c r="J36" i="1"/>
  <c r="D32" i="1"/>
  <c r="N32" i="1"/>
  <c r="G30" i="1"/>
  <c r="E30" i="1"/>
  <c r="D169" i="10"/>
  <c r="P31" i="266"/>
  <c r="X31" i="266" s="1"/>
  <c r="T111" i="10" s="1"/>
  <c r="S111" i="10" s="1"/>
  <c r="H84" i="217"/>
  <c r="W23" i="231" s="1"/>
  <c r="J78" i="236"/>
  <c r="D97" i="234"/>
  <c r="D97" i="235" s="1"/>
  <c r="C84" i="217"/>
  <c r="C23" i="231" s="1"/>
  <c r="E23" i="231" s="1"/>
  <c r="I35" i="1"/>
  <c r="E35" i="1"/>
  <c r="N36" i="263"/>
  <c r="M33" i="1"/>
  <c r="I36" i="1"/>
  <c r="D69" i="262"/>
  <c r="O30" i="262"/>
  <c r="Q119" i="228"/>
  <c r="O120" i="228"/>
  <c r="Q51" i="210"/>
  <c r="O52" i="210"/>
  <c r="Q192" i="227"/>
  <c r="O193" i="227"/>
  <c r="Q154" i="227"/>
  <c r="O155" i="227"/>
  <c r="Q162" i="22"/>
  <c r="O163" i="22"/>
  <c r="Q35" i="229"/>
  <c r="O36" i="229"/>
  <c r="Q50" i="23"/>
  <c r="O51" i="23"/>
  <c r="Q133" i="22"/>
  <c r="O134" i="22"/>
  <c r="Q191" i="227"/>
  <c r="O192" i="227"/>
  <c r="Q51" i="228"/>
  <c r="O52" i="228"/>
  <c r="I19" i="276"/>
  <c r="I52" i="276"/>
  <c r="Q194" i="22"/>
  <c r="O195" i="22"/>
  <c r="Q229" i="22"/>
  <c r="O230" i="22"/>
  <c r="Q188" i="22"/>
  <c r="O189" i="22"/>
  <c r="Q64" i="227"/>
  <c r="O65" i="227"/>
  <c r="Q68" i="227"/>
  <c r="O69" i="227"/>
  <c r="Q206" i="229"/>
  <c r="O207" i="229"/>
  <c r="Q47" i="23"/>
  <c r="O48" i="23"/>
  <c r="Q118" i="227"/>
  <c r="O119" i="227"/>
  <c r="Q62" i="22"/>
  <c r="O63" i="22"/>
  <c r="O33" i="210"/>
  <c r="Q76" i="227"/>
  <c r="O77" i="227"/>
  <c r="Q212" i="229"/>
  <c r="O213" i="229"/>
  <c r="Q205" i="227"/>
  <c r="O206" i="227"/>
  <c r="Q95" i="229"/>
  <c r="O96" i="229"/>
  <c r="Q28" i="22"/>
  <c r="O29" i="22"/>
  <c r="Q106" i="210"/>
  <c r="O107" i="210"/>
  <c r="Q26" i="22"/>
  <c r="Q25" i="22"/>
  <c r="O27" i="22"/>
  <c r="Q83" i="228"/>
  <c r="O84" i="228"/>
  <c r="Q75" i="210"/>
  <c r="O76" i="210"/>
  <c r="Q138" i="227"/>
  <c r="O139" i="227"/>
  <c r="Q74" i="210"/>
  <c r="O75" i="210"/>
  <c r="Q34" i="227"/>
  <c r="O35" i="227"/>
  <c r="Q141" i="227"/>
  <c r="O142" i="227"/>
  <c r="Q34" i="22"/>
  <c r="Q110" i="10"/>
  <c r="R110" i="10" s="1"/>
  <c r="G116" i="16"/>
  <c r="F118" i="16"/>
  <c r="G117" i="16"/>
  <c r="Q142" i="229"/>
  <c r="O143" i="229"/>
  <c r="Q89" i="229"/>
  <c r="O90" i="229"/>
  <c r="Q37" i="22"/>
  <c r="O38" i="22"/>
  <c r="Q241" i="227"/>
  <c r="O242" i="227"/>
  <c r="Q25" i="228"/>
  <c r="Q26" i="228"/>
  <c r="O27" i="228"/>
  <c r="Q120" i="227"/>
  <c r="O121" i="227"/>
  <c r="Q79" i="210"/>
  <c r="O80" i="210"/>
  <c r="Q134" i="229"/>
  <c r="O135" i="229"/>
  <c r="Q108" i="210"/>
  <c r="O109" i="210"/>
  <c r="Q38" i="210"/>
  <c r="O39" i="210"/>
  <c r="Q254" i="227"/>
  <c r="O255" i="227"/>
  <c r="Q201" i="22"/>
  <c r="O202" i="22"/>
  <c r="Q34" i="229"/>
  <c r="O35" i="229"/>
  <c r="Q109" i="10"/>
  <c r="Q50" i="227"/>
  <c r="O51" i="227"/>
  <c r="Q159" i="210"/>
  <c r="O160" i="210"/>
  <c r="Q261" i="227"/>
  <c r="O262" i="227"/>
  <c r="Q43" i="229"/>
  <c r="O44" i="229"/>
  <c r="E124" i="249"/>
  <c r="E103" i="234"/>
  <c r="Q72" i="210"/>
  <c r="O73" i="210"/>
  <c r="Q83" i="10"/>
  <c r="R83" i="10" s="1"/>
  <c r="M80" i="10"/>
  <c r="M87" i="10" s="1"/>
  <c r="E52" i="231"/>
  <c r="F62" i="231"/>
  <c r="AY65" i="231"/>
  <c r="BA65" i="231" s="1"/>
  <c r="E65" i="231"/>
  <c r="P30" i="18"/>
  <c r="Q30" i="18" s="1"/>
  <c r="S37" i="18"/>
  <c r="O36" i="18"/>
  <c r="Q35" i="18"/>
  <c r="O39" i="18"/>
  <c r="Q38" i="18"/>
  <c r="O37" i="18"/>
  <c r="Q36" i="18"/>
  <c r="O47" i="18"/>
  <c r="Q46" i="18"/>
  <c r="O63" i="18"/>
  <c r="Q62" i="18"/>
  <c r="Q61" i="18"/>
  <c r="Q45" i="18"/>
  <c r="P29" i="18"/>
  <c r="P28" i="18"/>
  <c r="Q47" i="18"/>
  <c r="O48" i="18"/>
  <c r="O35" i="18"/>
  <c r="Q34" i="18"/>
  <c r="O66" i="18"/>
  <c r="O64" i="18"/>
  <c r="Q63" i="18"/>
  <c r="O28" i="18"/>
  <c r="O45" i="18"/>
  <c r="Q44" i="18"/>
  <c r="O31" i="18"/>
  <c r="O38" i="18"/>
  <c r="Q37" i="18"/>
  <c r="E29" i="20"/>
  <c r="G29" i="20" s="1"/>
  <c r="B30" i="20"/>
  <c r="O27" i="19"/>
  <c r="E95" i="14" s="1"/>
  <c r="P27" i="19"/>
  <c r="Q26" i="19" s="1"/>
  <c r="AY42" i="231"/>
  <c r="BB42" i="231" s="1"/>
  <c r="F44" i="231"/>
  <c r="F49" i="231"/>
  <c r="E47" i="231"/>
  <c r="E44" i="231"/>
  <c r="F33" i="231"/>
  <c r="E66" i="231"/>
  <c r="F34" i="231"/>
  <c r="E39" i="231"/>
  <c r="AY50" i="231"/>
  <c r="BB50" i="231" s="1"/>
  <c r="E43" i="231"/>
  <c r="E32" i="231"/>
  <c r="E59" i="231"/>
  <c r="F69" i="231"/>
  <c r="F52" i="231"/>
  <c r="E36" i="231"/>
  <c r="F36" i="231" s="1"/>
  <c r="N71" i="220"/>
  <c r="C22" i="276"/>
  <c r="G22" i="236"/>
  <c r="I22" i="236"/>
  <c r="C36" i="1"/>
  <c r="D138" i="14"/>
  <c r="E139" i="14" s="1"/>
  <c r="E44" i="232" s="1"/>
  <c r="M95" i="216"/>
  <c r="K28" i="1" s="1"/>
  <c r="O94" i="216"/>
  <c r="G22" i="276"/>
  <c r="G23" i="276" s="1"/>
  <c r="G25" i="276" s="1"/>
  <c r="F50" i="231"/>
  <c r="E61" i="231"/>
  <c r="F61" i="231" s="1"/>
  <c r="S62" i="10"/>
  <c r="C29" i="240"/>
  <c r="E29" i="239"/>
  <c r="B84" i="10"/>
  <c r="B29" i="266"/>
  <c r="B109" i="10" s="1"/>
  <c r="C68" i="240"/>
  <c r="E68" i="239"/>
  <c r="C22" i="220"/>
  <c r="F42" i="231"/>
  <c r="O95" i="216"/>
  <c r="M28" i="1" s="1"/>
  <c r="E60" i="231"/>
  <c r="N71" i="276"/>
  <c r="C49" i="264"/>
  <c r="A49" i="265"/>
  <c r="C49" i="265" s="1"/>
  <c r="J18" i="31"/>
  <c r="D36" i="31" s="1"/>
  <c r="H36" i="31" s="1"/>
  <c r="K18" i="31"/>
  <c r="H95" i="216"/>
  <c r="F28" i="1" s="1"/>
  <c r="K94" i="216"/>
  <c r="G95" i="216"/>
  <c r="E28" i="1" s="1"/>
  <c r="I94" i="216"/>
  <c r="N95" i="216"/>
  <c r="L28" i="1" s="1"/>
  <c r="F22" i="220"/>
  <c r="F23" i="220" s="1"/>
  <c r="F25" i="220" s="1"/>
  <c r="M71" i="276"/>
  <c r="H94" i="216"/>
  <c r="G94" i="216"/>
  <c r="M94" i="216"/>
  <c r="I22" i="276"/>
  <c r="I23" i="276" s="1"/>
  <c r="I25" i="276" s="1"/>
  <c r="G22" i="220"/>
  <c r="G23" i="220" s="1"/>
  <c r="G25" i="220" s="1"/>
  <c r="N94" i="216"/>
  <c r="F22" i="276"/>
  <c r="F23" i="276" s="1"/>
  <c r="F25" i="276" s="1"/>
  <c r="E64" i="231"/>
  <c r="E71" i="276"/>
  <c r="A16" i="265"/>
  <c r="C16" i="265" s="1"/>
  <c r="C16" i="264"/>
  <c r="E42" i="239"/>
  <c r="C42" i="240"/>
  <c r="P17" i="30"/>
  <c r="P21" i="30" s="1"/>
  <c r="P23" i="30" s="1"/>
  <c r="F25" i="215" s="1"/>
  <c r="C25" i="1"/>
  <c r="K116" i="14"/>
  <c r="N33" i="19"/>
  <c r="K94" i="14" s="1"/>
  <c r="M33" i="19"/>
  <c r="N34" i="19"/>
  <c r="M34" i="19"/>
  <c r="N38" i="19"/>
  <c r="M38" i="19"/>
  <c r="N42" i="19"/>
  <c r="M42" i="19"/>
  <c r="N32" i="19"/>
  <c r="J94" i="14" s="1"/>
  <c r="M32" i="19"/>
  <c r="N31" i="19"/>
  <c r="M31" i="19"/>
  <c r="N46" i="19"/>
  <c r="M46" i="19"/>
  <c r="N49" i="19"/>
  <c r="M49" i="19"/>
  <c r="S236" i="228"/>
  <c r="S232" i="228"/>
  <c r="S245" i="228"/>
  <c r="S238" i="228"/>
  <c r="F38" i="231"/>
  <c r="E38" i="231"/>
  <c r="N33" i="210"/>
  <c r="K109" i="14" s="1"/>
  <c r="M33" i="210"/>
  <c r="E41" i="231"/>
  <c r="F41" i="231"/>
  <c r="F57" i="231"/>
  <c r="E57" i="231"/>
  <c r="S224" i="228"/>
  <c r="S228" i="228"/>
  <c r="N82" i="210"/>
  <c r="S90" i="210" s="1"/>
  <c r="M82" i="210"/>
  <c r="N143" i="210"/>
  <c r="S144" i="210" s="1"/>
  <c r="M143" i="210"/>
  <c r="N184" i="210"/>
  <c r="M184" i="210"/>
  <c r="D23" i="7"/>
  <c r="S175" i="228"/>
  <c r="D54" i="24"/>
  <c r="F89" i="241"/>
  <c r="J90" i="238"/>
  <c r="H88" i="238"/>
  <c r="I89" i="238"/>
  <c r="G87" i="238"/>
  <c r="L76" i="241"/>
  <c r="J63" i="265" s="1"/>
  <c r="O75" i="238"/>
  <c r="M73" i="238"/>
  <c r="N74" i="238"/>
  <c r="P76" i="238"/>
  <c r="W26" i="231"/>
  <c r="Y26" i="231" s="1"/>
  <c r="Z26" i="231" s="1"/>
  <c r="Q47" i="238"/>
  <c r="O45" i="238"/>
  <c r="P46" i="238"/>
  <c r="N50" i="241"/>
  <c r="N52" i="241" s="1"/>
  <c r="N43" i="241" s="1"/>
  <c r="N47" i="241" s="1"/>
  <c r="H35" i="31"/>
  <c r="E18" i="1"/>
  <c r="D33" i="31"/>
  <c r="O61" i="238"/>
  <c r="X27" i="267"/>
  <c r="T82" i="10" s="1"/>
  <c r="S82" i="10" s="1"/>
  <c r="X28" i="266"/>
  <c r="T108" i="10" s="1"/>
  <c r="S108" i="10" s="1"/>
  <c r="E71" i="220"/>
  <c r="F60" i="1"/>
  <c r="F57" i="233"/>
  <c r="H44" i="16"/>
  <c r="I49" i="14"/>
  <c r="I34" i="218"/>
  <c r="H34" i="219"/>
  <c r="W41" i="231"/>
  <c r="M96" i="238"/>
  <c r="C81" i="253"/>
  <c r="D80" i="262"/>
  <c r="D53" i="264"/>
  <c r="I75" i="14"/>
  <c r="H80" i="219"/>
  <c r="I80" i="218"/>
  <c r="C44" i="253"/>
  <c r="G57" i="1"/>
  <c r="G51" i="233"/>
  <c r="L91" i="239"/>
  <c r="L82" i="239" s="1"/>
  <c r="L86" i="239" s="1"/>
  <c r="J78" i="263"/>
  <c r="J74" i="263"/>
  <c r="J76" i="263"/>
  <c r="J75" i="263"/>
  <c r="J73" i="263"/>
  <c r="J77" i="263"/>
  <c r="P63" i="241"/>
  <c r="P65" i="241" s="1"/>
  <c r="P56" i="241" s="1"/>
  <c r="P60" i="241" s="1"/>
  <c r="Q59" i="238"/>
  <c r="V47" i="231"/>
  <c r="U47" i="231"/>
  <c r="R57" i="231"/>
  <c r="Q57" i="231"/>
  <c r="E69" i="262"/>
  <c r="F26" i="3"/>
  <c r="H26" i="3" s="1"/>
  <c r="J26" i="3" s="1"/>
  <c r="L26" i="3" s="1"/>
  <c r="N26" i="3" s="1"/>
  <c r="D26" i="232"/>
  <c r="E26" i="232" s="1"/>
  <c r="F26" i="232" s="1"/>
  <c r="G26" i="232" s="1"/>
  <c r="H26" i="232" s="1"/>
  <c r="I26" i="232" s="1"/>
  <c r="J26" i="232" s="1"/>
  <c r="K26" i="232" s="1"/>
  <c r="L26" i="232" s="1"/>
  <c r="M26" i="232" s="1"/>
  <c r="N26" i="232" s="1"/>
  <c r="O26" i="232" s="1"/>
  <c r="P26" i="232" s="1"/>
  <c r="M39" i="240"/>
  <c r="M30" i="240" s="1"/>
  <c r="M34" i="240" s="1"/>
  <c r="K30" i="264"/>
  <c r="K34" i="264"/>
  <c r="K29" i="264"/>
  <c r="K32" i="264"/>
  <c r="O42" i="262"/>
  <c r="I75" i="238"/>
  <c r="G73" i="238"/>
  <c r="J76" i="238"/>
  <c r="H74" i="238"/>
  <c r="F76" i="241"/>
  <c r="D63" i="265" s="1"/>
  <c r="E57" i="252"/>
  <c r="E51" i="235"/>
  <c r="E57" i="253" s="1"/>
  <c r="O73" i="262"/>
  <c r="C80" i="262"/>
  <c r="D26" i="14"/>
  <c r="J14" i="29"/>
  <c r="G14" i="217"/>
  <c r="F73" i="1"/>
  <c r="F78" i="233"/>
  <c r="H63" i="240"/>
  <c r="K61" i="237"/>
  <c r="I59" i="237"/>
  <c r="L62" i="237"/>
  <c r="J60" i="237"/>
  <c r="G44" i="1"/>
  <c r="G40" i="220"/>
  <c r="G26" i="233"/>
  <c r="H70" i="14"/>
  <c r="G70" i="219"/>
  <c r="H70" i="218"/>
  <c r="S61" i="231"/>
  <c r="E44" i="252"/>
  <c r="E26" i="235"/>
  <c r="E44" i="253" s="1"/>
  <c r="E52" i="239"/>
  <c r="Q50" i="239"/>
  <c r="C42" i="263"/>
  <c r="C43" i="263"/>
  <c r="C44" i="263"/>
  <c r="C40" i="263"/>
  <c r="C45" i="263"/>
  <c r="C41" i="263"/>
  <c r="L52" i="239"/>
  <c r="L43" i="239" s="1"/>
  <c r="L47" i="239" s="1"/>
  <c r="J42" i="263"/>
  <c r="J41" i="263"/>
  <c r="J43" i="263"/>
  <c r="J44" i="263"/>
  <c r="J40" i="263"/>
  <c r="J45" i="263"/>
  <c r="F33" i="1"/>
  <c r="Q59" i="231"/>
  <c r="R59" i="231"/>
  <c r="P22" i="266"/>
  <c r="T22" i="266"/>
  <c r="Q22" i="266"/>
  <c r="V22" i="266"/>
  <c r="R22" i="266"/>
  <c r="S22" i="266"/>
  <c r="U22" i="266"/>
  <c r="C102" i="10"/>
  <c r="R102" i="10" s="1"/>
  <c r="W22" i="266"/>
  <c r="F71" i="276"/>
  <c r="J39" i="240"/>
  <c r="J30" i="240" s="1"/>
  <c r="J34" i="240" s="1"/>
  <c r="H30" i="264"/>
  <c r="H29" i="264"/>
  <c r="H34" i="264"/>
  <c r="H32" i="264"/>
  <c r="K69" i="262"/>
  <c r="Q36" i="237"/>
  <c r="D69" i="252"/>
  <c r="D70" i="235"/>
  <c r="D69" i="253" s="1"/>
  <c r="H33" i="264"/>
  <c r="N78" i="236"/>
  <c r="D68" i="252"/>
  <c r="D68" i="235"/>
  <c r="D68" i="253" s="1"/>
  <c r="O78" i="239"/>
  <c r="O69" i="239" s="1"/>
  <c r="O73" i="239" s="1"/>
  <c r="M62" i="263"/>
  <c r="M67" i="263"/>
  <c r="M63" i="263"/>
  <c r="M65" i="263"/>
  <c r="M66" i="263"/>
  <c r="M64" i="263"/>
  <c r="G80" i="262"/>
  <c r="J25" i="31"/>
  <c r="D43" i="31" s="1"/>
  <c r="F42" i="249"/>
  <c r="F38" i="276"/>
  <c r="F22" i="234"/>
  <c r="G31" i="264"/>
  <c r="I71" i="14"/>
  <c r="H72" i="219"/>
  <c r="I72" i="218"/>
  <c r="W62" i="231"/>
  <c r="G34" i="265"/>
  <c r="Q50" i="236"/>
  <c r="J54" i="238"/>
  <c r="C124" i="253"/>
  <c r="C105" i="235"/>
  <c r="G41" i="16"/>
  <c r="H46" i="14"/>
  <c r="G28" i="219"/>
  <c r="H28" i="218"/>
  <c r="S37" i="231"/>
  <c r="J30" i="216"/>
  <c r="J94" i="216"/>
  <c r="O32" i="262"/>
  <c r="D66" i="264"/>
  <c r="K50" i="240"/>
  <c r="O48" i="237"/>
  <c r="M46" i="237"/>
  <c r="N47" i="237"/>
  <c r="L45" i="237"/>
  <c r="I50" i="236"/>
  <c r="O62" i="238"/>
  <c r="M60" i="238"/>
  <c r="N61" i="238"/>
  <c r="L59" i="238"/>
  <c r="K63" i="241"/>
  <c r="K65" i="241" s="1"/>
  <c r="K56" i="241" s="1"/>
  <c r="K60" i="241" s="1"/>
  <c r="D20" i="1"/>
  <c r="D25" i="1" s="1"/>
  <c r="E29" i="270"/>
  <c r="F82" i="1"/>
  <c r="F95" i="233"/>
  <c r="F59" i="249"/>
  <c r="F55" i="234"/>
  <c r="J63" i="240"/>
  <c r="N62" i="237"/>
  <c r="L60" i="237"/>
  <c r="M61" i="237"/>
  <c r="K59" i="237"/>
  <c r="K52" i="239"/>
  <c r="K43" i="239" s="1"/>
  <c r="K47" i="239" s="1"/>
  <c r="I45" i="263"/>
  <c r="I41" i="263"/>
  <c r="I42" i="263"/>
  <c r="I43" i="263"/>
  <c r="I44" i="263"/>
  <c r="I40" i="263"/>
  <c r="V72" i="231"/>
  <c r="U72" i="231"/>
  <c r="N47" i="262"/>
  <c r="N39" i="240"/>
  <c r="N30" i="240" s="1"/>
  <c r="N34" i="240" s="1"/>
  <c r="L30" i="264"/>
  <c r="L29" i="264"/>
  <c r="L34" i="264"/>
  <c r="L32" i="264"/>
  <c r="F53" i="1"/>
  <c r="F49" i="220"/>
  <c r="F44" i="233"/>
  <c r="M64" i="236"/>
  <c r="F74" i="249"/>
  <c r="F80" i="234"/>
  <c r="X23" i="267"/>
  <c r="T78" i="10" s="1"/>
  <c r="S78" i="10" s="1"/>
  <c r="J80" i="262"/>
  <c r="L37" i="240"/>
  <c r="P34" i="237"/>
  <c r="P36" i="237" s="1"/>
  <c r="N32" i="237"/>
  <c r="O33" i="237"/>
  <c r="M31" i="237"/>
  <c r="H61" i="14"/>
  <c r="G57" i="219"/>
  <c r="H57" i="218"/>
  <c r="U69" i="231"/>
  <c r="V69" i="231"/>
  <c r="F91" i="240"/>
  <c r="F82" i="240" s="1"/>
  <c r="F86" i="240" s="1"/>
  <c r="D78" i="264"/>
  <c r="D76" i="264"/>
  <c r="D74" i="264"/>
  <c r="C37" i="276"/>
  <c r="C37" i="16"/>
  <c r="C37" i="220"/>
  <c r="F52" i="249"/>
  <c r="F48" i="276"/>
  <c r="F42" i="234"/>
  <c r="G52" i="239"/>
  <c r="G43" i="239" s="1"/>
  <c r="G47" i="239" s="1"/>
  <c r="E40" i="263"/>
  <c r="E44" i="263"/>
  <c r="E41" i="263"/>
  <c r="E42" i="263"/>
  <c r="E43" i="263"/>
  <c r="E45" i="263"/>
  <c r="G74" i="1"/>
  <c r="G80" i="233"/>
  <c r="N52" i="239"/>
  <c r="L45" i="263"/>
  <c r="L40" i="263"/>
  <c r="L41" i="263"/>
  <c r="L44" i="263"/>
  <c r="L42" i="263"/>
  <c r="L43" i="263"/>
  <c r="D37" i="3"/>
  <c r="F25" i="3"/>
  <c r="D25" i="232"/>
  <c r="I58" i="14"/>
  <c r="I51" i="218"/>
  <c r="H51" i="219"/>
  <c r="W49" i="231"/>
  <c r="E60" i="249"/>
  <c r="E57" i="234"/>
  <c r="E72" i="252"/>
  <c r="E76" i="235"/>
  <c r="E72" i="253" s="1"/>
  <c r="C75" i="253"/>
  <c r="V38" i="231"/>
  <c r="U38" i="231"/>
  <c r="I56" i="14"/>
  <c r="I47" i="218"/>
  <c r="H47" i="219"/>
  <c r="W47" i="231"/>
  <c r="F62" i="238"/>
  <c r="N63" i="240"/>
  <c r="Q61" i="237"/>
  <c r="O59" i="237"/>
  <c r="P60" i="237"/>
  <c r="G39" i="240"/>
  <c r="G30" i="240" s="1"/>
  <c r="G34" i="240" s="1"/>
  <c r="E30" i="264"/>
  <c r="E29" i="264"/>
  <c r="E32" i="264"/>
  <c r="E34" i="264"/>
  <c r="H66" i="14"/>
  <c r="G62" i="219"/>
  <c r="H62" i="218"/>
  <c r="S57" i="231"/>
  <c r="F124" i="249"/>
  <c r="F103" i="234"/>
  <c r="F105" i="233"/>
  <c r="H34" i="31"/>
  <c r="C65" i="253"/>
  <c r="O45" i="262"/>
  <c r="K75" i="237"/>
  <c r="I73" i="237"/>
  <c r="H76" i="240"/>
  <c r="L76" i="237"/>
  <c r="J74" i="237"/>
  <c r="D58" i="252"/>
  <c r="D53" i="235"/>
  <c r="D58" i="253" s="1"/>
  <c r="F44" i="249"/>
  <c r="F40" i="276"/>
  <c r="F26" i="234"/>
  <c r="M78" i="240"/>
  <c r="M69" i="240" s="1"/>
  <c r="M73" i="240" s="1"/>
  <c r="K62" i="264"/>
  <c r="R81" i="238"/>
  <c r="R40" i="237"/>
  <c r="C80" i="253"/>
  <c r="O76" i="262"/>
  <c r="R51" i="231"/>
  <c r="Q51" i="231"/>
  <c r="J65" i="265"/>
  <c r="M78" i="236"/>
  <c r="F58" i="262"/>
  <c r="F31" i="3"/>
  <c r="H31" i="3" s="1"/>
  <c r="J31" i="3" s="1"/>
  <c r="L31" i="3" s="1"/>
  <c r="N31" i="3" s="1"/>
  <c r="D31" i="232"/>
  <c r="E31" i="232" s="1"/>
  <c r="F31" i="232" s="1"/>
  <c r="G31" i="232" s="1"/>
  <c r="H31" i="232" s="1"/>
  <c r="I31" i="232" s="1"/>
  <c r="J31" i="232" s="1"/>
  <c r="K31" i="232" s="1"/>
  <c r="L31" i="232" s="1"/>
  <c r="M31" i="232" s="1"/>
  <c r="N31" i="232" s="1"/>
  <c r="O31" i="232" s="1"/>
  <c r="P31" i="232" s="1"/>
  <c r="I78" i="236"/>
  <c r="H63" i="241"/>
  <c r="H65" i="241" s="1"/>
  <c r="H56" i="241" s="1"/>
  <c r="H60" i="241" s="1"/>
  <c r="L62" i="238"/>
  <c r="J60" i="238"/>
  <c r="K61" i="238"/>
  <c r="I59" i="238"/>
  <c r="D74" i="252"/>
  <c r="D80" i="235"/>
  <c r="H40" i="16"/>
  <c r="I45" i="14"/>
  <c r="I26" i="218"/>
  <c r="H26" i="219"/>
  <c r="W36" i="231"/>
  <c r="O133" i="10"/>
  <c r="R135" i="10" s="1"/>
  <c r="C55" i="2" s="1"/>
  <c r="D55" i="2" s="1"/>
  <c r="E65" i="14"/>
  <c r="P65" i="14" s="1"/>
  <c r="F69" i="1"/>
  <c r="F70" i="233"/>
  <c r="I75" i="264"/>
  <c r="F67" i="1"/>
  <c r="F66" i="233"/>
  <c r="I29" i="10"/>
  <c r="F19" i="269"/>
  <c r="X22" i="267"/>
  <c r="T77" i="10" s="1"/>
  <c r="S77" i="10" s="1"/>
  <c r="F71" i="16"/>
  <c r="K33" i="264"/>
  <c r="D55" i="252"/>
  <c r="D47" i="235"/>
  <c r="H19" i="31"/>
  <c r="E79" i="252"/>
  <c r="E89" i="235"/>
  <c r="E79" i="253" s="1"/>
  <c r="N91" i="240"/>
  <c r="N82" i="240" s="1"/>
  <c r="N86" i="240" s="1"/>
  <c r="L76" i="264"/>
  <c r="L74" i="264"/>
  <c r="L78" i="264"/>
  <c r="D45" i="252"/>
  <c r="D28" i="235"/>
  <c r="D45" i="253" s="1"/>
  <c r="D28" i="232"/>
  <c r="E28" i="232" s="1"/>
  <c r="F28" i="232" s="1"/>
  <c r="G28" i="232" s="1"/>
  <c r="H28" i="232" s="1"/>
  <c r="I28" i="232" s="1"/>
  <c r="J28" i="232" s="1"/>
  <c r="K28" i="232" s="1"/>
  <c r="L28" i="232" s="1"/>
  <c r="M28" i="232" s="1"/>
  <c r="N28" i="232" s="1"/>
  <c r="O28" i="232" s="1"/>
  <c r="P28" i="232" s="1"/>
  <c r="F28" i="3"/>
  <c r="H28" i="3" s="1"/>
  <c r="J28" i="3" s="1"/>
  <c r="L28" i="3" s="1"/>
  <c r="N28" i="3" s="1"/>
  <c r="E61" i="252"/>
  <c r="E59" i="235"/>
  <c r="E61" i="253" s="1"/>
  <c r="I36" i="262"/>
  <c r="G61" i="1"/>
  <c r="G59" i="233"/>
  <c r="H31" i="264"/>
  <c r="E31" i="264"/>
  <c r="Q64" i="231"/>
  <c r="R64" i="231"/>
  <c r="O63" i="262"/>
  <c r="G70" i="1"/>
  <c r="G72" i="233"/>
  <c r="N65" i="239"/>
  <c r="N56" i="239" s="1"/>
  <c r="N60" i="239" s="1"/>
  <c r="L52" i="263"/>
  <c r="L55" i="263"/>
  <c r="L54" i="263"/>
  <c r="L53" i="263"/>
  <c r="L51" i="263"/>
  <c r="L56" i="263"/>
  <c r="P64" i="236"/>
  <c r="E70" i="252"/>
  <c r="E72" i="235"/>
  <c r="E70" i="253" s="1"/>
  <c r="K82" i="238"/>
  <c r="I34" i="216"/>
  <c r="G71" i="276" s="1"/>
  <c r="E78" i="249"/>
  <c r="E87" i="234"/>
  <c r="P50" i="236"/>
  <c r="L54" i="238"/>
  <c r="F72" i="249"/>
  <c r="F76" i="234"/>
  <c r="E53" i="249"/>
  <c r="E49" i="276"/>
  <c r="E44" i="234"/>
  <c r="O33" i="262"/>
  <c r="G116" i="220"/>
  <c r="G117" i="220"/>
  <c r="F118" i="220"/>
  <c r="D77" i="264"/>
  <c r="D77" i="265"/>
  <c r="J47" i="237"/>
  <c r="H45" i="237"/>
  <c r="G50" i="240"/>
  <c r="K48" i="237"/>
  <c r="I46" i="237"/>
  <c r="D61" i="252"/>
  <c r="D59" i="235"/>
  <c r="D61" i="253" s="1"/>
  <c r="F17" i="237"/>
  <c r="F22" i="237" s="1"/>
  <c r="I20" i="237"/>
  <c r="F99" i="237"/>
  <c r="C133" i="252" s="1"/>
  <c r="E24" i="240"/>
  <c r="G18" i="237"/>
  <c r="H19" i="237"/>
  <c r="E20" i="14"/>
  <c r="E26" i="14" s="1"/>
  <c r="E29" i="215"/>
  <c r="F52" i="239"/>
  <c r="F43" i="239" s="1"/>
  <c r="F47" i="239" s="1"/>
  <c r="D40" i="263"/>
  <c r="D44" i="263"/>
  <c r="D41" i="263"/>
  <c r="D43" i="263"/>
  <c r="D42" i="263"/>
  <c r="D45" i="263"/>
  <c r="F61" i="238"/>
  <c r="G62" i="238"/>
  <c r="P59" i="237"/>
  <c r="Q60" i="237"/>
  <c r="O63" i="240"/>
  <c r="L50" i="236"/>
  <c r="F75" i="1"/>
  <c r="F82" i="233"/>
  <c r="I80" i="14"/>
  <c r="H89" i="219"/>
  <c r="I89" i="218"/>
  <c r="W72" i="231"/>
  <c r="G49" i="16"/>
  <c r="H54" i="14"/>
  <c r="H44" i="218"/>
  <c r="G44" i="219"/>
  <c r="J55" i="264"/>
  <c r="X25" i="267"/>
  <c r="T80" i="10" s="1"/>
  <c r="S80" i="10" s="1"/>
  <c r="C45" i="253"/>
  <c r="G58" i="262"/>
  <c r="G89" i="238"/>
  <c r="H90" i="238"/>
  <c r="F88" i="238"/>
  <c r="Q87" i="237"/>
  <c r="P89" i="240"/>
  <c r="P34" i="238"/>
  <c r="N32" i="238"/>
  <c r="L37" i="241"/>
  <c r="J33" i="265" s="1"/>
  <c r="O33" i="238"/>
  <c r="M31" i="238"/>
  <c r="G77" i="1"/>
  <c r="G85" i="233"/>
  <c r="V53" i="231"/>
  <c r="U53" i="231"/>
  <c r="K91" i="240"/>
  <c r="K82" i="240" s="1"/>
  <c r="K86" i="240" s="1"/>
  <c r="I78" i="264"/>
  <c r="I76" i="264"/>
  <c r="I74" i="264"/>
  <c r="E41" i="252"/>
  <c r="E20" i="235"/>
  <c r="E41" i="253" s="1"/>
  <c r="E59" i="252"/>
  <c r="E55" i="235"/>
  <c r="E59" i="253" s="1"/>
  <c r="D48" i="252"/>
  <c r="D34" i="235"/>
  <c r="E52" i="252"/>
  <c r="E42" i="235"/>
  <c r="E52" i="253" s="1"/>
  <c r="I47" i="262"/>
  <c r="D43" i="252"/>
  <c r="D24" i="235"/>
  <c r="F46" i="249"/>
  <c r="F42" i="276"/>
  <c r="F30" i="234"/>
  <c r="J96" i="238"/>
  <c r="R43" i="231"/>
  <c r="Q43" i="231"/>
  <c r="F63" i="16"/>
  <c r="J12" i="214"/>
  <c r="F63" i="220"/>
  <c r="F63" i="276"/>
  <c r="M39" i="241"/>
  <c r="M30" i="241" s="1"/>
  <c r="M34" i="241" s="1"/>
  <c r="K30" i="265"/>
  <c r="I63" i="265"/>
  <c r="H42" i="16"/>
  <c r="I47" i="14"/>
  <c r="H30" i="219"/>
  <c r="I30" i="218"/>
  <c r="W38" i="231"/>
  <c r="H39" i="241"/>
  <c r="H30" i="241" s="1"/>
  <c r="H34" i="241" s="1"/>
  <c r="F30" i="265"/>
  <c r="D50" i="252"/>
  <c r="D38" i="235"/>
  <c r="M76" i="241"/>
  <c r="K63" i="265" s="1"/>
  <c r="P75" i="238"/>
  <c r="N73" i="238"/>
  <c r="Q76" i="238"/>
  <c r="O74" i="238"/>
  <c r="G55" i="1"/>
  <c r="G47" i="233"/>
  <c r="O52" i="262"/>
  <c r="I19" i="268"/>
  <c r="I19" i="267" s="1"/>
  <c r="I19" i="266" s="1"/>
  <c r="L48" i="10"/>
  <c r="C34" i="7"/>
  <c r="AR198" i="38"/>
  <c r="D21" i="24" s="1"/>
  <c r="F65" i="1"/>
  <c r="F62" i="233"/>
  <c r="P65" i="239"/>
  <c r="P56" i="239" s="1"/>
  <c r="P60" i="239" s="1"/>
  <c r="N54" i="263"/>
  <c r="N51" i="263"/>
  <c r="N56" i="263"/>
  <c r="N52" i="263"/>
  <c r="N55" i="263"/>
  <c r="N53" i="263"/>
  <c r="V45" i="231"/>
  <c r="U45" i="231"/>
  <c r="J21" i="16"/>
  <c r="J23" i="16" s="1"/>
  <c r="J24" i="16"/>
  <c r="F47" i="262"/>
  <c r="L76" i="238"/>
  <c r="J74" i="238"/>
  <c r="I73" i="238"/>
  <c r="K75" i="238"/>
  <c r="H76" i="241"/>
  <c r="F64" i="265" s="1"/>
  <c r="H56" i="276"/>
  <c r="H17" i="276"/>
  <c r="F66" i="249"/>
  <c r="F64" i="234"/>
  <c r="O74" i="262"/>
  <c r="U31" i="231"/>
  <c r="V31" i="231"/>
  <c r="K76" i="241"/>
  <c r="I65" i="265" s="1"/>
  <c r="N75" i="238"/>
  <c r="L73" i="238"/>
  <c r="O76" i="238"/>
  <c r="M74" i="238"/>
  <c r="H59" i="14"/>
  <c r="G53" i="219"/>
  <c r="H53" i="218"/>
  <c r="S51" i="231"/>
  <c r="N76" i="240"/>
  <c r="F76" i="238"/>
  <c r="Q75" i="237"/>
  <c r="O73" i="237"/>
  <c r="P74" i="237"/>
  <c r="F80" i="262"/>
  <c r="D57" i="252"/>
  <c r="D51" i="235"/>
  <c r="D57" i="253" s="1"/>
  <c r="H68" i="14"/>
  <c r="G66" i="219"/>
  <c r="H66" i="218"/>
  <c r="S59" i="231"/>
  <c r="D51" i="264"/>
  <c r="F36" i="238"/>
  <c r="F39" i="239"/>
  <c r="F30" i="239" s="1"/>
  <c r="F34" i="239" s="1"/>
  <c r="D34" i="263"/>
  <c r="D32" i="263"/>
  <c r="D30" i="263"/>
  <c r="D29" i="263"/>
  <c r="D33" i="263"/>
  <c r="D31" i="263"/>
  <c r="Q30" i="231"/>
  <c r="R30" i="231" s="1"/>
  <c r="K67" i="264"/>
  <c r="J36" i="262"/>
  <c r="P39" i="240"/>
  <c r="P30" i="240" s="1"/>
  <c r="P34" i="240" s="1"/>
  <c r="N30" i="264"/>
  <c r="N32" i="264"/>
  <c r="N29" i="264"/>
  <c r="N34" i="264"/>
  <c r="F70" i="249"/>
  <c r="F72" i="234"/>
  <c r="I65" i="239"/>
  <c r="I56" i="239" s="1"/>
  <c r="I60" i="239" s="1"/>
  <c r="G56" i="263"/>
  <c r="G55" i="263"/>
  <c r="G53" i="263"/>
  <c r="G52" i="263"/>
  <c r="G51" i="263"/>
  <c r="G54" i="263"/>
  <c r="J47" i="216"/>
  <c r="H22" i="220"/>
  <c r="H23" i="220" s="1"/>
  <c r="H25" i="220" s="1"/>
  <c r="H22" i="276"/>
  <c r="H23" i="276" s="1"/>
  <c r="H25" i="276" s="1"/>
  <c r="E30" i="239"/>
  <c r="E34" i="239" s="1"/>
  <c r="R19" i="30"/>
  <c r="R22" i="30" s="1"/>
  <c r="S18" i="30"/>
  <c r="E80" i="249"/>
  <c r="E91" i="234"/>
  <c r="C78" i="253"/>
  <c r="L80" i="262"/>
  <c r="I62" i="14"/>
  <c r="I59" i="218"/>
  <c r="H59" i="219"/>
  <c r="F31" i="264"/>
  <c r="F71" i="1"/>
  <c r="F74" i="233"/>
  <c r="O65" i="262"/>
  <c r="M63" i="240"/>
  <c r="Q62" i="237"/>
  <c r="O60" i="237"/>
  <c r="P61" i="237"/>
  <c r="N59" i="237"/>
  <c r="J91" i="240"/>
  <c r="J82" i="240" s="1"/>
  <c r="J86" i="240" s="1"/>
  <c r="H78" i="264"/>
  <c r="H74" i="264"/>
  <c r="H76" i="264"/>
  <c r="N92" i="236"/>
  <c r="C57" i="253"/>
  <c r="I77" i="264"/>
  <c r="H77" i="264"/>
  <c r="O99" i="237"/>
  <c r="L133" i="252" s="1"/>
  <c r="N24" i="240"/>
  <c r="P18" i="237"/>
  <c r="Q19" i="237"/>
  <c r="O17" i="237"/>
  <c r="F20" i="238"/>
  <c r="I50" i="240"/>
  <c r="L47" i="237"/>
  <c r="J45" i="237"/>
  <c r="K46" i="237"/>
  <c r="M48" i="237"/>
  <c r="L78" i="236"/>
  <c r="L96" i="238"/>
  <c r="K24" i="220"/>
  <c r="K21" i="220"/>
  <c r="K23" i="220" s="1"/>
  <c r="C82" i="253"/>
  <c r="F68" i="238"/>
  <c r="H68" i="238"/>
  <c r="P68" i="238"/>
  <c r="K68" i="238"/>
  <c r="H76" i="14"/>
  <c r="G82" i="219"/>
  <c r="H82" i="218"/>
  <c r="G79" i="1"/>
  <c r="G89" i="233"/>
  <c r="F41" i="249"/>
  <c r="F36" i="276"/>
  <c r="F20" i="234"/>
  <c r="F30" i="3"/>
  <c r="H30" i="3" s="1"/>
  <c r="J30" i="3" s="1"/>
  <c r="L30" i="3" s="1"/>
  <c r="N30" i="3" s="1"/>
  <c r="D30" i="232"/>
  <c r="E30" i="232" s="1"/>
  <c r="F30" i="232" s="1"/>
  <c r="G30" i="232" s="1"/>
  <c r="H30" i="232" s="1"/>
  <c r="I30" i="232" s="1"/>
  <c r="J30" i="232" s="1"/>
  <c r="K30" i="232" s="1"/>
  <c r="L30" i="232" s="1"/>
  <c r="M30" i="232" s="1"/>
  <c r="N30" i="232" s="1"/>
  <c r="O30" i="232" s="1"/>
  <c r="P30" i="232" s="1"/>
  <c r="O82" i="217"/>
  <c r="Q52" i="216"/>
  <c r="J78" i="240"/>
  <c r="J69" i="240" s="1"/>
  <c r="J73" i="240" s="1"/>
  <c r="H62" i="264"/>
  <c r="H69" i="264" s="1"/>
  <c r="O22" i="262"/>
  <c r="X20" i="267"/>
  <c r="T75" i="10" s="1"/>
  <c r="S75" i="10" s="1"/>
  <c r="X29" i="267"/>
  <c r="T84" i="10" s="1"/>
  <c r="S84" i="10" s="1"/>
  <c r="J78" i="239"/>
  <c r="J69" i="239" s="1"/>
  <c r="J73" i="239" s="1"/>
  <c r="H62" i="263"/>
  <c r="H65" i="263"/>
  <c r="H64" i="263"/>
  <c r="H67" i="263"/>
  <c r="H66" i="263"/>
  <c r="H63" i="263"/>
  <c r="F89" i="238"/>
  <c r="P87" i="237"/>
  <c r="Q88" i="237"/>
  <c r="O89" i="240"/>
  <c r="G90" i="238"/>
  <c r="F57" i="249"/>
  <c r="F51" i="234"/>
  <c r="I78" i="14"/>
  <c r="I85" i="218"/>
  <c r="H85" i="219"/>
  <c r="W69" i="231"/>
  <c r="I60" i="14"/>
  <c r="H55" i="219"/>
  <c r="I55" i="218"/>
  <c r="W53" i="231"/>
  <c r="H78" i="236"/>
  <c r="C56" i="253"/>
  <c r="N78" i="239"/>
  <c r="N69" i="239" s="1"/>
  <c r="N73" i="239" s="1"/>
  <c r="L62" i="263"/>
  <c r="L67" i="263"/>
  <c r="L63" i="263"/>
  <c r="L65" i="263"/>
  <c r="L66" i="263"/>
  <c r="L64" i="263"/>
  <c r="F49" i="1"/>
  <c r="F45" i="220"/>
  <c r="F36" i="233"/>
  <c r="F55" i="249"/>
  <c r="F47" i="234"/>
  <c r="E68" i="252"/>
  <c r="E68" i="235"/>
  <c r="E68" i="253" s="1"/>
  <c r="F32" i="3"/>
  <c r="H32" i="3" s="1"/>
  <c r="J32" i="3" s="1"/>
  <c r="L32" i="3" s="1"/>
  <c r="N32" i="3" s="1"/>
  <c r="D32" i="232"/>
  <c r="E32" i="232" s="1"/>
  <c r="F32" i="232" s="1"/>
  <c r="G32" i="232" s="1"/>
  <c r="H32" i="232" s="1"/>
  <c r="I32" i="232" s="1"/>
  <c r="J32" i="232" s="1"/>
  <c r="K32" i="232" s="1"/>
  <c r="L32" i="232" s="1"/>
  <c r="M32" i="232" s="1"/>
  <c r="N32" i="232" s="1"/>
  <c r="O32" i="232" s="1"/>
  <c r="P32" i="232" s="1"/>
  <c r="C60" i="253"/>
  <c r="G46" i="1"/>
  <c r="G42" i="220"/>
  <c r="G30" i="233"/>
  <c r="I91" i="240"/>
  <c r="I82" i="240" s="1"/>
  <c r="I86" i="240" s="1"/>
  <c r="G76" i="264"/>
  <c r="G74" i="264"/>
  <c r="G78" i="264"/>
  <c r="M12" i="213"/>
  <c r="H15" i="16"/>
  <c r="H15" i="220" s="1"/>
  <c r="H15" i="276" s="1"/>
  <c r="F34" i="3"/>
  <c r="H34" i="3" s="1"/>
  <c r="J34" i="3" s="1"/>
  <c r="L34" i="3" s="1"/>
  <c r="N34" i="3" s="1"/>
  <c r="D34" i="232"/>
  <c r="E34" i="232" s="1"/>
  <c r="F34" i="232" s="1"/>
  <c r="G34" i="232" s="1"/>
  <c r="H34" i="232" s="1"/>
  <c r="I34" i="232" s="1"/>
  <c r="J34" i="232" s="1"/>
  <c r="K34" i="232" s="1"/>
  <c r="L34" i="232" s="1"/>
  <c r="M34" i="232" s="1"/>
  <c r="N34" i="232" s="1"/>
  <c r="O34" i="232" s="1"/>
  <c r="P34" i="232" s="1"/>
  <c r="O54" i="262"/>
  <c r="K76" i="240"/>
  <c r="O76" i="237"/>
  <c r="M74" i="237"/>
  <c r="M78" i="237" s="1"/>
  <c r="N75" i="237"/>
  <c r="L73" i="237"/>
  <c r="E58" i="249"/>
  <c r="E53" i="234"/>
  <c r="H46" i="16"/>
  <c r="I51" i="14"/>
  <c r="I38" i="218"/>
  <c r="H38" i="219"/>
  <c r="W45" i="231"/>
  <c r="D53" i="252"/>
  <c r="D44" i="235"/>
  <c r="O43" i="262"/>
  <c r="D82" i="252"/>
  <c r="D95" i="235"/>
  <c r="D82" i="253" s="1"/>
  <c r="Q65" i="216"/>
  <c r="G39" i="1"/>
  <c r="G34" i="220"/>
  <c r="G16" i="233"/>
  <c r="F58" i="1"/>
  <c r="F53" i="233"/>
  <c r="I76" i="240"/>
  <c r="M76" i="237"/>
  <c r="K74" i="237"/>
  <c r="L75" i="237"/>
  <c r="J73" i="237"/>
  <c r="L78" i="239"/>
  <c r="L69" i="239" s="1"/>
  <c r="L73" i="239" s="1"/>
  <c r="J62" i="263"/>
  <c r="J66" i="263"/>
  <c r="J64" i="263"/>
  <c r="J67" i="263"/>
  <c r="J63" i="263"/>
  <c r="J65" i="263"/>
  <c r="E56" i="249"/>
  <c r="E49" i="234"/>
  <c r="U34" i="231"/>
  <c r="V34" i="231"/>
  <c r="V35" i="231"/>
  <c r="U35" i="231"/>
  <c r="I52" i="239"/>
  <c r="I43" i="239" s="1"/>
  <c r="I47" i="239" s="1"/>
  <c r="G42" i="263"/>
  <c r="G33" i="249" s="1"/>
  <c r="G45" i="263"/>
  <c r="G41" i="263"/>
  <c r="G44" i="263"/>
  <c r="G40" i="263"/>
  <c r="G43" i="263"/>
  <c r="E74" i="252"/>
  <c r="E80" i="235"/>
  <c r="E74" i="253" s="1"/>
  <c r="U58" i="231"/>
  <c r="V58" i="231"/>
  <c r="F38" i="1"/>
  <c r="F33" i="220"/>
  <c r="F97" i="219"/>
  <c r="F14" i="233"/>
  <c r="G48" i="238"/>
  <c r="F47" i="238"/>
  <c r="P45" i="237"/>
  <c r="O50" i="240"/>
  <c r="Q46" i="237"/>
  <c r="I64" i="236"/>
  <c r="C68" i="253"/>
  <c r="E67" i="249"/>
  <c r="E66" i="234"/>
  <c r="M65" i="239"/>
  <c r="M56" i="239" s="1"/>
  <c r="M60" i="239" s="1"/>
  <c r="K51" i="263"/>
  <c r="K56" i="263"/>
  <c r="K52" i="263"/>
  <c r="K55" i="263"/>
  <c r="K54" i="263"/>
  <c r="K53" i="263"/>
  <c r="L50" i="241"/>
  <c r="L52" i="241" s="1"/>
  <c r="L43" i="241" s="1"/>
  <c r="L47" i="241" s="1"/>
  <c r="P48" i="238"/>
  <c r="N46" i="238"/>
  <c r="O47" i="238"/>
  <c r="M45" i="238"/>
  <c r="F81" i="249"/>
  <c r="F93" i="234"/>
  <c r="N31" i="264"/>
  <c r="C31" i="265"/>
  <c r="H31" i="265"/>
  <c r="G31" i="265"/>
  <c r="N31" i="265"/>
  <c r="F31" i="265"/>
  <c r="M31" i="265"/>
  <c r="K31" i="265"/>
  <c r="L31" i="265"/>
  <c r="H72" i="14"/>
  <c r="G74" i="219"/>
  <c r="H74" i="218"/>
  <c r="S64" i="231"/>
  <c r="O67" i="262"/>
  <c r="N54" i="238"/>
  <c r="F34" i="265"/>
  <c r="K34" i="265"/>
  <c r="P52" i="239"/>
  <c r="P43" i="239" s="1"/>
  <c r="P47" i="239" s="1"/>
  <c r="N43" i="263"/>
  <c r="N42" i="263"/>
  <c r="N45" i="263"/>
  <c r="N44" i="263"/>
  <c r="N40" i="263"/>
  <c r="N41" i="263"/>
  <c r="C23" i="263"/>
  <c r="C22" i="263"/>
  <c r="C21" i="263"/>
  <c r="C19" i="263"/>
  <c r="E26" i="239"/>
  <c r="C20" i="263"/>
  <c r="C18" i="263"/>
  <c r="L50" i="240"/>
  <c r="P48" i="237"/>
  <c r="N46" i="237"/>
  <c r="O47" i="237"/>
  <c r="M45" i="237"/>
  <c r="E82" i="249"/>
  <c r="E95" i="234"/>
  <c r="H36" i="262"/>
  <c r="H31" i="1"/>
  <c r="G26" i="31"/>
  <c r="G36" i="262"/>
  <c r="O29" i="262"/>
  <c r="F79" i="249"/>
  <c r="F89" i="234"/>
  <c r="O31" i="238"/>
  <c r="O26" i="238"/>
  <c r="F26" i="238"/>
  <c r="E45" i="249"/>
  <c r="E41" i="276"/>
  <c r="E28" i="234"/>
  <c r="E58" i="262"/>
  <c r="G92" i="236"/>
  <c r="G60" i="237"/>
  <c r="G64" i="237" s="1"/>
  <c r="H61" i="237"/>
  <c r="I62" i="237"/>
  <c r="F59" i="237"/>
  <c r="F64" i="237" s="1"/>
  <c r="E63" i="240"/>
  <c r="R68" i="237"/>
  <c r="K37" i="240"/>
  <c r="N33" i="237"/>
  <c r="L31" i="237"/>
  <c r="L36" i="237" s="1"/>
  <c r="O34" i="237"/>
  <c r="M32" i="237"/>
  <c r="D49" i="252"/>
  <c r="D36" i="235"/>
  <c r="E49" i="249"/>
  <c r="E45" i="276"/>
  <c r="E36" i="234"/>
  <c r="K50" i="236"/>
  <c r="K97" i="236" s="1"/>
  <c r="M69" i="262"/>
  <c r="I26" i="238"/>
  <c r="F28" i="221"/>
  <c r="F78" i="239"/>
  <c r="F69" i="239" s="1"/>
  <c r="F73" i="239" s="1"/>
  <c r="D62" i="263"/>
  <c r="D64" i="263"/>
  <c r="D67" i="263"/>
  <c r="D63" i="263"/>
  <c r="D65" i="263"/>
  <c r="D66" i="263"/>
  <c r="G89" i="240"/>
  <c r="J89" i="237"/>
  <c r="H87" i="237"/>
  <c r="K90" i="237"/>
  <c r="I88" i="237"/>
  <c r="F89" i="16"/>
  <c r="G86" i="16"/>
  <c r="G59" i="1"/>
  <c r="G55" i="233"/>
  <c r="J48" i="237"/>
  <c r="H46" i="237"/>
  <c r="I47" i="237"/>
  <c r="G45" i="237"/>
  <c r="F50" i="240"/>
  <c r="D39" i="252"/>
  <c r="D16" i="235"/>
  <c r="I64" i="265"/>
  <c r="G45" i="16"/>
  <c r="H50" i="14"/>
  <c r="H36" i="218"/>
  <c r="G36" i="219"/>
  <c r="S43" i="231"/>
  <c r="X30" i="266"/>
  <c r="T110" i="10" s="1"/>
  <c r="S110" i="10" s="1"/>
  <c r="G65" i="239"/>
  <c r="G56" i="239" s="1"/>
  <c r="G60" i="239" s="1"/>
  <c r="E55" i="263"/>
  <c r="E53" i="263"/>
  <c r="E54" i="263"/>
  <c r="E34" i="249" s="1"/>
  <c r="E51" i="263"/>
  <c r="E56" i="263"/>
  <c r="E52" i="263"/>
  <c r="O60" i="217"/>
  <c r="D56" i="264"/>
  <c r="I56" i="265"/>
  <c r="G52" i="1"/>
  <c r="G48" i="220"/>
  <c r="G42" i="233"/>
  <c r="J24" i="31"/>
  <c r="D42" i="31" s="1"/>
  <c r="O56" i="262"/>
  <c r="F39" i="249"/>
  <c r="F34" i="276"/>
  <c r="F16" i="234"/>
  <c r="N36" i="237"/>
  <c r="G50" i="1"/>
  <c r="G46" i="220"/>
  <c r="G38" i="233"/>
  <c r="R48" i="231"/>
  <c r="Q48" i="231"/>
  <c r="F51" i="1"/>
  <c r="F47" i="220"/>
  <c r="F40" i="233"/>
  <c r="I39" i="241"/>
  <c r="I30" i="241" s="1"/>
  <c r="I34" i="241" s="1"/>
  <c r="G30" i="265"/>
  <c r="D52" i="264"/>
  <c r="M58" i="262"/>
  <c r="E82" i="216"/>
  <c r="E86" i="216" s="1"/>
  <c r="Q91" i="216"/>
  <c r="H34" i="16"/>
  <c r="I40" i="14"/>
  <c r="I16" i="218"/>
  <c r="H16" i="219"/>
  <c r="W31" i="231"/>
  <c r="F82" i="238"/>
  <c r="O82" i="238"/>
  <c r="J82" i="238"/>
  <c r="H38" i="16"/>
  <c r="I43" i="14"/>
  <c r="H22" i="219"/>
  <c r="I22" i="218"/>
  <c r="W34" i="231"/>
  <c r="E46" i="252"/>
  <c r="E30" i="235"/>
  <c r="E46" i="253" s="1"/>
  <c r="C59" i="253"/>
  <c r="C46" i="253"/>
  <c r="G43" i="1"/>
  <c r="G24" i="233"/>
  <c r="G39" i="220"/>
  <c r="I63" i="240"/>
  <c r="L61" i="237"/>
  <c r="J59" i="237"/>
  <c r="M62" i="237"/>
  <c r="K60" i="237"/>
  <c r="E55" i="252"/>
  <c r="E47" i="235"/>
  <c r="E55" i="253" s="1"/>
  <c r="I67" i="14"/>
  <c r="H64" i="219"/>
  <c r="I64" i="218"/>
  <c r="W58" i="231"/>
  <c r="J67" i="265"/>
  <c r="I67" i="265"/>
  <c r="D67" i="265"/>
  <c r="F32" i="265"/>
  <c r="K32" i="265"/>
  <c r="G75" i="238"/>
  <c r="Q73" i="237"/>
  <c r="F74" i="238"/>
  <c r="P76" i="240"/>
  <c r="H76" i="238"/>
  <c r="E33" i="264"/>
  <c r="C33" i="264"/>
  <c r="L69" i="262"/>
  <c r="M78" i="239"/>
  <c r="M69" i="239" s="1"/>
  <c r="M73" i="239" s="1"/>
  <c r="K62" i="263"/>
  <c r="K66" i="263"/>
  <c r="K64" i="263"/>
  <c r="K67" i="263"/>
  <c r="K63" i="263"/>
  <c r="K65" i="263"/>
  <c r="M50" i="240"/>
  <c r="Q48" i="237"/>
  <c r="O46" i="237"/>
  <c r="N45" i="237"/>
  <c r="P47" i="237"/>
  <c r="D44" i="252"/>
  <c r="D26" i="235"/>
  <c r="D44" i="253" s="1"/>
  <c r="G47" i="238"/>
  <c r="P50" i="240"/>
  <c r="H48" i="238"/>
  <c r="F46" i="238"/>
  <c r="Q45" i="237"/>
  <c r="F97" i="236"/>
  <c r="H47" i="262"/>
  <c r="H82" i="262" s="1"/>
  <c r="P78" i="236"/>
  <c r="P61" i="238"/>
  <c r="N59" i="238"/>
  <c r="M63" i="241"/>
  <c r="M65" i="241" s="1"/>
  <c r="M56" i="241" s="1"/>
  <c r="M60" i="241" s="1"/>
  <c r="O60" i="238"/>
  <c r="Q62" i="238"/>
  <c r="G47" i="262"/>
  <c r="Q78" i="236"/>
  <c r="U66" i="231"/>
  <c r="V66" i="231"/>
  <c r="O65" i="239"/>
  <c r="O56" i="239" s="1"/>
  <c r="O60" i="239" s="1"/>
  <c r="M55" i="263"/>
  <c r="M51" i="263"/>
  <c r="M54" i="263"/>
  <c r="M56" i="263"/>
  <c r="M52" i="263"/>
  <c r="M53" i="263"/>
  <c r="E48" i="252"/>
  <c r="E34" i="235"/>
  <c r="E48" i="253" s="1"/>
  <c r="D77" i="252"/>
  <c r="D85" i="235"/>
  <c r="D77" i="253" s="1"/>
  <c r="C79" i="253"/>
  <c r="D79" i="252"/>
  <c r="D89" i="235"/>
  <c r="D79" i="253" s="1"/>
  <c r="D54" i="264"/>
  <c r="K54" i="265"/>
  <c r="H52" i="239"/>
  <c r="H43" i="239" s="1"/>
  <c r="H47" i="239" s="1"/>
  <c r="F43" i="263"/>
  <c r="F42" i="263"/>
  <c r="F45" i="263"/>
  <c r="F44" i="263"/>
  <c r="F40" i="263"/>
  <c r="F41" i="263"/>
  <c r="J26" i="238"/>
  <c r="H23" i="31"/>
  <c r="C61" i="253"/>
  <c r="K78" i="239"/>
  <c r="K69" i="239" s="1"/>
  <c r="K73" i="239" s="1"/>
  <c r="I62" i="263"/>
  <c r="I65" i="263"/>
  <c r="I64" i="263"/>
  <c r="I67" i="263"/>
  <c r="I63" i="263"/>
  <c r="I66" i="263"/>
  <c r="R95" i="238"/>
  <c r="E39" i="252"/>
  <c r="E16" i="235"/>
  <c r="E39" i="253" s="1"/>
  <c r="O34" i="238"/>
  <c r="M32" i="238"/>
  <c r="L31" i="238"/>
  <c r="L36" i="238" s="1"/>
  <c r="N33" i="238"/>
  <c r="K37" i="241"/>
  <c r="I31" i="265" s="1"/>
  <c r="Q39" i="216"/>
  <c r="O92" i="236"/>
  <c r="I55" i="265"/>
  <c r="F69" i="262"/>
  <c r="O39" i="240"/>
  <c r="O30" i="240" s="1"/>
  <c r="O34" i="240" s="1"/>
  <c r="M30" i="264"/>
  <c r="M29" i="264"/>
  <c r="M32" i="264"/>
  <c r="M34" i="264"/>
  <c r="L90" i="237"/>
  <c r="J88" i="237"/>
  <c r="H89" i="240"/>
  <c r="K89" i="237"/>
  <c r="I87" i="237"/>
  <c r="H36" i="263"/>
  <c r="G124" i="1"/>
  <c r="G103" i="233"/>
  <c r="G105" i="219"/>
  <c r="C81" i="241"/>
  <c r="E81" i="241" s="1"/>
  <c r="E81" i="240"/>
  <c r="F40" i="249"/>
  <c r="F35" i="276"/>
  <c r="F18" i="234"/>
  <c r="L41" i="265"/>
  <c r="J41" i="265"/>
  <c r="R39" i="231"/>
  <c r="Q39" i="231"/>
  <c r="Q61" i="238"/>
  <c r="O59" i="238"/>
  <c r="N63" i="241"/>
  <c r="N65" i="241" s="1"/>
  <c r="N56" i="241" s="1"/>
  <c r="N60" i="241" s="1"/>
  <c r="P60" i="238"/>
  <c r="C48" i="231"/>
  <c r="E65" i="249"/>
  <c r="E62" i="234"/>
  <c r="M36" i="236"/>
  <c r="F77" i="249"/>
  <c r="F85" i="234"/>
  <c r="C66" i="253"/>
  <c r="D72" i="252"/>
  <c r="D76" i="235"/>
  <c r="D72" i="253" s="1"/>
  <c r="H48" i="16"/>
  <c r="I53" i="14"/>
  <c r="I42" i="218"/>
  <c r="H42" i="219"/>
  <c r="V32" i="231"/>
  <c r="U32" i="231"/>
  <c r="E47" i="249"/>
  <c r="E43" i="276"/>
  <c r="E32" i="234"/>
  <c r="D58" i="262"/>
  <c r="O51" i="262"/>
  <c r="E78" i="239"/>
  <c r="Q76" i="239"/>
  <c r="C62" i="263"/>
  <c r="C67" i="263"/>
  <c r="C63" i="263"/>
  <c r="C65" i="263"/>
  <c r="C66" i="263"/>
  <c r="C64" i="263"/>
  <c r="F56" i="1"/>
  <c r="F49" i="233"/>
  <c r="G47" i="16"/>
  <c r="H52" i="14"/>
  <c r="G40" i="219"/>
  <c r="H40" i="218"/>
  <c r="E69" i="249"/>
  <c r="E70" i="234"/>
  <c r="J52" i="264"/>
  <c r="O77" i="262"/>
  <c r="J39" i="241"/>
  <c r="J30" i="241" s="1"/>
  <c r="J34" i="241" s="1"/>
  <c r="H30" i="265"/>
  <c r="G74" i="237"/>
  <c r="G78" i="237" s="1"/>
  <c r="H75" i="237"/>
  <c r="E76" i="240"/>
  <c r="F73" i="237"/>
  <c r="F78" i="237" s="1"/>
  <c r="R82" i="237"/>
  <c r="I76" i="237"/>
  <c r="G42" i="1"/>
  <c r="G38" i="220"/>
  <c r="G22" i="233"/>
  <c r="H78" i="239"/>
  <c r="H69" i="239" s="1"/>
  <c r="H73" i="239" s="1"/>
  <c r="F62" i="263"/>
  <c r="F66" i="263"/>
  <c r="F67" i="263"/>
  <c r="F63" i="263"/>
  <c r="F64" i="263"/>
  <c r="F65" i="263"/>
  <c r="E51" i="249"/>
  <c r="E47" i="276"/>
  <c r="E40" i="234"/>
  <c r="H39" i="16"/>
  <c r="I44" i="14"/>
  <c r="I24" i="218"/>
  <c r="H24" i="219"/>
  <c r="W35" i="231"/>
  <c r="M62" i="238"/>
  <c r="K60" i="238"/>
  <c r="I63" i="241"/>
  <c r="I65" i="241" s="1"/>
  <c r="I56" i="241" s="1"/>
  <c r="I60" i="241" s="1"/>
  <c r="J59" i="238"/>
  <c r="L61" i="238"/>
  <c r="C77" i="253"/>
  <c r="J51" i="264"/>
  <c r="V60" i="231"/>
  <c r="U60" i="231"/>
  <c r="G66" i="1"/>
  <c r="G64" i="233"/>
  <c r="Q74" i="231"/>
  <c r="R74" i="231"/>
  <c r="G33" i="16"/>
  <c r="H39" i="14"/>
  <c r="G97" i="218"/>
  <c r="G14" i="219"/>
  <c r="H14" i="218"/>
  <c r="S30" i="231"/>
  <c r="H32" i="265"/>
  <c r="Q82" i="238"/>
  <c r="C69" i="253"/>
  <c r="G81" i="1"/>
  <c r="G93" i="233"/>
  <c r="H50" i="240"/>
  <c r="K47" i="237"/>
  <c r="I45" i="237"/>
  <c r="L48" i="237"/>
  <c r="J46" i="237"/>
  <c r="F68" i="249"/>
  <c r="F68" i="234"/>
  <c r="H52" i="220"/>
  <c r="H19" i="220"/>
  <c r="C72" i="253"/>
  <c r="E81" i="252"/>
  <c r="E93" i="235"/>
  <c r="E81" i="253" s="1"/>
  <c r="G72" i="1"/>
  <c r="G76" i="233"/>
  <c r="D65" i="252"/>
  <c r="D62" i="235"/>
  <c r="D65" i="253" s="1"/>
  <c r="M89" i="240"/>
  <c r="P89" i="237"/>
  <c r="N87" i="237"/>
  <c r="Q90" i="237"/>
  <c r="O88" i="237"/>
  <c r="N34" i="265"/>
  <c r="O64" i="236"/>
  <c r="E43" i="252"/>
  <c r="E24" i="235"/>
  <c r="E43" i="253" s="1"/>
  <c r="N58" i="262"/>
  <c r="E38" i="249"/>
  <c r="E33" i="276"/>
  <c r="E14" i="234"/>
  <c r="E97" i="233"/>
  <c r="E65" i="239"/>
  <c r="Q63" i="239"/>
  <c r="C51" i="263"/>
  <c r="C56" i="263"/>
  <c r="C52" i="263"/>
  <c r="C55" i="263"/>
  <c r="C54" i="263"/>
  <c r="C53" i="263"/>
  <c r="O52" i="239"/>
  <c r="O43" i="239" s="1"/>
  <c r="O47" i="239" s="1"/>
  <c r="M44" i="263"/>
  <c r="M45" i="263"/>
  <c r="M41" i="263"/>
  <c r="M42" i="263"/>
  <c r="M43" i="263"/>
  <c r="M40" i="263"/>
  <c r="V33" i="231"/>
  <c r="U33" i="231"/>
  <c r="N39" i="241"/>
  <c r="N30" i="241" s="1"/>
  <c r="N34" i="241" s="1"/>
  <c r="L30" i="265"/>
  <c r="H56" i="16"/>
  <c r="H17" i="16"/>
  <c r="C67" i="253"/>
  <c r="P31" i="238"/>
  <c r="D20" i="253"/>
  <c r="E29" i="273"/>
  <c r="F91" i="239"/>
  <c r="F82" i="239" s="1"/>
  <c r="F86" i="239" s="1"/>
  <c r="D78" i="263"/>
  <c r="D74" i="263"/>
  <c r="D76" i="263"/>
  <c r="D73" i="263"/>
  <c r="D77" i="263"/>
  <c r="D75" i="263"/>
  <c r="F48" i="249"/>
  <c r="F44" i="276"/>
  <c r="F34" i="234"/>
  <c r="J75" i="237"/>
  <c r="H73" i="237"/>
  <c r="K76" i="237"/>
  <c r="G76" i="240"/>
  <c r="I74" i="237"/>
  <c r="Q70" i="231"/>
  <c r="R70" i="231"/>
  <c r="R67" i="238"/>
  <c r="E34" i="216"/>
  <c r="C71" i="220" s="1"/>
  <c r="D42" i="252"/>
  <c r="D22" i="235"/>
  <c r="F96" i="238"/>
  <c r="H96" i="238"/>
  <c r="P96" i="238"/>
  <c r="I96" i="238"/>
  <c r="Q96" i="238"/>
  <c r="I128" i="14"/>
  <c r="J65" i="232" s="1"/>
  <c r="I104" i="218"/>
  <c r="H103" i="219"/>
  <c r="V41" i="231"/>
  <c r="U41" i="231"/>
  <c r="L92" i="237"/>
  <c r="G78" i="239"/>
  <c r="G69" i="239" s="1"/>
  <c r="G73" i="239" s="1"/>
  <c r="E62" i="263"/>
  <c r="E67" i="263"/>
  <c r="E63" i="263"/>
  <c r="E65" i="263"/>
  <c r="E66" i="263"/>
  <c r="E64" i="263"/>
  <c r="K39" i="239"/>
  <c r="K30" i="239" s="1"/>
  <c r="K34" i="239" s="1"/>
  <c r="I29" i="263"/>
  <c r="I34" i="263"/>
  <c r="I32" i="263"/>
  <c r="I30" i="263"/>
  <c r="I33" i="263"/>
  <c r="I31" i="263"/>
  <c r="E75" i="249"/>
  <c r="E82" i="234"/>
  <c r="E50" i="252"/>
  <c r="E38" i="235"/>
  <c r="E50" i="253" s="1"/>
  <c r="K65" i="239"/>
  <c r="K56" i="239" s="1"/>
  <c r="K60" i="239" s="1"/>
  <c r="I55" i="263"/>
  <c r="I54" i="263"/>
  <c r="I53" i="263"/>
  <c r="I51" i="263"/>
  <c r="I56" i="263"/>
  <c r="I52" i="263"/>
  <c r="F53" i="265"/>
  <c r="F47" i="1"/>
  <c r="F43" i="220"/>
  <c r="F32" i="233"/>
  <c r="D78" i="252"/>
  <c r="D87" i="235"/>
  <c r="D78" i="253" s="1"/>
  <c r="D52" i="252"/>
  <c r="D42" i="235"/>
  <c r="C70" i="253"/>
  <c r="H35" i="16"/>
  <c r="I41" i="14"/>
  <c r="H18" i="219"/>
  <c r="I18" i="218"/>
  <c r="W32" i="231"/>
  <c r="O53" i="262"/>
  <c r="K36" i="263"/>
  <c r="H57" i="14"/>
  <c r="G49" i="219"/>
  <c r="H49" i="218"/>
  <c r="S48" i="231"/>
  <c r="E73" i="249"/>
  <c r="E78" i="234"/>
  <c r="C47" i="253"/>
  <c r="E39" i="240"/>
  <c r="C30" i="264"/>
  <c r="C32" i="264"/>
  <c r="C34" i="264"/>
  <c r="C29" i="264"/>
  <c r="J34" i="237"/>
  <c r="J36" i="237" s="1"/>
  <c r="H32" i="237"/>
  <c r="H36" i="237" s="1"/>
  <c r="F37" i="240"/>
  <c r="I33" i="237"/>
  <c r="I36" i="237" s="1"/>
  <c r="G31" i="237"/>
  <c r="G36" i="237" s="1"/>
  <c r="O78" i="262"/>
  <c r="K36" i="238"/>
  <c r="X21" i="266"/>
  <c r="T101" i="10" s="1"/>
  <c r="S101" i="10" s="1"/>
  <c r="D73" i="252"/>
  <c r="D78" i="235"/>
  <c r="D73" i="253" s="1"/>
  <c r="K65" i="264"/>
  <c r="Q36" i="238"/>
  <c r="L78" i="240"/>
  <c r="L69" i="240" s="1"/>
  <c r="L73" i="240" s="1"/>
  <c r="J62" i="264"/>
  <c r="I39" i="240"/>
  <c r="I30" i="240" s="1"/>
  <c r="I34" i="240" s="1"/>
  <c r="G30" i="264"/>
  <c r="G29" i="264"/>
  <c r="G34" i="264"/>
  <c r="G32" i="264"/>
  <c r="L40" i="265"/>
  <c r="D75" i="264"/>
  <c r="F78" i="240"/>
  <c r="F69" i="240" s="1"/>
  <c r="F73" i="240" s="1"/>
  <c r="D62" i="264"/>
  <c r="D69" i="264" s="1"/>
  <c r="F75" i="238"/>
  <c r="P73" i="237"/>
  <c r="O76" i="240"/>
  <c r="G76" i="238"/>
  <c r="Q74" i="237"/>
  <c r="G68" i="1"/>
  <c r="G68" i="233"/>
  <c r="F80" i="1"/>
  <c r="F91" i="233"/>
  <c r="K36" i="237"/>
  <c r="H86" i="220"/>
  <c r="G89" i="220"/>
  <c r="I82" i="14"/>
  <c r="I93" i="218"/>
  <c r="H93" i="219"/>
  <c r="M71" i="16"/>
  <c r="F54" i="238"/>
  <c r="Q54" i="238"/>
  <c r="I54" i="238"/>
  <c r="J64" i="236"/>
  <c r="D73" i="264"/>
  <c r="N64" i="236"/>
  <c r="C36" i="263"/>
  <c r="P78" i="239"/>
  <c r="P69" i="239" s="1"/>
  <c r="P73" i="239" s="1"/>
  <c r="N62" i="263"/>
  <c r="N66" i="263"/>
  <c r="N63" i="263"/>
  <c r="N64" i="263"/>
  <c r="N67" i="263"/>
  <c r="N65" i="263"/>
  <c r="I73" i="14"/>
  <c r="I76" i="218"/>
  <c r="H76" i="219"/>
  <c r="W66" i="231"/>
  <c r="O62" i="262"/>
  <c r="K34" i="216"/>
  <c r="K95" i="216" s="1"/>
  <c r="I28" i="1" s="1"/>
  <c r="L42" i="265"/>
  <c r="K31" i="264"/>
  <c r="N96" i="238"/>
  <c r="H54" i="238"/>
  <c r="Q37" i="231"/>
  <c r="R37" i="231" s="1"/>
  <c r="H34" i="1"/>
  <c r="J66" i="264"/>
  <c r="G41" i="1"/>
  <c r="G36" i="220"/>
  <c r="G20" i="233"/>
  <c r="C41" i="253"/>
  <c r="L45" i="265"/>
  <c r="M91" i="239"/>
  <c r="M82" i="239" s="1"/>
  <c r="M86" i="239" s="1"/>
  <c r="K78" i="263"/>
  <c r="K76" i="263"/>
  <c r="K74" i="263"/>
  <c r="K75" i="263"/>
  <c r="K73" i="263"/>
  <c r="K77" i="263"/>
  <c r="O39" i="241"/>
  <c r="O30" i="241" s="1"/>
  <c r="O34" i="241" s="1"/>
  <c r="M30" i="265"/>
  <c r="J50" i="240"/>
  <c r="M47" i="237"/>
  <c r="K45" i="237"/>
  <c r="N48" i="237"/>
  <c r="L46" i="237"/>
  <c r="D20" i="252"/>
  <c r="E29" i="272"/>
  <c r="E77" i="252"/>
  <c r="E85" i="235"/>
  <c r="E77" i="253" s="1"/>
  <c r="H82" i="238"/>
  <c r="H79" i="14"/>
  <c r="G87" i="219"/>
  <c r="H87" i="218"/>
  <c r="S70" i="231"/>
  <c r="G68" i="238"/>
  <c r="N91" i="239"/>
  <c r="N82" i="239" s="1"/>
  <c r="N86" i="239" s="1"/>
  <c r="L76" i="263"/>
  <c r="L74" i="263"/>
  <c r="L78" i="263"/>
  <c r="L73" i="263"/>
  <c r="L77" i="263"/>
  <c r="L75" i="263"/>
  <c r="D55" i="264"/>
  <c r="O44" i="262"/>
  <c r="E153" i="10"/>
  <c r="J153" i="10"/>
  <c r="E89" i="240"/>
  <c r="F87" i="237"/>
  <c r="F92" i="237" s="1"/>
  <c r="G88" i="237"/>
  <c r="G92" i="237" s="1"/>
  <c r="H89" i="237"/>
  <c r="I90" i="237"/>
  <c r="R96" i="237"/>
  <c r="G48" i="1"/>
  <c r="G44" i="220"/>
  <c r="G34" i="233"/>
  <c r="L89" i="240"/>
  <c r="O89" i="237"/>
  <c r="O92" i="237" s="1"/>
  <c r="M87" i="237"/>
  <c r="M92" i="237" s="1"/>
  <c r="P90" i="237"/>
  <c r="N88" i="237"/>
  <c r="F47" i="29"/>
  <c r="F95" i="29" s="1"/>
  <c r="E29" i="14" s="1"/>
  <c r="D22" i="16"/>
  <c r="D23" i="16" s="1"/>
  <c r="D25" i="16" s="1"/>
  <c r="F27" i="3"/>
  <c r="H27" i="3" s="1"/>
  <c r="J27" i="3" s="1"/>
  <c r="L27" i="3" s="1"/>
  <c r="N27" i="3" s="1"/>
  <c r="D27" i="232"/>
  <c r="E27" i="232" s="1"/>
  <c r="F27" i="232" s="1"/>
  <c r="G27" i="232" s="1"/>
  <c r="H27" i="232" s="1"/>
  <c r="I27" i="232" s="1"/>
  <c r="J27" i="232" s="1"/>
  <c r="K27" i="232" s="1"/>
  <c r="L27" i="232" s="1"/>
  <c r="M27" i="232" s="1"/>
  <c r="N27" i="232" s="1"/>
  <c r="O27" i="232" s="1"/>
  <c r="P27" i="232" s="1"/>
  <c r="I80" i="262"/>
  <c r="G43" i="16"/>
  <c r="H48" i="14"/>
  <c r="G32" i="219"/>
  <c r="H32" i="218"/>
  <c r="S39" i="231"/>
  <c r="U49" i="231"/>
  <c r="V49" i="231"/>
  <c r="L39" i="239"/>
  <c r="L30" i="239" s="1"/>
  <c r="L34" i="239" s="1"/>
  <c r="J29" i="263"/>
  <c r="J34" i="263"/>
  <c r="J32" i="263"/>
  <c r="J30" i="263"/>
  <c r="J33" i="263"/>
  <c r="J31" i="263"/>
  <c r="G61" i="238"/>
  <c r="P63" i="240"/>
  <c r="H62" i="238"/>
  <c r="Q59" i="237"/>
  <c r="F60" i="238"/>
  <c r="F50" i="249"/>
  <c r="F46" i="276"/>
  <c r="F38" i="234"/>
  <c r="K80" i="262"/>
  <c r="K82" i="262" s="1"/>
  <c r="J56" i="264"/>
  <c r="J92" i="237"/>
  <c r="G40" i="1"/>
  <c r="G35" i="220"/>
  <c r="G18" i="233"/>
  <c r="E80" i="262"/>
  <c r="E82" i="262" s="1"/>
  <c r="E36" i="263"/>
  <c r="O55" i="262"/>
  <c r="H20" i="232"/>
  <c r="P20" i="232"/>
  <c r="O20" i="232"/>
  <c r="L20" i="232"/>
  <c r="I20" i="232"/>
  <c r="M20" i="232"/>
  <c r="F20" i="232"/>
  <c r="N20" i="232"/>
  <c r="G20" i="232"/>
  <c r="K20" i="232"/>
  <c r="J20" i="232"/>
  <c r="O41" i="262"/>
  <c r="H39" i="240"/>
  <c r="H30" i="240" s="1"/>
  <c r="H34" i="240" s="1"/>
  <c r="F30" i="264"/>
  <c r="F34" i="264"/>
  <c r="F32" i="264"/>
  <c r="F29" i="264"/>
  <c r="N78" i="237"/>
  <c r="F43" i="249"/>
  <c r="F39" i="276"/>
  <c r="F24" i="234"/>
  <c r="G40" i="238"/>
  <c r="R39" i="238"/>
  <c r="O75" i="262"/>
  <c r="Q78" i="216"/>
  <c r="P39" i="241"/>
  <c r="P30" i="241" s="1"/>
  <c r="P34" i="241" s="1"/>
  <c r="N30" i="265"/>
  <c r="P45" i="238"/>
  <c r="H74" i="14"/>
  <c r="G78" i="219"/>
  <c r="H78" i="218"/>
  <c r="V36" i="231"/>
  <c r="U36" i="231"/>
  <c r="O96" i="238"/>
  <c r="R61" i="231"/>
  <c r="Q61" i="231"/>
  <c r="G75" i="264"/>
  <c r="J50" i="236"/>
  <c r="E39" i="241"/>
  <c r="C30" i="265"/>
  <c r="P82" i="238"/>
  <c r="I69" i="14"/>
  <c r="I68" i="218"/>
  <c r="H68" i="219"/>
  <c r="W60" i="231"/>
  <c r="H81" i="14"/>
  <c r="G91" i="219"/>
  <c r="H91" i="218"/>
  <c r="S74" i="231"/>
  <c r="C32" i="265"/>
  <c r="L34" i="216"/>
  <c r="J71" i="16" s="1"/>
  <c r="C33" i="265"/>
  <c r="H33" i="265"/>
  <c r="G33" i="265"/>
  <c r="N33" i="265"/>
  <c r="F33" i="265"/>
  <c r="M33" i="265"/>
  <c r="K33" i="265"/>
  <c r="L33" i="265"/>
  <c r="F61" i="249"/>
  <c r="F59" i="234"/>
  <c r="H65" i="239"/>
  <c r="H56" i="239" s="1"/>
  <c r="H60" i="239" s="1"/>
  <c r="F53" i="263"/>
  <c r="F54" i="263"/>
  <c r="F51" i="263"/>
  <c r="F56" i="263"/>
  <c r="F52" i="263"/>
  <c r="F55" i="263"/>
  <c r="D124" i="252"/>
  <c r="D103" i="235"/>
  <c r="D105" i="234"/>
  <c r="C51" i="253"/>
  <c r="F45" i="237"/>
  <c r="F50" i="237" s="1"/>
  <c r="E50" i="240"/>
  <c r="G46" i="237"/>
  <c r="H47" i="237"/>
  <c r="I48" i="237"/>
  <c r="R54" i="237"/>
  <c r="G73" i="264"/>
  <c r="C71" i="253"/>
  <c r="E66" i="252"/>
  <c r="E64" i="235"/>
  <c r="E66" i="253" s="1"/>
  <c r="K96" i="238"/>
  <c r="F35" i="3"/>
  <c r="H35" i="3" s="1"/>
  <c r="J35" i="3" s="1"/>
  <c r="L35" i="3" s="1"/>
  <c r="N35" i="3" s="1"/>
  <c r="D35" i="232"/>
  <c r="E35" i="232" s="1"/>
  <c r="F35" i="232" s="1"/>
  <c r="G35" i="232" s="1"/>
  <c r="H35" i="232" s="1"/>
  <c r="I35" i="232" s="1"/>
  <c r="J35" i="232" s="1"/>
  <c r="K35" i="232" s="1"/>
  <c r="L35" i="232" s="1"/>
  <c r="M35" i="232" s="1"/>
  <c r="N35" i="232" s="1"/>
  <c r="O35" i="232" s="1"/>
  <c r="P35" i="232" s="1"/>
  <c r="V62" i="231"/>
  <c r="U62" i="231"/>
  <c r="F89" i="276"/>
  <c r="G86" i="276"/>
  <c r="J52" i="16"/>
  <c r="J19" i="16"/>
  <c r="F45" i="1"/>
  <c r="F41" i="220"/>
  <c r="F28" i="233"/>
  <c r="O34" i="262"/>
  <c r="D81" i="252"/>
  <c r="D93" i="235"/>
  <c r="D81" i="253" s="1"/>
  <c r="F66" i="265"/>
  <c r="J66" i="265"/>
  <c r="I66" i="265"/>
  <c r="K66" i="264"/>
  <c r="C73" i="253"/>
  <c r="H36" i="16"/>
  <c r="I42" i="14"/>
  <c r="I20" i="218"/>
  <c r="H20" i="219"/>
  <c r="W33" i="231"/>
  <c r="C58" i="253"/>
  <c r="E71" i="249"/>
  <c r="E74" i="234"/>
  <c r="L77" i="264"/>
  <c r="J54" i="264"/>
  <c r="J24" i="276"/>
  <c r="J21" i="276"/>
  <c r="K54" i="238"/>
  <c r="F29" i="3"/>
  <c r="H29" i="3" s="1"/>
  <c r="J29" i="3" s="1"/>
  <c r="L29" i="3" s="1"/>
  <c r="N29" i="3" s="1"/>
  <c r="E91" i="239"/>
  <c r="Q89" i="239"/>
  <c r="C74" i="263"/>
  <c r="C76" i="263"/>
  <c r="O76" i="263" s="1"/>
  <c r="C78" i="263"/>
  <c r="C75" i="263"/>
  <c r="O75" i="263" s="1"/>
  <c r="C73" i="263"/>
  <c r="C77" i="263"/>
  <c r="D20" i="249"/>
  <c r="E29" i="271"/>
  <c r="H83" i="14"/>
  <c r="G95" i="219"/>
  <c r="H95" i="218"/>
  <c r="G50" i="236"/>
  <c r="F78" i="1"/>
  <c r="F87" i="233"/>
  <c r="G63" i="240"/>
  <c r="J61" i="237"/>
  <c r="H59" i="237"/>
  <c r="K62" i="237"/>
  <c r="I60" i="237"/>
  <c r="L65" i="239"/>
  <c r="L56" i="239" s="1"/>
  <c r="L60" i="239" s="1"/>
  <c r="J55" i="263"/>
  <c r="J54" i="263"/>
  <c r="J51" i="263"/>
  <c r="J56" i="263"/>
  <c r="J52" i="263"/>
  <c r="J53" i="263"/>
  <c r="L58" i="262"/>
  <c r="J52" i="239"/>
  <c r="J43" i="239" s="1"/>
  <c r="J47" i="239" s="1"/>
  <c r="H44" i="263"/>
  <c r="H40" i="263"/>
  <c r="H45" i="263"/>
  <c r="H41" i="263"/>
  <c r="H42" i="263"/>
  <c r="H43" i="263"/>
  <c r="S74" i="228"/>
  <c r="S105" i="228"/>
  <c r="S108" i="228"/>
  <c r="S264" i="228"/>
  <c r="S225" i="228"/>
  <c r="S155" i="228"/>
  <c r="S216" i="228"/>
  <c r="S73" i="228"/>
  <c r="S95" i="228"/>
  <c r="S208" i="228"/>
  <c r="S191" i="228"/>
  <c r="S204" i="228"/>
  <c r="S195" i="228"/>
  <c r="S87" i="228"/>
  <c r="S265" i="228"/>
  <c r="S219" i="228"/>
  <c r="S104" i="228"/>
  <c r="S189" i="228"/>
  <c r="S118" i="228"/>
  <c r="S263" i="228"/>
  <c r="S107" i="228"/>
  <c r="S142" i="228"/>
  <c r="S133" i="228"/>
  <c r="S120" i="228"/>
  <c r="S169" i="228"/>
  <c r="S200" i="228"/>
  <c r="S215" i="228"/>
  <c r="S168" i="228"/>
  <c r="S100" i="228"/>
  <c r="S222" i="228"/>
  <c r="S217" i="228"/>
  <c r="S170" i="228"/>
  <c r="S109" i="228"/>
  <c r="S203" i="228"/>
  <c r="S205" i="228"/>
  <c r="S85" i="228"/>
  <c r="S210" i="228"/>
  <c r="S218" i="228"/>
  <c r="S111" i="228"/>
  <c r="S162" i="228"/>
  <c r="S220" i="228"/>
  <c r="S158" i="228"/>
  <c r="C169" i="10"/>
  <c r="E180" i="10"/>
  <c r="G180" i="10"/>
  <c r="G181" i="10" s="1"/>
  <c r="I180" i="10"/>
  <c r="I181" i="10" s="1"/>
  <c r="K180" i="10"/>
  <c r="K181" i="10" s="1"/>
  <c r="C180" i="10"/>
  <c r="L180" i="10"/>
  <c r="L181" i="10" s="1"/>
  <c r="N180" i="10"/>
  <c r="H180" i="10"/>
  <c r="J180" i="10"/>
  <c r="J181" i="10" s="1"/>
  <c r="D180" i="10"/>
  <c r="D181" i="10" s="1"/>
  <c r="M180" i="10"/>
  <c r="M181" i="10" s="1"/>
  <c r="F180" i="10"/>
  <c r="F181" i="10" s="1"/>
  <c r="V29" i="266"/>
  <c r="S29" i="266"/>
  <c r="U29" i="266"/>
  <c r="P29" i="266"/>
  <c r="C109" i="10"/>
  <c r="M182" i="10" s="1"/>
  <c r="T29" i="266"/>
  <c r="R29" i="266"/>
  <c r="W29" i="266"/>
  <c r="Q29" i="266"/>
  <c r="D63" i="252"/>
  <c r="D171" i="10"/>
  <c r="J171" i="10"/>
  <c r="I171" i="10"/>
  <c r="J64" i="252" s="1"/>
  <c r="G171" i="10"/>
  <c r="O170" i="10"/>
  <c r="C63" i="252"/>
  <c r="C171" i="10"/>
  <c r="H171" i="10"/>
  <c r="E171" i="10"/>
  <c r="F64" i="252" s="1"/>
  <c r="L63" i="252"/>
  <c r="L171" i="10"/>
  <c r="F63" i="252"/>
  <c r="F171" i="10"/>
  <c r="G64" i="252" s="1"/>
  <c r="O159" i="10"/>
  <c r="D64" i="249"/>
  <c r="O137" i="10"/>
  <c r="M171" i="10"/>
  <c r="N63" i="252"/>
  <c r="N171" i="10"/>
  <c r="K63" i="252"/>
  <c r="K171" i="10"/>
  <c r="L64" i="252" s="1"/>
  <c r="BA55" i="231"/>
  <c r="BB55" i="231" s="1"/>
  <c r="K182" i="10"/>
  <c r="O28" i="220"/>
  <c r="O141" i="10"/>
  <c r="O149" i="10" s="1"/>
  <c r="H30" i="1"/>
  <c r="O152" i="10"/>
  <c r="Q27" i="266"/>
  <c r="U27" i="266"/>
  <c r="C107" i="10"/>
  <c r="R107" i="10" s="1"/>
  <c r="R27" i="266"/>
  <c r="V27" i="266"/>
  <c r="W27" i="266"/>
  <c r="S27" i="266"/>
  <c r="P27" i="266"/>
  <c r="T27" i="266"/>
  <c r="M29" i="220"/>
  <c r="M30" i="220" s="1"/>
  <c r="H29" i="220"/>
  <c r="H30" i="220" s="1"/>
  <c r="N29" i="220"/>
  <c r="N30" i="220" s="1"/>
  <c r="L29" i="220"/>
  <c r="L30" i="220" s="1"/>
  <c r="R78" i="10"/>
  <c r="F164" i="10"/>
  <c r="F165" i="10" s="1"/>
  <c r="C164" i="10"/>
  <c r="E164" i="10"/>
  <c r="E165" i="10" s="1"/>
  <c r="G164" i="10"/>
  <c r="G165" i="10" s="1"/>
  <c r="M164" i="10"/>
  <c r="M165" i="10" s="1"/>
  <c r="J164" i="10"/>
  <c r="J165" i="10" s="1"/>
  <c r="D164" i="10"/>
  <c r="D165" i="10" s="1"/>
  <c r="N164" i="10"/>
  <c r="N165" i="10" s="1"/>
  <c r="L164" i="10"/>
  <c r="L165" i="10" s="1"/>
  <c r="H164" i="10"/>
  <c r="H165" i="10" s="1"/>
  <c r="I164" i="10"/>
  <c r="I165" i="10" s="1"/>
  <c r="M30" i="1"/>
  <c r="N30" i="1"/>
  <c r="R25" i="266"/>
  <c r="V25" i="266"/>
  <c r="W25" i="266"/>
  <c r="S25" i="266"/>
  <c r="C105" i="10"/>
  <c r="P25" i="266"/>
  <c r="T25" i="266"/>
  <c r="Q25" i="266"/>
  <c r="U25" i="266"/>
  <c r="D29" i="220"/>
  <c r="Q23" i="266"/>
  <c r="U23" i="266"/>
  <c r="R23" i="266"/>
  <c r="V23" i="266"/>
  <c r="C103" i="10"/>
  <c r="S23" i="266"/>
  <c r="P23" i="266"/>
  <c r="T23" i="266"/>
  <c r="W23" i="266"/>
  <c r="K30" i="1"/>
  <c r="I30" i="1"/>
  <c r="C30" i="249"/>
  <c r="F29" i="220"/>
  <c r="F30" i="220" s="1"/>
  <c r="F29" i="276"/>
  <c r="F30" i="276" s="1"/>
  <c r="L29" i="276"/>
  <c r="L30" i="276" s="1"/>
  <c r="H29" i="276"/>
  <c r="H30" i="276" s="1"/>
  <c r="I29" i="276"/>
  <c r="I30" i="276" s="1"/>
  <c r="M29" i="276"/>
  <c r="M30" i="276" s="1"/>
  <c r="J29" i="276"/>
  <c r="J30" i="276" s="1"/>
  <c r="N29" i="276"/>
  <c r="N30" i="276" s="1"/>
  <c r="E29" i="276"/>
  <c r="D29" i="276"/>
  <c r="D30" i="276" s="1"/>
  <c r="R131" i="10"/>
  <c r="K29" i="276"/>
  <c r="K30" i="276" s="1"/>
  <c r="C30" i="220"/>
  <c r="D29" i="221"/>
  <c r="D30" i="221" s="1"/>
  <c r="O29" i="16"/>
  <c r="O30" i="16" s="1"/>
  <c r="G29" i="276"/>
  <c r="G30" i="276" s="1"/>
  <c r="V20" i="266"/>
  <c r="R20" i="266"/>
  <c r="W20" i="266"/>
  <c r="C100" i="10"/>
  <c r="U20" i="266"/>
  <c r="Q20" i="266"/>
  <c r="P20" i="266"/>
  <c r="T20" i="266"/>
  <c r="S20" i="266"/>
  <c r="D30" i="1"/>
  <c r="O143" i="10"/>
  <c r="D29" i="249"/>
  <c r="D155" i="10"/>
  <c r="E30" i="249" s="1"/>
  <c r="H29" i="249"/>
  <c r="H155" i="10"/>
  <c r="I30" i="249" s="1"/>
  <c r="E29" i="249"/>
  <c r="E155" i="10"/>
  <c r="C166" i="10"/>
  <c r="F166" i="10"/>
  <c r="J166" i="10"/>
  <c r="L166" i="10"/>
  <c r="G166" i="10"/>
  <c r="K166" i="10"/>
  <c r="M166" i="10"/>
  <c r="N166" i="10"/>
  <c r="M94" i="10"/>
  <c r="E94" i="10"/>
  <c r="G94" i="10"/>
  <c r="D166" i="10"/>
  <c r="E166" i="10"/>
  <c r="H166" i="10"/>
  <c r="I166" i="10"/>
  <c r="P94" i="10"/>
  <c r="H94" i="10"/>
  <c r="R75" i="10"/>
  <c r="K94" i="10"/>
  <c r="N94" i="10"/>
  <c r="J94" i="10"/>
  <c r="M155" i="10"/>
  <c r="N30" i="249" s="1"/>
  <c r="M29" i="249"/>
  <c r="F29" i="249"/>
  <c r="F155" i="10"/>
  <c r="G30" i="249" s="1"/>
  <c r="L29" i="249"/>
  <c r="L155" i="10"/>
  <c r="M30" i="249" s="1"/>
  <c r="O154" i="10"/>
  <c r="C29" i="249"/>
  <c r="C155" i="10"/>
  <c r="S134" i="10"/>
  <c r="I155" i="10"/>
  <c r="J30" i="249" s="1"/>
  <c r="I29" i="249"/>
  <c r="J29" i="249"/>
  <c r="J155" i="10"/>
  <c r="K30" i="249" s="1"/>
  <c r="P143" i="10"/>
  <c r="F24" i="7" s="1"/>
  <c r="D24" i="7"/>
  <c r="N29" i="249"/>
  <c r="N155" i="10"/>
  <c r="C30" i="252" s="1"/>
  <c r="K29" i="249"/>
  <c r="K155" i="10"/>
  <c r="L30" i="249" s="1"/>
  <c r="G29" i="249"/>
  <c r="G155" i="10"/>
  <c r="H30" i="249" s="1"/>
  <c r="M22" i="236"/>
  <c r="G138" i="14"/>
  <c r="H139" i="14" s="1"/>
  <c r="H44" i="232" s="1"/>
  <c r="O18" i="262"/>
  <c r="H19" i="263"/>
  <c r="H22" i="263"/>
  <c r="H23" i="263"/>
  <c r="J26" i="239"/>
  <c r="H21" i="263"/>
  <c r="H18" i="263"/>
  <c r="H20" i="263"/>
  <c r="J24" i="240"/>
  <c r="K99" i="237"/>
  <c r="H133" i="252" s="1"/>
  <c r="N20" i="237"/>
  <c r="M19" i="237"/>
  <c r="K17" i="237"/>
  <c r="L18" i="237"/>
  <c r="O27" i="217"/>
  <c r="F92" i="14"/>
  <c r="K66" i="18"/>
  <c r="N66" i="18" s="1"/>
  <c r="P66" i="18" s="1"/>
  <c r="K68" i="19"/>
  <c r="N68" i="19" s="1"/>
  <c r="S155" i="229"/>
  <c r="S138" i="229"/>
  <c r="S163" i="229"/>
  <c r="I119" i="14"/>
  <c r="S180" i="229"/>
  <c r="S181" i="229"/>
  <c r="S130" i="229"/>
  <c r="S115" i="229"/>
  <c r="S199" i="229"/>
  <c r="S103" i="229"/>
  <c r="S228" i="229"/>
  <c r="S211" i="229"/>
  <c r="S262" i="229"/>
  <c r="S229" i="229"/>
  <c r="S79" i="228"/>
  <c r="S156" i="228"/>
  <c r="S209" i="228"/>
  <c r="S256" i="228"/>
  <c r="S187" i="228"/>
  <c r="S221" i="228"/>
  <c r="S226" i="228"/>
  <c r="S159" i="228"/>
  <c r="S157" i="228"/>
  <c r="S193" i="228"/>
  <c r="S166" i="228"/>
  <c r="S172" i="228"/>
  <c r="S75" i="228"/>
  <c r="S190" i="228"/>
  <c r="S227" i="228"/>
  <c r="S196" i="228"/>
  <c r="S241" i="228"/>
  <c r="S154" i="228"/>
  <c r="S178" i="228"/>
  <c r="S161" i="228"/>
  <c r="S239" i="228"/>
  <c r="S152" i="228"/>
  <c r="S202" i="228"/>
  <c r="S126" i="228"/>
  <c r="S122" i="228"/>
  <c r="S61" i="228"/>
  <c r="S146" i="228"/>
  <c r="S192" i="228"/>
  <c r="S194" i="228"/>
  <c r="S184" i="228"/>
  <c r="S214" i="228"/>
  <c r="S250" i="228"/>
  <c r="S206" i="228"/>
  <c r="F115" i="14"/>
  <c r="G115" i="14"/>
  <c r="S199" i="228"/>
  <c r="S207" i="228"/>
  <c r="S153" i="228"/>
  <c r="S167" i="228"/>
  <c r="S37" i="228"/>
  <c r="S198" i="228"/>
  <c r="S201" i="228"/>
  <c r="S151" i="228"/>
  <c r="S182" i="228"/>
  <c r="S80" i="228"/>
  <c r="S197" i="228"/>
  <c r="S262" i="228"/>
  <c r="S124" i="228"/>
  <c r="S117" i="228"/>
  <c r="S150" i="228"/>
  <c r="S235" i="228"/>
  <c r="S200" i="227"/>
  <c r="S224" i="227"/>
  <c r="S240" i="227"/>
  <c r="S251" i="227"/>
  <c r="S158" i="227"/>
  <c r="S182" i="227"/>
  <c r="S216" i="210"/>
  <c r="S158" i="210"/>
  <c r="S100" i="210"/>
  <c r="S78" i="210"/>
  <c r="S101" i="210"/>
  <c r="S104" i="210"/>
  <c r="S132" i="210"/>
  <c r="S141" i="23"/>
  <c r="S113" i="23"/>
  <c r="S176" i="23"/>
  <c r="H106" i="14"/>
  <c r="S229" i="23"/>
  <c r="S253" i="23"/>
  <c r="S151" i="23"/>
  <c r="S102" i="22"/>
  <c r="S213" i="22"/>
  <c r="S175" i="22"/>
  <c r="S250" i="22"/>
  <c r="S246" i="22"/>
  <c r="S207" i="22"/>
  <c r="S219" i="22"/>
  <c r="K103" i="14"/>
  <c r="E103" i="14"/>
  <c r="F103" i="14"/>
  <c r="L118" i="14"/>
  <c r="AE15" i="231"/>
  <c r="L14" i="232"/>
  <c r="K91" i="14"/>
  <c r="K112" i="14"/>
  <c r="BB52" i="231"/>
  <c r="BA52" i="231"/>
  <c r="BB40" i="231"/>
  <c r="BA40" i="231"/>
  <c r="BB44" i="231"/>
  <c r="BA44" i="231"/>
  <c r="H82" i="7"/>
  <c r="L76" i="7"/>
  <c r="L20" i="3"/>
  <c r="D80" i="7"/>
  <c r="D84" i="7" s="1"/>
  <c r="AY21" i="231"/>
  <c r="BA21" i="231" s="1"/>
  <c r="BB21" i="231" s="1"/>
  <c r="S126" i="22"/>
  <c r="S172" i="22"/>
  <c r="S210" i="22"/>
  <c r="S154" i="22"/>
  <c r="S184" i="22"/>
  <c r="S185" i="22"/>
  <c r="S179" i="23"/>
  <c r="S242" i="23"/>
  <c r="S184" i="23"/>
  <c r="S188" i="23"/>
  <c r="S155" i="210"/>
  <c r="S166" i="210"/>
  <c r="S160" i="210"/>
  <c r="S260" i="210"/>
  <c r="S262" i="210"/>
  <c r="S237" i="210"/>
  <c r="S173" i="227"/>
  <c r="S130" i="228"/>
  <c r="S177" i="228"/>
  <c r="S259" i="228"/>
  <c r="S138" i="228"/>
  <c r="S123" i="228"/>
  <c r="S77" i="228"/>
  <c r="S96" i="228"/>
  <c r="S119" i="228"/>
  <c r="S145" i="228"/>
  <c r="S183" i="228"/>
  <c r="S135" i="228"/>
  <c r="S103" i="228"/>
  <c r="S101" i="228"/>
  <c r="S261" i="228"/>
  <c r="S92" i="228"/>
  <c r="S106" i="228"/>
  <c r="S148" i="228"/>
  <c r="S246" i="228"/>
  <c r="S247" i="228"/>
  <c r="S231" i="228"/>
  <c r="S91" i="228"/>
  <c r="S163" i="228"/>
  <c r="S84" i="228"/>
  <c r="S132" i="228"/>
  <c r="S115" i="228"/>
  <c r="S181" i="228"/>
  <c r="S173" i="228"/>
  <c r="S258" i="228"/>
  <c r="S93" i="228"/>
  <c r="S144" i="228"/>
  <c r="S180" i="228"/>
  <c r="S129" i="228"/>
  <c r="S97" i="228"/>
  <c r="S134" i="228"/>
  <c r="S253" i="228"/>
  <c r="S128" i="228"/>
  <c r="S252" i="228"/>
  <c r="S233" i="228"/>
  <c r="S234" i="228"/>
  <c r="S82" i="228"/>
  <c r="S237" i="228"/>
  <c r="S164" i="228"/>
  <c r="S89" i="228"/>
  <c r="S249" i="228"/>
  <c r="S125" i="228"/>
  <c r="S248" i="228"/>
  <c r="S212" i="228"/>
  <c r="S213" i="228"/>
  <c r="S211" i="228"/>
  <c r="S223" i="228"/>
  <c r="S160" i="228"/>
  <c r="S139" i="228"/>
  <c r="S131" i="228"/>
  <c r="S255" i="228"/>
  <c r="S136" i="228"/>
  <c r="S127" i="228"/>
  <c r="S186" i="228"/>
  <c r="S185" i="228"/>
  <c r="S179" i="228"/>
  <c r="S78" i="228"/>
  <c r="S81" i="228"/>
  <c r="S94" i="228"/>
  <c r="S141" i="228"/>
  <c r="S76" i="228"/>
  <c r="S230" i="228"/>
  <c r="S254" i="228"/>
  <c r="S116" i="228"/>
  <c r="S244" i="228"/>
  <c r="S174" i="228"/>
  <c r="S49" i="228"/>
  <c r="S90" i="228"/>
  <c r="S113" i="228"/>
  <c r="S110" i="228"/>
  <c r="S260" i="228"/>
  <c r="S112" i="228"/>
  <c r="S114" i="228"/>
  <c r="S140" i="228"/>
  <c r="S121" i="228"/>
  <c r="S176" i="228"/>
  <c r="S149" i="228"/>
  <c r="S88" i="228"/>
  <c r="S102" i="228"/>
  <c r="S86" i="228"/>
  <c r="S243" i="228"/>
  <c r="S242" i="228"/>
  <c r="S251" i="228"/>
  <c r="S83" i="228"/>
  <c r="S98" i="228"/>
  <c r="S257" i="228"/>
  <c r="S143" i="228"/>
  <c r="S165" i="228"/>
  <c r="S116" i="229"/>
  <c r="S131" i="229"/>
  <c r="S166" i="229"/>
  <c r="D98" i="14"/>
  <c r="S169" i="22"/>
  <c r="S74" i="22"/>
  <c r="S141" i="22"/>
  <c r="S200" i="22"/>
  <c r="S142" i="22"/>
  <c r="S124" i="22"/>
  <c r="S91" i="22"/>
  <c r="S93" i="22"/>
  <c r="S211" i="22"/>
  <c r="S243" i="22"/>
  <c r="S232" i="22"/>
  <c r="S114" i="22"/>
  <c r="E104" i="14"/>
  <c r="S259" i="22"/>
  <c r="S113" i="22"/>
  <c r="S161" i="22"/>
  <c r="S145" i="22"/>
  <c r="S264" i="22"/>
  <c r="S132" i="22"/>
  <c r="S234" i="22"/>
  <c r="S119" i="22"/>
  <c r="S108" i="22"/>
  <c r="S244" i="22"/>
  <c r="S255" i="22"/>
  <c r="S166" i="22"/>
  <c r="S168" i="22"/>
  <c r="S206" i="22"/>
  <c r="S103" i="22"/>
  <c r="S227" i="22"/>
  <c r="S125" i="22"/>
  <c r="S156" i="22"/>
  <c r="S229" i="22"/>
  <c r="S106" i="22"/>
  <c r="S153" i="22"/>
  <c r="S165" i="22"/>
  <c r="S209" i="22"/>
  <c r="S115" i="22"/>
  <c r="S143" i="22"/>
  <c r="S144" i="22"/>
  <c r="S202" i="22"/>
  <c r="S181" i="22"/>
  <c r="S78" i="22"/>
  <c r="S189" i="22"/>
  <c r="S242" i="22"/>
  <c r="S167" i="22"/>
  <c r="S218" i="22"/>
  <c r="S261" i="22"/>
  <c r="S136" i="22"/>
  <c r="S88" i="22"/>
  <c r="S75" i="22"/>
  <c r="S252" i="22"/>
  <c r="S215" i="22"/>
  <c r="S249" i="22"/>
  <c r="S251" i="22"/>
  <c r="S187" i="22"/>
  <c r="S147" i="22"/>
  <c r="S94" i="22"/>
  <c r="S101" i="22"/>
  <c r="S61" i="22"/>
  <c r="S96" i="22"/>
  <c r="S226" i="22"/>
  <c r="S138" i="22"/>
  <c r="S258" i="22"/>
  <c r="S224" i="22"/>
  <c r="S163" i="22"/>
  <c r="S253" i="22"/>
  <c r="S122" i="22"/>
  <c r="S133" i="22"/>
  <c r="S199" i="22"/>
  <c r="S76" i="22"/>
  <c r="S104" i="22"/>
  <c r="S196" i="22"/>
  <c r="S82" i="22"/>
  <c r="S170" i="22"/>
  <c r="S221" i="22"/>
  <c r="S186" i="22"/>
  <c r="S193" i="22"/>
  <c r="S134" i="22"/>
  <c r="S159" i="22"/>
  <c r="S80" i="22"/>
  <c r="S112" i="22"/>
  <c r="S158" i="22"/>
  <c r="S236" i="22"/>
  <c r="S162" i="22"/>
  <c r="S188" i="22"/>
  <c r="S151" i="22"/>
  <c r="S137" i="22"/>
  <c r="S92" i="22"/>
  <c r="S214" i="22"/>
  <c r="S131" i="22"/>
  <c r="S198" i="22"/>
  <c r="S107" i="22"/>
  <c r="S177" i="22"/>
  <c r="S83" i="22"/>
  <c r="S90" i="22"/>
  <c r="S140" i="22"/>
  <c r="S86" i="22"/>
  <c r="S238" i="22"/>
  <c r="S105" i="22"/>
  <c r="S95" i="22"/>
  <c r="S135" i="22"/>
  <c r="S248" i="22"/>
  <c r="S117" i="22"/>
  <c r="S109" i="22"/>
  <c r="S89" i="22"/>
  <c r="S230" i="22"/>
  <c r="S178" i="22"/>
  <c r="S174" i="22"/>
  <c r="S121" i="22"/>
  <c r="S128" i="22"/>
  <c r="S257" i="22"/>
  <c r="S190" i="22"/>
  <c r="S98" i="22"/>
  <c r="S79" i="22"/>
  <c r="S231" i="22"/>
  <c r="S240" i="22"/>
  <c r="S77" i="22"/>
  <c r="S183" i="22"/>
  <c r="S191" i="22"/>
  <c r="S180" i="22"/>
  <c r="S110" i="22"/>
  <c r="S37" i="22"/>
  <c r="D103" i="14"/>
  <c r="S81" i="22"/>
  <c r="S116" i="22"/>
  <c r="S171" i="22"/>
  <c r="S179" i="22"/>
  <c r="S164" i="22"/>
  <c r="S208" i="22"/>
  <c r="S130" i="22"/>
  <c r="S245" i="22"/>
  <c r="S233" i="22"/>
  <c r="S150" i="22"/>
  <c r="S97" i="22"/>
  <c r="S256" i="22"/>
  <c r="S235" i="22"/>
  <c r="S237" i="22"/>
  <c r="S225" i="22"/>
  <c r="S120" i="22"/>
  <c r="S220" i="22"/>
  <c r="S197" i="22"/>
  <c r="S263" i="22"/>
  <c r="S111" i="22"/>
  <c r="S204" i="22"/>
  <c r="S146" i="22"/>
  <c r="S152" i="22"/>
  <c r="S247" i="22"/>
  <c r="S212" i="22"/>
  <c r="S182" i="22"/>
  <c r="S155" i="22"/>
  <c r="S84" i="22"/>
  <c r="S173" i="22"/>
  <c r="S192" i="22"/>
  <c r="S203" i="22"/>
  <c r="S241" i="22"/>
  <c r="S87" i="22"/>
  <c r="S99" i="22"/>
  <c r="S228" i="22"/>
  <c r="S262" i="22"/>
  <c r="S216" i="22"/>
  <c r="S239" i="22"/>
  <c r="S265" i="22"/>
  <c r="S201" i="22"/>
  <c r="S195" i="22"/>
  <c r="S85" i="22"/>
  <c r="S100" i="22"/>
  <c r="S139" i="22"/>
  <c r="S73" i="22"/>
  <c r="S260" i="22"/>
  <c r="S176" i="22"/>
  <c r="S194" i="22"/>
  <c r="S49" i="22"/>
  <c r="S149" i="22"/>
  <c r="S160" i="22"/>
  <c r="S118" i="22"/>
  <c r="S123" i="22"/>
  <c r="S157" i="22"/>
  <c r="S129" i="22"/>
  <c r="S254" i="22"/>
  <c r="S127" i="22"/>
  <c r="S205" i="22"/>
  <c r="S223" i="22"/>
  <c r="S227" i="23"/>
  <c r="S73" i="23"/>
  <c r="S140" i="23"/>
  <c r="S75" i="23"/>
  <c r="S218" i="23"/>
  <c r="S143" i="23"/>
  <c r="S251" i="23"/>
  <c r="S224" i="23"/>
  <c r="S261" i="23"/>
  <c r="S103" i="23"/>
  <c r="S127" i="23"/>
  <c r="S214" i="23"/>
  <c r="S225" i="23"/>
  <c r="S108" i="23"/>
  <c r="S135" i="23"/>
  <c r="S193" i="23"/>
  <c r="S124" i="23"/>
  <c r="S228" i="23"/>
  <c r="S79" i="23"/>
  <c r="S138" i="23"/>
  <c r="S112" i="23"/>
  <c r="S249" i="23"/>
  <c r="S234" i="23"/>
  <c r="S128" i="23"/>
  <c r="S232" i="23"/>
  <c r="S125" i="23"/>
  <c r="S61" i="23"/>
  <c r="S162" i="23"/>
  <c r="S169" i="23"/>
  <c r="S82" i="23"/>
  <c r="S210" i="23"/>
  <c r="S174" i="23"/>
  <c r="S153" i="23"/>
  <c r="S110" i="23"/>
  <c r="S119" i="23"/>
  <c r="S149" i="23"/>
  <c r="S49" i="23"/>
  <c r="S91" i="23"/>
  <c r="S172" i="23"/>
  <c r="S212" i="23"/>
  <c r="S213" i="23"/>
  <c r="S104" i="23"/>
  <c r="S121" i="23"/>
  <c r="S159" i="23"/>
  <c r="S186" i="23"/>
  <c r="S100" i="23"/>
  <c r="S265" i="23"/>
  <c r="S152" i="23"/>
  <c r="S236" i="23"/>
  <c r="S181" i="23"/>
  <c r="S223" i="23"/>
  <c r="S161" i="23"/>
  <c r="S150" i="23"/>
  <c r="S109" i="23"/>
  <c r="S192" i="23"/>
  <c r="S101" i="23"/>
  <c r="S156" i="23"/>
  <c r="S199" i="23"/>
  <c r="S221" i="23"/>
  <c r="S258" i="23"/>
  <c r="S201" i="23"/>
  <c r="S37" i="23"/>
  <c r="D106" i="14"/>
  <c r="S238" i="23"/>
  <c r="S230" i="23"/>
  <c r="S222" i="23"/>
  <c r="S158" i="23"/>
  <c r="S132" i="23"/>
  <c r="S196" i="23"/>
  <c r="S133" i="23"/>
  <c r="S139" i="23"/>
  <c r="S246" i="23"/>
  <c r="S148" i="23"/>
  <c r="S77" i="23"/>
  <c r="S78" i="23"/>
  <c r="S252" i="23"/>
  <c r="S89" i="23"/>
  <c r="S168" i="23"/>
  <c r="S118" i="23"/>
  <c r="S240" i="23"/>
  <c r="S219" i="23"/>
  <c r="S170" i="23"/>
  <c r="S217" i="23"/>
  <c r="S96" i="23"/>
  <c r="S178" i="23"/>
  <c r="S76" i="23"/>
  <c r="S111" i="23"/>
  <c r="S235" i="23"/>
  <c r="S94" i="23"/>
  <c r="S92" i="23"/>
  <c r="S120" i="23"/>
  <c r="S187" i="23"/>
  <c r="S175" i="23"/>
  <c r="S254" i="23"/>
  <c r="S216" i="23"/>
  <c r="S74" i="23"/>
  <c r="S107" i="23"/>
  <c r="S264" i="23"/>
  <c r="S85" i="23"/>
  <c r="S180" i="23"/>
  <c r="S164" i="23"/>
  <c r="S93" i="23"/>
  <c r="S171" i="23"/>
  <c r="S185" i="23"/>
  <c r="S233" i="23"/>
  <c r="S160" i="23"/>
  <c r="S257" i="23"/>
  <c r="S207" i="23"/>
  <c r="S191" i="23"/>
  <c r="S86" i="23"/>
  <c r="S167" i="23"/>
  <c r="S209" i="23"/>
  <c r="S200" i="23"/>
  <c r="S123" i="23"/>
  <c r="S130" i="23"/>
  <c r="S203" i="23"/>
  <c r="S81" i="23"/>
  <c r="S255" i="23"/>
  <c r="S117" i="23"/>
  <c r="S142" i="23"/>
  <c r="S243" i="23"/>
  <c r="S226" i="23"/>
  <c r="E107" i="14"/>
  <c r="S237" i="23"/>
  <c r="S220" i="23"/>
  <c r="S146" i="23"/>
  <c r="S157" i="23"/>
  <c r="S126" i="23"/>
  <c r="S247" i="23"/>
  <c r="S205" i="23"/>
  <c r="S131" i="23"/>
  <c r="S137" i="23"/>
  <c r="S129" i="23"/>
  <c r="S241" i="23"/>
  <c r="S208" i="23"/>
  <c r="S99" i="23"/>
  <c r="S165" i="23"/>
  <c r="S163" i="23"/>
  <c r="S231" i="23"/>
  <c r="S183" i="23"/>
  <c r="S177" i="23"/>
  <c r="S173" i="23"/>
  <c r="S263" i="23"/>
  <c r="S90" i="23"/>
  <c r="S202" i="23"/>
  <c r="S114" i="23"/>
  <c r="S134" i="23"/>
  <c r="S244" i="23"/>
  <c r="S155" i="23"/>
  <c r="S83" i="23"/>
  <c r="S95" i="23"/>
  <c r="S154" i="23"/>
  <c r="S215" i="23"/>
  <c r="S84" i="23"/>
  <c r="S116" i="23"/>
  <c r="S250" i="23"/>
  <c r="S239" i="23"/>
  <c r="S182" i="23"/>
  <c r="S206" i="23"/>
  <c r="S198" i="23"/>
  <c r="S190" i="23"/>
  <c r="S248" i="23"/>
  <c r="S122" i="23"/>
  <c r="S189" i="23"/>
  <c r="S262" i="23"/>
  <c r="S136" i="23"/>
  <c r="S204" i="23"/>
  <c r="S256" i="23"/>
  <c r="S197" i="23"/>
  <c r="S147" i="23"/>
  <c r="S98" i="23"/>
  <c r="S106" i="23"/>
  <c r="S105" i="23"/>
  <c r="S80" i="23"/>
  <c r="S194" i="23"/>
  <c r="S145" i="23"/>
  <c r="S97" i="23"/>
  <c r="S102" i="23"/>
  <c r="S166" i="23"/>
  <c r="S260" i="23"/>
  <c r="S259" i="23"/>
  <c r="S245" i="23"/>
  <c r="S87" i="23"/>
  <c r="S88" i="23"/>
  <c r="E110" i="14"/>
  <c r="S180" i="210"/>
  <c r="S203" i="210"/>
  <c r="S124" i="210"/>
  <c r="S61" i="210"/>
  <c r="S248" i="210"/>
  <c r="S136" i="210"/>
  <c r="S172" i="210"/>
  <c r="S170" i="210"/>
  <c r="S165" i="210"/>
  <c r="S93" i="210"/>
  <c r="S243" i="210"/>
  <c r="S123" i="210"/>
  <c r="S201" i="210"/>
  <c r="S182" i="210"/>
  <c r="S169" i="210"/>
  <c r="S192" i="210"/>
  <c r="S209" i="210"/>
  <c r="D109" i="14"/>
  <c r="S84" i="210"/>
  <c r="S99" i="210"/>
  <c r="S210" i="210"/>
  <c r="S178" i="210"/>
  <c r="S234" i="210"/>
  <c r="S112" i="210"/>
  <c r="S246" i="210"/>
  <c r="S217" i="210"/>
  <c r="S263" i="210"/>
  <c r="S162" i="210"/>
  <c r="S81" i="210"/>
  <c r="S236" i="210"/>
  <c r="S227" i="210"/>
  <c r="S127" i="210"/>
  <c r="S173" i="210"/>
  <c r="S232" i="210"/>
  <c r="S181" i="210"/>
  <c r="S115" i="210"/>
  <c r="S215" i="210"/>
  <c r="S129" i="210"/>
  <c r="S94" i="210"/>
  <c r="S102" i="210"/>
  <c r="S185" i="210"/>
  <c r="S114" i="210"/>
  <c r="S226" i="210"/>
  <c r="S168" i="210"/>
  <c r="S211" i="210"/>
  <c r="S161" i="210"/>
  <c r="S131" i="210"/>
  <c r="S231" i="210"/>
  <c r="S253" i="210"/>
  <c r="S264" i="210"/>
  <c r="S200" i="210"/>
  <c r="S113" i="210"/>
  <c r="S218" i="210"/>
  <c r="S80" i="210"/>
  <c r="S220" i="210"/>
  <c r="S83" i="210"/>
  <c r="S135" i="210"/>
  <c r="S219" i="210"/>
  <c r="S245" i="210"/>
  <c r="S212" i="210"/>
  <c r="S259" i="210"/>
  <c r="S103" i="210"/>
  <c r="S107" i="210"/>
  <c r="S250" i="210"/>
  <c r="S96" i="210"/>
  <c r="S174" i="210"/>
  <c r="S105" i="210"/>
  <c r="S255" i="210"/>
  <c r="S241" i="210"/>
  <c r="S257" i="210"/>
  <c r="S157" i="210"/>
  <c r="S254" i="210"/>
  <c r="S228" i="210"/>
  <c r="S244" i="210"/>
  <c r="S95" i="210"/>
  <c r="S256" i="210"/>
  <c r="S139" i="210"/>
  <c r="S238" i="210"/>
  <c r="S111" i="210"/>
  <c r="S265" i="210"/>
  <c r="S208" i="210"/>
  <c r="S86" i="210"/>
  <c r="S75" i="210"/>
  <c r="S202" i="210"/>
  <c r="S196" i="210"/>
  <c r="S252" i="210"/>
  <c r="S258" i="210"/>
  <c r="S214" i="210"/>
  <c r="S197" i="210"/>
  <c r="S235" i="210"/>
  <c r="S125" i="210"/>
  <c r="S176" i="210"/>
  <c r="S137" i="210"/>
  <c r="S225" i="210"/>
  <c r="S207" i="210"/>
  <c r="S251" i="210"/>
  <c r="S117" i="210"/>
  <c r="S222" i="210"/>
  <c r="S149" i="210"/>
  <c r="S77" i="210"/>
  <c r="S97" i="210"/>
  <c r="S175" i="210"/>
  <c r="S118" i="210"/>
  <c r="S79" i="210"/>
  <c r="S119" i="210"/>
  <c r="S249" i="210"/>
  <c r="S92" i="210"/>
  <c r="S159" i="210"/>
  <c r="S191" i="210"/>
  <c r="S74" i="210"/>
  <c r="S120" i="210"/>
  <c r="S87" i="210"/>
  <c r="S199" i="210"/>
  <c r="S128" i="210"/>
  <c r="S146" i="210"/>
  <c r="S223" i="210"/>
  <c r="S177" i="210"/>
  <c r="S109" i="210"/>
  <c r="S142" i="210"/>
  <c r="S134" i="210"/>
  <c r="S167" i="210"/>
  <c r="S184" i="210"/>
  <c r="S156" i="210"/>
  <c r="S116" i="210"/>
  <c r="S242" i="210"/>
  <c r="S106" i="210"/>
  <c r="S82" i="210"/>
  <c r="S122" i="210"/>
  <c r="S205" i="210"/>
  <c r="S247" i="210"/>
  <c r="S164" i="210"/>
  <c r="S49" i="210"/>
  <c r="S230" i="210"/>
  <c r="S126" i="210"/>
  <c r="S204" i="210"/>
  <c r="S213" i="210"/>
  <c r="S229" i="210"/>
  <c r="S171" i="210"/>
  <c r="S121" i="210"/>
  <c r="S240" i="210"/>
  <c r="S198" i="210"/>
  <c r="S133" i="210"/>
  <c r="S76" i="210"/>
  <c r="S73" i="210"/>
  <c r="S141" i="210"/>
  <c r="S140" i="210"/>
  <c r="S206" i="210"/>
  <c r="S179" i="210"/>
  <c r="S138" i="210"/>
  <c r="S233" i="210"/>
  <c r="S239" i="210"/>
  <c r="S261" i="210"/>
  <c r="S224" i="210"/>
  <c r="S98" i="210"/>
  <c r="S108" i="210"/>
  <c r="S110" i="210"/>
  <c r="S183" i="210"/>
  <c r="S163" i="210"/>
  <c r="S155" i="227"/>
  <c r="S236" i="227"/>
  <c r="S262" i="227"/>
  <c r="S238" i="227"/>
  <c r="S194" i="227"/>
  <c r="S254" i="227"/>
  <c r="S138" i="227"/>
  <c r="S217" i="227"/>
  <c r="S216" i="227"/>
  <c r="S205" i="227"/>
  <c r="S264" i="227"/>
  <c r="S159" i="227"/>
  <c r="S253" i="227"/>
  <c r="S95" i="227"/>
  <c r="S148" i="227"/>
  <c r="S126" i="227"/>
  <c r="S150" i="227"/>
  <c r="S207" i="227"/>
  <c r="S111" i="227"/>
  <c r="S74" i="227"/>
  <c r="S246" i="227"/>
  <c r="S187" i="227"/>
  <c r="S162" i="227"/>
  <c r="S128" i="227"/>
  <c r="S152" i="227"/>
  <c r="S250" i="227"/>
  <c r="S120" i="227"/>
  <c r="S232" i="227"/>
  <c r="S179" i="227"/>
  <c r="S61" i="227"/>
  <c r="S124" i="227"/>
  <c r="S142" i="227"/>
  <c r="S185" i="227"/>
  <c r="S118" i="227"/>
  <c r="S125" i="227"/>
  <c r="S97" i="227"/>
  <c r="S78" i="227"/>
  <c r="S257" i="227"/>
  <c r="S134" i="227"/>
  <c r="S154" i="227"/>
  <c r="S79" i="227"/>
  <c r="S171" i="227"/>
  <c r="S153" i="227"/>
  <c r="S222" i="227"/>
  <c r="S190" i="227"/>
  <c r="S227" i="227"/>
  <c r="S113" i="227"/>
  <c r="S178" i="227"/>
  <c r="S188" i="227"/>
  <c r="S110" i="227"/>
  <c r="S106" i="227"/>
  <c r="S101" i="227"/>
  <c r="S196" i="227"/>
  <c r="S256" i="227"/>
  <c r="S149" i="227"/>
  <c r="S164" i="227"/>
  <c r="S191" i="227"/>
  <c r="S135" i="227"/>
  <c r="S234" i="227"/>
  <c r="S192" i="227"/>
  <c r="S213" i="227"/>
  <c r="S121" i="227"/>
  <c r="S255" i="227"/>
  <c r="S211" i="227"/>
  <c r="S146" i="227"/>
  <c r="S112" i="227"/>
  <c r="S103" i="227"/>
  <c r="S166" i="227"/>
  <c r="S117" i="227"/>
  <c r="S212" i="227"/>
  <c r="S140" i="227"/>
  <c r="S247" i="227"/>
  <c r="S258" i="227"/>
  <c r="S49" i="227"/>
  <c r="S184" i="227"/>
  <c r="S115" i="227"/>
  <c r="S241" i="227"/>
  <c r="S230" i="227"/>
  <c r="S235" i="227"/>
  <c r="S137" i="227"/>
  <c r="S193" i="227"/>
  <c r="S96" i="227"/>
  <c r="S80" i="227"/>
  <c r="S180" i="227"/>
  <c r="S116" i="227"/>
  <c r="S151" i="227"/>
  <c r="S260" i="227"/>
  <c r="S108" i="227"/>
  <c r="S141" i="227"/>
  <c r="S215" i="227"/>
  <c r="S183" i="227"/>
  <c r="S197" i="227"/>
  <c r="S172" i="227"/>
  <c r="S91" i="227"/>
  <c r="S169" i="227"/>
  <c r="S221" i="227"/>
  <c r="S170" i="227"/>
  <c r="S226" i="227"/>
  <c r="S37" i="227"/>
  <c r="D112" i="14"/>
  <c r="S122" i="227"/>
  <c r="S242" i="227"/>
  <c r="S82" i="227"/>
  <c r="S176" i="227"/>
  <c r="S265" i="227"/>
  <c r="S210" i="227"/>
  <c r="S245" i="227"/>
  <c r="S87" i="227"/>
  <c r="S84" i="227"/>
  <c r="S132" i="227"/>
  <c r="S175" i="227"/>
  <c r="S73" i="227"/>
  <c r="S89" i="227"/>
  <c r="S225" i="227"/>
  <c r="S195" i="227"/>
  <c r="S233" i="227"/>
  <c r="S252" i="227"/>
  <c r="S223" i="227"/>
  <c r="S100" i="227"/>
  <c r="S75" i="227"/>
  <c r="S214" i="227"/>
  <c r="S98" i="227"/>
  <c r="S263" i="227"/>
  <c r="S168" i="227"/>
  <c r="S239" i="227"/>
  <c r="S189" i="227"/>
  <c r="S83" i="227"/>
  <c r="S248" i="227"/>
  <c r="S85" i="227"/>
  <c r="S261" i="227"/>
  <c r="S136" i="227"/>
  <c r="S165" i="227"/>
  <c r="S161" i="227"/>
  <c r="S198" i="227"/>
  <c r="S203" i="227"/>
  <c r="S156" i="227"/>
  <c r="S109" i="227"/>
  <c r="S202" i="227"/>
  <c r="S259" i="227"/>
  <c r="S107" i="227"/>
  <c r="S76" i="227"/>
  <c r="S228" i="227"/>
  <c r="S114" i="227"/>
  <c r="S144" i="227"/>
  <c r="S201" i="227"/>
  <c r="S88" i="227"/>
  <c r="S220" i="227"/>
  <c r="S199" i="227"/>
  <c r="S93" i="227"/>
  <c r="S237" i="227"/>
  <c r="S86" i="227"/>
  <c r="J113" i="14"/>
  <c r="S181" i="227"/>
  <c r="S129" i="227"/>
  <c r="S219" i="227"/>
  <c r="S139" i="227"/>
  <c r="S105" i="227"/>
  <c r="S143" i="227"/>
  <c r="S174" i="227"/>
  <c r="S102" i="227"/>
  <c r="S133" i="227"/>
  <c r="S77" i="227"/>
  <c r="S177" i="227"/>
  <c r="S206" i="227"/>
  <c r="S243" i="227"/>
  <c r="S123" i="227"/>
  <c r="S145" i="227"/>
  <c r="S209" i="227"/>
  <c r="S204" i="227"/>
  <c r="S167" i="227"/>
  <c r="S249" i="227"/>
  <c r="S92" i="227"/>
  <c r="S157" i="227"/>
  <c r="S218" i="227"/>
  <c r="S119" i="227"/>
  <c r="S94" i="227"/>
  <c r="S208" i="227"/>
  <c r="S81" i="227"/>
  <c r="S229" i="227"/>
  <c r="S163" i="227"/>
  <c r="S99" i="227"/>
  <c r="S130" i="227"/>
  <c r="S160" i="227"/>
  <c r="S244" i="227"/>
  <c r="S231" i="227"/>
  <c r="S186" i="227"/>
  <c r="S90" i="227"/>
  <c r="S217" i="229"/>
  <c r="S247" i="229"/>
  <c r="S209" i="229"/>
  <c r="S234" i="229"/>
  <c r="S197" i="229"/>
  <c r="S250" i="229"/>
  <c r="S74" i="229"/>
  <c r="S77" i="229"/>
  <c r="S37" i="229"/>
  <c r="D118" i="14"/>
  <c r="S111" i="229"/>
  <c r="S85" i="229"/>
  <c r="S134" i="229"/>
  <c r="S123" i="229"/>
  <c r="S243" i="229"/>
  <c r="S97" i="229"/>
  <c r="S162" i="229"/>
  <c r="S98" i="229"/>
  <c r="S161" i="229"/>
  <c r="S92" i="229"/>
  <c r="S191" i="229"/>
  <c r="S112" i="229"/>
  <c r="S182" i="229"/>
  <c r="S186" i="229"/>
  <c r="S256" i="229"/>
  <c r="S251" i="229"/>
  <c r="S146" i="229"/>
  <c r="S151" i="229"/>
  <c r="S259" i="229"/>
  <c r="S150" i="229"/>
  <c r="S99" i="229"/>
  <c r="S189" i="229"/>
  <c r="S237" i="229"/>
  <c r="S224" i="229"/>
  <c r="S220" i="229"/>
  <c r="S196" i="229"/>
  <c r="S223" i="229"/>
  <c r="S183" i="229"/>
  <c r="S108" i="229"/>
  <c r="S142" i="229"/>
  <c r="S88" i="229"/>
  <c r="S49" i="229"/>
  <c r="S140" i="229"/>
  <c r="S216" i="229"/>
  <c r="S231" i="229"/>
  <c r="S172" i="229"/>
  <c r="S214" i="229"/>
  <c r="S122" i="229"/>
  <c r="S96" i="229"/>
  <c r="S158" i="229"/>
  <c r="S154" i="229"/>
  <c r="S261" i="229"/>
  <c r="S126" i="229"/>
  <c r="S192" i="229"/>
  <c r="S152" i="229"/>
  <c r="S233" i="229"/>
  <c r="S94" i="229"/>
  <c r="S165" i="229"/>
  <c r="S193" i="229"/>
  <c r="S139" i="229"/>
  <c r="S104" i="229"/>
  <c r="S264" i="229"/>
  <c r="S173" i="229"/>
  <c r="S204" i="229"/>
  <c r="S153" i="229"/>
  <c r="S222" i="229"/>
  <c r="S156" i="229"/>
  <c r="S90" i="229"/>
  <c r="S255" i="229"/>
  <c r="S240" i="229"/>
  <c r="S176" i="229"/>
  <c r="S149" i="229"/>
  <c r="S145" i="229"/>
  <c r="S208" i="229"/>
  <c r="S184" i="229"/>
  <c r="S232" i="229"/>
  <c r="S171" i="229"/>
  <c r="S169" i="229"/>
  <c r="S129" i="229"/>
  <c r="S207" i="229"/>
  <c r="S91" i="229"/>
  <c r="S80" i="229"/>
  <c r="S124" i="229"/>
  <c r="S253" i="229"/>
  <c r="S125" i="229"/>
  <c r="S242" i="229"/>
  <c r="S135" i="229"/>
  <c r="S89" i="229"/>
  <c r="S148" i="229"/>
  <c r="S218" i="229"/>
  <c r="S198" i="229"/>
  <c r="S239" i="229"/>
  <c r="S118" i="229"/>
  <c r="S100" i="229"/>
  <c r="S84" i="229"/>
  <c r="S212" i="229"/>
  <c r="S81" i="229"/>
  <c r="S195" i="229"/>
  <c r="S73" i="229"/>
  <c r="S258" i="229"/>
  <c r="S213" i="229"/>
  <c r="S202" i="229"/>
  <c r="S119" i="229"/>
  <c r="S127" i="229"/>
  <c r="S132" i="229"/>
  <c r="S75" i="229"/>
  <c r="S143" i="229"/>
  <c r="S78" i="229"/>
  <c r="S252" i="229"/>
  <c r="S248" i="229"/>
  <c r="S245" i="229"/>
  <c r="S205" i="229"/>
  <c r="S79" i="229"/>
  <c r="S265" i="229"/>
  <c r="S210" i="229"/>
  <c r="S219" i="229"/>
  <c r="S120" i="229"/>
  <c r="S114" i="229"/>
  <c r="S226" i="229"/>
  <c r="S238" i="229"/>
  <c r="S110" i="229"/>
  <c r="S147" i="229"/>
  <c r="S177" i="229"/>
  <c r="S93" i="229"/>
  <c r="S170" i="229"/>
  <c r="S106" i="229"/>
  <c r="S230" i="229"/>
  <c r="S61" i="229"/>
  <c r="S200" i="229"/>
  <c r="S157" i="229"/>
  <c r="S168" i="229"/>
  <c r="S128" i="229"/>
  <c r="S206" i="229"/>
  <c r="S167" i="229"/>
  <c r="S159" i="229"/>
  <c r="S105" i="229"/>
  <c r="S175" i="229"/>
  <c r="S144" i="229"/>
  <c r="S174" i="229"/>
  <c r="S160" i="229"/>
  <c r="S257" i="229"/>
  <c r="S221" i="229"/>
  <c r="S235" i="229"/>
  <c r="S225" i="229"/>
  <c r="S241" i="229"/>
  <c r="S83" i="229"/>
  <c r="S236" i="229"/>
  <c r="S190" i="229"/>
  <c r="S121" i="229"/>
  <c r="S137" i="229"/>
  <c r="S109" i="229"/>
  <c r="S76" i="229"/>
  <c r="S117" i="229"/>
  <c r="S102" i="229"/>
  <c r="S246" i="229"/>
  <c r="S244" i="229"/>
  <c r="S215" i="229"/>
  <c r="S249" i="229"/>
  <c r="S179" i="229"/>
  <c r="S113" i="229"/>
  <c r="S263" i="229"/>
  <c r="S185" i="229"/>
  <c r="S101" i="229"/>
  <c r="S136" i="229"/>
  <c r="S188" i="229"/>
  <c r="S86" i="229"/>
  <c r="S133" i="229"/>
  <c r="S227" i="229"/>
  <c r="S201" i="229"/>
  <c r="S178" i="229"/>
  <c r="S260" i="229"/>
  <c r="S187" i="229"/>
  <c r="S254" i="229"/>
  <c r="S203" i="229"/>
  <c r="S95" i="229"/>
  <c r="S87" i="229"/>
  <c r="S194" i="229"/>
  <c r="J116" i="14"/>
  <c r="E116" i="14"/>
  <c r="E57" i="232"/>
  <c r="F57" i="232" s="1"/>
  <c r="F73" i="21"/>
  <c r="E29" i="21"/>
  <c r="G29" i="21" s="1"/>
  <c r="B30" i="21"/>
  <c r="M25" i="263"/>
  <c r="M23" i="231"/>
  <c r="N23" i="231" s="1"/>
  <c r="AG21" i="231"/>
  <c r="AH21" i="231" s="1"/>
  <c r="I17" i="239"/>
  <c r="I21" i="239" s="1"/>
  <c r="AS21" i="231"/>
  <c r="AT21" i="231" s="1"/>
  <c r="K25" i="263"/>
  <c r="M26" i="241"/>
  <c r="K20" i="265"/>
  <c r="K18" i="265"/>
  <c r="K22" i="265"/>
  <c r="K19" i="265"/>
  <c r="K21" i="265"/>
  <c r="K23" i="265"/>
  <c r="M17" i="238"/>
  <c r="L24" i="241"/>
  <c r="O19" i="238"/>
  <c r="N18" i="238"/>
  <c r="P20" i="238"/>
  <c r="P26" i="239"/>
  <c r="N19" i="263"/>
  <c r="N23" i="263"/>
  <c r="N21" i="263"/>
  <c r="N22" i="263"/>
  <c r="N18" i="263"/>
  <c r="N20" i="263"/>
  <c r="O26" i="240"/>
  <c r="M21" i="264"/>
  <c r="M19" i="264"/>
  <c r="M23" i="264"/>
  <c r="M20" i="264"/>
  <c r="M22" i="264"/>
  <c r="M18" i="264"/>
  <c r="I26" i="240"/>
  <c r="G19" i="264"/>
  <c r="G23" i="264"/>
  <c r="G21" i="264"/>
  <c r="G20" i="264"/>
  <c r="G18" i="264"/>
  <c r="G22" i="264"/>
  <c r="K17" i="239"/>
  <c r="K21" i="239" s="1"/>
  <c r="N31" i="1"/>
  <c r="N25" i="262"/>
  <c r="P94" i="216"/>
  <c r="P17" i="216"/>
  <c r="P21" i="216" s="1"/>
  <c r="P95" i="216" s="1"/>
  <c r="N28" i="1" s="1"/>
  <c r="N22" i="276"/>
  <c r="N22" i="220"/>
  <c r="D22" i="221"/>
  <c r="D23" i="221" s="1"/>
  <c r="O23" i="262"/>
  <c r="O20" i="262"/>
  <c r="Q26" i="216"/>
  <c r="F18" i="3"/>
  <c r="F138" i="14"/>
  <c r="G139" i="14" s="1"/>
  <c r="G44" i="232" s="1"/>
  <c r="L26" i="239"/>
  <c r="J19" i="263"/>
  <c r="J23" i="263"/>
  <c r="J21" i="263"/>
  <c r="J20" i="263"/>
  <c r="J22" i="263"/>
  <c r="J18" i="263"/>
  <c r="M17" i="239"/>
  <c r="M21" i="239" s="1"/>
  <c r="R18" i="231"/>
  <c r="AG23" i="231"/>
  <c r="AH23" i="231" s="1"/>
  <c r="M17" i="237"/>
  <c r="O19" i="237"/>
  <c r="O22" i="237" s="1"/>
  <c r="N18" i="237"/>
  <c r="P20" i="237"/>
  <c r="P22" i="237" s="1"/>
  <c r="L24" i="240"/>
  <c r="M99" i="237"/>
  <c r="J133" i="252" s="1"/>
  <c r="F29" i="14"/>
  <c r="AC21" i="231"/>
  <c r="AD21" i="231" s="1"/>
  <c r="F25" i="263"/>
  <c r="O17" i="239"/>
  <c r="O21" i="239" s="1"/>
  <c r="G26" i="238"/>
  <c r="R25" i="238"/>
  <c r="E25" i="263"/>
  <c r="J31" i="1"/>
  <c r="J25" i="262"/>
  <c r="P24" i="241"/>
  <c r="Q17" i="238"/>
  <c r="K26" i="240"/>
  <c r="I21" i="264"/>
  <c r="I19" i="264"/>
  <c r="I23" i="264"/>
  <c r="I20" i="264"/>
  <c r="I22" i="264"/>
  <c r="I18" i="264"/>
  <c r="AE26" i="231"/>
  <c r="M21" i="231"/>
  <c r="N21" i="231" s="1"/>
  <c r="K26" i="231"/>
  <c r="AS23" i="231"/>
  <c r="AT23" i="231" s="1"/>
  <c r="F26" i="239"/>
  <c r="D19" i="263"/>
  <c r="D23" i="263"/>
  <c r="D21" i="263"/>
  <c r="D20" i="263"/>
  <c r="D22" i="263"/>
  <c r="D18" i="263"/>
  <c r="Q24" i="239"/>
  <c r="E19" i="265"/>
  <c r="E22" i="265"/>
  <c r="E23" i="265"/>
  <c r="I25" i="263"/>
  <c r="D31" i="1"/>
  <c r="D25" i="262"/>
  <c r="O26" i="241"/>
  <c r="M18" i="265"/>
  <c r="M22" i="265"/>
  <c r="M20" i="265"/>
  <c r="M23" i="265"/>
  <c r="M21" i="265"/>
  <c r="M19" i="265"/>
  <c r="O21" i="262"/>
  <c r="AL26" i="231"/>
  <c r="J20" i="237"/>
  <c r="H18" i="237"/>
  <c r="G17" i="237"/>
  <c r="F24" i="240"/>
  <c r="I19" i="237"/>
  <c r="G99" i="237"/>
  <c r="D133" i="252" s="1"/>
  <c r="R26" i="237"/>
  <c r="M26" i="240"/>
  <c r="K19" i="264"/>
  <c r="K23" i="264"/>
  <c r="K21" i="264"/>
  <c r="K20" i="264"/>
  <c r="K18" i="264"/>
  <c r="K22" i="264"/>
  <c r="G25" i="263"/>
  <c r="G17" i="239"/>
  <c r="G21" i="239" s="1"/>
  <c r="L94" i="216"/>
  <c r="L17" i="216"/>
  <c r="L21" i="216" s="1"/>
  <c r="J22" i="276"/>
  <c r="J22" i="220"/>
  <c r="J23" i="220" s="1"/>
  <c r="J25" i="220" s="1"/>
  <c r="Q17" i="237"/>
  <c r="Q22" i="237" s="1"/>
  <c r="F18" i="238"/>
  <c r="P24" i="240"/>
  <c r="H20" i="238"/>
  <c r="Q99" i="237"/>
  <c r="N133" i="252" s="1"/>
  <c r="G19" i="238"/>
  <c r="G26" i="240"/>
  <c r="E19" i="264"/>
  <c r="E23" i="264"/>
  <c r="E21" i="264"/>
  <c r="E20" i="264"/>
  <c r="E18" i="264"/>
  <c r="E22" i="264"/>
  <c r="Q21" i="231"/>
  <c r="R21" i="231" s="1"/>
  <c r="O133" i="249"/>
  <c r="AW21" i="231"/>
  <c r="AX21" i="231" s="1"/>
  <c r="F17" i="216"/>
  <c r="F21" i="216" s="1"/>
  <c r="F95" i="216" s="1"/>
  <c r="D28" i="1" s="1"/>
  <c r="F94" i="216"/>
  <c r="D22" i="220"/>
  <c r="D23" i="220" s="1"/>
  <c r="D25" i="220" s="1"/>
  <c r="D22" i="276"/>
  <c r="D23" i="276" s="1"/>
  <c r="D25" i="276" s="1"/>
  <c r="H26" i="240"/>
  <c r="F21" i="264"/>
  <c r="F19" i="264"/>
  <c r="F23" i="264"/>
  <c r="F20" i="264"/>
  <c r="F18" i="264"/>
  <c r="F22" i="264"/>
  <c r="H17" i="239"/>
  <c r="H21" i="239" s="1"/>
  <c r="AQ26" i="231"/>
  <c r="C25" i="16"/>
  <c r="F87" i="2"/>
  <c r="F55" i="2"/>
  <c r="F54" i="2"/>
  <c r="A22" i="38"/>
  <c r="A14" i="38"/>
  <c r="C14" i="38" s="1"/>
  <c r="F86" i="2"/>
  <c r="F84" i="2"/>
  <c r="F85" i="2"/>
  <c r="F83" i="2"/>
  <c r="G182" i="10" l="1"/>
  <c r="E182" i="10"/>
  <c r="D65" i="265"/>
  <c r="D80" i="264"/>
  <c r="E37" i="231"/>
  <c r="F37" i="231"/>
  <c r="C182" i="10"/>
  <c r="E45" i="231"/>
  <c r="F45" i="231"/>
  <c r="AY67" i="231"/>
  <c r="E67" i="231"/>
  <c r="F67" i="231"/>
  <c r="K78" i="237"/>
  <c r="M82" i="262"/>
  <c r="O22" i="16"/>
  <c r="F54" i="265"/>
  <c r="K25" i="220"/>
  <c r="G112" i="10"/>
  <c r="Q79" i="10"/>
  <c r="R79" i="10" s="1"/>
  <c r="D66" i="265"/>
  <c r="J64" i="265"/>
  <c r="D64" i="265"/>
  <c r="H33" i="249"/>
  <c r="X27" i="266"/>
  <c r="T107" i="10" s="1"/>
  <c r="S107" i="10" s="1"/>
  <c r="M36" i="249"/>
  <c r="AY63" i="231"/>
  <c r="F63" i="231"/>
  <c r="E63" i="231"/>
  <c r="F29" i="221"/>
  <c r="F30" i="221" s="1"/>
  <c r="J112" i="10"/>
  <c r="Q112" i="10" s="1"/>
  <c r="Q104" i="10"/>
  <c r="R104" i="10" s="1"/>
  <c r="E31" i="231"/>
  <c r="F31" i="231"/>
  <c r="H112" i="10"/>
  <c r="F53" i="231"/>
  <c r="E53" i="231"/>
  <c r="J87" i="10"/>
  <c r="O20" i="238"/>
  <c r="K24" i="241"/>
  <c r="L17" i="238"/>
  <c r="F51" i="231"/>
  <c r="E51" i="231"/>
  <c r="O78" i="263"/>
  <c r="K33" i="249"/>
  <c r="I58" i="264"/>
  <c r="N19" i="238"/>
  <c r="C64" i="253"/>
  <c r="G63" i="252"/>
  <c r="M63" i="252"/>
  <c r="Q65" i="14"/>
  <c r="O94" i="10"/>
  <c r="H64" i="252"/>
  <c r="L94" i="10"/>
  <c r="I94" i="10"/>
  <c r="I63" i="252"/>
  <c r="F87" i="10"/>
  <c r="Q62" i="10"/>
  <c r="Q86" i="10"/>
  <c r="R86" i="10" s="1"/>
  <c r="H168" i="10"/>
  <c r="G157" i="10"/>
  <c r="H64" i="249" s="1"/>
  <c r="O64" i="249" s="1"/>
  <c r="G63" i="249"/>
  <c r="O63" i="249" s="1"/>
  <c r="E63" i="252"/>
  <c r="F94" i="10"/>
  <c r="K64" i="252"/>
  <c r="L87" i="10"/>
  <c r="I157" i="10"/>
  <c r="J64" i="249" s="1"/>
  <c r="I63" i="249"/>
  <c r="J63" i="252"/>
  <c r="O87" i="10"/>
  <c r="K87" i="10"/>
  <c r="O156" i="10"/>
  <c r="P159" i="10" s="1"/>
  <c r="G54" i="2" s="1"/>
  <c r="S86" i="10"/>
  <c r="N64" i="252"/>
  <c r="I87" i="10"/>
  <c r="E43" i="232"/>
  <c r="M64" i="252"/>
  <c r="M31" i="249"/>
  <c r="I31" i="249"/>
  <c r="F32" i="249"/>
  <c r="I33" i="265"/>
  <c r="F36" i="263"/>
  <c r="M36" i="265"/>
  <c r="F56" i="265"/>
  <c r="H64" i="237"/>
  <c r="E33" i="249"/>
  <c r="M32" i="249"/>
  <c r="M64" i="237"/>
  <c r="M99" i="238"/>
  <c r="J133" i="253" s="1"/>
  <c r="G34" i="249"/>
  <c r="E35" i="249"/>
  <c r="G31" i="249"/>
  <c r="L64" i="237"/>
  <c r="O64" i="238"/>
  <c r="K55" i="265"/>
  <c r="N54" i="265"/>
  <c r="E31" i="249"/>
  <c r="L53" i="265"/>
  <c r="N60" i="238"/>
  <c r="K53" i="265"/>
  <c r="L97" i="236"/>
  <c r="G270" i="38" s="1"/>
  <c r="P62" i="238"/>
  <c r="O97" i="236"/>
  <c r="J270" i="38" s="1"/>
  <c r="L63" i="241"/>
  <c r="Q64" i="237"/>
  <c r="M35" i="249"/>
  <c r="F34" i="249"/>
  <c r="N56" i="265"/>
  <c r="M97" i="236"/>
  <c r="J18" i="249" s="1"/>
  <c r="J45" i="265"/>
  <c r="L47" i="264"/>
  <c r="J40" i="265"/>
  <c r="P97" i="236"/>
  <c r="M18" i="249" s="1"/>
  <c r="Q46" i="238"/>
  <c r="N32" i="249"/>
  <c r="N97" i="236"/>
  <c r="K18" i="249" s="1"/>
  <c r="M19" i="238"/>
  <c r="N20" i="238"/>
  <c r="N22" i="238" s="1"/>
  <c r="L22" i="237"/>
  <c r="L18" i="238"/>
  <c r="M34" i="249"/>
  <c r="I47" i="238"/>
  <c r="J48" i="238"/>
  <c r="F50" i="241"/>
  <c r="D44" i="265" s="1"/>
  <c r="H46" i="238"/>
  <c r="N36" i="265"/>
  <c r="O36" i="237"/>
  <c r="F21" i="38"/>
  <c r="C21" i="38"/>
  <c r="D21" i="38"/>
  <c r="E21" i="38"/>
  <c r="O47" i="262"/>
  <c r="C36" i="265"/>
  <c r="H97" i="236"/>
  <c r="C270" i="38" s="1"/>
  <c r="Q99" i="238"/>
  <c r="N133" i="253" s="1"/>
  <c r="M33" i="249"/>
  <c r="J97" i="236"/>
  <c r="G18" i="249" s="1"/>
  <c r="F82" i="262"/>
  <c r="I50" i="237"/>
  <c r="F31" i="249"/>
  <c r="Q50" i="237"/>
  <c r="G32" i="249"/>
  <c r="N36" i="238"/>
  <c r="U23" i="231"/>
  <c r="V23" i="231" s="1"/>
  <c r="I82" i="262"/>
  <c r="O30" i="263"/>
  <c r="O34" i="263"/>
  <c r="E30" i="265"/>
  <c r="E34" i="265"/>
  <c r="E31" i="265"/>
  <c r="G39" i="241"/>
  <c r="G30" i="241" s="1"/>
  <c r="G34" i="241" s="1"/>
  <c r="K36" i="265"/>
  <c r="AW23" i="231"/>
  <c r="AX23" i="231" s="1"/>
  <c r="E33" i="265"/>
  <c r="G36" i="263"/>
  <c r="AU26" i="231"/>
  <c r="AW26" i="231" s="1"/>
  <c r="AX26" i="231" s="1"/>
  <c r="E32" i="265"/>
  <c r="L36" i="265"/>
  <c r="J33" i="249"/>
  <c r="O33" i="1"/>
  <c r="C20" i="7" s="1"/>
  <c r="D20" i="7" s="1"/>
  <c r="S26" i="231"/>
  <c r="R97" i="214"/>
  <c r="F22" i="38" s="1"/>
  <c r="AC23" i="231"/>
  <c r="AD23" i="231" s="1"/>
  <c r="E18" i="265"/>
  <c r="K17" i="238"/>
  <c r="O18" i="1"/>
  <c r="H18" i="3" s="1"/>
  <c r="J46" i="32" s="1"/>
  <c r="E21" i="265"/>
  <c r="G26" i="241"/>
  <c r="G17" i="241" s="1"/>
  <c r="G21" i="241" s="1"/>
  <c r="Q23" i="231"/>
  <c r="R23" i="231" s="1"/>
  <c r="Y23" i="231"/>
  <c r="Z23" i="231" s="1"/>
  <c r="K99" i="238"/>
  <c r="H133" i="253" s="1"/>
  <c r="C82" i="262"/>
  <c r="O31" i="1"/>
  <c r="C18" i="7" s="1"/>
  <c r="F18" i="7" s="1"/>
  <c r="J22" i="237"/>
  <c r="K22" i="237"/>
  <c r="C26" i="231"/>
  <c r="E26" i="231" s="1"/>
  <c r="F26" i="231" s="1"/>
  <c r="G97" i="236"/>
  <c r="B270" i="38" s="1"/>
  <c r="N22" i="237"/>
  <c r="F23" i="231"/>
  <c r="E134" i="1"/>
  <c r="F135" i="1" s="1"/>
  <c r="O32" i="1"/>
  <c r="C19" i="7" s="1"/>
  <c r="D19" i="7" s="1"/>
  <c r="I22" i="237"/>
  <c r="O35" i="1"/>
  <c r="C22" i="7" s="1"/>
  <c r="D22" i="7" s="1"/>
  <c r="O34" i="1"/>
  <c r="C21" i="7" s="1"/>
  <c r="D21" i="7" s="1"/>
  <c r="C44" i="14"/>
  <c r="C35" i="231" s="1"/>
  <c r="C67" i="14"/>
  <c r="C58" i="231" s="1"/>
  <c r="BB65" i="231"/>
  <c r="J9" i="10"/>
  <c r="G19" i="4"/>
  <c r="F270" i="38"/>
  <c r="H18" i="249"/>
  <c r="G118" i="16"/>
  <c r="H117" i="16"/>
  <c r="H116" i="16"/>
  <c r="Q141" i="22"/>
  <c r="O142" i="22"/>
  <c r="Q80" i="10"/>
  <c r="R80" i="10" s="1"/>
  <c r="Q145" i="227"/>
  <c r="O146" i="227"/>
  <c r="C78" i="220"/>
  <c r="C79" i="220" s="1"/>
  <c r="D78" i="220"/>
  <c r="D77" i="220"/>
  <c r="Q144" i="227"/>
  <c r="Q106" i="10"/>
  <c r="R106" i="10" s="1"/>
  <c r="A60" i="265"/>
  <c r="C60" i="265" s="1"/>
  <c r="C60" i="264"/>
  <c r="D77" i="16"/>
  <c r="C78" i="16"/>
  <c r="C79" i="16" s="1"/>
  <c r="D78" i="16"/>
  <c r="Q235" i="228"/>
  <c r="O236" i="228"/>
  <c r="Q166" i="228"/>
  <c r="O167" i="228"/>
  <c r="J36" i="263"/>
  <c r="Q147" i="228"/>
  <c r="O148" i="228"/>
  <c r="Q184" i="210"/>
  <c r="O185" i="210"/>
  <c r="Q146" i="228"/>
  <c r="P82" i="210"/>
  <c r="G14" i="263"/>
  <c r="G14" i="264" s="1"/>
  <c r="G14" i="265" s="1"/>
  <c r="J14" i="216"/>
  <c r="G14" i="262"/>
  <c r="Q183" i="210"/>
  <c r="P143" i="210"/>
  <c r="I56" i="220"/>
  <c r="I17" i="220"/>
  <c r="Q105" i="10"/>
  <c r="R55" i="10"/>
  <c r="Q69" i="10"/>
  <c r="D78" i="276"/>
  <c r="D77" i="276"/>
  <c r="C78" i="276"/>
  <c r="C79" i="276" s="1"/>
  <c r="K80" i="263"/>
  <c r="O84" i="217"/>
  <c r="N53" i="265"/>
  <c r="Q97" i="236"/>
  <c r="N18" i="249" s="1"/>
  <c r="F67" i="265"/>
  <c r="F63" i="265"/>
  <c r="S91" i="210"/>
  <c r="S154" i="210"/>
  <c r="BA42" i="231"/>
  <c r="Q94" i="10"/>
  <c r="R143" i="10"/>
  <c r="S145" i="10" s="1"/>
  <c r="S133" i="10"/>
  <c r="R109" i="10"/>
  <c r="K50" i="237"/>
  <c r="K32" i="249"/>
  <c r="N69" i="263"/>
  <c r="I33" i="249"/>
  <c r="J44" i="265"/>
  <c r="O53" i="263"/>
  <c r="H36" i="265"/>
  <c r="H28" i="31"/>
  <c r="F36" i="3" s="1"/>
  <c r="F37" i="3" s="1"/>
  <c r="K23" i="31"/>
  <c r="G82" i="262"/>
  <c r="G36" i="265"/>
  <c r="J40" i="31"/>
  <c r="D58" i="31" s="1"/>
  <c r="H58" i="31" s="1"/>
  <c r="K58" i="31" s="1"/>
  <c r="K40" i="31"/>
  <c r="K64" i="265"/>
  <c r="K34" i="249"/>
  <c r="L82" i="262"/>
  <c r="J52" i="265"/>
  <c r="J19" i="31"/>
  <c r="D37" i="31" s="1"/>
  <c r="H37" i="31" s="1"/>
  <c r="K37" i="31" s="1"/>
  <c r="K19" i="31"/>
  <c r="E36" i="249"/>
  <c r="N51" i="265"/>
  <c r="Q103" i="10"/>
  <c r="O69" i="262"/>
  <c r="F33" i="249"/>
  <c r="J38" i="31"/>
  <c r="D56" i="31" s="1"/>
  <c r="H56" i="31" s="1"/>
  <c r="K38" i="31"/>
  <c r="J35" i="31"/>
  <c r="D53" i="31" s="1"/>
  <c r="H53" i="31" s="1"/>
  <c r="K35" i="31"/>
  <c r="J34" i="249"/>
  <c r="F36" i="264"/>
  <c r="L36" i="264"/>
  <c r="O36" i="1"/>
  <c r="C23" i="7" s="1"/>
  <c r="F23" i="7" s="1"/>
  <c r="O94" i="239"/>
  <c r="J32" i="249"/>
  <c r="S152" i="210"/>
  <c r="S89" i="210"/>
  <c r="S88" i="210"/>
  <c r="H36" i="249"/>
  <c r="I23" i="231"/>
  <c r="J23" i="231" s="1"/>
  <c r="O30" i="1"/>
  <c r="K164" i="10"/>
  <c r="K165" i="10" s="1"/>
  <c r="N182" i="10"/>
  <c r="J182" i="10"/>
  <c r="H181" i="10"/>
  <c r="E181" i="10"/>
  <c r="F36" i="249"/>
  <c r="G53" i="265"/>
  <c r="I35" i="249"/>
  <c r="P36" i="238"/>
  <c r="F55" i="265"/>
  <c r="J54" i="265"/>
  <c r="E32" i="249"/>
  <c r="K92" i="237"/>
  <c r="K35" i="249"/>
  <c r="I97" i="236"/>
  <c r="D270" i="38" s="1"/>
  <c r="G35" i="249"/>
  <c r="H80" i="264"/>
  <c r="I52" i="265"/>
  <c r="J51" i="265"/>
  <c r="Q185" i="228"/>
  <c r="O186" i="228"/>
  <c r="G17" i="2"/>
  <c r="Q132" i="228"/>
  <c r="O133" i="228"/>
  <c r="Q131" i="228"/>
  <c r="J23" i="276"/>
  <c r="J25" i="276" s="1"/>
  <c r="H34" i="249"/>
  <c r="P78" i="237"/>
  <c r="F36" i="265"/>
  <c r="O95" i="239"/>
  <c r="K278" i="38" s="1"/>
  <c r="D82" i="262"/>
  <c r="N35" i="249"/>
  <c r="S85" i="210"/>
  <c r="H35" i="249"/>
  <c r="F30" i="249"/>
  <c r="R105" i="10"/>
  <c r="L182" i="10"/>
  <c r="F182" i="10"/>
  <c r="E64" i="252"/>
  <c r="K66" i="265"/>
  <c r="J42" i="265"/>
  <c r="I53" i="265"/>
  <c r="I32" i="249"/>
  <c r="L44" i="265"/>
  <c r="N55" i="265"/>
  <c r="I36" i="249"/>
  <c r="I54" i="265"/>
  <c r="O50" i="237"/>
  <c r="K67" i="265"/>
  <c r="H69" i="263"/>
  <c r="J43" i="265"/>
  <c r="F52" i="265"/>
  <c r="I80" i="264"/>
  <c r="J34" i="31"/>
  <c r="D52" i="31" s="1"/>
  <c r="H52" i="31" s="1"/>
  <c r="K34" i="31"/>
  <c r="I117" i="276"/>
  <c r="I116" i="276"/>
  <c r="H118" i="276"/>
  <c r="N82" i="262"/>
  <c r="F35" i="249"/>
  <c r="O32" i="263"/>
  <c r="F97" i="237"/>
  <c r="C18" i="252" s="1"/>
  <c r="C25" i="252" s="1"/>
  <c r="L34" i="249"/>
  <c r="J52" i="276"/>
  <c r="J19" i="276"/>
  <c r="J36" i="249"/>
  <c r="N33" i="249"/>
  <c r="C134" i="1"/>
  <c r="D135" i="1" s="1"/>
  <c r="N34" i="249"/>
  <c r="H32" i="249"/>
  <c r="D182" i="10"/>
  <c r="N181" i="10"/>
  <c r="J53" i="265"/>
  <c r="I34" i="249"/>
  <c r="J56" i="265"/>
  <c r="M50" i="237"/>
  <c r="K36" i="249"/>
  <c r="G36" i="249"/>
  <c r="L43" i="265"/>
  <c r="N52" i="265"/>
  <c r="L80" i="264"/>
  <c r="J39" i="31"/>
  <c r="D57" i="31" s="1"/>
  <c r="H57" i="31" s="1"/>
  <c r="K39" i="31"/>
  <c r="E105" i="234"/>
  <c r="E103" i="235"/>
  <c r="E124" i="252"/>
  <c r="Q234" i="228"/>
  <c r="C153" i="10"/>
  <c r="O153" i="10" s="1"/>
  <c r="C28" i="276"/>
  <c r="Q139" i="229"/>
  <c r="O140" i="229"/>
  <c r="P33" i="210"/>
  <c r="O29" i="18"/>
  <c r="G92" i="14" s="1"/>
  <c r="Q28" i="18"/>
  <c r="O30" i="18"/>
  <c r="Q29" i="18"/>
  <c r="O67" i="18"/>
  <c r="Q27" i="18"/>
  <c r="Q65" i="18"/>
  <c r="E30" i="20"/>
  <c r="G30" i="20" s="1"/>
  <c r="B31" i="20"/>
  <c r="O28" i="19"/>
  <c r="F95" i="14" s="1"/>
  <c r="P28" i="19"/>
  <c r="Q27" i="19" s="1"/>
  <c r="BA50" i="231"/>
  <c r="C71" i="276"/>
  <c r="S87" i="10"/>
  <c r="H22" i="237"/>
  <c r="G22" i="237"/>
  <c r="Q95" i="29"/>
  <c r="F134" i="1"/>
  <c r="G135" i="1" s="1"/>
  <c r="X20" i="266"/>
  <c r="T100" i="10" s="1"/>
  <c r="S100" i="10" s="1"/>
  <c r="C68" i="241"/>
  <c r="E68" i="241" s="1"/>
  <c r="E68" i="240"/>
  <c r="C29" i="241"/>
  <c r="E29" i="241" s="1"/>
  <c r="E29" i="240"/>
  <c r="G94" i="239"/>
  <c r="I71" i="276"/>
  <c r="J36" i="31"/>
  <c r="D54" i="31" s="1"/>
  <c r="H54" i="31" s="1"/>
  <c r="K36" i="31"/>
  <c r="Q94" i="216"/>
  <c r="F78" i="7" s="1"/>
  <c r="F80" i="7" s="1"/>
  <c r="F84" i="7" s="1"/>
  <c r="K94" i="239"/>
  <c r="H94" i="239"/>
  <c r="G95" i="239"/>
  <c r="E28" i="249" s="1"/>
  <c r="X29" i="266"/>
  <c r="T109" i="10" s="1"/>
  <c r="S109" i="10" s="1"/>
  <c r="G71" i="220"/>
  <c r="E42" i="240"/>
  <c r="C42" i="241"/>
  <c r="E42" i="241" s="1"/>
  <c r="K95" i="239"/>
  <c r="I28" i="249" s="1"/>
  <c r="C71" i="16"/>
  <c r="E95" i="216"/>
  <c r="C28" i="1" s="1"/>
  <c r="E20" i="249"/>
  <c r="Q16" i="30"/>
  <c r="F41" i="232"/>
  <c r="G41" i="232" s="1"/>
  <c r="H41" i="232" s="1"/>
  <c r="I41" i="232" s="1"/>
  <c r="J41" i="232" s="1"/>
  <c r="K41" i="232" s="1"/>
  <c r="L41" i="232" s="1"/>
  <c r="M41" i="232" s="1"/>
  <c r="N41" i="232" s="1"/>
  <c r="O41" i="232" s="1"/>
  <c r="P41" i="232" s="1"/>
  <c r="P29" i="14"/>
  <c r="F42" i="3" s="1"/>
  <c r="I104" i="14"/>
  <c r="I107" i="14"/>
  <c r="I110" i="14"/>
  <c r="L113" i="14"/>
  <c r="L119" i="14"/>
  <c r="I94" i="14"/>
  <c r="J47" i="232" s="1"/>
  <c r="K47" i="232" s="1"/>
  <c r="L47" i="232" s="1"/>
  <c r="S37" i="19"/>
  <c r="S49" i="19"/>
  <c r="S145" i="210"/>
  <c r="S188" i="210"/>
  <c r="S195" i="210"/>
  <c r="S153" i="210"/>
  <c r="S186" i="210"/>
  <c r="S189" i="210"/>
  <c r="S190" i="210"/>
  <c r="S193" i="210"/>
  <c r="S148" i="210"/>
  <c r="S151" i="210"/>
  <c r="S194" i="210"/>
  <c r="S150" i="210"/>
  <c r="S147" i="210"/>
  <c r="S143" i="210"/>
  <c r="S187" i="210"/>
  <c r="S37" i="210"/>
  <c r="J25" i="16"/>
  <c r="E82" i="239"/>
  <c r="E86" i="239" s="1"/>
  <c r="Q91" i="239"/>
  <c r="K76" i="238"/>
  <c r="I74" i="238"/>
  <c r="J75" i="238"/>
  <c r="H73" i="238"/>
  <c r="G76" i="241"/>
  <c r="H40" i="1"/>
  <c r="H35" i="220"/>
  <c r="H18" i="233"/>
  <c r="E24" i="241"/>
  <c r="G18" i="238"/>
  <c r="F17" i="238"/>
  <c r="F22" i="238" s="1"/>
  <c r="F99" i="238"/>
  <c r="C133" i="253" s="1"/>
  <c r="I20" i="238"/>
  <c r="H19" i="238"/>
  <c r="G67" i="1"/>
  <c r="G66" i="233"/>
  <c r="G74" i="249"/>
  <c r="G80" i="234"/>
  <c r="F91" i="241"/>
  <c r="F82" i="241" s="1"/>
  <c r="F86" i="241" s="1"/>
  <c r="D76" i="265"/>
  <c r="D78" i="265"/>
  <c r="D74" i="265"/>
  <c r="H95" i="239"/>
  <c r="F28" i="249" s="1"/>
  <c r="J35" i="249"/>
  <c r="K31" i="249"/>
  <c r="F78" i="249"/>
  <c r="F87" i="234"/>
  <c r="H41" i="1"/>
  <c r="H36" i="220"/>
  <c r="H20" i="233"/>
  <c r="F61" i="252"/>
  <c r="F59" i="235"/>
  <c r="F61" i="253" s="1"/>
  <c r="J71" i="220"/>
  <c r="E30" i="241"/>
  <c r="E34" i="241" s="1"/>
  <c r="F43" i="252"/>
  <c r="F24" i="235"/>
  <c r="F43" i="253" s="1"/>
  <c r="M45" i="265"/>
  <c r="M42" i="265"/>
  <c r="Z66" i="231"/>
  <c r="Y66" i="231"/>
  <c r="O78" i="240"/>
  <c r="O69" i="240" s="1"/>
  <c r="O73" i="240" s="1"/>
  <c r="M62" i="264"/>
  <c r="M64" i="264"/>
  <c r="M66" i="264"/>
  <c r="M63" i="264"/>
  <c r="M65" i="264"/>
  <c r="M67" i="264"/>
  <c r="I35" i="16"/>
  <c r="J41" i="14"/>
  <c r="J18" i="218"/>
  <c r="I18" i="219"/>
  <c r="AA32" i="231"/>
  <c r="D52" i="253"/>
  <c r="H89" i="241"/>
  <c r="L90" i="238"/>
  <c r="J88" i="238"/>
  <c r="K89" i="238"/>
  <c r="I87" i="238"/>
  <c r="H78" i="237"/>
  <c r="E56" i="239"/>
  <c r="E60" i="239" s="1"/>
  <c r="Q65" i="239"/>
  <c r="H138" i="14"/>
  <c r="I139" i="14" s="1"/>
  <c r="I44" i="232" s="1"/>
  <c r="J58" i="264"/>
  <c r="Z35" i="231"/>
  <c r="Y35" i="231"/>
  <c r="E51" i="252"/>
  <c r="E40" i="235"/>
  <c r="F69" i="263"/>
  <c r="E78" i="240"/>
  <c r="Q76" i="240"/>
  <c r="C62" i="264"/>
  <c r="C67" i="264"/>
  <c r="C63" i="264"/>
  <c r="C65" i="264"/>
  <c r="C66" i="264"/>
  <c r="C64" i="264"/>
  <c r="O67" i="263"/>
  <c r="M41" i="265"/>
  <c r="J23" i="31"/>
  <c r="D41" i="31" s="1"/>
  <c r="L54" i="265"/>
  <c r="K69" i="263"/>
  <c r="P78" i="240"/>
  <c r="P69" i="240" s="1"/>
  <c r="P73" i="240" s="1"/>
  <c r="N62" i="264"/>
  <c r="N65" i="264"/>
  <c r="N66" i="264"/>
  <c r="N64" i="264"/>
  <c r="N67" i="264"/>
  <c r="N63" i="264"/>
  <c r="I34" i="16"/>
  <c r="J40" i="14"/>
  <c r="J16" i="218"/>
  <c r="I16" i="219"/>
  <c r="AA31" i="231"/>
  <c r="K56" i="265"/>
  <c r="O36" i="262"/>
  <c r="C33" i="249"/>
  <c r="E56" i="252"/>
  <c r="E49" i="235"/>
  <c r="E58" i="252"/>
  <c r="E53" i="235"/>
  <c r="F55" i="252"/>
  <c r="F47" i="235"/>
  <c r="F55" i="253" s="1"/>
  <c r="H77" i="1"/>
  <c r="H85" i="233"/>
  <c r="O91" i="240"/>
  <c r="O82" i="240" s="1"/>
  <c r="O86" i="240" s="1"/>
  <c r="M76" i="264"/>
  <c r="M74" i="264"/>
  <c r="M78" i="264"/>
  <c r="M77" i="264"/>
  <c r="M73" i="264"/>
  <c r="M75" i="264"/>
  <c r="G79" i="249"/>
  <c r="G89" i="234"/>
  <c r="E63" i="241"/>
  <c r="R68" i="238"/>
  <c r="G60" i="238"/>
  <c r="I62" i="238"/>
  <c r="H61" i="238"/>
  <c r="F59" i="238"/>
  <c r="F64" i="238" s="1"/>
  <c r="S19" i="30"/>
  <c r="S22" i="30" s="1"/>
  <c r="T18" i="30"/>
  <c r="I68" i="14"/>
  <c r="H66" i="219"/>
  <c r="I66" i="218"/>
  <c r="W59" i="231"/>
  <c r="M43" i="265"/>
  <c r="L52" i="265"/>
  <c r="H78" i="241"/>
  <c r="H69" i="241" s="1"/>
  <c r="H73" i="241" s="1"/>
  <c r="F62" i="265"/>
  <c r="M78" i="241"/>
  <c r="M69" i="241" s="1"/>
  <c r="M73" i="241" s="1"/>
  <c r="K62" i="265"/>
  <c r="H46" i="1"/>
  <c r="H42" i="220"/>
  <c r="H30" i="233"/>
  <c r="D43" i="253"/>
  <c r="E20" i="1"/>
  <c r="E25" i="1" s="1"/>
  <c r="F29" i="270"/>
  <c r="H79" i="1"/>
  <c r="H89" i="233"/>
  <c r="N76" i="238"/>
  <c r="L74" i="238"/>
  <c r="J76" i="241"/>
  <c r="M75" i="238"/>
  <c r="K73" i="238"/>
  <c r="Y36" i="231"/>
  <c r="Z36" i="231"/>
  <c r="H55" i="1"/>
  <c r="H47" i="233"/>
  <c r="D37" i="16"/>
  <c r="C50" i="16"/>
  <c r="C54" i="16" s="1"/>
  <c r="C58" i="16" s="1"/>
  <c r="U37" i="231"/>
  <c r="V37" i="231" s="1"/>
  <c r="I50" i="241"/>
  <c r="M48" i="238"/>
  <c r="K46" i="238"/>
  <c r="L47" i="238"/>
  <c r="J45" i="238"/>
  <c r="D73" i="265"/>
  <c r="X22" i="266"/>
  <c r="T102" i="10" s="1"/>
  <c r="S102" i="10" s="1"/>
  <c r="K51" i="265"/>
  <c r="V61" i="231"/>
  <c r="U61" i="231"/>
  <c r="K14" i="29"/>
  <c r="H14" i="217"/>
  <c r="F78" i="241"/>
  <c r="F69" i="241" s="1"/>
  <c r="F73" i="241" s="1"/>
  <c r="D62" i="265"/>
  <c r="I95" i="216"/>
  <c r="G28" i="1" s="1"/>
  <c r="O62" i="263"/>
  <c r="C69" i="263"/>
  <c r="Z49" i="231"/>
  <c r="Y49" i="231"/>
  <c r="I70" i="14"/>
  <c r="H70" i="219"/>
  <c r="I70" i="218"/>
  <c r="W61" i="231"/>
  <c r="N36" i="249"/>
  <c r="X23" i="266"/>
  <c r="T103" i="10" s="1"/>
  <c r="S103" i="10" s="1"/>
  <c r="O77" i="263"/>
  <c r="E52" i="240"/>
  <c r="Q50" i="240"/>
  <c r="C45" i="264"/>
  <c r="C41" i="264"/>
  <c r="C43" i="264"/>
  <c r="C42" i="264"/>
  <c r="C40" i="264"/>
  <c r="C44" i="264"/>
  <c r="H68" i="1"/>
  <c r="H68" i="233"/>
  <c r="I74" i="14"/>
  <c r="H78" i="219"/>
  <c r="I78" i="218"/>
  <c r="P65" i="240"/>
  <c r="P56" i="240" s="1"/>
  <c r="P60" i="240" s="1"/>
  <c r="N51" i="264"/>
  <c r="N52" i="264"/>
  <c r="N53" i="264"/>
  <c r="N55" i="264"/>
  <c r="N54" i="264"/>
  <c r="N56" i="264"/>
  <c r="I71" i="220"/>
  <c r="J73" i="14"/>
  <c r="J76" i="218"/>
  <c r="I76" i="219"/>
  <c r="AA66" i="231"/>
  <c r="K47" i="238"/>
  <c r="I45" i="238"/>
  <c r="H50" i="241"/>
  <c r="L48" i="238"/>
  <c r="J46" i="238"/>
  <c r="J82" i="14"/>
  <c r="J93" i="218"/>
  <c r="I93" i="219"/>
  <c r="M40" i="265"/>
  <c r="G89" i="241"/>
  <c r="K90" i="238"/>
  <c r="I88" i="238"/>
  <c r="H87" i="238"/>
  <c r="J89" i="238"/>
  <c r="F48" i="252"/>
  <c r="F34" i="235"/>
  <c r="F48" i="253" s="1"/>
  <c r="M47" i="263"/>
  <c r="O54" i="263"/>
  <c r="G72" i="249"/>
  <c r="G76" i="234"/>
  <c r="I52" i="220"/>
  <c r="I19" i="220"/>
  <c r="Q73" i="238"/>
  <c r="P76" i="241"/>
  <c r="I39" i="16"/>
  <c r="J44" i="14"/>
  <c r="I24" i="219"/>
  <c r="J24" i="218"/>
  <c r="AA35" i="231"/>
  <c r="G42" i="249"/>
  <c r="G38" i="276"/>
  <c r="G22" i="234"/>
  <c r="L55" i="265"/>
  <c r="M20" i="238"/>
  <c r="M22" i="238" s="1"/>
  <c r="J99" i="238"/>
  <c r="G133" i="253" s="1"/>
  <c r="L19" i="238"/>
  <c r="K18" i="238"/>
  <c r="I24" i="241"/>
  <c r="J17" i="238"/>
  <c r="Q78" i="237"/>
  <c r="Z58" i="231"/>
  <c r="Y58" i="231"/>
  <c r="J64" i="237"/>
  <c r="Q75" i="238"/>
  <c r="O73" i="238"/>
  <c r="O78" i="238" s="1"/>
  <c r="P74" i="238"/>
  <c r="N76" i="241"/>
  <c r="F39" i="252"/>
  <c r="F16" i="235"/>
  <c r="F39" i="253" s="1"/>
  <c r="L56" i="265"/>
  <c r="H92" i="237"/>
  <c r="D69" i="263"/>
  <c r="D49" i="253"/>
  <c r="P18" i="238"/>
  <c r="P22" i="238" s="1"/>
  <c r="O17" i="238"/>
  <c r="O22" i="238" s="1"/>
  <c r="O99" i="238"/>
  <c r="L133" i="253" s="1"/>
  <c r="N24" i="241"/>
  <c r="Q19" i="238"/>
  <c r="Q22" i="238" s="1"/>
  <c r="C32" i="249"/>
  <c r="I72" i="14"/>
  <c r="H74" i="219"/>
  <c r="I74" i="218"/>
  <c r="W64" i="231"/>
  <c r="K58" i="263"/>
  <c r="L78" i="237"/>
  <c r="F49" i="249"/>
  <c r="F45" i="276"/>
  <c r="F36" i="234"/>
  <c r="L69" i="263"/>
  <c r="Y53" i="231"/>
  <c r="Z53" i="231"/>
  <c r="P92" i="237"/>
  <c r="I76" i="14"/>
  <c r="H82" i="219"/>
  <c r="I82" i="218"/>
  <c r="J50" i="237"/>
  <c r="R24" i="30"/>
  <c r="G58" i="263"/>
  <c r="D43" i="265"/>
  <c r="V51" i="231"/>
  <c r="U51" i="231"/>
  <c r="K78" i="241"/>
  <c r="K69" i="241" s="1"/>
  <c r="K73" i="241" s="1"/>
  <c r="I62" i="265"/>
  <c r="I69" i="265" s="1"/>
  <c r="G55" i="249"/>
  <c r="G47" i="234"/>
  <c r="D50" i="253"/>
  <c r="I89" i="241"/>
  <c r="M90" i="238"/>
  <c r="K88" i="238"/>
  <c r="L89" i="238"/>
  <c r="J87" i="238"/>
  <c r="P91" i="240"/>
  <c r="P82" i="240" s="1"/>
  <c r="P86" i="240" s="1"/>
  <c r="N78" i="264"/>
  <c r="N76" i="264"/>
  <c r="N74" i="264"/>
  <c r="N77" i="264"/>
  <c r="N73" i="264"/>
  <c r="N75" i="264"/>
  <c r="G53" i="1"/>
  <c r="G49" i="220"/>
  <c r="G44" i="233"/>
  <c r="F75" i="249"/>
  <c r="F82" i="234"/>
  <c r="I40" i="16"/>
  <c r="J45" i="14"/>
  <c r="J26" i="218"/>
  <c r="I26" i="219"/>
  <c r="AA36" i="231"/>
  <c r="K65" i="265"/>
  <c r="I66" i="14"/>
  <c r="H62" i="219"/>
  <c r="I62" i="218"/>
  <c r="W57" i="231"/>
  <c r="H57" i="1"/>
  <c r="H51" i="233"/>
  <c r="L33" i="249"/>
  <c r="E47" i="263"/>
  <c r="I61" i="14"/>
  <c r="H57" i="219"/>
  <c r="I57" i="218"/>
  <c r="J65" i="240"/>
  <c r="J56" i="240" s="1"/>
  <c r="J60" i="240" s="1"/>
  <c r="H54" i="264"/>
  <c r="H56" i="264"/>
  <c r="H51" i="264"/>
  <c r="H52" i="264"/>
  <c r="H53" i="264"/>
  <c r="H55" i="264"/>
  <c r="G45" i="1"/>
  <c r="G41" i="220"/>
  <c r="G28" i="233"/>
  <c r="O41" i="263"/>
  <c r="G69" i="1"/>
  <c r="G70" i="233"/>
  <c r="I64" i="237"/>
  <c r="J80" i="263"/>
  <c r="G57" i="249"/>
  <c r="G51" i="234"/>
  <c r="H74" i="1"/>
  <c r="H80" i="233"/>
  <c r="Z41" i="231"/>
  <c r="Y41" i="231"/>
  <c r="H81" i="1"/>
  <c r="H93" i="233"/>
  <c r="C36" i="264"/>
  <c r="G39" i="249"/>
  <c r="G34" i="276"/>
  <c r="G16" i="234"/>
  <c r="J78" i="14"/>
  <c r="J85" i="218"/>
  <c r="I85" i="219"/>
  <c r="AA69" i="231"/>
  <c r="E20" i="253"/>
  <c r="F29" i="273"/>
  <c r="D55" i="253"/>
  <c r="V57" i="231"/>
  <c r="U57" i="231"/>
  <c r="J75" i="14"/>
  <c r="J80" i="218"/>
  <c r="I80" i="219"/>
  <c r="J82" i="262"/>
  <c r="O73" i="263"/>
  <c r="C80" i="263"/>
  <c r="J50" i="241"/>
  <c r="N48" i="238"/>
  <c r="L46" i="238"/>
  <c r="K45" i="238"/>
  <c r="M47" i="238"/>
  <c r="J69" i="14"/>
  <c r="J68" i="218"/>
  <c r="I68" i="219"/>
  <c r="AA60" i="231"/>
  <c r="G73" i="1"/>
  <c r="G78" i="233"/>
  <c r="G48" i="249"/>
  <c r="G44" i="276"/>
  <c r="G34" i="234"/>
  <c r="E91" i="240"/>
  <c r="Q89" i="240"/>
  <c r="C76" i="264"/>
  <c r="C74" i="264"/>
  <c r="C78" i="264"/>
  <c r="C77" i="264"/>
  <c r="C73" i="264"/>
  <c r="C75" i="264"/>
  <c r="J52" i="240"/>
  <c r="J43" i="240" s="1"/>
  <c r="J47" i="240" s="1"/>
  <c r="H42" i="264"/>
  <c r="H40" i="264"/>
  <c r="H44" i="264"/>
  <c r="H45" i="264"/>
  <c r="H41" i="264"/>
  <c r="H43" i="264"/>
  <c r="J47" i="238"/>
  <c r="H45" i="238"/>
  <c r="I46" i="238"/>
  <c r="G50" i="241"/>
  <c r="K48" i="238"/>
  <c r="H99" i="238"/>
  <c r="E133" i="253" s="1"/>
  <c r="Q45" i="238"/>
  <c r="P50" i="241"/>
  <c r="J69" i="264"/>
  <c r="E73" i="252"/>
  <c r="E78" i="235"/>
  <c r="E89" i="241"/>
  <c r="R96" i="238"/>
  <c r="G88" i="238"/>
  <c r="G92" i="238" s="1"/>
  <c r="I90" i="238"/>
  <c r="H89" i="238"/>
  <c r="F87" i="238"/>
  <c r="F92" i="238" s="1"/>
  <c r="O55" i="263"/>
  <c r="E38" i="252"/>
  <c r="E14" i="235"/>
  <c r="E97" i="234"/>
  <c r="E97" i="235" s="1"/>
  <c r="H52" i="240"/>
  <c r="H43" i="240" s="1"/>
  <c r="H47" i="240" s="1"/>
  <c r="F45" i="264"/>
  <c r="F41" i="264"/>
  <c r="F44" i="264"/>
  <c r="F43" i="264"/>
  <c r="F42" i="264"/>
  <c r="F40" i="264"/>
  <c r="I52" i="14"/>
  <c r="H47" i="16"/>
  <c r="H40" i="219"/>
  <c r="I40" i="218"/>
  <c r="E69" i="239"/>
  <c r="E73" i="239" s="1"/>
  <c r="Q78" i="239"/>
  <c r="E65" i="252"/>
  <c r="E62" i="235"/>
  <c r="E65" i="253" s="1"/>
  <c r="J67" i="14"/>
  <c r="J64" i="218"/>
  <c r="I64" i="219"/>
  <c r="AA58" i="231"/>
  <c r="Z34" i="231"/>
  <c r="Y34" i="231"/>
  <c r="E76" i="241"/>
  <c r="R82" i="238"/>
  <c r="F73" i="238"/>
  <c r="F78" i="238" s="1"/>
  <c r="G74" i="238"/>
  <c r="G78" i="238" s="1"/>
  <c r="I76" i="238"/>
  <c r="I78" i="238" s="1"/>
  <c r="H75" i="238"/>
  <c r="G59" i="249"/>
  <c r="G55" i="234"/>
  <c r="K19" i="238"/>
  <c r="I17" i="238"/>
  <c r="I99" i="238"/>
  <c r="F133" i="253" s="1"/>
  <c r="J18" i="238"/>
  <c r="L20" i="238"/>
  <c r="H24" i="241"/>
  <c r="K39" i="240"/>
  <c r="K30" i="240" s="1"/>
  <c r="K34" i="240" s="1"/>
  <c r="I30" i="264"/>
  <c r="I34" i="264"/>
  <c r="I32" i="264"/>
  <c r="I29" i="264"/>
  <c r="I31" i="264"/>
  <c r="I33" i="264"/>
  <c r="D36" i="8"/>
  <c r="C9" i="218"/>
  <c r="I9" i="218"/>
  <c r="C34" i="249"/>
  <c r="G71" i="1"/>
  <c r="G74" i="233"/>
  <c r="Z45" i="231"/>
  <c r="Y45" i="231"/>
  <c r="G46" i="249"/>
  <c r="G42" i="276"/>
  <c r="G30" i="234"/>
  <c r="J60" i="14"/>
  <c r="J55" i="218"/>
  <c r="I55" i="219"/>
  <c r="AA53" i="231"/>
  <c r="G75" i="1"/>
  <c r="G82" i="233"/>
  <c r="F71" i="249"/>
  <c r="F74" i="234"/>
  <c r="Q39" i="239"/>
  <c r="I59" i="14"/>
  <c r="I53" i="218"/>
  <c r="H53" i="219"/>
  <c r="W51" i="231"/>
  <c r="F65" i="249"/>
  <c r="F62" i="234"/>
  <c r="Q92" i="237"/>
  <c r="H49" i="16"/>
  <c r="I54" i="14"/>
  <c r="H44" i="219"/>
  <c r="I44" i="218"/>
  <c r="G71" i="16"/>
  <c r="K69" i="264"/>
  <c r="G65" i="1"/>
  <c r="G62" i="233"/>
  <c r="O64" i="237"/>
  <c r="J58" i="14"/>
  <c r="J51" i="218"/>
  <c r="I51" i="219"/>
  <c r="AA49" i="231"/>
  <c r="L35" i="249"/>
  <c r="G60" i="1"/>
  <c r="G57" i="233"/>
  <c r="K52" i="240"/>
  <c r="K43" i="240" s="1"/>
  <c r="K47" i="240" s="1"/>
  <c r="I44" i="264"/>
  <c r="I45" i="264"/>
  <c r="I43" i="264"/>
  <c r="I41" i="264"/>
  <c r="I42" i="264"/>
  <c r="I40" i="264"/>
  <c r="G51" i="265"/>
  <c r="O45" i="263"/>
  <c r="H48" i="1"/>
  <c r="H44" i="220"/>
  <c r="H34" i="233"/>
  <c r="E71" i="252"/>
  <c r="E74" i="235"/>
  <c r="O89" i="241"/>
  <c r="Q88" i="238"/>
  <c r="P87" i="238"/>
  <c r="E69" i="252"/>
  <c r="E70" i="235"/>
  <c r="M52" i="240"/>
  <c r="M43" i="240" s="1"/>
  <c r="M47" i="240" s="1"/>
  <c r="K42" i="264"/>
  <c r="K44" i="264"/>
  <c r="K45" i="264"/>
  <c r="K41" i="264"/>
  <c r="K43" i="264"/>
  <c r="K40" i="264"/>
  <c r="M76" i="238"/>
  <c r="K74" i="238"/>
  <c r="I76" i="241"/>
  <c r="J73" i="238"/>
  <c r="J78" i="238" s="1"/>
  <c r="L75" i="238"/>
  <c r="L21" i="264"/>
  <c r="L18" i="264"/>
  <c r="L20" i="264"/>
  <c r="L19" i="264"/>
  <c r="N26" i="240"/>
  <c r="L22" i="264"/>
  <c r="L23" i="264"/>
  <c r="F70" i="252"/>
  <c r="F72" i="235"/>
  <c r="N78" i="240"/>
  <c r="N69" i="240" s="1"/>
  <c r="N73" i="240" s="1"/>
  <c r="L62" i="264"/>
  <c r="L67" i="264"/>
  <c r="L65" i="264"/>
  <c r="L63" i="264"/>
  <c r="L66" i="264"/>
  <c r="L64" i="264"/>
  <c r="H44" i="1"/>
  <c r="H40" i="220"/>
  <c r="H26" i="233"/>
  <c r="J56" i="14"/>
  <c r="J47" i="218"/>
  <c r="I47" i="219"/>
  <c r="AA47" i="231"/>
  <c r="H41" i="16"/>
  <c r="I46" i="14"/>
  <c r="H28" i="219"/>
  <c r="I28" i="218"/>
  <c r="W37" i="231"/>
  <c r="E43" i="239"/>
  <c r="E47" i="239" s="1"/>
  <c r="Q52" i="239"/>
  <c r="L95" i="216"/>
  <c r="J28" i="1" s="1"/>
  <c r="I95" i="239"/>
  <c r="G28" i="249" s="1"/>
  <c r="I182" i="10"/>
  <c r="I183" i="10" s="1"/>
  <c r="J64" i="253" s="1"/>
  <c r="H182" i="10"/>
  <c r="H183" i="10" s="1"/>
  <c r="K52" i="16"/>
  <c r="K19" i="16"/>
  <c r="M89" i="238"/>
  <c r="K87" i="238"/>
  <c r="J89" i="241"/>
  <c r="N90" i="238"/>
  <c r="L88" i="238"/>
  <c r="F58" i="263"/>
  <c r="V74" i="231"/>
  <c r="U74" i="231"/>
  <c r="G40" i="249"/>
  <c r="G35" i="276"/>
  <c r="G18" i="234"/>
  <c r="F50" i="252"/>
  <c r="F38" i="235"/>
  <c r="F50" i="253" s="1"/>
  <c r="I61" i="238"/>
  <c r="G59" i="238"/>
  <c r="F63" i="241"/>
  <c r="J62" i="238"/>
  <c r="H60" i="238"/>
  <c r="P89" i="238"/>
  <c r="N87" i="238"/>
  <c r="M89" i="241"/>
  <c r="Q90" i="238"/>
  <c r="O88" i="238"/>
  <c r="I71" i="16"/>
  <c r="R54" i="238"/>
  <c r="E50" i="241"/>
  <c r="H47" i="238"/>
  <c r="F45" i="238"/>
  <c r="F50" i="238" s="1"/>
  <c r="G46" i="238"/>
  <c r="G50" i="238" s="1"/>
  <c r="I48" i="238"/>
  <c r="G68" i="249"/>
  <c r="G68" i="234"/>
  <c r="H124" i="1"/>
  <c r="H103" i="233"/>
  <c r="H105" i="219"/>
  <c r="I56" i="16"/>
  <c r="I17" i="16"/>
  <c r="O52" i="263"/>
  <c r="N92" i="237"/>
  <c r="V30" i="231"/>
  <c r="U30" i="231"/>
  <c r="G66" i="249"/>
  <c r="G64" i="234"/>
  <c r="G51" i="1"/>
  <c r="G47" i="220"/>
  <c r="G40" i="233"/>
  <c r="O64" i="263"/>
  <c r="O58" i="262"/>
  <c r="F40" i="252"/>
  <c r="F18" i="235"/>
  <c r="I92" i="237"/>
  <c r="M36" i="264"/>
  <c r="I69" i="263"/>
  <c r="F47" i="263"/>
  <c r="G54" i="265"/>
  <c r="M58" i="263"/>
  <c r="H66" i="1"/>
  <c r="H64" i="233"/>
  <c r="I65" i="240"/>
  <c r="I56" i="240" s="1"/>
  <c r="I60" i="240" s="1"/>
  <c r="G51" i="264"/>
  <c r="G54" i="264"/>
  <c r="G56" i="264"/>
  <c r="G53" i="264"/>
  <c r="G55" i="264"/>
  <c r="G52" i="264"/>
  <c r="I38" i="16"/>
  <c r="J43" i="14"/>
  <c r="I22" i="219"/>
  <c r="J22" i="218"/>
  <c r="AA34" i="231"/>
  <c r="E58" i="263"/>
  <c r="D39" i="253"/>
  <c r="G91" i="240"/>
  <c r="G82" i="240" s="1"/>
  <c r="G86" i="240" s="1"/>
  <c r="E76" i="264"/>
  <c r="E74" i="264"/>
  <c r="E78" i="264"/>
  <c r="E77" i="264"/>
  <c r="E73" i="264"/>
  <c r="E75" i="264"/>
  <c r="C35" i="249"/>
  <c r="F81" i="252"/>
  <c r="F93" i="235"/>
  <c r="F81" i="253" s="1"/>
  <c r="O52" i="240"/>
  <c r="O43" i="240" s="1"/>
  <c r="O47" i="240" s="1"/>
  <c r="M45" i="264"/>
  <c r="M40" i="264"/>
  <c r="M41" i="264"/>
  <c r="M44" i="264"/>
  <c r="M42" i="264"/>
  <c r="M43" i="264"/>
  <c r="G47" i="263"/>
  <c r="H50" i="1"/>
  <c r="H46" i="220"/>
  <c r="H38" i="233"/>
  <c r="C82" i="2"/>
  <c r="D82" i="2" s="1"/>
  <c r="H59" i="1"/>
  <c r="H55" i="233"/>
  <c r="F41" i="252"/>
  <c r="F20" i="235"/>
  <c r="L24" i="220"/>
  <c r="L21" i="220"/>
  <c r="L23" i="220" s="1"/>
  <c r="I52" i="240"/>
  <c r="I43" i="240" s="1"/>
  <c r="I47" i="240" s="1"/>
  <c r="G42" i="264"/>
  <c r="G40" i="264"/>
  <c r="G44" i="264"/>
  <c r="G45" i="264"/>
  <c r="G43" i="264"/>
  <c r="G41" i="264"/>
  <c r="G58" i="1"/>
  <c r="G53" i="233"/>
  <c r="G52" i="265"/>
  <c r="F46" i="252"/>
  <c r="F30" i="235"/>
  <c r="G77" i="249"/>
  <c r="G85" i="234"/>
  <c r="F72" i="252"/>
  <c r="F76" i="235"/>
  <c r="G70" i="249"/>
  <c r="G72" i="234"/>
  <c r="G61" i="249"/>
  <c r="G59" i="234"/>
  <c r="F69" i="249"/>
  <c r="F70" i="234"/>
  <c r="H78" i="240"/>
  <c r="H69" i="240" s="1"/>
  <c r="H73" i="240" s="1"/>
  <c r="F62" i="264"/>
  <c r="F63" i="264"/>
  <c r="F65" i="264"/>
  <c r="F66" i="264"/>
  <c r="F64" i="264"/>
  <c r="F67" i="264"/>
  <c r="L32" i="249"/>
  <c r="F52" i="252"/>
  <c r="F42" i="235"/>
  <c r="F52" i="253" s="1"/>
  <c r="F53" i="249"/>
  <c r="F49" i="276"/>
  <c r="F44" i="234"/>
  <c r="F59" i="252"/>
  <c r="F55" i="235"/>
  <c r="F59" i="253" s="1"/>
  <c r="Y62" i="231"/>
  <c r="Z62" i="231"/>
  <c r="H43" i="31"/>
  <c r="J47" i="263"/>
  <c r="O40" i="263"/>
  <c r="C47" i="263"/>
  <c r="H65" i="240"/>
  <c r="H56" i="240" s="1"/>
  <c r="H60" i="240" s="1"/>
  <c r="F51" i="264"/>
  <c r="F54" i="264"/>
  <c r="F56" i="264"/>
  <c r="F53" i="264"/>
  <c r="F55" i="264"/>
  <c r="F52" i="264"/>
  <c r="I44" i="16"/>
  <c r="J49" i="14"/>
  <c r="J34" i="218"/>
  <c r="I34" i="219"/>
  <c r="AA41" i="231"/>
  <c r="H33" i="31"/>
  <c r="L78" i="241"/>
  <c r="L69" i="241" s="1"/>
  <c r="L73" i="241" s="1"/>
  <c r="J62" i="265"/>
  <c r="J69" i="265" s="1"/>
  <c r="J42" i="14"/>
  <c r="I36" i="16"/>
  <c r="I20" i="219"/>
  <c r="J20" i="218"/>
  <c r="AA33" i="231"/>
  <c r="L91" i="240"/>
  <c r="L82" i="240" s="1"/>
  <c r="L86" i="240" s="1"/>
  <c r="J78" i="264"/>
  <c r="J76" i="264"/>
  <c r="J74" i="264"/>
  <c r="J73" i="264"/>
  <c r="J75" i="264"/>
  <c r="J77" i="264"/>
  <c r="H72" i="1"/>
  <c r="H76" i="233"/>
  <c r="F80" i="249"/>
  <c r="F91" i="234"/>
  <c r="G52" i="249"/>
  <c r="G48" i="276"/>
  <c r="G42" i="234"/>
  <c r="E94" i="239"/>
  <c r="E17" i="239"/>
  <c r="E21" i="239" s="1"/>
  <c r="J78" i="237"/>
  <c r="E78" i="252"/>
  <c r="E87" i="235"/>
  <c r="E78" i="253" s="1"/>
  <c r="F67" i="249"/>
  <c r="F66" i="234"/>
  <c r="L39" i="240"/>
  <c r="L30" i="240" s="1"/>
  <c r="L34" i="240" s="1"/>
  <c r="J30" i="264"/>
  <c r="J32" i="264"/>
  <c r="J34" i="264"/>
  <c r="J29" i="264"/>
  <c r="J31" i="264"/>
  <c r="J33" i="264"/>
  <c r="O89" i="238"/>
  <c r="M87" i="238"/>
  <c r="N88" i="238"/>
  <c r="L89" i="241"/>
  <c r="P90" i="238"/>
  <c r="R99" i="237"/>
  <c r="I17" i="2" s="1"/>
  <c r="M95" i="239"/>
  <c r="K28" i="249" s="1"/>
  <c r="I94" i="239"/>
  <c r="X25" i="266"/>
  <c r="T105" i="10" s="1"/>
  <c r="S105" i="10" s="1"/>
  <c r="I83" i="14"/>
  <c r="I95" i="218"/>
  <c r="H95" i="219"/>
  <c r="K21" i="276"/>
  <c r="K23" i="276" s="1"/>
  <c r="K24" i="276"/>
  <c r="H86" i="276"/>
  <c r="G89" i="276"/>
  <c r="G80" i="264"/>
  <c r="I81" i="14"/>
  <c r="H91" i="219"/>
  <c r="I91" i="218"/>
  <c r="W74" i="231"/>
  <c r="Q74" i="238"/>
  <c r="P73" i="238"/>
  <c r="O76" i="241"/>
  <c r="V39" i="231"/>
  <c r="U39" i="231"/>
  <c r="V70" i="231"/>
  <c r="U70" i="231"/>
  <c r="O29" i="263"/>
  <c r="J47" i="265"/>
  <c r="Q37" i="240"/>
  <c r="V48" i="231"/>
  <c r="U48" i="231"/>
  <c r="F47" i="249"/>
  <c r="F43" i="276"/>
  <c r="F32" i="234"/>
  <c r="J128" i="14"/>
  <c r="K65" i="232" s="1"/>
  <c r="I103" i="219"/>
  <c r="I106" i="218"/>
  <c r="J104" i="218"/>
  <c r="D42" i="253"/>
  <c r="O56" i="263"/>
  <c r="F68" i="252"/>
  <c r="F68" i="235"/>
  <c r="F68" i="253" s="1"/>
  <c r="H33" i="16"/>
  <c r="I39" i="14"/>
  <c r="H97" i="218"/>
  <c r="H14" i="219"/>
  <c r="I14" i="218"/>
  <c r="W30" i="231"/>
  <c r="O66" i="263"/>
  <c r="E48" i="231"/>
  <c r="F48" i="231" s="1"/>
  <c r="C18" i="249"/>
  <c r="C25" i="249" s="1"/>
  <c r="A270" i="38"/>
  <c r="H42" i="1"/>
  <c r="H38" i="220"/>
  <c r="H22" i="233"/>
  <c r="U43" i="231"/>
  <c r="V43" i="231"/>
  <c r="E65" i="240"/>
  <c r="Q63" i="240"/>
  <c r="C52" i="264"/>
  <c r="C53" i="264"/>
  <c r="C55" i="264"/>
  <c r="C54" i="264"/>
  <c r="C51" i="264"/>
  <c r="C56" i="264"/>
  <c r="E45" i="252"/>
  <c r="E28" i="235"/>
  <c r="E45" i="253" s="1"/>
  <c r="O36" i="238"/>
  <c r="L52" i="240"/>
  <c r="L43" i="240" s="1"/>
  <c r="L47" i="240" s="1"/>
  <c r="J41" i="264"/>
  <c r="J45" i="264"/>
  <c r="J43" i="264"/>
  <c r="J42" i="264"/>
  <c r="J40" i="264"/>
  <c r="J44" i="264"/>
  <c r="C36" i="249"/>
  <c r="E67" i="252"/>
  <c r="E66" i="235"/>
  <c r="P50" i="237"/>
  <c r="I78" i="240"/>
  <c r="I69" i="240" s="1"/>
  <c r="I73" i="240" s="1"/>
  <c r="G62" i="264"/>
  <c r="G64" i="264"/>
  <c r="G66" i="264"/>
  <c r="G67" i="264"/>
  <c r="G63" i="264"/>
  <c r="G65" i="264"/>
  <c r="I46" i="16"/>
  <c r="J51" i="14"/>
  <c r="J38" i="218"/>
  <c r="I38" i="219"/>
  <c r="AA45" i="231"/>
  <c r="F57" i="252"/>
  <c r="F51" i="235"/>
  <c r="N62" i="238"/>
  <c r="L60" i="238"/>
  <c r="L64" i="238" s="1"/>
  <c r="M61" i="238"/>
  <c r="M64" i="238" s="1"/>
  <c r="J63" i="241"/>
  <c r="K59" i="238"/>
  <c r="N89" i="238"/>
  <c r="L87" i="238"/>
  <c r="M88" i="238"/>
  <c r="O90" i="238"/>
  <c r="K89" i="241"/>
  <c r="N64" i="237"/>
  <c r="N36" i="264"/>
  <c r="O31" i="263"/>
  <c r="C138" i="14"/>
  <c r="D18" i="3"/>
  <c r="E20" i="252"/>
  <c r="F29" i="272"/>
  <c r="O65" i="240"/>
  <c r="O56" i="240" s="1"/>
  <c r="O60" i="240" s="1"/>
  <c r="M51" i="264"/>
  <c r="M54" i="264"/>
  <c r="M56" i="264"/>
  <c r="M53" i="264"/>
  <c r="M55" i="264"/>
  <c r="M52" i="264"/>
  <c r="C20" i="264"/>
  <c r="E26" i="240"/>
  <c r="C22" i="264"/>
  <c r="C19" i="264"/>
  <c r="C21" i="264"/>
  <c r="C23" i="264"/>
  <c r="C18" i="264"/>
  <c r="G52" i="240"/>
  <c r="G43" i="240" s="1"/>
  <c r="G47" i="240" s="1"/>
  <c r="E40" i="264"/>
  <c r="E45" i="264"/>
  <c r="E41" i="264"/>
  <c r="E43" i="264"/>
  <c r="E44" i="264"/>
  <c r="E42" i="264"/>
  <c r="F65" i="265"/>
  <c r="F44" i="252"/>
  <c r="F26" i="235"/>
  <c r="F44" i="253" s="1"/>
  <c r="I78" i="237"/>
  <c r="N65" i="240"/>
  <c r="N56" i="240" s="1"/>
  <c r="N60" i="240" s="1"/>
  <c r="L55" i="264"/>
  <c r="L54" i="264"/>
  <c r="L56" i="264"/>
  <c r="L52" i="264"/>
  <c r="L51" i="264"/>
  <c r="L53" i="264"/>
  <c r="E60" i="252"/>
  <c r="E57" i="235"/>
  <c r="D36" i="232"/>
  <c r="E25" i="232"/>
  <c r="L47" i="263"/>
  <c r="L31" i="249"/>
  <c r="M36" i="237"/>
  <c r="J71" i="14"/>
  <c r="J72" i="218"/>
  <c r="I72" i="219"/>
  <c r="AA62" i="231"/>
  <c r="M69" i="263"/>
  <c r="I51" i="265"/>
  <c r="O44" i="263"/>
  <c r="D75" i="265"/>
  <c r="G44" i="249"/>
  <c r="G40" i="276"/>
  <c r="G26" i="234"/>
  <c r="F73" i="249"/>
  <c r="F78" i="234"/>
  <c r="O80" i="262"/>
  <c r="F56" i="249"/>
  <c r="F49" i="234"/>
  <c r="P52" i="240"/>
  <c r="P43" i="240" s="1"/>
  <c r="P47" i="240" s="1"/>
  <c r="N44" i="264"/>
  <c r="N43" i="264"/>
  <c r="N42" i="264"/>
  <c r="N40" i="264"/>
  <c r="N45" i="264"/>
  <c r="N41" i="264"/>
  <c r="F51" i="249"/>
  <c r="F47" i="276"/>
  <c r="F40" i="234"/>
  <c r="V64" i="231"/>
  <c r="U64" i="231"/>
  <c r="M65" i="240"/>
  <c r="M56" i="240" s="1"/>
  <c r="M60" i="240" s="1"/>
  <c r="K52" i="264"/>
  <c r="K51" i="264"/>
  <c r="K53" i="264"/>
  <c r="K54" i="264"/>
  <c r="K56" i="264"/>
  <c r="K55" i="264"/>
  <c r="L39" i="241"/>
  <c r="L30" i="241" s="1"/>
  <c r="L34" i="241" s="1"/>
  <c r="J30" i="265"/>
  <c r="J32" i="265"/>
  <c r="J34" i="265"/>
  <c r="J29" i="265"/>
  <c r="F42" i="252"/>
  <c r="F22" i="235"/>
  <c r="F42" i="253" s="1"/>
  <c r="M94" i="239"/>
  <c r="G82" i="1"/>
  <c r="G95" i="233"/>
  <c r="J71" i="276"/>
  <c r="G80" i="1"/>
  <c r="G91" i="233"/>
  <c r="N89" i="241"/>
  <c r="P88" i="238"/>
  <c r="Q89" i="238"/>
  <c r="O87" i="238"/>
  <c r="F37" i="241"/>
  <c r="I33" i="238"/>
  <c r="I36" i="238" s="1"/>
  <c r="G31" i="238"/>
  <c r="G36" i="238" s="1"/>
  <c r="J34" i="238"/>
  <c r="J36" i="238" s="1"/>
  <c r="H32" i="238"/>
  <c r="H36" i="238" s="1"/>
  <c r="R40" i="238"/>
  <c r="I48" i="14"/>
  <c r="H43" i="16"/>
  <c r="H32" i="219"/>
  <c r="I32" i="218"/>
  <c r="W39" i="231"/>
  <c r="I79" i="14"/>
  <c r="H87" i="219"/>
  <c r="I87" i="218"/>
  <c r="W70" i="231"/>
  <c r="H89" i="220"/>
  <c r="I86" i="220"/>
  <c r="F39" i="240"/>
  <c r="F30" i="240" s="1"/>
  <c r="F34" i="240" s="1"/>
  <c r="D30" i="264"/>
  <c r="D29" i="264"/>
  <c r="D32" i="264"/>
  <c r="D34" i="264"/>
  <c r="D31" i="264"/>
  <c r="D33" i="264"/>
  <c r="E30" i="240"/>
  <c r="E34" i="240" s="1"/>
  <c r="I57" i="14"/>
  <c r="H49" i="219"/>
  <c r="I49" i="218"/>
  <c r="W48" i="231"/>
  <c r="I58" i="263"/>
  <c r="M44" i="265"/>
  <c r="G78" i="240"/>
  <c r="G69" i="240" s="1"/>
  <c r="G73" i="240" s="1"/>
  <c r="E62" i="264"/>
  <c r="E67" i="264"/>
  <c r="E63" i="264"/>
  <c r="E64" i="264"/>
  <c r="E66" i="264"/>
  <c r="E65" i="264"/>
  <c r="O51" i="263"/>
  <c r="C58" i="263"/>
  <c r="M91" i="240"/>
  <c r="M82" i="240" s="1"/>
  <c r="M86" i="240" s="1"/>
  <c r="K78" i="264"/>
  <c r="K76" i="264"/>
  <c r="K74" i="264"/>
  <c r="K77" i="264"/>
  <c r="K73" i="264"/>
  <c r="K75" i="264"/>
  <c r="G81" i="249"/>
  <c r="G93" i="234"/>
  <c r="G38" i="1"/>
  <c r="G33" i="220"/>
  <c r="G97" i="219"/>
  <c r="G14" i="233"/>
  <c r="O65" i="263"/>
  <c r="H52" i="1"/>
  <c r="H48" i="220"/>
  <c r="H42" i="233"/>
  <c r="G124" i="249"/>
  <c r="G105" i="233"/>
  <c r="G103" i="234"/>
  <c r="H91" i="240"/>
  <c r="H82" i="240" s="1"/>
  <c r="H86" i="240" s="1"/>
  <c r="F78" i="264"/>
  <c r="F74" i="264"/>
  <c r="F76" i="264"/>
  <c r="F77" i="264"/>
  <c r="F73" i="264"/>
  <c r="F75" i="264"/>
  <c r="N50" i="237"/>
  <c r="Z31" i="231"/>
  <c r="Y31" i="231"/>
  <c r="G50" i="249"/>
  <c r="G46" i="276"/>
  <c r="G38" i="234"/>
  <c r="H42" i="31"/>
  <c r="K42" i="31" s="1"/>
  <c r="G56" i="265"/>
  <c r="G49" i="1"/>
  <c r="G45" i="220"/>
  <c r="G36" i="233"/>
  <c r="F52" i="240"/>
  <c r="F43" i="240" s="1"/>
  <c r="F47" i="240" s="1"/>
  <c r="D45" i="264"/>
  <c r="D42" i="264"/>
  <c r="D40" i="264"/>
  <c r="D41" i="264"/>
  <c r="D44" i="264"/>
  <c r="D43" i="264"/>
  <c r="G89" i="16"/>
  <c r="H86" i="16"/>
  <c r="E49" i="252"/>
  <c r="E36" i="235"/>
  <c r="E49" i="253" s="1"/>
  <c r="F79" i="252"/>
  <c r="F89" i="235"/>
  <c r="J31" i="265"/>
  <c r="F58" i="249"/>
  <c r="F53" i="234"/>
  <c r="K78" i="240"/>
  <c r="K69" i="240" s="1"/>
  <c r="K73" i="240" s="1"/>
  <c r="I62" i="264"/>
  <c r="I65" i="264"/>
  <c r="I63" i="264"/>
  <c r="I66" i="264"/>
  <c r="I64" i="264"/>
  <c r="I67" i="264"/>
  <c r="I15" i="16"/>
  <c r="I15" i="220" s="1"/>
  <c r="I15" i="276" s="1"/>
  <c r="N12" i="213"/>
  <c r="P59" i="238"/>
  <c r="P64" i="238" s="1"/>
  <c r="O63" i="241"/>
  <c r="Q60" i="238"/>
  <c r="Q64" i="238" s="1"/>
  <c r="P99" i="238"/>
  <c r="M133" i="253" s="1"/>
  <c r="H61" i="1"/>
  <c r="H59" i="233"/>
  <c r="E80" i="252"/>
  <c r="E91" i="235"/>
  <c r="O33" i="263"/>
  <c r="D58" i="264"/>
  <c r="O78" i="237"/>
  <c r="K52" i="265"/>
  <c r="N78" i="238"/>
  <c r="Z38" i="231"/>
  <c r="Y38" i="231"/>
  <c r="K12" i="214"/>
  <c r="G63" i="220"/>
  <c r="G63" i="276"/>
  <c r="G63" i="16"/>
  <c r="D48" i="253"/>
  <c r="F20" i="14"/>
  <c r="F26" i="14" s="1"/>
  <c r="F29" i="215"/>
  <c r="Z72" i="231"/>
  <c r="Y72" i="231"/>
  <c r="H50" i="237"/>
  <c r="K50" i="241"/>
  <c r="O48" i="238"/>
  <c r="M46" i="238"/>
  <c r="L45" i="238"/>
  <c r="N47" i="238"/>
  <c r="L99" i="238"/>
  <c r="I133" i="253" s="1"/>
  <c r="L58" i="263"/>
  <c r="D74" i="253"/>
  <c r="H25" i="3"/>
  <c r="J25" i="3" s="1"/>
  <c r="L25" i="3" s="1"/>
  <c r="N25" i="3" s="1"/>
  <c r="L36" i="249"/>
  <c r="K64" i="237"/>
  <c r="H70" i="1"/>
  <c r="H72" i="233"/>
  <c r="H36" i="264"/>
  <c r="F51" i="265"/>
  <c r="O43" i="263"/>
  <c r="Z60" i="231"/>
  <c r="Y60" i="231"/>
  <c r="H43" i="1"/>
  <c r="H39" i="220"/>
  <c r="H24" i="233"/>
  <c r="F38" i="249"/>
  <c r="F33" i="276"/>
  <c r="F14" i="234"/>
  <c r="F97" i="233"/>
  <c r="D53" i="253"/>
  <c r="E53" i="252"/>
  <c r="E44" i="235"/>
  <c r="E53" i="253" s="1"/>
  <c r="D37" i="276"/>
  <c r="C50" i="276"/>
  <c r="F74" i="252"/>
  <c r="F80" i="235"/>
  <c r="F74" i="253" s="1"/>
  <c r="K82" i="263"/>
  <c r="H47" i="263"/>
  <c r="J58" i="263"/>
  <c r="G65" i="240"/>
  <c r="G56" i="240" s="1"/>
  <c r="G60" i="240" s="1"/>
  <c r="E51" i="264"/>
  <c r="E54" i="264"/>
  <c r="E56" i="264"/>
  <c r="E53" i="264"/>
  <c r="E55" i="264"/>
  <c r="E52" i="264"/>
  <c r="O74" i="263"/>
  <c r="Y33" i="231"/>
  <c r="Z33" i="231"/>
  <c r="F45" i="249"/>
  <c r="F41" i="276"/>
  <c r="F28" i="234"/>
  <c r="D124" i="253"/>
  <c r="D105" i="235"/>
  <c r="G47" i="1"/>
  <c r="G43" i="220"/>
  <c r="G32" i="233"/>
  <c r="L80" i="263"/>
  <c r="G78" i="1"/>
  <c r="G87" i="233"/>
  <c r="G41" i="249"/>
  <c r="G36" i="276"/>
  <c r="G20" i="234"/>
  <c r="G36" i="264"/>
  <c r="G56" i="1"/>
  <c r="G49" i="233"/>
  <c r="Z32" i="231"/>
  <c r="Y32" i="231"/>
  <c r="E75" i="252"/>
  <c r="E82" i="235"/>
  <c r="I36" i="263"/>
  <c r="E69" i="263"/>
  <c r="P89" i="241"/>
  <c r="Q87" i="238"/>
  <c r="D80" i="263"/>
  <c r="O63" i="263"/>
  <c r="E47" i="252"/>
  <c r="E32" i="235"/>
  <c r="I48" i="16"/>
  <c r="J53" i="14"/>
  <c r="J42" i="218"/>
  <c r="I42" i="219"/>
  <c r="F77" i="252"/>
  <c r="F85" i="235"/>
  <c r="G55" i="265"/>
  <c r="K39" i="241"/>
  <c r="K30" i="241" s="1"/>
  <c r="K34" i="241" s="1"/>
  <c r="I30" i="265"/>
  <c r="I29" i="265"/>
  <c r="I32" i="265"/>
  <c r="I34" i="265"/>
  <c r="G43" i="249"/>
  <c r="G39" i="276"/>
  <c r="G24" i="234"/>
  <c r="H39" i="1"/>
  <c r="H34" i="220"/>
  <c r="H16" i="233"/>
  <c r="H45" i="16"/>
  <c r="I50" i="14"/>
  <c r="H36" i="219"/>
  <c r="I36" i="218"/>
  <c r="W43" i="231"/>
  <c r="G50" i="237"/>
  <c r="E82" i="252"/>
  <c r="E95" i="235"/>
  <c r="C25" i="263"/>
  <c r="C31" i="249"/>
  <c r="N47" i="263"/>
  <c r="P47" i="238"/>
  <c r="P50" i="238" s="1"/>
  <c r="N45" i="238"/>
  <c r="M50" i="241"/>
  <c r="Q48" i="238"/>
  <c r="O46" i="238"/>
  <c r="N99" i="238"/>
  <c r="K133" i="253" s="1"/>
  <c r="J69" i="263"/>
  <c r="Z69" i="231"/>
  <c r="Y69" i="231"/>
  <c r="J61" i="238"/>
  <c r="H59" i="238"/>
  <c r="G63" i="241"/>
  <c r="K62" i="238"/>
  <c r="I60" i="238"/>
  <c r="J62" i="14"/>
  <c r="J59" i="218"/>
  <c r="I59" i="219"/>
  <c r="D36" i="263"/>
  <c r="V59" i="231"/>
  <c r="U59" i="231"/>
  <c r="F66" i="252"/>
  <c r="F64" i="235"/>
  <c r="F66" i="253" s="1"/>
  <c r="I56" i="276"/>
  <c r="I17" i="276"/>
  <c r="K21" i="16"/>
  <c r="K23" i="16" s="1"/>
  <c r="K24" i="16"/>
  <c r="N58" i="263"/>
  <c r="M48" i="10"/>
  <c r="J19" i="268"/>
  <c r="J19" i="267" s="1"/>
  <c r="J19" i="266" s="1"/>
  <c r="I42" i="16"/>
  <c r="J47" i="14"/>
  <c r="I30" i="219"/>
  <c r="J30" i="218"/>
  <c r="AA38" i="231"/>
  <c r="M36" i="238"/>
  <c r="J80" i="14"/>
  <c r="J89" i="218"/>
  <c r="I89" i="219"/>
  <c r="AA72" i="231"/>
  <c r="P64" i="237"/>
  <c r="D47" i="263"/>
  <c r="H117" i="220"/>
  <c r="G118" i="220"/>
  <c r="H116" i="220"/>
  <c r="G19" i="269"/>
  <c r="J29" i="10"/>
  <c r="F124" i="252"/>
  <c r="F105" i="234"/>
  <c r="F103" i="235"/>
  <c r="E36" i="264"/>
  <c r="Z47" i="231"/>
  <c r="Y47" i="231"/>
  <c r="N43" i="239"/>
  <c r="N47" i="239" s="1"/>
  <c r="N95" i="239" s="1"/>
  <c r="N94" i="239"/>
  <c r="D37" i="220"/>
  <c r="C50" i="220"/>
  <c r="I47" i="263"/>
  <c r="F82" i="249"/>
  <c r="F95" i="234"/>
  <c r="L50" i="237"/>
  <c r="J34" i="216"/>
  <c r="H71" i="16" s="1"/>
  <c r="L51" i="265"/>
  <c r="O42" i="263"/>
  <c r="K36" i="264"/>
  <c r="F60" i="249"/>
  <c r="F57" i="234"/>
  <c r="C181" i="10"/>
  <c r="O180" i="10"/>
  <c r="E183" i="10"/>
  <c r="E63" i="253"/>
  <c r="F63" i="253"/>
  <c r="F183" i="10"/>
  <c r="G64" i="253" s="1"/>
  <c r="O171" i="10"/>
  <c r="D64" i="252"/>
  <c r="K183" i="10"/>
  <c r="L64" i="253" s="1"/>
  <c r="K63" i="253"/>
  <c r="C183" i="10"/>
  <c r="C63" i="253"/>
  <c r="D63" i="253"/>
  <c r="D183" i="10"/>
  <c r="E64" i="253" s="1"/>
  <c r="N63" i="253"/>
  <c r="N183" i="10"/>
  <c r="M183" i="10"/>
  <c r="N64" i="253" s="1"/>
  <c r="M63" i="253"/>
  <c r="H63" i="253"/>
  <c r="L183" i="10"/>
  <c r="M64" i="253" s="1"/>
  <c r="L63" i="253"/>
  <c r="G183" i="10"/>
  <c r="H64" i="253" s="1"/>
  <c r="G63" i="253"/>
  <c r="J63" i="253"/>
  <c r="J183" i="10"/>
  <c r="K64" i="253" s="1"/>
  <c r="O29" i="220"/>
  <c r="O30" i="220" s="1"/>
  <c r="S146" i="10"/>
  <c r="D30" i="220"/>
  <c r="C165" i="10"/>
  <c r="O165" i="10" s="1"/>
  <c r="O164" i="10"/>
  <c r="R103" i="10"/>
  <c r="E176" i="10"/>
  <c r="E177" i="10" s="1"/>
  <c r="M176" i="10"/>
  <c r="M177" i="10" s="1"/>
  <c r="L176" i="10"/>
  <c r="L177" i="10" s="1"/>
  <c r="H176" i="10"/>
  <c r="H177" i="10" s="1"/>
  <c r="F176" i="10"/>
  <c r="F177" i="10" s="1"/>
  <c r="K176" i="10"/>
  <c r="K177" i="10" s="1"/>
  <c r="I176" i="10"/>
  <c r="I177" i="10" s="1"/>
  <c r="D176" i="10"/>
  <c r="D177" i="10" s="1"/>
  <c r="G176" i="10"/>
  <c r="G177" i="10" s="1"/>
  <c r="N176" i="10"/>
  <c r="N177" i="10" s="1"/>
  <c r="J176" i="10"/>
  <c r="J177" i="10" s="1"/>
  <c r="C176" i="10"/>
  <c r="E30" i="276"/>
  <c r="S135" i="10"/>
  <c r="S144" i="10" s="1"/>
  <c r="F25" i="7"/>
  <c r="O29" i="249"/>
  <c r="M29" i="252"/>
  <c r="M167" i="10"/>
  <c r="N30" i="252" s="1"/>
  <c r="D167" i="10"/>
  <c r="E30" i="252" s="1"/>
  <c r="D29" i="252"/>
  <c r="K29" i="252"/>
  <c r="K167" i="10"/>
  <c r="L30" i="252" s="1"/>
  <c r="O155" i="10"/>
  <c r="H167" i="10"/>
  <c r="I30" i="252" s="1"/>
  <c r="H29" i="252"/>
  <c r="N29" i="252"/>
  <c r="N167" i="10"/>
  <c r="C30" i="253" s="1"/>
  <c r="L167" i="10"/>
  <c r="M30" i="252" s="1"/>
  <c r="L29" i="252"/>
  <c r="C178" i="10"/>
  <c r="G178" i="10"/>
  <c r="K178" i="10"/>
  <c r="N178" i="10"/>
  <c r="P119" i="10"/>
  <c r="L119" i="10"/>
  <c r="H119" i="10"/>
  <c r="H178" i="10"/>
  <c r="O119" i="10"/>
  <c r="K119" i="10"/>
  <c r="G119" i="10"/>
  <c r="Q119" i="10"/>
  <c r="I119" i="10"/>
  <c r="L178" i="10"/>
  <c r="E119" i="10"/>
  <c r="E178" i="10"/>
  <c r="F178" i="10"/>
  <c r="I178" i="10"/>
  <c r="J178" i="10"/>
  <c r="N119" i="10"/>
  <c r="F119" i="10"/>
  <c r="D178" i="10"/>
  <c r="M178" i="10"/>
  <c r="M119" i="10"/>
  <c r="R100" i="10"/>
  <c r="J119" i="10"/>
  <c r="E29" i="252"/>
  <c r="E167" i="10"/>
  <c r="F30" i="252" s="1"/>
  <c r="J29" i="252"/>
  <c r="J167" i="10"/>
  <c r="K30" i="252" s="1"/>
  <c r="P155" i="10"/>
  <c r="H24" i="7" s="1"/>
  <c r="F29" i="252"/>
  <c r="F167" i="10"/>
  <c r="G30" i="252" s="1"/>
  <c r="L40" i="32"/>
  <c r="D25" i="7"/>
  <c r="J40" i="32"/>
  <c r="H40" i="32"/>
  <c r="I29" i="252"/>
  <c r="I167" i="10"/>
  <c r="J30" i="252" s="1"/>
  <c r="G29" i="252"/>
  <c r="G167" i="10"/>
  <c r="H30" i="252" s="1"/>
  <c r="C29" i="252"/>
  <c r="O166" i="10"/>
  <c r="C167" i="10"/>
  <c r="M22" i="237"/>
  <c r="H21" i="264"/>
  <c r="H20" i="264"/>
  <c r="H18" i="264"/>
  <c r="H23" i="264"/>
  <c r="H22" i="264"/>
  <c r="H19" i="264"/>
  <c r="J26" i="240"/>
  <c r="H31" i="249"/>
  <c r="H25" i="263"/>
  <c r="H22" i="265"/>
  <c r="H21" i="265"/>
  <c r="H20" i="265"/>
  <c r="H23" i="265"/>
  <c r="J26" i="241"/>
  <c r="H19" i="265"/>
  <c r="H18" i="265"/>
  <c r="J17" i="239"/>
  <c r="J21" i="239" s="1"/>
  <c r="J95" i="239" s="1"/>
  <c r="J94" i="239"/>
  <c r="O25" i="262"/>
  <c r="G57" i="232"/>
  <c r="H57" i="232" s="1"/>
  <c r="I57" i="232" s="1"/>
  <c r="J57" i="232" s="1"/>
  <c r="K57" i="232" s="1"/>
  <c r="L57" i="232" s="1"/>
  <c r="F116" i="14"/>
  <c r="J110" i="14"/>
  <c r="F110" i="14"/>
  <c r="G104" i="14"/>
  <c r="F107" i="14"/>
  <c r="K67" i="18"/>
  <c r="N67" i="18" s="1"/>
  <c r="P67" i="18" s="1"/>
  <c r="Q66" i="18" s="1"/>
  <c r="K69" i="19"/>
  <c r="N69" i="19" s="1"/>
  <c r="G116" i="14"/>
  <c r="H116" i="14"/>
  <c r="L91" i="14"/>
  <c r="AI15" i="231"/>
  <c r="M14" i="232"/>
  <c r="L94" i="14"/>
  <c r="L115" i="14"/>
  <c r="L109" i="14"/>
  <c r="L116" i="14"/>
  <c r="L112" i="14"/>
  <c r="L103" i="14"/>
  <c r="L106" i="14"/>
  <c r="L46" i="232"/>
  <c r="N76" i="7"/>
  <c r="N20" i="3"/>
  <c r="N82" i="7" s="1"/>
  <c r="L82" i="7"/>
  <c r="E53" i="232"/>
  <c r="F53" i="232" s="1"/>
  <c r="G53" i="232" s="1"/>
  <c r="H53" i="232" s="1"/>
  <c r="I53" i="232" s="1"/>
  <c r="J53" i="232" s="1"/>
  <c r="K53" i="232" s="1"/>
  <c r="L53" i="232" s="1"/>
  <c r="G107" i="14"/>
  <c r="H107" i="14"/>
  <c r="E54" i="232"/>
  <c r="F54" i="232" s="1"/>
  <c r="G54" i="232" s="1"/>
  <c r="H54" i="232" s="1"/>
  <c r="I54" i="232" s="1"/>
  <c r="J54" i="232" s="1"/>
  <c r="K54" i="232" s="1"/>
  <c r="L54" i="232" s="1"/>
  <c r="H110" i="14"/>
  <c r="E55" i="232"/>
  <c r="F55" i="232" s="1"/>
  <c r="G55" i="232" s="1"/>
  <c r="H55" i="232" s="1"/>
  <c r="I55" i="232" s="1"/>
  <c r="J55" i="232" s="1"/>
  <c r="K55" i="232" s="1"/>
  <c r="L55" i="232" s="1"/>
  <c r="E113" i="14"/>
  <c r="E56" i="232"/>
  <c r="F56" i="232" s="1"/>
  <c r="G56" i="232" s="1"/>
  <c r="H56" i="232" s="1"/>
  <c r="I56" i="232" s="1"/>
  <c r="J56" i="232" s="1"/>
  <c r="K56" i="232" s="1"/>
  <c r="L56" i="232" s="1"/>
  <c r="K113" i="14"/>
  <c r="G113" i="14"/>
  <c r="I113" i="14"/>
  <c r="H113" i="14"/>
  <c r="E119" i="14"/>
  <c r="K119" i="14"/>
  <c r="J119" i="14"/>
  <c r="E58" i="232"/>
  <c r="F58" i="232" s="1"/>
  <c r="G58" i="232" s="1"/>
  <c r="H58" i="232" s="1"/>
  <c r="I58" i="232" s="1"/>
  <c r="J58" i="232" s="1"/>
  <c r="K58" i="232" s="1"/>
  <c r="L58" i="232" s="1"/>
  <c r="M58" i="232" s="1"/>
  <c r="F74" i="21"/>
  <c r="E30" i="21"/>
  <c r="G30" i="21" s="1"/>
  <c r="B31" i="21"/>
  <c r="O22" i="276"/>
  <c r="H22" i="221" s="1"/>
  <c r="H23" i="221" s="1"/>
  <c r="H25" i="221" s="1"/>
  <c r="H17" i="240"/>
  <c r="H21" i="240" s="1"/>
  <c r="P26" i="240"/>
  <c r="N20" i="264"/>
  <c r="N18" i="264"/>
  <c r="N22" i="264"/>
  <c r="N23" i="264"/>
  <c r="N19" i="264"/>
  <c r="N21" i="264"/>
  <c r="D33" i="249"/>
  <c r="O20" i="263"/>
  <c r="F94" i="239"/>
  <c r="F17" i="239"/>
  <c r="F21" i="239" s="1"/>
  <c r="F95" i="239" s="1"/>
  <c r="Q26" i="239"/>
  <c r="H18" i="238"/>
  <c r="F24" i="241"/>
  <c r="G17" i="238"/>
  <c r="G99" i="238"/>
  <c r="D133" i="253" s="1"/>
  <c r="I19" i="238"/>
  <c r="J20" i="238"/>
  <c r="R26" i="238"/>
  <c r="AC26" i="231"/>
  <c r="AD26" i="231" s="1"/>
  <c r="G25" i="264"/>
  <c r="O17" i="240"/>
  <c r="O21" i="240" s="1"/>
  <c r="P94" i="239"/>
  <c r="P17" i="239"/>
  <c r="P21" i="239" s="1"/>
  <c r="P95" i="239" s="1"/>
  <c r="K25" i="265"/>
  <c r="F22" i="221"/>
  <c r="E25" i="264"/>
  <c r="O133" i="252"/>
  <c r="M25" i="265"/>
  <c r="D34" i="249"/>
  <c r="O21" i="263"/>
  <c r="K17" i="240"/>
  <c r="K21" i="240" s="1"/>
  <c r="J31" i="249"/>
  <c r="J25" i="263"/>
  <c r="I17" i="240"/>
  <c r="I21" i="240" s="1"/>
  <c r="AS26" i="231"/>
  <c r="AT26" i="231" s="1"/>
  <c r="G17" i="240"/>
  <c r="G21" i="240" s="1"/>
  <c r="K25" i="264"/>
  <c r="O17" i="241"/>
  <c r="O21" i="241" s="1"/>
  <c r="D31" i="249"/>
  <c r="D25" i="263"/>
  <c r="O18" i="263"/>
  <c r="D36" i="249"/>
  <c r="O23" i="263"/>
  <c r="M26" i="231"/>
  <c r="N26" i="231" s="1"/>
  <c r="AG26" i="231"/>
  <c r="AH26" i="231" s="1"/>
  <c r="P26" i="241"/>
  <c r="N18" i="265"/>
  <c r="N20" i="265"/>
  <c r="N22" i="265"/>
  <c r="N19" i="265"/>
  <c r="N21" i="265"/>
  <c r="N23" i="265"/>
  <c r="L26" i="240"/>
  <c r="J20" i="264"/>
  <c r="J18" i="264"/>
  <c r="J22" i="264"/>
  <c r="J23" i="264"/>
  <c r="J19" i="264"/>
  <c r="J21" i="264"/>
  <c r="L58" i="32"/>
  <c r="H46" i="32"/>
  <c r="J58" i="32"/>
  <c r="H58" i="32"/>
  <c r="M25" i="264"/>
  <c r="L26" i="241"/>
  <c r="J18" i="265"/>
  <c r="J22" i="265"/>
  <c r="J19" i="265"/>
  <c r="J21" i="265"/>
  <c r="J23" i="265"/>
  <c r="J20" i="265"/>
  <c r="M17" i="241"/>
  <c r="M21" i="241" s="1"/>
  <c r="O22" i="220"/>
  <c r="F25" i="264"/>
  <c r="M17" i="240"/>
  <c r="M21" i="240" s="1"/>
  <c r="F26" i="240"/>
  <c r="D20" i="264"/>
  <c r="D18" i="264"/>
  <c r="D22" i="264"/>
  <c r="D19" i="264"/>
  <c r="D23" i="264"/>
  <c r="D21" i="264"/>
  <c r="Q24" i="240"/>
  <c r="D134" i="1"/>
  <c r="E135" i="1" s="1"/>
  <c r="D35" i="249"/>
  <c r="O22" i="263"/>
  <c r="D32" i="249"/>
  <c r="O19" i="263"/>
  <c r="I25" i="264"/>
  <c r="L94" i="239"/>
  <c r="L17" i="239"/>
  <c r="L21" i="239" s="1"/>
  <c r="L95" i="239" s="1"/>
  <c r="N31" i="249"/>
  <c r="N25" i="263"/>
  <c r="D14" i="38"/>
  <c r="E14" i="38"/>
  <c r="BB63" i="231" l="1"/>
  <c r="BA63" i="231"/>
  <c r="D41" i="265"/>
  <c r="L47" i="265"/>
  <c r="N58" i="265"/>
  <c r="O157" i="10"/>
  <c r="R159" i="10" s="1"/>
  <c r="G55" i="2" s="1"/>
  <c r="H55" i="2" s="1"/>
  <c r="H55" i="32"/>
  <c r="D69" i="265"/>
  <c r="D42" i="265"/>
  <c r="BA67" i="231"/>
  <c r="BB67" i="231"/>
  <c r="D30" i="249"/>
  <c r="O30" i="249" s="1"/>
  <c r="S158" i="10" s="1"/>
  <c r="I23" i="265"/>
  <c r="I19" i="265"/>
  <c r="K26" i="241"/>
  <c r="K17" i="241" s="1"/>
  <c r="K21" i="241" s="1"/>
  <c r="I20" i="265"/>
  <c r="I22" i="265"/>
  <c r="I18" i="265"/>
  <c r="I21" i="265"/>
  <c r="G31" i="252"/>
  <c r="I64" i="253"/>
  <c r="Q87" i="10"/>
  <c r="F64" i="253"/>
  <c r="H63" i="252"/>
  <c r="O63" i="252" s="1"/>
  <c r="H169" i="10"/>
  <c r="O181" i="10"/>
  <c r="O168" i="10"/>
  <c r="P171" i="10" s="1"/>
  <c r="I54" i="2" s="1"/>
  <c r="J54" i="2" s="1"/>
  <c r="E31" i="252"/>
  <c r="I270" i="38"/>
  <c r="H270" i="38"/>
  <c r="I18" i="249"/>
  <c r="H36" i="252"/>
  <c r="N64" i="238"/>
  <c r="H35" i="252"/>
  <c r="I58" i="265"/>
  <c r="E33" i="252"/>
  <c r="L18" i="249"/>
  <c r="G33" i="252"/>
  <c r="N33" i="252"/>
  <c r="H32" i="252"/>
  <c r="F58" i="265"/>
  <c r="F35" i="252"/>
  <c r="J64" i="238"/>
  <c r="K34" i="252"/>
  <c r="H58" i="264"/>
  <c r="L65" i="241"/>
  <c r="L56" i="241" s="1"/>
  <c r="L60" i="241" s="1"/>
  <c r="J55" i="265"/>
  <c r="J58" i="265" s="1"/>
  <c r="G64" i="238"/>
  <c r="K31" i="252"/>
  <c r="F31" i="252"/>
  <c r="N35" i="252"/>
  <c r="N82" i="263"/>
  <c r="I35" i="252"/>
  <c r="K270" i="38"/>
  <c r="E18" i="249"/>
  <c r="E25" i="249" s="1"/>
  <c r="Q97" i="237"/>
  <c r="J35" i="252"/>
  <c r="M82" i="263"/>
  <c r="C34" i="252"/>
  <c r="E82" i="263"/>
  <c r="O97" i="237"/>
  <c r="L18" i="252" s="1"/>
  <c r="L270" i="38"/>
  <c r="O30" i="264"/>
  <c r="B22" i="38"/>
  <c r="K97" i="237"/>
  <c r="F271" i="38" s="1"/>
  <c r="L22" i="238"/>
  <c r="F52" i="241"/>
  <c r="F43" i="241" s="1"/>
  <c r="F47" i="241" s="1"/>
  <c r="D45" i="265"/>
  <c r="D40" i="265"/>
  <c r="M28" i="249"/>
  <c r="H21" i="38"/>
  <c r="E25" i="265"/>
  <c r="E270" i="38"/>
  <c r="R99" i="238"/>
  <c r="K17" i="2" s="1"/>
  <c r="G22" i="38"/>
  <c r="E22" i="38"/>
  <c r="N97" i="237"/>
  <c r="I271" i="38" s="1"/>
  <c r="I47" i="264"/>
  <c r="L50" i="238"/>
  <c r="P97" i="237"/>
  <c r="M18" i="252" s="1"/>
  <c r="M50" i="238"/>
  <c r="C36" i="252"/>
  <c r="O33" i="264"/>
  <c r="M97" i="237"/>
  <c r="D18" i="249"/>
  <c r="D25" i="249" s="1"/>
  <c r="AY23" i="231"/>
  <c r="BA23" i="231" s="1"/>
  <c r="U26" i="231"/>
  <c r="V26" i="231" s="1"/>
  <c r="E36" i="265"/>
  <c r="J33" i="252"/>
  <c r="O32" i="264"/>
  <c r="J36" i="264"/>
  <c r="F20" i="7"/>
  <c r="I33" i="252"/>
  <c r="J97" i="237"/>
  <c r="G18" i="252" s="1"/>
  <c r="I22" i="238"/>
  <c r="F21" i="7"/>
  <c r="C22" i="38"/>
  <c r="D22" i="38"/>
  <c r="A16" i="38"/>
  <c r="C16" i="38" s="1"/>
  <c r="D16" i="38" s="1"/>
  <c r="I97" i="237"/>
  <c r="D271" i="38" s="1"/>
  <c r="F19" i="7"/>
  <c r="O33" i="249"/>
  <c r="H97" i="237"/>
  <c r="C271" i="38" s="1"/>
  <c r="F22" i="7"/>
  <c r="D18" i="7"/>
  <c r="D28" i="7" s="1"/>
  <c r="C22" i="2" s="1"/>
  <c r="D22" i="2" s="1"/>
  <c r="B5" i="38" s="1"/>
  <c r="O32" i="249"/>
  <c r="A271" i="38"/>
  <c r="R97" i="236"/>
  <c r="E23" i="38" s="1"/>
  <c r="F18" i="249"/>
  <c r="D44" i="31"/>
  <c r="K26" i="31"/>
  <c r="L26" i="31" s="1"/>
  <c r="M26" i="31" s="1"/>
  <c r="L44" i="31" s="1"/>
  <c r="M44" i="31" s="1"/>
  <c r="L62" i="31" s="1"/>
  <c r="C92" i="2"/>
  <c r="J42" i="31"/>
  <c r="D60" i="31" s="1"/>
  <c r="J37" i="31"/>
  <c r="D55" i="31" s="1"/>
  <c r="E35" i="231"/>
  <c r="F35" i="231" s="1"/>
  <c r="C132" i="14"/>
  <c r="C134" i="14" s="1"/>
  <c r="C141" i="14" s="1"/>
  <c r="E58" i="231"/>
  <c r="F58" i="231" s="1"/>
  <c r="E134" i="249"/>
  <c r="F135" i="249" s="1"/>
  <c r="K9" i="10"/>
  <c r="H19" i="4"/>
  <c r="J53" i="31"/>
  <c r="D71" i="31" s="1"/>
  <c r="H71" i="31" s="1"/>
  <c r="K53" i="31"/>
  <c r="M47" i="264"/>
  <c r="I82" i="263"/>
  <c r="F33" i="252"/>
  <c r="G82" i="263"/>
  <c r="J43" i="31"/>
  <c r="D61" i="31" s="1"/>
  <c r="H61" i="31" s="1"/>
  <c r="K43" i="31"/>
  <c r="L25" i="220"/>
  <c r="M36" i="252"/>
  <c r="K32" i="252"/>
  <c r="I32" i="252"/>
  <c r="E78" i="220"/>
  <c r="E77" i="220"/>
  <c r="D79" i="220"/>
  <c r="H118" i="16"/>
  <c r="I117" i="16"/>
  <c r="I116" i="16"/>
  <c r="J52" i="31"/>
  <c r="D70" i="31" s="1"/>
  <c r="H70" i="31" s="1"/>
  <c r="K52" i="31"/>
  <c r="K14" i="216"/>
  <c r="H14" i="262"/>
  <c r="H14" i="263"/>
  <c r="H14" i="264" s="1"/>
  <c r="H14" i="265" s="1"/>
  <c r="L78" i="238"/>
  <c r="E124" i="253"/>
  <c r="E105" i="235"/>
  <c r="H83" i="2"/>
  <c r="A15" i="38"/>
  <c r="C15" i="38" s="1"/>
  <c r="H87" i="2"/>
  <c r="H85" i="2"/>
  <c r="H86" i="2"/>
  <c r="A23" i="38"/>
  <c r="H84" i="2"/>
  <c r="K35" i="252"/>
  <c r="D36" i="264"/>
  <c r="J57" i="31"/>
  <c r="D75" i="31" s="1"/>
  <c r="H75" i="31" s="1"/>
  <c r="K57" i="31"/>
  <c r="E32" i="252"/>
  <c r="L58" i="265"/>
  <c r="I64" i="238"/>
  <c r="E36" i="252"/>
  <c r="G32" i="252"/>
  <c r="K33" i="252"/>
  <c r="O77" i="264"/>
  <c r="K50" i="238"/>
  <c r="J58" i="31"/>
  <c r="D76" i="31" s="1"/>
  <c r="H76" i="31" s="1"/>
  <c r="F82" i="263"/>
  <c r="J56" i="31"/>
  <c r="D74" i="31" s="1"/>
  <c r="K56" i="31"/>
  <c r="Q33" i="210"/>
  <c r="O34" i="210"/>
  <c r="L110" i="14" s="1"/>
  <c r="Q32" i="210"/>
  <c r="H54" i="2"/>
  <c r="Q82" i="210"/>
  <c r="O83" i="210"/>
  <c r="Q81" i="210"/>
  <c r="E77" i="16"/>
  <c r="E78" i="16"/>
  <c r="D79" i="16"/>
  <c r="E35" i="252"/>
  <c r="O36" i="249"/>
  <c r="K36" i="252"/>
  <c r="O82" i="262"/>
  <c r="O35" i="249"/>
  <c r="M31" i="252"/>
  <c r="J34" i="252"/>
  <c r="O34" i="249"/>
  <c r="N34" i="252"/>
  <c r="H33" i="252"/>
  <c r="O50" i="238"/>
  <c r="C33" i="252"/>
  <c r="M92" i="238"/>
  <c r="G35" i="252"/>
  <c r="M33" i="252"/>
  <c r="N80" i="264"/>
  <c r="L97" i="237"/>
  <c r="G271" i="38" s="1"/>
  <c r="K52" i="276"/>
  <c r="K19" i="276"/>
  <c r="J17" i="220"/>
  <c r="J56" i="220"/>
  <c r="G34" i="252"/>
  <c r="I278" i="38"/>
  <c r="J82" i="263"/>
  <c r="N32" i="252"/>
  <c r="H82" i="263"/>
  <c r="H34" i="252"/>
  <c r="I63" i="253"/>
  <c r="O63" i="253" s="1"/>
  <c r="O182" i="10"/>
  <c r="P183" i="10" s="1"/>
  <c r="K54" i="2" s="1"/>
  <c r="L82" i="263"/>
  <c r="E34" i="252"/>
  <c r="O58" i="263"/>
  <c r="O31" i="264"/>
  <c r="N47" i="264"/>
  <c r="L58" i="264"/>
  <c r="F32" i="252"/>
  <c r="M78" i="238"/>
  <c r="M34" i="252"/>
  <c r="J116" i="276"/>
  <c r="J117" i="276"/>
  <c r="I118" i="276"/>
  <c r="Q143" i="210"/>
  <c r="O144" i="210"/>
  <c r="Q142" i="210"/>
  <c r="K25" i="16"/>
  <c r="K95" i="240"/>
  <c r="G279" i="38" s="1"/>
  <c r="L36" i="252"/>
  <c r="D82" i="263"/>
  <c r="J32" i="252"/>
  <c r="J86" i="2"/>
  <c r="I31" i="252"/>
  <c r="J36" i="252"/>
  <c r="J22" i="238"/>
  <c r="N36" i="252"/>
  <c r="H64" i="238"/>
  <c r="I36" i="252"/>
  <c r="F36" i="252"/>
  <c r="O34" i="264"/>
  <c r="M35" i="252"/>
  <c r="L92" i="238"/>
  <c r="G36" i="252"/>
  <c r="J33" i="31"/>
  <c r="D51" i="31" s="1"/>
  <c r="K33" i="31"/>
  <c r="F34" i="252"/>
  <c r="M32" i="252"/>
  <c r="I34" i="252"/>
  <c r="O28" i="276"/>
  <c r="H28" i="221" s="1"/>
  <c r="C29" i="276"/>
  <c r="E77" i="276"/>
  <c r="D79" i="276"/>
  <c r="E78" i="276"/>
  <c r="O68" i="18"/>
  <c r="E31" i="20"/>
  <c r="G31" i="20" s="1"/>
  <c r="B32" i="20"/>
  <c r="O29" i="19"/>
  <c r="G95" i="14" s="1"/>
  <c r="P29" i="19"/>
  <c r="H92" i="14"/>
  <c r="C20" i="2"/>
  <c r="D20" i="2" s="1"/>
  <c r="A5" i="38" s="1"/>
  <c r="G278" i="38"/>
  <c r="J83" i="2"/>
  <c r="J85" i="2"/>
  <c r="J87" i="2"/>
  <c r="A24" i="38"/>
  <c r="J84" i="2"/>
  <c r="G97" i="237"/>
  <c r="D18" i="252" s="1"/>
  <c r="D25" i="252" s="1"/>
  <c r="F134" i="249"/>
  <c r="G135" i="249" s="1"/>
  <c r="H22" i="238"/>
  <c r="G22" i="238"/>
  <c r="G97" i="238" s="1"/>
  <c r="K94" i="240"/>
  <c r="M95" i="240"/>
  <c r="I279" i="38" s="1"/>
  <c r="C278" i="38"/>
  <c r="S112" i="10"/>
  <c r="I95" i="240"/>
  <c r="G28" i="252" s="1"/>
  <c r="J54" i="31"/>
  <c r="D72" i="31" s="1"/>
  <c r="H72" i="31" s="1"/>
  <c r="K54" i="31"/>
  <c r="G95" i="240"/>
  <c r="E28" i="252" s="1"/>
  <c r="Q94" i="239"/>
  <c r="H78" i="7" s="1"/>
  <c r="H80" i="7" s="1"/>
  <c r="H84" i="7" s="1"/>
  <c r="H71" i="220"/>
  <c r="G94" i="240"/>
  <c r="O95" i="240"/>
  <c r="M28" i="252" s="1"/>
  <c r="H95" i="240"/>
  <c r="D279" i="38" s="1"/>
  <c r="I94" i="240"/>
  <c r="J95" i="216"/>
  <c r="M94" i="240"/>
  <c r="O94" i="240"/>
  <c r="H94" i="240"/>
  <c r="H71" i="276"/>
  <c r="E95" i="239"/>
  <c r="A278" i="38" s="1"/>
  <c r="E278" i="38"/>
  <c r="D278" i="38"/>
  <c r="F29" i="271"/>
  <c r="Q17" i="30"/>
  <c r="Q21" i="30" s="1"/>
  <c r="Q23" i="30" s="1"/>
  <c r="J104" i="14"/>
  <c r="J107" i="14"/>
  <c r="K110" i="14"/>
  <c r="M113" i="14"/>
  <c r="F59" i="3"/>
  <c r="M119" i="14"/>
  <c r="J26" i="31"/>
  <c r="N18" i="252"/>
  <c r="L271" i="38"/>
  <c r="J278" i="38"/>
  <c r="L28" i="249"/>
  <c r="I117" i="220"/>
  <c r="I116" i="220"/>
  <c r="H118" i="220"/>
  <c r="K80" i="14"/>
  <c r="K89" i="218"/>
  <c r="J89" i="219"/>
  <c r="AE72" i="231"/>
  <c r="J42" i="16"/>
  <c r="K47" i="14"/>
  <c r="J30" i="219"/>
  <c r="K30" i="218"/>
  <c r="AE38" i="231"/>
  <c r="L21" i="16"/>
  <c r="L23" i="16" s="1"/>
  <c r="L24" i="16"/>
  <c r="M52" i="241"/>
  <c r="K43" i="265"/>
  <c r="K41" i="265"/>
  <c r="K45" i="265"/>
  <c r="K40" i="265"/>
  <c r="K42" i="265"/>
  <c r="K44" i="265"/>
  <c r="E75" i="253"/>
  <c r="H43" i="249"/>
  <c r="H39" i="276"/>
  <c r="H24" i="234"/>
  <c r="H61" i="249"/>
  <c r="H59" i="234"/>
  <c r="I69" i="264"/>
  <c r="G134" i="1"/>
  <c r="H135" i="1" s="1"/>
  <c r="Y48" i="231"/>
  <c r="Z48" i="231"/>
  <c r="Z70" i="231"/>
  <c r="Y70" i="231"/>
  <c r="O92" i="238"/>
  <c r="G44" i="252"/>
  <c r="G26" i="235"/>
  <c r="G44" i="253" s="1"/>
  <c r="I70" i="1"/>
  <c r="I72" i="233"/>
  <c r="C32" i="252"/>
  <c r="D19" i="232"/>
  <c r="D29" i="8"/>
  <c r="F57" i="253"/>
  <c r="O51" i="264"/>
  <c r="C58" i="264"/>
  <c r="J81" i="14"/>
  <c r="I91" i="219"/>
  <c r="J91" i="218"/>
  <c r="AA74" i="231"/>
  <c r="L91" i="241"/>
  <c r="L82" i="241" s="1"/>
  <c r="L86" i="241" s="1"/>
  <c r="J76" i="265"/>
  <c r="J78" i="265"/>
  <c r="J36" i="253" s="1"/>
  <c r="J74" i="265"/>
  <c r="J32" i="253" s="1"/>
  <c r="J77" i="265"/>
  <c r="J73" i="265"/>
  <c r="J75" i="265"/>
  <c r="J80" i="264"/>
  <c r="G58" i="249"/>
  <c r="G53" i="234"/>
  <c r="G68" i="252"/>
  <c r="G68" i="235"/>
  <c r="G68" i="253" s="1"/>
  <c r="F65" i="241"/>
  <c r="F56" i="241" s="1"/>
  <c r="F60" i="241" s="1"/>
  <c r="D52" i="265"/>
  <c r="D54" i="265"/>
  <c r="D51" i="265"/>
  <c r="D56" i="265"/>
  <c r="D55" i="265"/>
  <c r="D53" i="265"/>
  <c r="AC47" i="231"/>
  <c r="AD47" i="231"/>
  <c r="F70" i="253"/>
  <c r="L34" i="252"/>
  <c r="P92" i="238"/>
  <c r="G58" i="265"/>
  <c r="I49" i="16"/>
  <c r="J54" i="14"/>
  <c r="I44" i="219"/>
  <c r="J44" i="218"/>
  <c r="F65" i="252"/>
  <c r="F62" i="235"/>
  <c r="K60" i="14"/>
  <c r="K55" i="218"/>
  <c r="J55" i="219"/>
  <c r="AE53" i="231"/>
  <c r="P52" i="241"/>
  <c r="P43" i="241" s="1"/>
  <c r="P47" i="241" s="1"/>
  <c r="N44" i="265"/>
  <c r="N45" i="265"/>
  <c r="N43" i="265"/>
  <c r="N41" i="265"/>
  <c r="N40" i="265"/>
  <c r="N42" i="265"/>
  <c r="O75" i="264"/>
  <c r="K69" i="14"/>
  <c r="K68" i="218"/>
  <c r="J68" i="219"/>
  <c r="AE60" i="231"/>
  <c r="H81" i="249"/>
  <c r="H93" i="234"/>
  <c r="H60" i="1"/>
  <c r="H57" i="233"/>
  <c r="Y57" i="231"/>
  <c r="Z57" i="231"/>
  <c r="J92" i="238"/>
  <c r="P78" i="241"/>
  <c r="P69" i="241" s="1"/>
  <c r="P73" i="241" s="1"/>
  <c r="N62" i="265"/>
  <c r="N65" i="265"/>
  <c r="N67" i="265"/>
  <c r="N64" i="265"/>
  <c r="N63" i="265"/>
  <c r="N66" i="265"/>
  <c r="I50" i="238"/>
  <c r="O41" i="264"/>
  <c r="I52" i="241"/>
  <c r="I43" i="241" s="1"/>
  <c r="I47" i="241" s="1"/>
  <c r="G42" i="265"/>
  <c r="G45" i="265"/>
  <c r="G43" i="265"/>
  <c r="G41" i="265"/>
  <c r="G44" i="265"/>
  <c r="G40" i="265"/>
  <c r="H55" i="249"/>
  <c r="H47" i="234"/>
  <c r="E58" i="253"/>
  <c r="O66" i="264"/>
  <c r="F78" i="252"/>
  <c r="F87" i="235"/>
  <c r="F78" i="253" s="1"/>
  <c r="J34" i="253"/>
  <c r="F104" i="14"/>
  <c r="F60" i="252"/>
  <c r="F57" i="235"/>
  <c r="F60" i="253" s="1"/>
  <c r="I46" i="1"/>
  <c r="I42" i="220"/>
  <c r="I30" i="233"/>
  <c r="N50" i="238"/>
  <c r="Z43" i="231"/>
  <c r="Y43" i="231"/>
  <c r="I36" i="265"/>
  <c r="I52" i="1"/>
  <c r="I48" i="220"/>
  <c r="I42" i="233"/>
  <c r="J15" i="16"/>
  <c r="J15" i="220" s="1"/>
  <c r="J15" i="276" s="1"/>
  <c r="O12" i="213"/>
  <c r="G50" i="252"/>
  <c r="G38" i="235"/>
  <c r="G50" i="253" s="1"/>
  <c r="G81" i="252"/>
  <c r="G93" i="235"/>
  <c r="E69" i="264"/>
  <c r="J57" i="14"/>
  <c r="I49" i="219"/>
  <c r="J49" i="218"/>
  <c r="AA48" i="231"/>
  <c r="J79" i="14"/>
  <c r="I87" i="219"/>
  <c r="J87" i="218"/>
  <c r="AA70" i="231"/>
  <c r="K71" i="14"/>
  <c r="K72" i="218"/>
  <c r="J72" i="219"/>
  <c r="AE62" i="231"/>
  <c r="C35" i="252"/>
  <c r="M58" i="264"/>
  <c r="D139" i="14"/>
  <c r="E67" i="253"/>
  <c r="O54" i="264"/>
  <c r="Y30" i="231"/>
  <c r="Z30" i="231" s="1"/>
  <c r="I124" i="1"/>
  <c r="I103" i="233"/>
  <c r="I105" i="219"/>
  <c r="H80" i="1"/>
  <c r="H91" i="233"/>
  <c r="G77" i="252"/>
  <c r="G85" i="235"/>
  <c r="G77" i="253" s="1"/>
  <c r="L52" i="16"/>
  <c r="L19" i="16"/>
  <c r="I55" i="1"/>
  <c r="I47" i="233"/>
  <c r="H53" i="1"/>
  <c r="H49" i="220"/>
  <c r="H44" i="233"/>
  <c r="F71" i="252"/>
  <c r="F74" i="235"/>
  <c r="F71" i="253" s="1"/>
  <c r="G71" i="249"/>
  <c r="G74" i="234"/>
  <c r="I36" i="264"/>
  <c r="F47" i="264"/>
  <c r="Q50" i="238"/>
  <c r="O73" i="264"/>
  <c r="C80" i="264"/>
  <c r="G48" i="252"/>
  <c r="G34" i="235"/>
  <c r="J52" i="241"/>
  <c r="J43" i="241" s="1"/>
  <c r="J47" i="241" s="1"/>
  <c r="H43" i="265"/>
  <c r="H41" i="265"/>
  <c r="H40" i="265"/>
  <c r="H42" i="265"/>
  <c r="H44" i="265"/>
  <c r="H45" i="265"/>
  <c r="G69" i="249"/>
  <c r="G70" i="234"/>
  <c r="J66" i="14"/>
  <c r="I62" i="219"/>
  <c r="J62" i="218"/>
  <c r="AA57" i="231"/>
  <c r="N78" i="241"/>
  <c r="N69" i="241" s="1"/>
  <c r="N73" i="241" s="1"/>
  <c r="L62" i="265"/>
  <c r="L64" i="265"/>
  <c r="L65" i="265"/>
  <c r="L66" i="265"/>
  <c r="L67" i="265"/>
  <c r="L63" i="265"/>
  <c r="Q78" i="238"/>
  <c r="M47" i="265"/>
  <c r="H68" i="249"/>
  <c r="H68" i="234"/>
  <c r="O45" i="264"/>
  <c r="Z61" i="231"/>
  <c r="Y61" i="231"/>
  <c r="K58" i="265"/>
  <c r="H79" i="249"/>
  <c r="H89" i="234"/>
  <c r="O65" i="264"/>
  <c r="E51" i="253"/>
  <c r="C21" i="265"/>
  <c r="C23" i="265"/>
  <c r="E26" i="241"/>
  <c r="C18" i="265"/>
  <c r="C22" i="265"/>
  <c r="C19" i="265"/>
  <c r="C20" i="265"/>
  <c r="F124" i="253"/>
  <c r="F105" i="235"/>
  <c r="I45" i="16"/>
  <c r="J50" i="14"/>
  <c r="I36" i="219"/>
  <c r="J36" i="218"/>
  <c r="AA43" i="231"/>
  <c r="J48" i="16"/>
  <c r="K53" i="14"/>
  <c r="K42" i="218"/>
  <c r="J42" i="219"/>
  <c r="G47" i="249"/>
  <c r="G43" i="276"/>
  <c r="G32" i="234"/>
  <c r="F45" i="252"/>
  <c r="F28" i="235"/>
  <c r="F45" i="253" s="1"/>
  <c r="F58" i="252"/>
  <c r="F53" i="235"/>
  <c r="F58" i="253" s="1"/>
  <c r="I86" i="16"/>
  <c r="H89" i="16"/>
  <c r="G124" i="252"/>
  <c r="G103" i="235"/>
  <c r="G105" i="234"/>
  <c r="H56" i="1"/>
  <c r="H49" i="233"/>
  <c r="H78" i="1"/>
  <c r="H87" i="233"/>
  <c r="E17" i="240"/>
  <c r="E21" i="240" s="1"/>
  <c r="E94" i="240"/>
  <c r="AD45" i="231"/>
  <c r="AC45" i="231"/>
  <c r="O55" i="264"/>
  <c r="I33" i="16"/>
  <c r="J39" i="14"/>
  <c r="I97" i="218"/>
  <c r="I14" i="219"/>
  <c r="J14" i="218"/>
  <c r="AA30" i="231"/>
  <c r="L21" i="276"/>
  <c r="L23" i="276" s="1"/>
  <c r="L25" i="276" s="1"/>
  <c r="L24" i="276"/>
  <c r="F80" i="252"/>
  <c r="F91" i="235"/>
  <c r="F80" i="253" s="1"/>
  <c r="H50" i="249"/>
  <c r="H46" i="276"/>
  <c r="H38" i="234"/>
  <c r="H66" i="249"/>
  <c r="H64" i="234"/>
  <c r="J56" i="16"/>
  <c r="J17" i="16"/>
  <c r="Z37" i="231"/>
  <c r="Y37" i="231"/>
  <c r="K56" i="14"/>
  <c r="K47" i="218"/>
  <c r="J47" i="219"/>
  <c r="AE47" i="231"/>
  <c r="O91" i="241"/>
  <c r="O82" i="241" s="1"/>
  <c r="O86" i="241" s="1"/>
  <c r="M74" i="265"/>
  <c r="M78" i="265"/>
  <c r="M76" i="265"/>
  <c r="M77" i="265"/>
  <c r="M73" i="265"/>
  <c r="M75" i="265"/>
  <c r="G60" i="249"/>
  <c r="G57" i="234"/>
  <c r="G65" i="249"/>
  <c r="G62" i="234"/>
  <c r="E38" i="253"/>
  <c r="E91" i="241"/>
  <c r="Q89" i="241"/>
  <c r="C76" i="265"/>
  <c r="C74" i="265"/>
  <c r="C78" i="265"/>
  <c r="C75" i="265"/>
  <c r="C77" i="265"/>
  <c r="C73" i="265"/>
  <c r="I74" i="1"/>
  <c r="I80" i="233"/>
  <c r="G39" i="252"/>
  <c r="G16" i="235"/>
  <c r="H74" i="249"/>
  <c r="H80" i="234"/>
  <c r="H65" i="1"/>
  <c r="H62" i="233"/>
  <c r="AC35" i="231"/>
  <c r="AD35" i="231"/>
  <c r="I81" i="1"/>
  <c r="I93" i="233"/>
  <c r="AD66" i="231"/>
  <c r="AC66" i="231"/>
  <c r="J70" i="14"/>
  <c r="I70" i="219"/>
  <c r="J70" i="218"/>
  <c r="AA61" i="231"/>
  <c r="O69" i="263"/>
  <c r="H46" i="249"/>
  <c r="H42" i="276"/>
  <c r="H30" i="234"/>
  <c r="T19" i="30"/>
  <c r="T22" i="30" s="1"/>
  <c r="U18" i="30"/>
  <c r="E65" i="241"/>
  <c r="Q63" i="241"/>
  <c r="C51" i="265"/>
  <c r="C56" i="265"/>
  <c r="C52" i="265"/>
  <c r="C54" i="265"/>
  <c r="C55" i="265"/>
  <c r="C53" i="265"/>
  <c r="O63" i="264"/>
  <c r="G67" i="249"/>
  <c r="G66" i="234"/>
  <c r="E37" i="220"/>
  <c r="D50" i="220"/>
  <c r="D54" i="220" s="1"/>
  <c r="D58" i="220" s="1"/>
  <c r="J17" i="276"/>
  <c r="J56" i="276"/>
  <c r="G65" i="241"/>
  <c r="G56" i="241" s="1"/>
  <c r="G60" i="241" s="1"/>
  <c r="E51" i="265"/>
  <c r="E52" i="265"/>
  <c r="E54" i="265"/>
  <c r="E55" i="265"/>
  <c r="E53" i="265"/>
  <c r="E56" i="265"/>
  <c r="H49" i="1"/>
  <c r="H45" i="220"/>
  <c r="H36" i="233"/>
  <c r="G43" i="252"/>
  <c r="G24" i="235"/>
  <c r="Q92" i="238"/>
  <c r="G41" i="252"/>
  <c r="G20" i="235"/>
  <c r="G41" i="253" s="1"/>
  <c r="H70" i="249"/>
  <c r="H72" i="234"/>
  <c r="G49" i="249"/>
  <c r="G45" i="276"/>
  <c r="G36" i="234"/>
  <c r="N91" i="241"/>
  <c r="N82" i="241" s="1"/>
  <c r="N86" i="241" s="1"/>
  <c r="L76" i="265"/>
  <c r="L74" i="265"/>
  <c r="L78" i="265"/>
  <c r="L73" i="265"/>
  <c r="L75" i="265"/>
  <c r="L77" i="265"/>
  <c r="G82" i="249"/>
  <c r="G95" i="234"/>
  <c r="E47" i="264"/>
  <c r="K64" i="238"/>
  <c r="I50" i="1"/>
  <c r="I46" i="220"/>
  <c r="I38" i="233"/>
  <c r="O53" i="264"/>
  <c r="H38" i="1"/>
  <c r="H33" i="220"/>
  <c r="H97" i="219"/>
  <c r="H14" i="233"/>
  <c r="F47" i="252"/>
  <c r="F32" i="235"/>
  <c r="F47" i="253" s="1"/>
  <c r="O36" i="263"/>
  <c r="O78" i="241"/>
  <c r="O69" i="241" s="1"/>
  <c r="O73" i="241" s="1"/>
  <c r="M62" i="265"/>
  <c r="M63" i="265"/>
  <c r="M66" i="265"/>
  <c r="M64" i="265"/>
  <c r="M65" i="265"/>
  <c r="M67" i="265"/>
  <c r="K25" i="276"/>
  <c r="G52" i="252"/>
  <c r="G42" i="235"/>
  <c r="G52" i="253" s="1"/>
  <c r="O47" i="263"/>
  <c r="G61" i="252"/>
  <c r="G59" i="235"/>
  <c r="M24" i="220"/>
  <c r="M21" i="220"/>
  <c r="M23" i="220" s="1"/>
  <c r="E80" i="264"/>
  <c r="G51" i="249"/>
  <c r="G47" i="276"/>
  <c r="G40" i="234"/>
  <c r="M91" i="241"/>
  <c r="M82" i="241" s="1"/>
  <c r="M86" i="241" s="1"/>
  <c r="K76" i="265"/>
  <c r="K74" i="265"/>
  <c r="K78" i="265"/>
  <c r="K73" i="265"/>
  <c r="K75" i="265"/>
  <c r="K77" i="265"/>
  <c r="I41" i="16"/>
  <c r="J46" i="14"/>
  <c r="J28" i="218"/>
  <c r="I28" i="219"/>
  <c r="AA37" i="231"/>
  <c r="L35" i="252"/>
  <c r="H48" i="249"/>
  <c r="H44" i="276"/>
  <c r="H34" i="234"/>
  <c r="Z51" i="231"/>
  <c r="Y51" i="231"/>
  <c r="G46" i="252"/>
  <c r="G30" i="235"/>
  <c r="G46" i="253" s="1"/>
  <c r="AD58" i="231"/>
  <c r="AC58" i="231"/>
  <c r="E73" i="253"/>
  <c r="O78" i="264"/>
  <c r="O80" i="263"/>
  <c r="K75" i="14"/>
  <c r="K80" i="218"/>
  <c r="J80" i="219"/>
  <c r="F75" i="252"/>
  <c r="F82" i="235"/>
  <c r="F75" i="253" s="1"/>
  <c r="L21" i="265"/>
  <c r="L34" i="253" s="1"/>
  <c r="L18" i="265"/>
  <c r="L20" i="265"/>
  <c r="L22" i="265"/>
  <c r="N26" i="241"/>
  <c r="L19" i="265"/>
  <c r="L32" i="253" s="1"/>
  <c r="L23" i="265"/>
  <c r="J39" i="16"/>
  <c r="K44" i="14"/>
  <c r="J24" i="219"/>
  <c r="K24" i="218"/>
  <c r="AE35" i="231"/>
  <c r="K82" i="14"/>
  <c r="K93" i="218"/>
  <c r="J93" i="219"/>
  <c r="I72" i="1"/>
  <c r="I76" i="233"/>
  <c r="E43" i="240"/>
  <c r="E47" i="240" s="1"/>
  <c r="Q52" i="240"/>
  <c r="H69" i="1"/>
  <c r="H70" i="233"/>
  <c r="D80" i="265"/>
  <c r="K78" i="238"/>
  <c r="G79" i="252"/>
  <c r="G89" i="235"/>
  <c r="G79" i="253" s="1"/>
  <c r="E56" i="253"/>
  <c r="H41" i="31"/>
  <c r="O67" i="264"/>
  <c r="I92" i="238"/>
  <c r="AC32" i="231"/>
  <c r="AD32" i="231"/>
  <c r="H40" i="249"/>
  <c r="H35" i="276"/>
  <c r="H18" i="234"/>
  <c r="H74" i="31"/>
  <c r="C134" i="249"/>
  <c r="D135" i="249" s="1"/>
  <c r="P91" i="241"/>
  <c r="P82" i="241" s="1"/>
  <c r="P86" i="241" s="1"/>
  <c r="N76" i="265"/>
  <c r="N34" i="253" s="1"/>
  <c r="N74" i="265"/>
  <c r="N78" i="265"/>
  <c r="N73" i="265"/>
  <c r="N75" i="265"/>
  <c r="N77" i="265"/>
  <c r="F38" i="252"/>
  <c r="F14" i="235"/>
  <c r="F38" i="253" s="1"/>
  <c r="F97" i="234"/>
  <c r="F97" i="235" s="1"/>
  <c r="H63" i="276"/>
  <c r="H63" i="220"/>
  <c r="H63" i="16"/>
  <c r="L12" i="214"/>
  <c r="F80" i="264"/>
  <c r="K80" i="264"/>
  <c r="Q39" i="240"/>
  <c r="E36" i="232"/>
  <c r="F25" i="232"/>
  <c r="J65" i="241"/>
  <c r="J56" i="241" s="1"/>
  <c r="J60" i="241" s="1"/>
  <c r="H51" i="265"/>
  <c r="H56" i="265"/>
  <c r="H54" i="265"/>
  <c r="H52" i="265"/>
  <c r="H55" i="265"/>
  <c r="H53" i="265"/>
  <c r="J46" i="16"/>
  <c r="K51" i="14"/>
  <c r="K38" i="218"/>
  <c r="J38" i="219"/>
  <c r="AE45" i="231"/>
  <c r="G69" i="264"/>
  <c r="O52" i="264"/>
  <c r="H42" i="249"/>
  <c r="H38" i="276"/>
  <c r="H22" i="234"/>
  <c r="P78" i="238"/>
  <c r="P97" i="238" s="1"/>
  <c r="F67" i="252"/>
  <c r="F66" i="235"/>
  <c r="F67" i="253" s="1"/>
  <c r="H72" i="249"/>
  <c r="H76" i="234"/>
  <c r="F69" i="264"/>
  <c r="F46" i="253"/>
  <c r="F41" i="253"/>
  <c r="AD34" i="231"/>
  <c r="AC34" i="231"/>
  <c r="H124" i="249"/>
  <c r="H103" i="234"/>
  <c r="H105" i="233"/>
  <c r="N92" i="238"/>
  <c r="H45" i="1"/>
  <c r="H41" i="220"/>
  <c r="H28" i="233"/>
  <c r="H44" i="249"/>
  <c r="H40" i="276"/>
  <c r="H26" i="234"/>
  <c r="N94" i="240"/>
  <c r="N17" i="240"/>
  <c r="N21" i="240" s="1"/>
  <c r="N95" i="240" s="1"/>
  <c r="I78" i="241"/>
  <c r="I69" i="241" s="1"/>
  <c r="I73" i="241" s="1"/>
  <c r="G62" i="265"/>
  <c r="G67" i="265"/>
  <c r="G63" i="265"/>
  <c r="G64" i="265"/>
  <c r="G65" i="265"/>
  <c r="G66" i="265"/>
  <c r="E71" i="253"/>
  <c r="H58" i="1"/>
  <c r="H53" i="233"/>
  <c r="G75" i="249"/>
  <c r="G82" i="234"/>
  <c r="I66" i="1"/>
  <c r="I64" i="233"/>
  <c r="O74" i="264"/>
  <c r="G73" i="249"/>
  <c r="G78" i="234"/>
  <c r="G57" i="252"/>
  <c r="G51" i="235"/>
  <c r="G57" i="253" s="1"/>
  <c r="G45" i="249"/>
  <c r="G41" i="276"/>
  <c r="G28" i="234"/>
  <c r="I91" i="241"/>
  <c r="I82" i="241" s="1"/>
  <c r="I86" i="241" s="1"/>
  <c r="G76" i="265"/>
  <c r="G74" i="265"/>
  <c r="G78" i="265"/>
  <c r="G77" i="265"/>
  <c r="G73" i="265"/>
  <c r="G75" i="265"/>
  <c r="J76" i="14"/>
  <c r="I82" i="219"/>
  <c r="J82" i="218"/>
  <c r="G19" i="265"/>
  <c r="G20" i="265"/>
  <c r="G18" i="265"/>
  <c r="G23" i="265"/>
  <c r="G21" i="265"/>
  <c r="I26" i="241"/>
  <c r="G22" i="265"/>
  <c r="I43" i="1"/>
  <c r="I39" i="220"/>
  <c r="I24" i="233"/>
  <c r="J52" i="220"/>
  <c r="J19" i="220"/>
  <c r="H92" i="238"/>
  <c r="K73" i="14"/>
  <c r="K76" i="218"/>
  <c r="J76" i="219"/>
  <c r="AE66" i="231"/>
  <c r="N58" i="264"/>
  <c r="O44" i="264"/>
  <c r="J50" i="238"/>
  <c r="S24" i="30"/>
  <c r="H77" i="249"/>
  <c r="H85" i="234"/>
  <c r="AD31" i="231"/>
  <c r="AC31" i="231"/>
  <c r="O62" i="264"/>
  <c r="C69" i="264"/>
  <c r="I40" i="1"/>
  <c r="I35" i="220"/>
  <c r="I18" i="233"/>
  <c r="N48" i="10"/>
  <c r="K19" i="268"/>
  <c r="K19" i="267" s="1"/>
  <c r="K19" i="266" s="1"/>
  <c r="C82" i="263"/>
  <c r="G56" i="249"/>
  <c r="G49" i="234"/>
  <c r="D50" i="276"/>
  <c r="D54" i="276" s="1"/>
  <c r="D58" i="276" s="1"/>
  <c r="E37" i="276"/>
  <c r="O65" i="241"/>
  <c r="M55" i="265"/>
  <c r="M53" i="265"/>
  <c r="M56" i="265"/>
  <c r="M51" i="265"/>
  <c r="M52" i="265"/>
  <c r="M54" i="265"/>
  <c r="G38" i="249"/>
  <c r="G33" i="276"/>
  <c r="G14" i="234"/>
  <c r="G97" i="233"/>
  <c r="I89" i="220"/>
  <c r="J86" i="220"/>
  <c r="Y39" i="231"/>
  <c r="Z39" i="231"/>
  <c r="G80" i="249"/>
  <c r="G91" i="234"/>
  <c r="J36" i="265"/>
  <c r="F51" i="252"/>
  <c r="F40" i="235"/>
  <c r="F51" i="253" s="1"/>
  <c r="F73" i="252"/>
  <c r="F78" i="235"/>
  <c r="F73" i="253" s="1"/>
  <c r="C31" i="252"/>
  <c r="C25" i="264"/>
  <c r="J47" i="264"/>
  <c r="I138" i="14"/>
  <c r="H82" i="1"/>
  <c r="H95" i="233"/>
  <c r="AD33" i="231"/>
  <c r="AC33" i="231"/>
  <c r="AC41" i="231"/>
  <c r="AD41" i="231"/>
  <c r="G70" i="252"/>
  <c r="G72" i="235"/>
  <c r="G70" i="253" s="1"/>
  <c r="J38" i="16"/>
  <c r="K43" i="14"/>
  <c r="J22" i="219"/>
  <c r="K22" i="218"/>
  <c r="AE34" i="231"/>
  <c r="F40" i="253"/>
  <c r="G40" i="252"/>
  <c r="G18" i="235"/>
  <c r="G40" i="253" s="1"/>
  <c r="J91" i="241"/>
  <c r="J82" i="241" s="1"/>
  <c r="J86" i="241" s="1"/>
  <c r="H76" i="265"/>
  <c r="H74" i="265"/>
  <c r="H78" i="265"/>
  <c r="H75" i="265"/>
  <c r="H73" i="265"/>
  <c r="H77" i="265"/>
  <c r="L69" i="264"/>
  <c r="L32" i="252"/>
  <c r="AD49" i="231"/>
  <c r="AC49" i="231"/>
  <c r="J59" i="14"/>
  <c r="I53" i="219"/>
  <c r="J53" i="218"/>
  <c r="AA51" i="231"/>
  <c r="G59" i="252"/>
  <c r="G55" i="235"/>
  <c r="G59" i="253" s="1"/>
  <c r="E78" i="241"/>
  <c r="Q76" i="241"/>
  <c r="C62" i="265"/>
  <c r="C63" i="265"/>
  <c r="C67" i="265"/>
  <c r="C64" i="265"/>
  <c r="C65" i="265"/>
  <c r="C66" i="265"/>
  <c r="K67" i="14"/>
  <c r="K64" i="218"/>
  <c r="J64" i="219"/>
  <c r="AE58" i="231"/>
  <c r="I47" i="16"/>
  <c r="J52" i="14"/>
  <c r="I40" i="219"/>
  <c r="J40" i="218"/>
  <c r="G52" i="241"/>
  <c r="E42" i="265"/>
  <c r="E43" i="265"/>
  <c r="E41" i="265"/>
  <c r="E45" i="265"/>
  <c r="E44" i="265"/>
  <c r="E40" i="265"/>
  <c r="H47" i="264"/>
  <c r="O76" i="264"/>
  <c r="AD69" i="231"/>
  <c r="AC69" i="231"/>
  <c r="H57" i="249"/>
  <c r="H51" i="234"/>
  <c r="AD36" i="231"/>
  <c r="AC36" i="231"/>
  <c r="H75" i="1"/>
  <c r="H82" i="233"/>
  <c r="Z64" i="231"/>
  <c r="Y64" i="231"/>
  <c r="K22" i="238"/>
  <c r="G42" i="252"/>
  <c r="G22" i="235"/>
  <c r="G42" i="253" s="1"/>
  <c r="G72" i="252"/>
  <c r="G76" i="235"/>
  <c r="G72" i="253" s="1"/>
  <c r="O40" i="264"/>
  <c r="C47" i="264"/>
  <c r="L14" i="29"/>
  <c r="I14" i="217"/>
  <c r="E37" i="16"/>
  <c r="D50" i="16"/>
  <c r="D54" i="16" s="1"/>
  <c r="D58" i="16" s="1"/>
  <c r="J78" i="241"/>
  <c r="J69" i="241" s="1"/>
  <c r="J73" i="241" s="1"/>
  <c r="H62" i="265"/>
  <c r="H65" i="265"/>
  <c r="H66" i="265"/>
  <c r="H67" i="265"/>
  <c r="H64" i="265"/>
  <c r="H63" i="265"/>
  <c r="K69" i="265"/>
  <c r="Z59" i="231"/>
  <c r="Y59" i="231"/>
  <c r="I39" i="1"/>
  <c r="I34" i="220"/>
  <c r="I16" i="233"/>
  <c r="J35" i="16"/>
  <c r="K41" i="14"/>
  <c r="K18" i="218"/>
  <c r="J18" i="219"/>
  <c r="AE32" i="231"/>
  <c r="H41" i="249"/>
  <c r="H36" i="276"/>
  <c r="H20" i="234"/>
  <c r="K29" i="10"/>
  <c r="H19" i="269"/>
  <c r="AC72" i="231"/>
  <c r="AD72" i="231"/>
  <c r="I61" i="1"/>
  <c r="I59" i="233"/>
  <c r="E82" i="253"/>
  <c r="H39" i="249"/>
  <c r="H34" i="276"/>
  <c r="H16" i="234"/>
  <c r="F77" i="253"/>
  <c r="E47" i="253"/>
  <c r="H55" i="31"/>
  <c r="K52" i="241"/>
  <c r="I40" i="265"/>
  <c r="I45" i="265"/>
  <c r="I42" i="265"/>
  <c r="I44" i="265"/>
  <c r="I43" i="265"/>
  <c r="I41" i="265"/>
  <c r="E80" i="253"/>
  <c r="F79" i="253"/>
  <c r="I43" i="16"/>
  <c r="J48" i="14"/>
  <c r="I32" i="219"/>
  <c r="J32" i="218"/>
  <c r="AA39" i="231"/>
  <c r="K58" i="264"/>
  <c r="K91" i="241"/>
  <c r="K82" i="241" s="1"/>
  <c r="K86" i="241" s="1"/>
  <c r="I76" i="265"/>
  <c r="I74" i="265"/>
  <c r="I78" i="265"/>
  <c r="I77" i="265"/>
  <c r="I73" i="265"/>
  <c r="I75" i="265"/>
  <c r="E56" i="240"/>
  <c r="E60" i="240" s="1"/>
  <c r="Q65" i="240"/>
  <c r="J83" i="14"/>
  <c r="I95" i="219"/>
  <c r="J95" i="218"/>
  <c r="J36" i="16"/>
  <c r="K42" i="14"/>
  <c r="J20" i="219"/>
  <c r="K20" i="218"/>
  <c r="AE33" i="231"/>
  <c r="I48" i="1"/>
  <c r="I44" i="220"/>
  <c r="I34" i="233"/>
  <c r="F53" i="252"/>
  <c r="F44" i="235"/>
  <c r="F53" i="253" s="1"/>
  <c r="H59" i="249"/>
  <c r="H55" i="234"/>
  <c r="I42" i="1"/>
  <c r="I38" i="220"/>
  <c r="I22" i="233"/>
  <c r="E52" i="241"/>
  <c r="Q50" i="241"/>
  <c r="C44" i="265"/>
  <c r="C43" i="265"/>
  <c r="C42" i="265"/>
  <c r="C41" i="265"/>
  <c r="C40" i="265"/>
  <c r="C45" i="265"/>
  <c r="K92" i="238"/>
  <c r="L33" i="252"/>
  <c r="E69" i="253"/>
  <c r="I57" i="1"/>
  <c r="I51" i="233"/>
  <c r="AD53" i="231"/>
  <c r="AC53" i="231"/>
  <c r="H51" i="1"/>
  <c r="H47" i="220"/>
  <c r="H40" i="233"/>
  <c r="AD60" i="231"/>
  <c r="AC60" i="231"/>
  <c r="I77" i="1"/>
  <c r="I85" i="233"/>
  <c r="I44" i="1"/>
  <c r="I40" i="220"/>
  <c r="I26" i="233"/>
  <c r="G53" i="249"/>
  <c r="G49" i="276"/>
  <c r="G44" i="234"/>
  <c r="F49" i="252"/>
  <c r="F36" i="235"/>
  <c r="F49" i="253" s="1"/>
  <c r="J72" i="14"/>
  <c r="I74" i="219"/>
  <c r="J74" i="218"/>
  <c r="AA64" i="231"/>
  <c r="J74" i="14"/>
  <c r="I78" i="219"/>
  <c r="J78" i="218"/>
  <c r="O42" i="264"/>
  <c r="J68" i="14"/>
  <c r="I66" i="219"/>
  <c r="J66" i="218"/>
  <c r="AA59" i="231"/>
  <c r="M80" i="264"/>
  <c r="J34" i="16"/>
  <c r="K40" i="14"/>
  <c r="K16" i="218"/>
  <c r="J16" i="219"/>
  <c r="AE31" i="231"/>
  <c r="N69" i="264"/>
  <c r="E69" i="240"/>
  <c r="E73" i="240" s="1"/>
  <c r="Q78" i="240"/>
  <c r="G78" i="241"/>
  <c r="G69" i="241" s="1"/>
  <c r="G73" i="241" s="1"/>
  <c r="E62" i="265"/>
  <c r="E67" i="265"/>
  <c r="E66" i="265"/>
  <c r="E63" i="265"/>
  <c r="E65" i="265"/>
  <c r="E64" i="265"/>
  <c r="D22" i="8"/>
  <c r="D92" i="2"/>
  <c r="D5" i="38" s="1"/>
  <c r="J33" i="253"/>
  <c r="F82" i="252"/>
  <c r="F95" i="235"/>
  <c r="F82" i="253" s="1"/>
  <c r="I79" i="1"/>
  <c r="I89" i="233"/>
  <c r="AC38" i="231"/>
  <c r="AD38" i="231"/>
  <c r="K62" i="14"/>
  <c r="K59" i="218"/>
  <c r="J59" i="219"/>
  <c r="G78" i="249"/>
  <c r="G87" i="234"/>
  <c r="E58" i="264"/>
  <c r="E82" i="264" s="1"/>
  <c r="D47" i="264"/>
  <c r="H60" i="31"/>
  <c r="H52" i="249"/>
  <c r="H48" i="276"/>
  <c r="H42" i="234"/>
  <c r="H47" i="1"/>
  <c r="H43" i="220"/>
  <c r="H32" i="233"/>
  <c r="F39" i="241"/>
  <c r="D30" i="265"/>
  <c r="O30" i="265" s="1"/>
  <c r="D32" i="265"/>
  <c r="O32" i="265" s="1"/>
  <c r="D34" i="265"/>
  <c r="O34" i="265" s="1"/>
  <c r="D29" i="265"/>
  <c r="Q37" i="241"/>
  <c r="D31" i="265"/>
  <c r="O31" i="265" s="1"/>
  <c r="D33" i="265"/>
  <c r="O33" i="265" s="1"/>
  <c r="F56" i="252"/>
  <c r="F49" i="235"/>
  <c r="F56" i="253" s="1"/>
  <c r="AD62" i="231"/>
  <c r="AC62" i="231"/>
  <c r="E60" i="253"/>
  <c r="O56" i="264"/>
  <c r="K128" i="14"/>
  <c r="L65" i="232" s="1"/>
  <c r="J103" i="219"/>
  <c r="J106" i="218"/>
  <c r="K104" i="218"/>
  <c r="Z74" i="231"/>
  <c r="Y74" i="231"/>
  <c r="H89" i="276"/>
  <c r="I86" i="276"/>
  <c r="I41" i="1"/>
  <c r="I36" i="220"/>
  <c r="I20" i="233"/>
  <c r="J44" i="16"/>
  <c r="K49" i="14"/>
  <c r="K34" i="218"/>
  <c r="J34" i="219"/>
  <c r="AE41" i="231"/>
  <c r="F58" i="264"/>
  <c r="F69" i="252"/>
  <c r="F70" i="235"/>
  <c r="F69" i="253" s="1"/>
  <c r="F72" i="253"/>
  <c r="G47" i="264"/>
  <c r="G58" i="264"/>
  <c r="G66" i="252"/>
  <c r="G64" i="235"/>
  <c r="G66" i="253" s="1"/>
  <c r="L31" i="252"/>
  <c r="L25" i="264"/>
  <c r="K47" i="264"/>
  <c r="K58" i="14"/>
  <c r="K51" i="218"/>
  <c r="J51" i="219"/>
  <c r="AE49" i="231"/>
  <c r="I59" i="1"/>
  <c r="I55" i="233"/>
  <c r="F22" i="265"/>
  <c r="H26" i="241"/>
  <c r="F18" i="265"/>
  <c r="F19" i="265"/>
  <c r="F23" i="265"/>
  <c r="F21" i="265"/>
  <c r="F20" i="265"/>
  <c r="H50" i="238"/>
  <c r="E82" i="240"/>
  <c r="E86" i="240" s="1"/>
  <c r="Q91" i="240"/>
  <c r="I68" i="1"/>
  <c r="I68" i="233"/>
  <c r="K78" i="14"/>
  <c r="K85" i="218"/>
  <c r="J85" i="219"/>
  <c r="AE69" i="231"/>
  <c r="O29" i="264"/>
  <c r="J61" i="14"/>
  <c r="I57" i="219"/>
  <c r="J57" i="218"/>
  <c r="J40" i="16"/>
  <c r="K45" i="14"/>
  <c r="K26" i="218"/>
  <c r="J26" i="219"/>
  <c r="AE36" i="231"/>
  <c r="G55" i="252"/>
  <c r="G47" i="235"/>
  <c r="H71" i="1"/>
  <c r="H74" i="233"/>
  <c r="G91" i="241"/>
  <c r="G82" i="241" s="1"/>
  <c r="G86" i="241" s="1"/>
  <c r="E74" i="265"/>
  <c r="E78" i="265"/>
  <c r="E76" i="265"/>
  <c r="E75" i="265"/>
  <c r="E77" i="265"/>
  <c r="E73" i="265"/>
  <c r="H52" i="241"/>
  <c r="H43" i="241" s="1"/>
  <c r="H47" i="241" s="1"/>
  <c r="F44" i="265"/>
  <c r="F45" i="265"/>
  <c r="F43" i="265"/>
  <c r="F41" i="265"/>
  <c r="F40" i="265"/>
  <c r="F42" i="265"/>
  <c r="H73" i="1"/>
  <c r="H78" i="233"/>
  <c r="O43" i="264"/>
  <c r="F69" i="265"/>
  <c r="H67" i="1"/>
  <c r="H66" i="233"/>
  <c r="O64" i="264"/>
  <c r="H91" i="241"/>
  <c r="H82" i="241" s="1"/>
  <c r="H86" i="241" s="1"/>
  <c r="F78" i="265"/>
  <c r="F76" i="265"/>
  <c r="F74" i="265"/>
  <c r="F75" i="265"/>
  <c r="F73" i="265"/>
  <c r="F77" i="265"/>
  <c r="M69" i="264"/>
  <c r="G74" i="252"/>
  <c r="G80" i="235"/>
  <c r="G74" i="253" s="1"/>
  <c r="F97" i="238"/>
  <c r="H78" i="238"/>
  <c r="O183" i="10"/>
  <c r="D64" i="253"/>
  <c r="O64" i="253" s="1"/>
  <c r="S147" i="10"/>
  <c r="S156" i="10" s="1"/>
  <c r="O176" i="10"/>
  <c r="C177" i="10"/>
  <c r="O177" i="10" s="1"/>
  <c r="P167" i="10"/>
  <c r="L24" i="7" s="1"/>
  <c r="D29" i="253"/>
  <c r="D179" i="10"/>
  <c r="E30" i="253" s="1"/>
  <c r="I29" i="253"/>
  <c r="I179" i="10"/>
  <c r="J30" i="253" s="1"/>
  <c r="L29" i="253"/>
  <c r="L179" i="10"/>
  <c r="M30" i="253" s="1"/>
  <c r="G29" i="253"/>
  <c r="G179" i="10"/>
  <c r="H30" i="253" s="1"/>
  <c r="T157" i="10"/>
  <c r="R155" i="10"/>
  <c r="S157" i="10" s="1"/>
  <c r="O29" i="252"/>
  <c r="F29" i="253"/>
  <c r="F179" i="10"/>
  <c r="G30" i="253" s="1"/>
  <c r="C179" i="10"/>
  <c r="C29" i="253"/>
  <c r="O178" i="10"/>
  <c r="N40" i="32"/>
  <c r="P40" i="32"/>
  <c r="E179" i="10"/>
  <c r="F30" i="253" s="1"/>
  <c r="E29" i="253"/>
  <c r="H29" i="253"/>
  <c r="H179" i="10"/>
  <c r="I30" i="253" s="1"/>
  <c r="N179" i="10"/>
  <c r="N29" i="253"/>
  <c r="O167" i="10"/>
  <c r="R167" i="10" s="1"/>
  <c r="D30" i="252"/>
  <c r="O30" i="252" s="1"/>
  <c r="O161" i="10"/>
  <c r="M29" i="253"/>
  <c r="M179" i="10"/>
  <c r="N30" i="253" s="1"/>
  <c r="J29" i="253"/>
  <c r="J179" i="10"/>
  <c r="K30" i="253" s="1"/>
  <c r="K179" i="10"/>
  <c r="L30" i="253" s="1"/>
  <c r="K29" i="253"/>
  <c r="H25" i="265"/>
  <c r="J17" i="241"/>
  <c r="J21" i="241" s="1"/>
  <c r="J94" i="240"/>
  <c r="J17" i="240"/>
  <c r="J21" i="240" s="1"/>
  <c r="J95" i="240" s="1"/>
  <c r="H31" i="252"/>
  <c r="H25" i="264"/>
  <c r="F278" i="38"/>
  <c r="H28" i="249"/>
  <c r="M47" i="232"/>
  <c r="M56" i="232"/>
  <c r="M46" i="232"/>
  <c r="H119" i="14"/>
  <c r="F119" i="14"/>
  <c r="H104" i="14"/>
  <c r="K68" i="18"/>
  <c r="N68" i="18" s="1"/>
  <c r="P68" i="18" s="1"/>
  <c r="K70" i="19"/>
  <c r="G119" i="14"/>
  <c r="F113" i="14"/>
  <c r="G110" i="14"/>
  <c r="M55" i="232"/>
  <c r="M54" i="232"/>
  <c r="M53" i="232"/>
  <c r="M94" i="14"/>
  <c r="N14" i="232"/>
  <c r="AM15" i="231"/>
  <c r="M91" i="14"/>
  <c r="M118" i="14"/>
  <c r="M115" i="14"/>
  <c r="M109" i="14"/>
  <c r="M112" i="14"/>
  <c r="M116" i="14"/>
  <c r="M103" i="14"/>
  <c r="M106" i="14"/>
  <c r="M57" i="232"/>
  <c r="F20" i="2"/>
  <c r="A6" i="38" s="1"/>
  <c r="H49" i="32"/>
  <c r="F75" i="21"/>
  <c r="B32" i="21"/>
  <c r="E31" i="21"/>
  <c r="G31" i="21" s="1"/>
  <c r="D34" i="252"/>
  <c r="O21" i="264"/>
  <c r="D31" i="252"/>
  <c r="D25" i="264"/>
  <c r="O18" i="264"/>
  <c r="N25" i="265"/>
  <c r="D134" i="249"/>
  <c r="O31" i="249"/>
  <c r="N31" i="252"/>
  <c r="N25" i="264"/>
  <c r="D36" i="252"/>
  <c r="O23" i="264"/>
  <c r="D33" i="252"/>
  <c r="O20" i="264"/>
  <c r="L94" i="240"/>
  <c r="L17" i="240"/>
  <c r="L21" i="240" s="1"/>
  <c r="L95" i="240" s="1"/>
  <c r="P17" i="241"/>
  <c r="P21" i="241" s="1"/>
  <c r="N28" i="249"/>
  <c r="L278" i="38"/>
  <c r="O133" i="253"/>
  <c r="D28" i="249"/>
  <c r="B278" i="38"/>
  <c r="J28" i="249"/>
  <c r="H278" i="38"/>
  <c r="D32" i="252"/>
  <c r="O19" i="264"/>
  <c r="F94" i="240"/>
  <c r="F17" i="240"/>
  <c r="F21" i="240" s="1"/>
  <c r="F95" i="240" s="1"/>
  <c r="Q26" i="240"/>
  <c r="J31" i="253"/>
  <c r="J25" i="265"/>
  <c r="O25" i="263"/>
  <c r="P94" i="240"/>
  <c r="P17" i="240"/>
  <c r="P21" i="240" s="1"/>
  <c r="P95" i="240" s="1"/>
  <c r="D35" i="252"/>
  <c r="O22" i="264"/>
  <c r="L17" i="241"/>
  <c r="L21" i="241" s="1"/>
  <c r="J31" i="252"/>
  <c r="J25" i="264"/>
  <c r="F26" i="241"/>
  <c r="D18" i="265"/>
  <c r="D22" i="265"/>
  <c r="D23" i="265"/>
  <c r="D20" i="265"/>
  <c r="D21" i="265"/>
  <c r="D19" i="265"/>
  <c r="Q24" i="241"/>
  <c r="T24" i="30" l="1"/>
  <c r="O97" i="238"/>
  <c r="L18" i="253" s="1"/>
  <c r="I25" i="265"/>
  <c r="L97" i="238"/>
  <c r="I18" i="253" s="1"/>
  <c r="M32" i="253"/>
  <c r="K80" i="265"/>
  <c r="M35" i="253"/>
  <c r="L25" i="16"/>
  <c r="S169" i="10"/>
  <c r="O169" i="10"/>
  <c r="R171" i="10" s="1"/>
  <c r="I55" i="2" s="1"/>
  <c r="J55" i="2" s="1"/>
  <c r="I64" i="252"/>
  <c r="O64" i="252" s="1"/>
  <c r="S170" i="10" s="1"/>
  <c r="R183" i="10"/>
  <c r="K55" i="2" s="1"/>
  <c r="L55" i="2" s="1"/>
  <c r="L54" i="2"/>
  <c r="J35" i="253"/>
  <c r="J271" i="38"/>
  <c r="H36" i="253"/>
  <c r="H18" i="252"/>
  <c r="D47" i="265"/>
  <c r="L85" i="2"/>
  <c r="N33" i="253"/>
  <c r="K271" i="38"/>
  <c r="I18" i="252"/>
  <c r="O43" i="265"/>
  <c r="M270" i="38"/>
  <c r="L83" i="2"/>
  <c r="L87" i="2"/>
  <c r="A17" i="38"/>
  <c r="C17" i="38" s="1"/>
  <c r="D17" i="38" s="1"/>
  <c r="A25" i="38"/>
  <c r="L84" i="2"/>
  <c r="L86" i="2"/>
  <c r="K18" i="252"/>
  <c r="E16" i="38"/>
  <c r="O18" i="249"/>
  <c r="J18" i="3" s="1"/>
  <c r="L46" i="32" s="1"/>
  <c r="E271" i="38"/>
  <c r="BB23" i="231"/>
  <c r="B23" i="38"/>
  <c r="AY26" i="231"/>
  <c r="BA26" i="231" s="1"/>
  <c r="BB26" i="231" s="1"/>
  <c r="F28" i="7"/>
  <c r="E22" i="2" s="1"/>
  <c r="F22" i="2" s="1"/>
  <c r="B6" i="38" s="1"/>
  <c r="I97" i="238"/>
  <c r="F18" i="253" s="1"/>
  <c r="M97" i="238"/>
  <c r="J18" i="253" s="1"/>
  <c r="K279" i="38"/>
  <c r="E279" i="38"/>
  <c r="H31" i="253"/>
  <c r="E18" i="252"/>
  <c r="E25" i="252" s="1"/>
  <c r="H33" i="253"/>
  <c r="G33" i="253"/>
  <c r="J82" i="264"/>
  <c r="H82" i="264"/>
  <c r="H22" i="38"/>
  <c r="O36" i="264"/>
  <c r="H271" i="38"/>
  <c r="J18" i="252"/>
  <c r="G23" i="38"/>
  <c r="D23" i="38"/>
  <c r="F18" i="252"/>
  <c r="C23" i="38"/>
  <c r="I28" i="252"/>
  <c r="F23" i="38"/>
  <c r="D18" i="253"/>
  <c r="D25" i="253" s="1"/>
  <c r="B272" i="38"/>
  <c r="O34" i="252"/>
  <c r="O36" i="252"/>
  <c r="H61" i="32"/>
  <c r="J97" i="238"/>
  <c r="G18" i="253" s="1"/>
  <c r="B271" i="38"/>
  <c r="O33" i="252"/>
  <c r="E134" i="252"/>
  <c r="F135" i="252" s="1"/>
  <c r="M62" i="31"/>
  <c r="L80" i="31" s="1"/>
  <c r="M80" i="31" s="1"/>
  <c r="I19" i="4"/>
  <c r="L9" i="10"/>
  <c r="J61" i="31"/>
  <c r="D79" i="31" s="1"/>
  <c r="K61" i="31"/>
  <c r="M82" i="264"/>
  <c r="H46" i="31"/>
  <c r="E92" i="2" s="1"/>
  <c r="K41" i="31"/>
  <c r="K44" i="31" s="1"/>
  <c r="I36" i="253"/>
  <c r="O66" i="265"/>
  <c r="M33" i="253"/>
  <c r="G36" i="253"/>
  <c r="G80" i="265"/>
  <c r="N35" i="253"/>
  <c r="J76" i="31"/>
  <c r="D94" i="31" s="1"/>
  <c r="H94" i="31" s="1"/>
  <c r="K76" i="31"/>
  <c r="Q97" i="238"/>
  <c r="N18" i="253" s="1"/>
  <c r="J75" i="31"/>
  <c r="D93" i="31" s="1"/>
  <c r="K75" i="31"/>
  <c r="N36" i="253"/>
  <c r="L19" i="276"/>
  <c r="L52" i="276"/>
  <c r="M25" i="220"/>
  <c r="N32" i="253"/>
  <c r="K117" i="276"/>
  <c r="K116" i="276"/>
  <c r="J118" i="276"/>
  <c r="F78" i="220"/>
  <c r="F77" i="220"/>
  <c r="E79" i="220"/>
  <c r="H35" i="253"/>
  <c r="F78" i="276"/>
  <c r="F77" i="276"/>
  <c r="E79" i="276"/>
  <c r="I14" i="262"/>
  <c r="L14" i="216"/>
  <c r="I14" i="263"/>
  <c r="I14" i="264" s="1"/>
  <c r="I14" i="265" s="1"/>
  <c r="C30" i="276"/>
  <c r="O29" i="276"/>
  <c r="E79" i="16"/>
  <c r="F78" i="16"/>
  <c r="F77" i="16"/>
  <c r="E15" i="38"/>
  <c r="D15" i="38"/>
  <c r="N82" i="264"/>
  <c r="I32" i="253"/>
  <c r="L35" i="253"/>
  <c r="O82" i="263"/>
  <c r="H20" i="7" s="1"/>
  <c r="I34" i="253"/>
  <c r="G35" i="253"/>
  <c r="N47" i="265"/>
  <c r="R97" i="237"/>
  <c r="G24" i="38" s="1"/>
  <c r="K56" i="220"/>
  <c r="K17" i="220"/>
  <c r="J60" i="31"/>
  <c r="D78" i="31" s="1"/>
  <c r="H78" i="31" s="1"/>
  <c r="K60" i="31"/>
  <c r="L82" i="264"/>
  <c r="J55" i="31"/>
  <c r="D73" i="31" s="1"/>
  <c r="K55" i="31"/>
  <c r="J74" i="31"/>
  <c r="D92" i="31" s="1"/>
  <c r="K74" i="31"/>
  <c r="G82" i="264"/>
  <c r="I35" i="253"/>
  <c r="K82" i="264"/>
  <c r="H32" i="253"/>
  <c r="D58" i="265"/>
  <c r="J117" i="16"/>
  <c r="I118" i="16"/>
  <c r="J116" i="16"/>
  <c r="O69" i="264"/>
  <c r="D82" i="264"/>
  <c r="J70" i="31"/>
  <c r="D88" i="31" s="1"/>
  <c r="H88" i="31" s="1"/>
  <c r="K70" i="31"/>
  <c r="M36" i="253"/>
  <c r="H97" i="238"/>
  <c r="C272" i="38" s="1"/>
  <c r="H34" i="253"/>
  <c r="F82" i="264"/>
  <c r="O52" i="265"/>
  <c r="I82" i="264"/>
  <c r="J71" i="31"/>
  <c r="D89" i="31" s="1"/>
  <c r="H89" i="31" s="1"/>
  <c r="K89" i="31" s="1"/>
  <c r="K71" i="31"/>
  <c r="C25" i="2"/>
  <c r="H69" i="32" s="1"/>
  <c r="H43" i="32"/>
  <c r="A20" i="2"/>
  <c r="O69" i="18"/>
  <c r="Q67" i="18"/>
  <c r="E32" i="20"/>
  <c r="G32" i="20" s="1"/>
  <c r="B33" i="20"/>
  <c r="P30" i="19"/>
  <c r="Q29" i="19" s="1"/>
  <c r="O30" i="19"/>
  <c r="H95" i="14" s="1"/>
  <c r="Q28" i="19"/>
  <c r="I92" i="14"/>
  <c r="Q95" i="239"/>
  <c r="C279" i="38"/>
  <c r="O32" i="252"/>
  <c r="F134" i="252"/>
  <c r="G135" i="252" s="1"/>
  <c r="J95" i="241"/>
  <c r="H28" i="253" s="1"/>
  <c r="K28" i="252"/>
  <c r="J72" i="31"/>
  <c r="D90" i="31" s="1"/>
  <c r="K72" i="31"/>
  <c r="F28" i="252"/>
  <c r="P95" i="241"/>
  <c r="L280" i="38" s="1"/>
  <c r="P94" i="241"/>
  <c r="L95" i="241"/>
  <c r="H280" i="38" s="1"/>
  <c r="C28" i="249"/>
  <c r="O28" i="249" s="1"/>
  <c r="G20" i="2" s="1"/>
  <c r="H20" i="2" s="1"/>
  <c r="A7" i="38" s="1"/>
  <c r="H28" i="1"/>
  <c r="O28" i="1" s="1"/>
  <c r="Q95" i="216"/>
  <c r="L94" i="241"/>
  <c r="G25" i="215"/>
  <c r="R16" i="30"/>
  <c r="K104" i="14"/>
  <c r="K107" i="14"/>
  <c r="N113" i="14"/>
  <c r="N119" i="14"/>
  <c r="N47" i="232"/>
  <c r="H92" i="31"/>
  <c r="H79" i="31"/>
  <c r="H73" i="31"/>
  <c r="H93" i="31"/>
  <c r="I79" i="249"/>
  <c r="I89" i="234"/>
  <c r="O41" i="265"/>
  <c r="I39" i="249"/>
  <c r="I34" i="276"/>
  <c r="I16" i="234"/>
  <c r="O73" i="265"/>
  <c r="C80" i="265"/>
  <c r="AH47" i="231"/>
  <c r="AG47" i="231"/>
  <c r="E80" i="265"/>
  <c r="K40" i="16"/>
  <c r="L45" i="14"/>
  <c r="K26" i="219"/>
  <c r="L26" i="218"/>
  <c r="AI36" i="231"/>
  <c r="AG69" i="231"/>
  <c r="AH69" i="231"/>
  <c r="H17" i="241"/>
  <c r="H21" i="241" s="1"/>
  <c r="H95" i="241" s="1"/>
  <c r="H94" i="241"/>
  <c r="J124" i="1"/>
  <c r="J103" i="233"/>
  <c r="J105" i="219"/>
  <c r="P179" i="10"/>
  <c r="C25" i="7" s="1"/>
  <c r="S159" i="10"/>
  <c r="S168" i="10" s="1"/>
  <c r="H67" i="249"/>
  <c r="H66" i="234"/>
  <c r="H71" i="249"/>
  <c r="H74" i="234"/>
  <c r="J77" i="1"/>
  <c r="J85" i="233"/>
  <c r="F35" i="253"/>
  <c r="J48" i="1"/>
  <c r="J44" i="220"/>
  <c r="J34" i="233"/>
  <c r="K74" i="14"/>
  <c r="J78" i="219"/>
  <c r="K78" i="218"/>
  <c r="I71" i="1"/>
  <c r="I74" i="233"/>
  <c r="O45" i="265"/>
  <c r="J43" i="16"/>
  <c r="K48" i="14"/>
  <c r="J32" i="219"/>
  <c r="K32" i="218"/>
  <c r="AE39" i="231"/>
  <c r="E47" i="265"/>
  <c r="E31" i="253"/>
  <c r="I51" i="1"/>
  <c r="I47" i="220"/>
  <c r="I40" i="233"/>
  <c r="O65" i="265"/>
  <c r="C134" i="252"/>
  <c r="D135" i="252" s="1"/>
  <c r="G80" i="252"/>
  <c r="G91" i="235"/>
  <c r="G38" i="252"/>
  <c r="G14" i="235"/>
  <c r="G97" i="234"/>
  <c r="G97" i="235" s="1"/>
  <c r="I94" i="241"/>
  <c r="I17" i="241"/>
  <c r="I21" i="241" s="1"/>
  <c r="I95" i="241" s="1"/>
  <c r="G45" i="252"/>
  <c r="G28" i="235"/>
  <c r="G73" i="252"/>
  <c r="G78" i="235"/>
  <c r="G73" i="253" s="1"/>
  <c r="H58" i="249"/>
  <c r="H53" i="234"/>
  <c r="H45" i="249"/>
  <c r="H41" i="276"/>
  <c r="H28" i="234"/>
  <c r="J50" i="1"/>
  <c r="J46" i="220"/>
  <c r="J38" i="233"/>
  <c r="L31" i="253"/>
  <c r="L25" i="265"/>
  <c r="G49" i="252"/>
  <c r="G36" i="235"/>
  <c r="K17" i="276"/>
  <c r="K56" i="276"/>
  <c r="O55" i="265"/>
  <c r="I69" i="1"/>
  <c r="I70" i="233"/>
  <c r="I74" i="249"/>
  <c r="I80" i="234"/>
  <c r="G124" i="253"/>
  <c r="G105" i="235"/>
  <c r="C35" i="253"/>
  <c r="O80" i="264"/>
  <c r="I55" i="249"/>
  <c r="I47" i="234"/>
  <c r="E82" i="2"/>
  <c r="F82" i="2" s="1"/>
  <c r="K79" i="14"/>
  <c r="J87" i="219"/>
  <c r="K87" i="218"/>
  <c r="AE70" i="231"/>
  <c r="G81" i="253"/>
  <c r="I46" i="249"/>
  <c r="I42" i="276"/>
  <c r="I30" i="234"/>
  <c r="G47" i="265"/>
  <c r="J49" i="16"/>
  <c r="K54" i="14"/>
  <c r="J44" i="219"/>
  <c r="K44" i="218"/>
  <c r="J80" i="265"/>
  <c r="J82" i="265" s="1"/>
  <c r="I80" i="1"/>
  <c r="I91" i="233"/>
  <c r="K34" i="253"/>
  <c r="K52" i="220"/>
  <c r="K19" i="220"/>
  <c r="H38" i="249"/>
  <c r="H33" i="276"/>
  <c r="H97" i="233"/>
  <c r="H14" i="234"/>
  <c r="K17" i="16"/>
  <c r="K56" i="16"/>
  <c r="J94" i="241"/>
  <c r="F80" i="265"/>
  <c r="F47" i="265"/>
  <c r="L78" i="14"/>
  <c r="K85" i="219"/>
  <c r="L85" i="218"/>
  <c r="AI69" i="231"/>
  <c r="K44" i="16"/>
  <c r="L49" i="14"/>
  <c r="K34" i="219"/>
  <c r="L34" i="218"/>
  <c r="AI41" i="231"/>
  <c r="J86" i="276"/>
  <c r="I89" i="276"/>
  <c r="H52" i="252"/>
  <c r="H42" i="235"/>
  <c r="H52" i="253" s="1"/>
  <c r="AD59" i="231"/>
  <c r="AC59" i="231"/>
  <c r="I73" i="1"/>
  <c r="I78" i="233"/>
  <c r="H51" i="249"/>
  <c r="H47" i="276"/>
  <c r="H40" i="234"/>
  <c r="O40" i="265"/>
  <c r="C47" i="265"/>
  <c r="I47" i="1"/>
  <c r="I43" i="220"/>
  <c r="I32" i="233"/>
  <c r="O47" i="264"/>
  <c r="H57" i="252"/>
  <c r="H51" i="235"/>
  <c r="H57" i="253" s="1"/>
  <c r="E35" i="253"/>
  <c r="O64" i="265"/>
  <c r="O56" i="241"/>
  <c r="O60" i="241" s="1"/>
  <c r="O95" i="241" s="1"/>
  <c r="O94" i="241"/>
  <c r="G34" i="253"/>
  <c r="G69" i="265"/>
  <c r="H42" i="252"/>
  <c r="H22" i="235"/>
  <c r="H42" i="253" s="1"/>
  <c r="K46" i="16"/>
  <c r="L51" i="14"/>
  <c r="K38" i="219"/>
  <c r="L38" i="218"/>
  <c r="AI45" i="231"/>
  <c r="H58" i="265"/>
  <c r="H40" i="252"/>
  <c r="H18" i="235"/>
  <c r="H40" i="253" s="1"/>
  <c r="J41" i="31"/>
  <c r="J81" i="1"/>
  <c r="J93" i="233"/>
  <c r="G67" i="252"/>
  <c r="G66" i="235"/>
  <c r="G67" i="253" s="1"/>
  <c r="O54" i="265"/>
  <c r="H65" i="249"/>
  <c r="H62" i="234"/>
  <c r="E82" i="241"/>
  <c r="E86" i="241" s="1"/>
  <c r="Q91" i="241"/>
  <c r="G60" i="252"/>
  <c r="G57" i="235"/>
  <c r="M24" i="276"/>
  <c r="M21" i="276"/>
  <c r="M23" i="276" s="1"/>
  <c r="M25" i="276" s="1"/>
  <c r="H78" i="249"/>
  <c r="H87" i="234"/>
  <c r="AD43" i="231"/>
  <c r="AC43" i="231"/>
  <c r="C31" i="253"/>
  <c r="C25" i="265"/>
  <c r="H47" i="265"/>
  <c r="I78" i="1"/>
  <c r="I87" i="233"/>
  <c r="I52" i="249"/>
  <c r="I48" i="276"/>
  <c r="I42" i="234"/>
  <c r="H81" i="252"/>
  <c r="H93" i="235"/>
  <c r="H81" i="253" s="1"/>
  <c r="AH53" i="231"/>
  <c r="AG53" i="231"/>
  <c r="I53" i="1"/>
  <c r="I49" i="220"/>
  <c r="I44" i="233"/>
  <c r="G58" i="252"/>
  <c r="G53" i="235"/>
  <c r="M43" i="241"/>
  <c r="M47" i="241" s="1"/>
  <c r="M95" i="241" s="1"/>
  <c r="M94" i="241"/>
  <c r="H69" i="249"/>
  <c r="H70" i="234"/>
  <c r="G47" i="252"/>
  <c r="G32" i="235"/>
  <c r="J45" i="16"/>
  <c r="K50" i="14"/>
  <c r="J36" i="219"/>
  <c r="K36" i="218"/>
  <c r="AE43" i="231"/>
  <c r="E94" i="241"/>
  <c r="E17" i="241"/>
  <c r="E21" i="241" s="1"/>
  <c r="H68" i="252"/>
  <c r="H68" i="235"/>
  <c r="K61" i="14"/>
  <c r="J57" i="219"/>
  <c r="K57" i="218"/>
  <c r="AG31" i="231"/>
  <c r="AH31" i="231"/>
  <c r="I57" i="249"/>
  <c r="I51" i="234"/>
  <c r="J59" i="1"/>
  <c r="J55" i="233"/>
  <c r="H61" i="252"/>
  <c r="H59" i="235"/>
  <c r="H61" i="253" s="1"/>
  <c r="AH72" i="231"/>
  <c r="AG72" i="231"/>
  <c r="Q94" i="240"/>
  <c r="I60" i="1"/>
  <c r="I57" i="233"/>
  <c r="F34" i="253"/>
  <c r="F30" i="241"/>
  <c r="F34" i="241" s="1"/>
  <c r="Q39" i="241"/>
  <c r="G78" i="252"/>
  <c r="G87" i="235"/>
  <c r="G78" i="253" s="1"/>
  <c r="E69" i="265"/>
  <c r="J39" i="1"/>
  <c r="J34" i="220"/>
  <c r="J16" i="233"/>
  <c r="I67" i="1"/>
  <c r="I66" i="233"/>
  <c r="O42" i="265"/>
  <c r="I33" i="253"/>
  <c r="E32" i="253"/>
  <c r="AH58" i="231"/>
  <c r="AG58" i="231"/>
  <c r="O63" i="265"/>
  <c r="AD51" i="231"/>
  <c r="AC51" i="231"/>
  <c r="K38" i="16"/>
  <c r="L43" i="14"/>
  <c r="K22" i="219"/>
  <c r="L22" i="218"/>
  <c r="AI34" i="231"/>
  <c r="M34" i="253"/>
  <c r="I43" i="249"/>
  <c r="I39" i="276"/>
  <c r="I24" i="234"/>
  <c r="G31" i="253"/>
  <c r="G25" i="265"/>
  <c r="I66" i="249"/>
  <c r="I64" i="234"/>
  <c r="L28" i="252"/>
  <c r="J279" i="38"/>
  <c r="N97" i="238"/>
  <c r="I63" i="220"/>
  <c r="I63" i="16"/>
  <c r="I63" i="276"/>
  <c r="M12" i="214"/>
  <c r="L36" i="253"/>
  <c r="AC37" i="231"/>
  <c r="AD37" i="231" s="1"/>
  <c r="L80" i="265"/>
  <c r="G43" i="253"/>
  <c r="F37" i="220"/>
  <c r="E50" i="220"/>
  <c r="E54" i="220" s="1"/>
  <c r="E58" i="220" s="1"/>
  <c r="O56" i="265"/>
  <c r="H74" i="252"/>
  <c r="H80" i="235"/>
  <c r="H74" i="253" s="1"/>
  <c r="O77" i="265"/>
  <c r="J55" i="1"/>
  <c r="J47" i="233"/>
  <c r="H66" i="252"/>
  <c r="H64" i="235"/>
  <c r="H66" i="253" s="1"/>
  <c r="AC30" i="231"/>
  <c r="AD30" i="231" s="1"/>
  <c r="H56" i="249"/>
  <c r="H49" i="234"/>
  <c r="J86" i="16"/>
  <c r="I89" i="16"/>
  <c r="I49" i="1"/>
  <c r="I45" i="220"/>
  <c r="I36" i="233"/>
  <c r="C36" i="253"/>
  <c r="H79" i="252"/>
  <c r="H89" i="235"/>
  <c r="L69" i="265"/>
  <c r="G69" i="252"/>
  <c r="G70" i="235"/>
  <c r="G69" i="253" s="1"/>
  <c r="M52" i="16"/>
  <c r="M19" i="16"/>
  <c r="H80" i="249"/>
  <c r="H91" i="234"/>
  <c r="AH62" i="231"/>
  <c r="AG62" i="231"/>
  <c r="AD48" i="231"/>
  <c r="AC48" i="231"/>
  <c r="L60" i="14"/>
  <c r="K55" i="219"/>
  <c r="L55" i="218"/>
  <c r="AI53" i="231"/>
  <c r="O58" i="264"/>
  <c r="K35" i="253"/>
  <c r="M24" i="16"/>
  <c r="M21" i="16"/>
  <c r="M23" i="16" s="1"/>
  <c r="J79" i="1"/>
  <c r="J89" i="233"/>
  <c r="I44" i="249"/>
  <c r="I40" i="276"/>
  <c r="I26" i="234"/>
  <c r="H75" i="249"/>
  <c r="H82" i="234"/>
  <c r="H72" i="252"/>
  <c r="H76" i="235"/>
  <c r="H46" i="252"/>
  <c r="H30" i="235"/>
  <c r="A272" i="38"/>
  <c r="C18" i="253"/>
  <c r="C25" i="253" s="1"/>
  <c r="I68" i="249"/>
  <c r="I68" i="234"/>
  <c r="F36" i="253"/>
  <c r="AH49" i="231"/>
  <c r="AG49" i="231"/>
  <c r="H51" i="31"/>
  <c r="H47" i="249"/>
  <c r="H43" i="276"/>
  <c r="H32" i="234"/>
  <c r="J61" i="1"/>
  <c r="J59" i="233"/>
  <c r="K34" i="16"/>
  <c r="L40" i="14"/>
  <c r="K16" i="219"/>
  <c r="L16" i="218"/>
  <c r="AI31" i="231"/>
  <c r="I80" i="265"/>
  <c r="F37" i="16"/>
  <c r="E50" i="16"/>
  <c r="E54" i="16" s="1"/>
  <c r="E58" i="16" s="1"/>
  <c r="E34" i="253"/>
  <c r="J66" i="1"/>
  <c r="J64" i="233"/>
  <c r="O62" i="265"/>
  <c r="C69" i="265"/>
  <c r="K59" i="14"/>
  <c r="J53" i="219"/>
  <c r="K53" i="218"/>
  <c r="AE51" i="231"/>
  <c r="J42" i="1"/>
  <c r="J38" i="220"/>
  <c r="J22" i="233"/>
  <c r="J139" i="14"/>
  <c r="J44" i="232" s="1"/>
  <c r="K86" i="220"/>
  <c r="J89" i="220"/>
  <c r="AH66" i="231"/>
  <c r="AG66" i="231"/>
  <c r="F36" i="232"/>
  <c r="G25" i="232"/>
  <c r="AH35" i="231"/>
  <c r="AG35" i="231"/>
  <c r="I45" i="1"/>
  <c r="I41" i="220"/>
  <c r="I28" i="233"/>
  <c r="H70" i="252"/>
  <c r="H72" i="235"/>
  <c r="H70" i="253" s="1"/>
  <c r="O51" i="265"/>
  <c r="C58" i="265"/>
  <c r="I81" i="249"/>
  <c r="I93" i="234"/>
  <c r="O75" i="265"/>
  <c r="M80" i="265"/>
  <c r="L56" i="14"/>
  <c r="K47" i="219"/>
  <c r="L47" i="218"/>
  <c r="AI47" i="231"/>
  <c r="J33" i="16"/>
  <c r="K39" i="14"/>
  <c r="J97" i="218"/>
  <c r="J14" i="219"/>
  <c r="K14" i="218"/>
  <c r="AE30" i="231"/>
  <c r="C34" i="253"/>
  <c r="H53" i="249"/>
  <c r="H49" i="276"/>
  <c r="H44" i="234"/>
  <c r="J70" i="1"/>
  <c r="J72" i="233"/>
  <c r="K57" i="14"/>
  <c r="J49" i="219"/>
  <c r="K49" i="218"/>
  <c r="AE48" i="231"/>
  <c r="AG60" i="231"/>
  <c r="AH60" i="231"/>
  <c r="I70" i="249"/>
  <c r="I72" i="234"/>
  <c r="H43" i="252"/>
  <c r="H24" i="235"/>
  <c r="H43" i="253" s="1"/>
  <c r="K33" i="253"/>
  <c r="L80" i="14"/>
  <c r="K89" i="219"/>
  <c r="L89" i="218"/>
  <c r="AI72" i="231"/>
  <c r="F33" i="253"/>
  <c r="I48" i="249"/>
  <c r="I44" i="276"/>
  <c r="I34" i="234"/>
  <c r="H41" i="252"/>
  <c r="H20" i="235"/>
  <c r="O67" i="265"/>
  <c r="O35" i="252"/>
  <c r="N31" i="253"/>
  <c r="AH36" i="231"/>
  <c r="AG36" i="231"/>
  <c r="F32" i="253"/>
  <c r="J57" i="1"/>
  <c r="J51" i="233"/>
  <c r="L128" i="14"/>
  <c r="M65" i="232" s="1"/>
  <c r="K103" i="219"/>
  <c r="L104" i="218"/>
  <c r="K106" i="218"/>
  <c r="L62" i="14"/>
  <c r="K59" i="219"/>
  <c r="L59" i="218"/>
  <c r="M18" i="253"/>
  <c r="K272" i="38"/>
  <c r="I77" i="249"/>
  <c r="I85" i="234"/>
  <c r="O44" i="265"/>
  <c r="H59" i="252"/>
  <c r="H55" i="235"/>
  <c r="H59" i="253" s="1"/>
  <c r="AH33" i="231"/>
  <c r="AG33" i="231"/>
  <c r="K83" i="14"/>
  <c r="J95" i="219"/>
  <c r="K95" i="218"/>
  <c r="I47" i="265"/>
  <c r="I31" i="253"/>
  <c r="H39" i="252"/>
  <c r="H16" i="235"/>
  <c r="H39" i="253" s="1"/>
  <c r="AH32" i="231"/>
  <c r="AG32" i="231"/>
  <c r="E33" i="253"/>
  <c r="L67" i="14"/>
  <c r="K64" i="219"/>
  <c r="L64" i="218"/>
  <c r="AI58" i="231"/>
  <c r="I58" i="1"/>
  <c r="I53" i="233"/>
  <c r="M58" i="265"/>
  <c r="M31" i="253"/>
  <c r="F37" i="276"/>
  <c r="E50" i="276"/>
  <c r="E54" i="276" s="1"/>
  <c r="E58" i="276" s="1"/>
  <c r="J72" i="1"/>
  <c r="J76" i="233"/>
  <c r="G32" i="253"/>
  <c r="H44" i="252"/>
  <c r="H26" i="235"/>
  <c r="K39" i="16"/>
  <c r="L44" i="14"/>
  <c r="K24" i="219"/>
  <c r="L24" i="218"/>
  <c r="AI35" i="231"/>
  <c r="N17" i="241"/>
  <c r="N21" i="241" s="1"/>
  <c r="N95" i="241" s="1"/>
  <c r="N94" i="241"/>
  <c r="J41" i="16"/>
  <c r="K46" i="14"/>
  <c r="J28" i="219"/>
  <c r="K28" i="218"/>
  <c r="AE37" i="231"/>
  <c r="N24" i="220"/>
  <c r="N21" i="220"/>
  <c r="N23" i="220" s="1"/>
  <c r="N25" i="220" s="1"/>
  <c r="M69" i="265"/>
  <c r="H134" i="1"/>
  <c r="H49" i="249"/>
  <c r="H45" i="276"/>
  <c r="H36" i="234"/>
  <c r="E58" i="265"/>
  <c r="G39" i="253"/>
  <c r="O78" i="265"/>
  <c r="I38" i="1"/>
  <c r="I33" i="220"/>
  <c r="I97" i="219"/>
  <c r="I14" i="233"/>
  <c r="J52" i="1"/>
  <c r="J48" i="220"/>
  <c r="J42" i="233"/>
  <c r="AD57" i="231"/>
  <c r="AC57" i="231"/>
  <c r="G48" i="253"/>
  <c r="L71" i="14"/>
  <c r="K72" i="219"/>
  <c r="L72" i="218"/>
  <c r="AI62" i="231"/>
  <c r="I56" i="1"/>
  <c r="I49" i="233"/>
  <c r="K15" i="16"/>
  <c r="K15" i="220" s="1"/>
  <c r="K15" i="276" s="1"/>
  <c r="P12" i="213"/>
  <c r="J68" i="1"/>
  <c r="J68" i="233"/>
  <c r="K47" i="265"/>
  <c r="K82" i="265" s="1"/>
  <c r="K31" i="253"/>
  <c r="AH38" i="231"/>
  <c r="AG38" i="231"/>
  <c r="I59" i="249"/>
  <c r="I55" i="234"/>
  <c r="K68" i="14"/>
  <c r="J66" i="219"/>
  <c r="K66" i="218"/>
  <c r="AE59" i="231"/>
  <c r="I42" i="249"/>
  <c r="I38" i="276"/>
  <c r="I22" i="234"/>
  <c r="I61" i="249"/>
  <c r="I59" i="234"/>
  <c r="E36" i="253"/>
  <c r="AG34" i="231"/>
  <c r="AH34" i="231"/>
  <c r="G134" i="249"/>
  <c r="H135" i="249" s="1"/>
  <c r="L82" i="14"/>
  <c r="K93" i="219"/>
  <c r="L93" i="218"/>
  <c r="H73" i="249"/>
  <c r="H78" i="234"/>
  <c r="J44" i="1"/>
  <c r="J40" i="220"/>
  <c r="J26" i="233"/>
  <c r="F31" i="253"/>
  <c r="F25" i="265"/>
  <c r="F82" i="265" s="1"/>
  <c r="L58" i="14"/>
  <c r="K51" i="219"/>
  <c r="L51" i="218"/>
  <c r="AI49" i="231"/>
  <c r="I41" i="249"/>
  <c r="I36" i="276"/>
  <c r="I20" i="234"/>
  <c r="AC64" i="231"/>
  <c r="AD64" i="231"/>
  <c r="K36" i="16"/>
  <c r="L42" i="14"/>
  <c r="L20" i="218"/>
  <c r="K20" i="219"/>
  <c r="AI33" i="231"/>
  <c r="I82" i="1"/>
  <c r="I95" i="233"/>
  <c r="K43" i="241"/>
  <c r="K47" i="241" s="1"/>
  <c r="K95" i="241" s="1"/>
  <c r="K94" i="241"/>
  <c r="J40" i="1"/>
  <c r="J35" i="220"/>
  <c r="J18" i="233"/>
  <c r="H69" i="265"/>
  <c r="J14" i="217"/>
  <c r="M14" i="29"/>
  <c r="K97" i="238"/>
  <c r="G43" i="241"/>
  <c r="G47" i="241" s="1"/>
  <c r="G95" i="241" s="1"/>
  <c r="G94" i="241"/>
  <c r="E69" i="241"/>
  <c r="E73" i="241" s="1"/>
  <c r="Q78" i="241"/>
  <c r="H80" i="265"/>
  <c r="I40" i="249"/>
  <c r="I35" i="276"/>
  <c r="I18" i="234"/>
  <c r="H77" i="252"/>
  <c r="H85" i="235"/>
  <c r="L73" i="14"/>
  <c r="K76" i="219"/>
  <c r="L76" i="218"/>
  <c r="AI66" i="231"/>
  <c r="K76" i="14"/>
  <c r="J82" i="219"/>
  <c r="K82" i="218"/>
  <c r="G75" i="252"/>
  <c r="G82" i="235"/>
  <c r="G75" i="253" s="1"/>
  <c r="H124" i="252"/>
  <c r="H103" i="235"/>
  <c r="H105" i="234"/>
  <c r="I72" i="249"/>
  <c r="I76" i="234"/>
  <c r="J43" i="1"/>
  <c r="J39" i="220"/>
  <c r="J24" i="233"/>
  <c r="J74" i="1"/>
  <c r="J80" i="233"/>
  <c r="H48" i="252"/>
  <c r="H34" i="235"/>
  <c r="H48" i="253" s="1"/>
  <c r="G61" i="253"/>
  <c r="E56" i="241"/>
  <c r="E60" i="241" s="1"/>
  <c r="Q65" i="241"/>
  <c r="AC61" i="231"/>
  <c r="AD61" i="231"/>
  <c r="O74" i="265"/>
  <c r="G65" i="252"/>
  <c r="G62" i="235"/>
  <c r="G65" i="253" s="1"/>
  <c r="E95" i="240"/>
  <c r="Q95" i="240" s="1"/>
  <c r="K48" i="16"/>
  <c r="L53" i="14"/>
  <c r="K42" i="219"/>
  <c r="L42" i="218"/>
  <c r="C33" i="253"/>
  <c r="K66" i="14"/>
  <c r="J62" i="219"/>
  <c r="K62" i="218"/>
  <c r="AE57" i="231"/>
  <c r="I124" i="249"/>
  <c r="I103" i="234"/>
  <c r="I105" i="233"/>
  <c r="H55" i="252"/>
  <c r="H47" i="235"/>
  <c r="H55" i="253" s="1"/>
  <c r="N69" i="265"/>
  <c r="L69" i="14"/>
  <c r="K68" i="219"/>
  <c r="L68" i="218"/>
  <c r="AI60" i="231"/>
  <c r="F65" i="253"/>
  <c r="AD74" i="231"/>
  <c r="AC74" i="231"/>
  <c r="K36" i="253"/>
  <c r="K42" i="16"/>
  <c r="L47" i="14"/>
  <c r="K30" i="219"/>
  <c r="L30" i="218"/>
  <c r="AI38" i="231"/>
  <c r="G55" i="253"/>
  <c r="AH41" i="231"/>
  <c r="AG41" i="231"/>
  <c r="D36" i="265"/>
  <c r="O29" i="265"/>
  <c r="O36" i="265" s="1"/>
  <c r="K72" i="14"/>
  <c r="J74" i="219"/>
  <c r="K74" i="218"/>
  <c r="AE64" i="231"/>
  <c r="G53" i="252"/>
  <c r="G44" i="235"/>
  <c r="G53" i="253" s="1"/>
  <c r="E43" i="241"/>
  <c r="E47" i="241" s="1"/>
  <c r="Q52" i="241"/>
  <c r="J41" i="1"/>
  <c r="J36" i="220"/>
  <c r="J20" i="233"/>
  <c r="AD39" i="231"/>
  <c r="AC39" i="231"/>
  <c r="L29" i="10"/>
  <c r="I19" i="269"/>
  <c r="K35" i="16"/>
  <c r="L41" i="14"/>
  <c r="L18" i="218"/>
  <c r="K18" i="219"/>
  <c r="AI32" i="231"/>
  <c r="J47" i="16"/>
  <c r="K52" i="14"/>
  <c r="J40" i="219"/>
  <c r="K40" i="218"/>
  <c r="H82" i="249"/>
  <c r="H95" i="234"/>
  <c r="C82" i="264"/>
  <c r="G56" i="252"/>
  <c r="G49" i="235"/>
  <c r="G56" i="253" s="1"/>
  <c r="O48" i="10"/>
  <c r="L19" i="268"/>
  <c r="L19" i="267" s="1"/>
  <c r="L19" i="266" s="1"/>
  <c r="I75" i="1"/>
  <c r="I82" i="233"/>
  <c r="AG45" i="231"/>
  <c r="AH45" i="231"/>
  <c r="N80" i="265"/>
  <c r="L33" i="253"/>
  <c r="L75" i="14"/>
  <c r="K80" i="219"/>
  <c r="L80" i="218"/>
  <c r="G51" i="252"/>
  <c r="G40" i="235"/>
  <c r="G51" i="253" s="1"/>
  <c r="I50" i="249"/>
  <c r="I46" i="276"/>
  <c r="I38" i="234"/>
  <c r="G82" i="252"/>
  <c r="G95" i="235"/>
  <c r="G82" i="253" s="1"/>
  <c r="O53" i="265"/>
  <c r="U19" i="30"/>
  <c r="U22" i="30" s="1"/>
  <c r="V18" i="30"/>
  <c r="K70" i="14"/>
  <c r="J70" i="219"/>
  <c r="K70" i="218"/>
  <c r="AE61" i="231"/>
  <c r="O76" i="265"/>
  <c r="H50" i="252"/>
  <c r="H38" i="235"/>
  <c r="J138" i="14"/>
  <c r="K139" i="14" s="1"/>
  <c r="K44" i="232" s="1"/>
  <c r="C32" i="253"/>
  <c r="I65" i="1"/>
  <c r="I62" i="233"/>
  <c r="G71" i="252"/>
  <c r="G74" i="235"/>
  <c r="C103" i="38"/>
  <c r="C95" i="38"/>
  <c r="C145" i="14" s="1"/>
  <c r="C100" i="38"/>
  <c r="C98" i="38"/>
  <c r="C105" i="38"/>
  <c r="C93" i="38"/>
  <c r="C144" i="14" s="1"/>
  <c r="AC70" i="231"/>
  <c r="AD70" i="231"/>
  <c r="H60" i="249"/>
  <c r="H57" i="234"/>
  <c r="K81" i="14"/>
  <c r="J91" i="219"/>
  <c r="K91" i="218"/>
  <c r="AE74" i="231"/>
  <c r="K32" i="253"/>
  <c r="J46" i="1"/>
  <c r="J42" i="220"/>
  <c r="J30" i="233"/>
  <c r="J116" i="220"/>
  <c r="I118" i="220"/>
  <c r="J117" i="220"/>
  <c r="H25" i="7"/>
  <c r="O29" i="253"/>
  <c r="C24" i="7"/>
  <c r="D30" i="253"/>
  <c r="O30" i="253" s="1"/>
  <c r="S182" i="10" s="1"/>
  <c r="O179" i="10"/>
  <c r="R179" i="10" s="1"/>
  <c r="L25" i="7"/>
  <c r="O173" i="10"/>
  <c r="F279" i="38"/>
  <c r="H28" i="252"/>
  <c r="N56" i="232"/>
  <c r="N46" i="232"/>
  <c r="N54" i="232"/>
  <c r="K69" i="18"/>
  <c r="N69" i="18" s="1"/>
  <c r="P69" i="18" s="1"/>
  <c r="Q68" i="18" s="1"/>
  <c r="K71" i="19"/>
  <c r="N70" i="19"/>
  <c r="P70" i="19" s="1"/>
  <c r="N55" i="232"/>
  <c r="N53" i="232"/>
  <c r="N57" i="232"/>
  <c r="N94" i="14"/>
  <c r="N91" i="14"/>
  <c r="O14" i="232"/>
  <c r="AQ15" i="231"/>
  <c r="N115" i="14"/>
  <c r="N112" i="14"/>
  <c r="N118" i="14"/>
  <c r="N103" i="14"/>
  <c r="N109" i="14"/>
  <c r="N106" i="14"/>
  <c r="N116" i="14"/>
  <c r="N58" i="232"/>
  <c r="F76" i="21"/>
  <c r="E32" i="21"/>
  <c r="G32" i="21" s="1"/>
  <c r="B33" i="21"/>
  <c r="D33" i="253"/>
  <c r="O20" i="265"/>
  <c r="F94" i="241"/>
  <c r="F17" i="241"/>
  <c r="F21" i="241" s="1"/>
  <c r="Q26" i="241"/>
  <c r="D32" i="253"/>
  <c r="O19" i="265"/>
  <c r="D35" i="253"/>
  <c r="O22" i="265"/>
  <c r="D28" i="252"/>
  <c r="B279" i="38"/>
  <c r="J28" i="252"/>
  <c r="H279" i="38"/>
  <c r="D134" i="252"/>
  <c r="O31" i="252"/>
  <c r="D34" i="253"/>
  <c r="O21" i="265"/>
  <c r="D31" i="253"/>
  <c r="D25" i="265"/>
  <c r="O18" i="265"/>
  <c r="M278" i="38"/>
  <c r="E135" i="249"/>
  <c r="O25" i="264"/>
  <c r="D36" i="253"/>
  <c r="O23" i="265"/>
  <c r="N28" i="252"/>
  <c r="L279" i="38"/>
  <c r="J272" i="38" l="1"/>
  <c r="N24" i="7"/>
  <c r="G272" i="38"/>
  <c r="S171" i="10"/>
  <c r="S180" i="10" s="1"/>
  <c r="S181" i="10"/>
  <c r="S183" i="10" s="1"/>
  <c r="N28" i="253"/>
  <c r="H272" i="38"/>
  <c r="M271" i="38"/>
  <c r="L272" i="38"/>
  <c r="G82" i="265"/>
  <c r="E17" i="38"/>
  <c r="H22" i="7"/>
  <c r="H21" i="7"/>
  <c r="F280" i="38"/>
  <c r="D25" i="2"/>
  <c r="D272" i="38"/>
  <c r="H19" i="7"/>
  <c r="H18" i="7"/>
  <c r="H23" i="7"/>
  <c r="O18" i="252"/>
  <c r="L18" i="3" s="1"/>
  <c r="N58" i="32" s="1"/>
  <c r="I82" i="265"/>
  <c r="O82" i="264"/>
  <c r="L21" i="7" s="1"/>
  <c r="N82" i="265"/>
  <c r="E24" i="38"/>
  <c r="E18" i="253"/>
  <c r="E25" i="253" s="1"/>
  <c r="H23" i="38"/>
  <c r="B24" i="38"/>
  <c r="D24" i="38"/>
  <c r="F24" i="38"/>
  <c r="E272" i="38"/>
  <c r="O35" i="253"/>
  <c r="J89" i="31"/>
  <c r="J19" i="4"/>
  <c r="M9" i="10"/>
  <c r="J94" i="31"/>
  <c r="K94" i="31"/>
  <c r="J51" i="31"/>
  <c r="D69" i="31" s="1"/>
  <c r="K51" i="31"/>
  <c r="J73" i="31"/>
  <c r="D91" i="31" s="1"/>
  <c r="H91" i="31" s="1"/>
  <c r="K73" i="31"/>
  <c r="J92" i="31"/>
  <c r="K92" i="31"/>
  <c r="K117" i="16"/>
  <c r="K116" i="16"/>
  <c r="J118" i="16"/>
  <c r="H29" i="221"/>
  <c r="H30" i="221" s="1"/>
  <c r="O30" i="276"/>
  <c r="M52" i="276"/>
  <c r="M19" i="276"/>
  <c r="J79" i="31"/>
  <c r="D97" i="31" s="1"/>
  <c r="H97" i="31" s="1"/>
  <c r="K79" i="31"/>
  <c r="L17" i="220"/>
  <c r="L56" i="220"/>
  <c r="G78" i="220"/>
  <c r="G77" i="220"/>
  <c r="F79" i="220"/>
  <c r="M14" i="216"/>
  <c r="J14" i="263"/>
  <c r="J14" i="264" s="1"/>
  <c r="J14" i="265" s="1"/>
  <c r="J14" i="262"/>
  <c r="J88" i="31"/>
  <c r="K88" i="31"/>
  <c r="U24" i="30"/>
  <c r="H82" i="265"/>
  <c r="O69" i="265"/>
  <c r="J93" i="31"/>
  <c r="K93" i="31"/>
  <c r="H36" i="3"/>
  <c r="H37" i="3" s="1"/>
  <c r="C24" i="38"/>
  <c r="G77" i="16"/>
  <c r="F79" i="16"/>
  <c r="G78" i="16"/>
  <c r="L117" i="276"/>
  <c r="L116" i="276"/>
  <c r="K118" i="276"/>
  <c r="J78" i="31"/>
  <c r="D96" i="31" s="1"/>
  <c r="H96" i="31" s="1"/>
  <c r="K96" i="31" s="1"/>
  <c r="K78" i="31"/>
  <c r="D82" i="265"/>
  <c r="L78" i="7"/>
  <c r="L80" i="7" s="1"/>
  <c r="L84" i="7" s="1"/>
  <c r="G78" i="276"/>
  <c r="G77" i="276"/>
  <c r="F79" i="276"/>
  <c r="E33" i="20"/>
  <c r="G33" i="20" s="1"/>
  <c r="B34" i="20"/>
  <c r="O31" i="19"/>
  <c r="I95" i="14" s="1"/>
  <c r="P31" i="19"/>
  <c r="Q30" i="19" s="1"/>
  <c r="J92" i="14"/>
  <c r="O36" i="253"/>
  <c r="O34" i="253"/>
  <c r="O32" i="253"/>
  <c r="O33" i="253"/>
  <c r="L98" i="31"/>
  <c r="L61" i="3" s="1"/>
  <c r="J28" i="253"/>
  <c r="H90" i="31"/>
  <c r="K90" i="31" s="1"/>
  <c r="Q94" i="241"/>
  <c r="N78" i="7" s="1"/>
  <c r="N80" i="7" s="1"/>
  <c r="N84" i="7" s="1"/>
  <c r="E20" i="2"/>
  <c r="H42" i="3"/>
  <c r="F95" i="241"/>
  <c r="D28" i="253" s="1"/>
  <c r="G20" i="14"/>
  <c r="G29" i="215"/>
  <c r="F20" i="249"/>
  <c r="F25" i="249" s="1"/>
  <c r="G29" i="271"/>
  <c r="G29" i="270"/>
  <c r="F20" i="1"/>
  <c r="R17" i="30"/>
  <c r="R21" i="30" s="1"/>
  <c r="R23" i="30" s="1"/>
  <c r="F20" i="253"/>
  <c r="F25" i="253" s="1"/>
  <c r="G29" i="273"/>
  <c r="F20" i="252"/>
  <c r="F25" i="252" s="1"/>
  <c r="G29" i="272"/>
  <c r="L104" i="14"/>
  <c r="L107" i="14"/>
  <c r="M110" i="14"/>
  <c r="O47" i="232"/>
  <c r="E28" i="253"/>
  <c r="C280" i="38"/>
  <c r="G280" i="38"/>
  <c r="I28" i="253"/>
  <c r="M28" i="253"/>
  <c r="K280" i="38"/>
  <c r="L66" i="14"/>
  <c r="K62" i="219"/>
  <c r="L62" i="218"/>
  <c r="AI57" i="231"/>
  <c r="AH74" i="231"/>
  <c r="AG74" i="231"/>
  <c r="L70" i="14"/>
  <c r="K70" i="219"/>
  <c r="L70" i="218"/>
  <c r="AI61" i="231"/>
  <c r="M75" i="14"/>
  <c r="L80" i="219"/>
  <c r="M80" i="218"/>
  <c r="K46" i="1"/>
  <c r="K42" i="220"/>
  <c r="K30" i="233"/>
  <c r="AL60" i="231"/>
  <c r="AK60" i="231"/>
  <c r="J65" i="1"/>
  <c r="J62" i="233"/>
  <c r="M73" i="14"/>
  <c r="L76" i="219"/>
  <c r="M76" i="218"/>
  <c r="AM66" i="231"/>
  <c r="F272" i="38"/>
  <c r="H18" i="253"/>
  <c r="L36" i="16"/>
  <c r="M42" i="14"/>
  <c r="L20" i="219"/>
  <c r="M20" i="218"/>
  <c r="AM33" i="231"/>
  <c r="J44" i="249"/>
  <c r="J40" i="276"/>
  <c r="J26" i="234"/>
  <c r="M82" i="14"/>
  <c r="L93" i="219"/>
  <c r="M93" i="218"/>
  <c r="AH59" i="231"/>
  <c r="AG59" i="231"/>
  <c r="I135" i="1"/>
  <c r="M67" i="14"/>
  <c r="L64" i="219"/>
  <c r="M64" i="218"/>
  <c r="AM58" i="231"/>
  <c r="J57" i="249"/>
  <c r="J51" i="234"/>
  <c r="M80" i="14"/>
  <c r="L89" i="219"/>
  <c r="M89" i="218"/>
  <c r="AM72" i="231"/>
  <c r="AH48" i="231"/>
  <c r="AG48" i="231"/>
  <c r="K33" i="16"/>
  <c r="L39" i="14"/>
  <c r="K14" i="219"/>
  <c r="L14" i="218"/>
  <c r="K97" i="218"/>
  <c r="AI30" i="231"/>
  <c r="AL47" i="231"/>
  <c r="AK47" i="231"/>
  <c r="AK53" i="231"/>
  <c r="AL53" i="231"/>
  <c r="J89" i="16"/>
  <c r="K86" i="16"/>
  <c r="AL34" i="231"/>
  <c r="AK34" i="231"/>
  <c r="J59" i="249"/>
  <c r="J55" i="234"/>
  <c r="N21" i="276"/>
  <c r="N23" i="276" s="1"/>
  <c r="N24" i="276"/>
  <c r="D59" i="31"/>
  <c r="J44" i="31"/>
  <c r="I47" i="249"/>
  <c r="I43" i="276"/>
  <c r="I32" i="234"/>
  <c r="AL69" i="231"/>
  <c r="AK69" i="231"/>
  <c r="L17" i="16"/>
  <c r="L56" i="16"/>
  <c r="L52" i="220"/>
  <c r="L19" i="220"/>
  <c r="G45" i="253"/>
  <c r="I71" i="249"/>
  <c r="I74" i="234"/>
  <c r="E82" i="265"/>
  <c r="L81" i="14"/>
  <c r="L91" i="218"/>
  <c r="K91" i="219"/>
  <c r="AI74" i="231"/>
  <c r="J69" i="1"/>
  <c r="J70" i="233"/>
  <c r="K74" i="1"/>
  <c r="K80" i="233"/>
  <c r="M29" i="10"/>
  <c r="J19" i="269"/>
  <c r="M69" i="14"/>
  <c r="L68" i="219"/>
  <c r="M68" i="218"/>
  <c r="AM60" i="231"/>
  <c r="I124" i="252"/>
  <c r="I103" i="235"/>
  <c r="I105" i="234"/>
  <c r="C28" i="252"/>
  <c r="O28" i="252" s="1"/>
  <c r="A279" i="38"/>
  <c r="M279" i="38" s="1"/>
  <c r="I72" i="252"/>
  <c r="I76" i="235"/>
  <c r="I72" i="253" s="1"/>
  <c r="K72" i="1"/>
  <c r="K76" i="233"/>
  <c r="K14" i="217"/>
  <c r="N14" i="29"/>
  <c r="AL49" i="231"/>
  <c r="AK49" i="231"/>
  <c r="K81" i="1"/>
  <c r="K93" i="233"/>
  <c r="L68" i="14"/>
  <c r="L66" i="218"/>
  <c r="K66" i="219"/>
  <c r="AI59" i="231"/>
  <c r="I56" i="249"/>
  <c r="I49" i="234"/>
  <c r="K66" i="1"/>
  <c r="K64" i="233"/>
  <c r="I48" i="252"/>
  <c r="I34" i="235"/>
  <c r="I48" i="253" s="1"/>
  <c r="K79" i="1"/>
  <c r="K89" i="233"/>
  <c r="L57" i="14"/>
  <c r="L49" i="218"/>
  <c r="K49" i="219"/>
  <c r="AI48" i="231"/>
  <c r="H53" i="252"/>
  <c r="H44" i="235"/>
  <c r="H53" i="253" s="1"/>
  <c r="J38" i="1"/>
  <c r="J33" i="220"/>
  <c r="J14" i="233"/>
  <c r="J97" i="219"/>
  <c r="M56" i="14"/>
  <c r="L47" i="219"/>
  <c r="M47" i="218"/>
  <c r="AM47" i="231"/>
  <c r="J66" i="249"/>
  <c r="J64" i="234"/>
  <c r="AL31" i="231"/>
  <c r="AK31" i="231"/>
  <c r="H75" i="252"/>
  <c r="H82" i="235"/>
  <c r="H75" i="253" s="1"/>
  <c r="J79" i="249"/>
  <c r="J89" i="234"/>
  <c r="M60" i="14"/>
  <c r="L55" i="219"/>
  <c r="M55" i="218"/>
  <c r="AM53" i="231"/>
  <c r="H80" i="252"/>
  <c r="H91" i="235"/>
  <c r="H80" i="253" s="1"/>
  <c r="H79" i="253"/>
  <c r="L38" i="16"/>
  <c r="M43" i="14"/>
  <c r="L22" i="219"/>
  <c r="M22" i="218"/>
  <c r="AM34" i="231"/>
  <c r="I67" i="249"/>
  <c r="I66" i="234"/>
  <c r="E95" i="241"/>
  <c r="G47" i="253"/>
  <c r="G58" i="253"/>
  <c r="C82" i="265"/>
  <c r="G60" i="253"/>
  <c r="I73" i="249"/>
  <c r="I78" i="234"/>
  <c r="J89" i="276"/>
  <c r="K86" i="276"/>
  <c r="M78" i="14"/>
  <c r="L85" i="219"/>
  <c r="M85" i="218"/>
  <c r="AM69" i="231"/>
  <c r="G49" i="253"/>
  <c r="H45" i="252"/>
  <c r="H28" i="235"/>
  <c r="H45" i="253" s="1"/>
  <c r="J77" i="249"/>
  <c r="J85" i="234"/>
  <c r="R97" i="238"/>
  <c r="J80" i="1"/>
  <c r="J91" i="233"/>
  <c r="G71" i="253"/>
  <c r="L76" i="14"/>
  <c r="L82" i="218"/>
  <c r="K82" i="219"/>
  <c r="I38" i="249"/>
  <c r="I33" i="276"/>
  <c r="I97" i="233"/>
  <c r="I14" i="234"/>
  <c r="L28" i="253"/>
  <c r="J280" i="38"/>
  <c r="H44" i="253"/>
  <c r="G37" i="276"/>
  <c r="F50" i="276"/>
  <c r="F54" i="276" s="1"/>
  <c r="F58" i="276" s="1"/>
  <c r="J56" i="1"/>
  <c r="J49" i="233"/>
  <c r="K55" i="1"/>
  <c r="K47" i="233"/>
  <c r="K89" i="220"/>
  <c r="L86" i="220"/>
  <c r="AG51" i="231"/>
  <c r="AH51" i="231"/>
  <c r="M40" i="14"/>
  <c r="L34" i="16"/>
  <c r="L16" i="219"/>
  <c r="M16" i="218"/>
  <c r="AM31" i="231"/>
  <c r="H47" i="252"/>
  <c r="H32" i="235"/>
  <c r="H47" i="253" s="1"/>
  <c r="K59" i="1"/>
  <c r="K55" i="233"/>
  <c r="H56" i="252"/>
  <c r="H49" i="235"/>
  <c r="H56" i="253" s="1"/>
  <c r="K42" i="1"/>
  <c r="K38" i="220"/>
  <c r="K22" i="233"/>
  <c r="C134" i="253"/>
  <c r="D135" i="253" s="1"/>
  <c r="AL41" i="231"/>
  <c r="AK41" i="231"/>
  <c r="K77" i="1"/>
  <c r="K85" i="233"/>
  <c r="H38" i="252"/>
  <c r="H14" i="235"/>
  <c r="H38" i="253" s="1"/>
  <c r="H97" i="234"/>
  <c r="H97" i="235" s="1"/>
  <c r="K49" i="16"/>
  <c r="L54" i="14"/>
  <c r="K44" i="219"/>
  <c r="L44" i="218"/>
  <c r="I55" i="252"/>
  <c r="I47" i="235"/>
  <c r="I74" i="252"/>
  <c r="I80" i="235"/>
  <c r="G28" i="253"/>
  <c r="E280" i="38"/>
  <c r="AH39" i="231"/>
  <c r="AG39" i="231"/>
  <c r="L74" i="14"/>
  <c r="K78" i="219"/>
  <c r="L78" i="218"/>
  <c r="J118" i="220"/>
  <c r="K117" i="220"/>
  <c r="K116" i="220"/>
  <c r="H50" i="253"/>
  <c r="I50" i="252"/>
  <c r="I38" i="235"/>
  <c r="I50" i="253" s="1"/>
  <c r="K68" i="1"/>
  <c r="K68" i="233"/>
  <c r="M58" i="14"/>
  <c r="L51" i="219"/>
  <c r="M51" i="218"/>
  <c r="AM49" i="231"/>
  <c r="J67" i="1"/>
  <c r="J66" i="233"/>
  <c r="J46" i="249"/>
  <c r="J42" i="276"/>
  <c r="J30" i="234"/>
  <c r="C148" i="14"/>
  <c r="D15" i="14" s="1"/>
  <c r="C146" i="14"/>
  <c r="D121" i="14" s="1"/>
  <c r="D43" i="3"/>
  <c r="D42" i="232" s="1"/>
  <c r="D48" i="232" s="1"/>
  <c r="D60" i="232" s="1"/>
  <c r="D71" i="232" s="1"/>
  <c r="D143" i="14"/>
  <c r="W18" i="30"/>
  <c r="V19" i="30"/>
  <c r="V22" i="30" s="1"/>
  <c r="H82" i="252"/>
  <c r="H95" i="235"/>
  <c r="H82" i="253" s="1"/>
  <c r="AL32" i="231"/>
  <c r="AK32" i="231"/>
  <c r="J75" i="1"/>
  <c r="J82" i="233"/>
  <c r="I82" i="249"/>
  <c r="I95" i="234"/>
  <c r="K57" i="1"/>
  <c r="K51" i="233"/>
  <c r="H73" i="252"/>
  <c r="H78" i="235"/>
  <c r="I61" i="252"/>
  <c r="I59" i="235"/>
  <c r="AK62" i="231"/>
  <c r="AL62" i="231"/>
  <c r="C21" i="276"/>
  <c r="C70" i="220"/>
  <c r="F24" i="221"/>
  <c r="O24" i="220"/>
  <c r="AL35" i="231"/>
  <c r="AK35" i="231"/>
  <c r="K138" i="14"/>
  <c r="L139" i="14" s="1"/>
  <c r="L44" i="232" s="1"/>
  <c r="O58" i="265"/>
  <c r="I45" i="249"/>
  <c r="I41" i="276"/>
  <c r="I28" i="234"/>
  <c r="G36" i="232"/>
  <c r="H25" i="232"/>
  <c r="L59" i="14"/>
  <c r="K53" i="219"/>
  <c r="L53" i="218"/>
  <c r="AI51" i="231"/>
  <c r="K39" i="1"/>
  <c r="K34" i="220"/>
  <c r="K16" i="233"/>
  <c r="K18" i="253"/>
  <c r="I272" i="38"/>
  <c r="J39" i="249"/>
  <c r="J34" i="276"/>
  <c r="J16" i="234"/>
  <c r="L61" i="14"/>
  <c r="L57" i="218"/>
  <c r="K57" i="219"/>
  <c r="AH43" i="231"/>
  <c r="AG43" i="231"/>
  <c r="H69" i="252"/>
  <c r="H70" i="235"/>
  <c r="H69" i="253" s="1"/>
  <c r="I52" i="252"/>
  <c r="I42" i="235"/>
  <c r="L44" i="16"/>
  <c r="M49" i="14"/>
  <c r="L34" i="219"/>
  <c r="M34" i="218"/>
  <c r="AM41" i="231"/>
  <c r="J53" i="1"/>
  <c r="J49" i="220"/>
  <c r="J44" i="233"/>
  <c r="L82" i="265"/>
  <c r="K43" i="16"/>
  <c r="L48" i="14"/>
  <c r="L32" i="218"/>
  <c r="K32" i="219"/>
  <c r="AI39" i="231"/>
  <c r="J73" i="1"/>
  <c r="J78" i="233"/>
  <c r="H71" i="252"/>
  <c r="H74" i="235"/>
  <c r="H71" i="253" s="1"/>
  <c r="AK36" i="231"/>
  <c r="AL36" i="231"/>
  <c r="I79" i="252"/>
  <c r="I89" i="235"/>
  <c r="I79" i="253" s="1"/>
  <c r="I65" i="249"/>
  <c r="I62" i="234"/>
  <c r="I75" i="249"/>
  <c r="I82" i="234"/>
  <c r="K40" i="1"/>
  <c r="K35" i="220"/>
  <c r="K18" i="233"/>
  <c r="AH64" i="231"/>
  <c r="AG64" i="231"/>
  <c r="L48" i="16"/>
  <c r="M53" i="14"/>
  <c r="L42" i="219"/>
  <c r="M42" i="218"/>
  <c r="J74" i="249"/>
  <c r="J80" i="234"/>
  <c r="H124" i="253"/>
  <c r="H105" i="235"/>
  <c r="H77" i="253"/>
  <c r="I59" i="252"/>
  <c r="I55" i="235"/>
  <c r="M71" i="14"/>
  <c r="L72" i="219"/>
  <c r="M72" i="218"/>
  <c r="AM62" i="231"/>
  <c r="AG37" i="231"/>
  <c r="AH37" i="231" s="1"/>
  <c r="L39" i="16"/>
  <c r="M44" i="14"/>
  <c r="L24" i="219"/>
  <c r="M24" i="218"/>
  <c r="AM35" i="231"/>
  <c r="M62" i="14"/>
  <c r="L59" i="219"/>
  <c r="M59" i="218"/>
  <c r="M82" i="265"/>
  <c r="J58" i="1"/>
  <c r="J53" i="233"/>
  <c r="I68" i="252"/>
  <c r="I68" i="235"/>
  <c r="I68" i="253" s="1"/>
  <c r="H46" i="253"/>
  <c r="I44" i="252"/>
  <c r="I26" i="235"/>
  <c r="I44" i="253" s="1"/>
  <c r="M25" i="16"/>
  <c r="N52" i="16"/>
  <c r="N19" i="16"/>
  <c r="O19" i="16" s="1"/>
  <c r="I49" i="249"/>
  <c r="I45" i="276"/>
  <c r="I36" i="234"/>
  <c r="J55" i="249"/>
  <c r="J47" i="234"/>
  <c r="G37" i="220"/>
  <c r="F50" i="220"/>
  <c r="F54" i="220" s="1"/>
  <c r="F58" i="220" s="1"/>
  <c r="I43" i="252"/>
  <c r="I24" i="235"/>
  <c r="I43" i="253" s="1"/>
  <c r="J60" i="1"/>
  <c r="J57" i="233"/>
  <c r="K45" i="16"/>
  <c r="L50" i="14"/>
  <c r="K36" i="219"/>
  <c r="L36" i="218"/>
  <c r="AI43" i="231"/>
  <c r="I53" i="249"/>
  <c r="I49" i="276"/>
  <c r="I44" i="234"/>
  <c r="AL45" i="231"/>
  <c r="AK45" i="231"/>
  <c r="O47" i="265"/>
  <c r="K48" i="1"/>
  <c r="K44" i="220"/>
  <c r="K34" i="233"/>
  <c r="AH70" i="231"/>
  <c r="AG70" i="231"/>
  <c r="I69" i="249"/>
  <c r="I70" i="234"/>
  <c r="H58" i="252"/>
  <c r="H53" i="235"/>
  <c r="H58" i="253" s="1"/>
  <c r="I51" i="249"/>
  <c r="I47" i="276"/>
  <c r="I40" i="234"/>
  <c r="J47" i="1"/>
  <c r="J43" i="220"/>
  <c r="J32" i="233"/>
  <c r="J124" i="249"/>
  <c r="J105" i="233"/>
  <c r="J103" i="234"/>
  <c r="L40" i="16"/>
  <c r="M45" i="14"/>
  <c r="L26" i="219"/>
  <c r="M26" i="218"/>
  <c r="AM36" i="231"/>
  <c r="H60" i="252"/>
  <c r="H57" i="235"/>
  <c r="H60" i="253" s="1"/>
  <c r="K47" i="16"/>
  <c r="L52" i="14"/>
  <c r="L40" i="218"/>
  <c r="K40" i="219"/>
  <c r="L35" i="16"/>
  <c r="M41" i="14"/>
  <c r="M18" i="218"/>
  <c r="L18" i="219"/>
  <c r="AM32" i="231"/>
  <c r="J41" i="249"/>
  <c r="J36" i="276"/>
  <c r="J20" i="234"/>
  <c r="L72" i="14"/>
  <c r="L74" i="218"/>
  <c r="K74" i="219"/>
  <c r="AI64" i="231"/>
  <c r="K52" i="1"/>
  <c r="K48" i="220"/>
  <c r="K42" i="233"/>
  <c r="J40" i="249"/>
  <c r="J35" i="276"/>
  <c r="J18" i="234"/>
  <c r="I42" i="252"/>
  <c r="I22" i="235"/>
  <c r="J68" i="249"/>
  <c r="J68" i="234"/>
  <c r="K70" i="1"/>
  <c r="K72" i="233"/>
  <c r="I134" i="1"/>
  <c r="J135" i="1" s="1"/>
  <c r="H49" i="252"/>
  <c r="H36" i="235"/>
  <c r="H49" i="253" s="1"/>
  <c r="K41" i="16"/>
  <c r="L46" i="14"/>
  <c r="L28" i="218"/>
  <c r="K28" i="219"/>
  <c r="AI37" i="231"/>
  <c r="K43" i="1"/>
  <c r="K39" i="220"/>
  <c r="K24" i="233"/>
  <c r="I58" i="249"/>
  <c r="I53" i="234"/>
  <c r="L83" i="14"/>
  <c r="K95" i="219"/>
  <c r="L95" i="218"/>
  <c r="K61" i="1"/>
  <c r="K59" i="233"/>
  <c r="M128" i="14"/>
  <c r="N65" i="232" s="1"/>
  <c r="L106" i="218"/>
  <c r="M104" i="218"/>
  <c r="L103" i="219"/>
  <c r="J70" i="249"/>
  <c r="J72" i="234"/>
  <c r="G37" i="16"/>
  <c r="F50" i="16"/>
  <c r="F54" i="16" s="1"/>
  <c r="F58" i="16" s="1"/>
  <c r="N24" i="16"/>
  <c r="N21" i="16"/>
  <c r="I57" i="252"/>
  <c r="I51" i="235"/>
  <c r="J49" i="1"/>
  <c r="J45" i="220"/>
  <c r="J36" i="233"/>
  <c r="H78" i="252"/>
  <c r="H87" i="235"/>
  <c r="H65" i="252"/>
  <c r="H62" i="235"/>
  <c r="H65" i="253" s="1"/>
  <c r="L46" i="16"/>
  <c r="M51" i="14"/>
  <c r="L38" i="219"/>
  <c r="M38" i="218"/>
  <c r="AM45" i="231"/>
  <c r="H134" i="249"/>
  <c r="I80" i="249"/>
  <c r="I91" i="234"/>
  <c r="L79" i="14"/>
  <c r="K87" i="219"/>
  <c r="L87" i="218"/>
  <c r="AI70" i="231"/>
  <c r="J50" i="249"/>
  <c r="J46" i="276"/>
  <c r="J38" i="234"/>
  <c r="G38" i="253"/>
  <c r="J48" i="249"/>
  <c r="J44" i="276"/>
  <c r="J34" i="234"/>
  <c r="H67" i="252"/>
  <c r="H66" i="235"/>
  <c r="K44" i="1"/>
  <c r="K40" i="220"/>
  <c r="K26" i="233"/>
  <c r="J51" i="1"/>
  <c r="J47" i="220"/>
  <c r="J40" i="233"/>
  <c r="J71" i="1"/>
  <c r="J74" i="233"/>
  <c r="AL38" i="231"/>
  <c r="AK38" i="231"/>
  <c r="AH57" i="231"/>
  <c r="AG57" i="231"/>
  <c r="J43" i="249"/>
  <c r="J39" i="276"/>
  <c r="J24" i="234"/>
  <c r="I40" i="252"/>
  <c r="I18" i="235"/>
  <c r="I40" i="253" s="1"/>
  <c r="AK33" i="231"/>
  <c r="AL33" i="231"/>
  <c r="I41" i="252"/>
  <c r="I20" i="235"/>
  <c r="I41" i="253" s="1"/>
  <c r="F134" i="253"/>
  <c r="G135" i="253" s="1"/>
  <c r="J52" i="249"/>
  <c r="J48" i="276"/>
  <c r="J42" i="234"/>
  <c r="J45" i="1"/>
  <c r="J41" i="220"/>
  <c r="J28" i="233"/>
  <c r="J82" i="1"/>
  <c r="J95" i="233"/>
  <c r="K124" i="1"/>
  <c r="K103" i="233"/>
  <c r="K105" i="219"/>
  <c r="J42" i="249"/>
  <c r="J38" i="276"/>
  <c r="J22" i="234"/>
  <c r="J61" i="249"/>
  <c r="J59" i="234"/>
  <c r="I60" i="249"/>
  <c r="I57" i="234"/>
  <c r="I78" i="249"/>
  <c r="I87" i="234"/>
  <c r="J81" i="249"/>
  <c r="J93" i="234"/>
  <c r="K50" i="1"/>
  <c r="K46" i="220"/>
  <c r="K38" i="233"/>
  <c r="H51" i="252"/>
  <c r="H40" i="235"/>
  <c r="J78" i="1"/>
  <c r="J87" i="233"/>
  <c r="G134" i="252"/>
  <c r="H135" i="252" s="1"/>
  <c r="O80" i="265"/>
  <c r="AH61" i="231"/>
  <c r="AG61" i="231"/>
  <c r="M19" i="268"/>
  <c r="M19" i="267" s="1"/>
  <c r="M19" i="266" s="1"/>
  <c r="P48" i="10"/>
  <c r="N19" i="268" s="1"/>
  <c r="N19" i="267" s="1"/>
  <c r="N19" i="266" s="1"/>
  <c r="L42" i="16"/>
  <c r="M47" i="14"/>
  <c r="M30" i="218"/>
  <c r="L30" i="219"/>
  <c r="AM38" i="231"/>
  <c r="AL66" i="231"/>
  <c r="AK66" i="231"/>
  <c r="K41" i="1"/>
  <c r="K36" i="220"/>
  <c r="K20" i="233"/>
  <c r="Q12" i="213"/>
  <c r="L15" i="16"/>
  <c r="L15" i="220" s="1"/>
  <c r="L15" i="276" s="1"/>
  <c r="J72" i="249"/>
  <c r="J76" i="234"/>
  <c r="AL58" i="231"/>
  <c r="AK58" i="231"/>
  <c r="I77" i="252"/>
  <c r="I85" i="235"/>
  <c r="I77" i="253" s="1"/>
  <c r="H41" i="253"/>
  <c r="AL72" i="231"/>
  <c r="AK72" i="231"/>
  <c r="I70" i="252"/>
  <c r="I72" i="235"/>
  <c r="I70" i="253" s="1"/>
  <c r="AG30" i="231"/>
  <c r="AH30" i="231" s="1"/>
  <c r="I81" i="252"/>
  <c r="I93" i="235"/>
  <c r="I81" i="253" s="1"/>
  <c r="H72" i="253"/>
  <c r="J63" i="276"/>
  <c r="J63" i="220"/>
  <c r="J63" i="16"/>
  <c r="N12" i="214"/>
  <c r="I66" i="252"/>
  <c r="I64" i="235"/>
  <c r="H68" i="253"/>
  <c r="I280" i="38"/>
  <c r="K28" i="253"/>
  <c r="I46" i="252"/>
  <c r="I30" i="235"/>
  <c r="I46" i="253" s="1"/>
  <c r="L56" i="276"/>
  <c r="L17" i="276"/>
  <c r="G80" i="253"/>
  <c r="E134" i="253"/>
  <c r="F135" i="253" s="1"/>
  <c r="F28" i="253"/>
  <c r="D280" i="38"/>
  <c r="I39" i="252"/>
  <c r="I16" i="235"/>
  <c r="F22" i="8"/>
  <c r="F92" i="2"/>
  <c r="D6" i="38" s="1"/>
  <c r="O56" i="232"/>
  <c r="N25" i="7"/>
  <c r="O54" i="232"/>
  <c r="O55" i="232"/>
  <c r="O46" i="232"/>
  <c r="K70" i="18"/>
  <c r="O71" i="19"/>
  <c r="K72" i="19"/>
  <c r="N71" i="19"/>
  <c r="O58" i="232"/>
  <c r="O57" i="232"/>
  <c r="O53" i="232"/>
  <c r="H64" i="32"/>
  <c r="O94" i="14"/>
  <c r="P94" i="14" s="1"/>
  <c r="AU15" i="231"/>
  <c r="H14" i="32"/>
  <c r="P14" i="232"/>
  <c r="O91" i="14"/>
  <c r="P91" i="14" s="1"/>
  <c r="O115" i="14"/>
  <c r="P115" i="14" s="1"/>
  <c r="O112" i="14"/>
  <c r="P112" i="14" s="1"/>
  <c r="O106" i="14"/>
  <c r="P106" i="14" s="1"/>
  <c r="O109" i="14"/>
  <c r="P109" i="14" s="1"/>
  <c r="O116" i="14"/>
  <c r="P116" i="14" s="1"/>
  <c r="O118" i="14"/>
  <c r="P118" i="14" s="1"/>
  <c r="O103" i="14"/>
  <c r="P103" i="14" s="1"/>
  <c r="O113" i="14"/>
  <c r="P113" i="14" s="1"/>
  <c r="O119" i="14"/>
  <c r="P119" i="14" s="1"/>
  <c r="L43" i="32"/>
  <c r="L61" i="32"/>
  <c r="F77" i="21"/>
  <c r="E33" i="21"/>
  <c r="G33" i="21" s="1"/>
  <c r="B34" i="21"/>
  <c r="E135" i="252"/>
  <c r="O25" i="265"/>
  <c r="D134" i="253"/>
  <c r="O31" i="253"/>
  <c r="N25" i="276" l="1"/>
  <c r="J55" i="32"/>
  <c r="H28" i="7"/>
  <c r="G22" i="2" s="1"/>
  <c r="H22" i="2" s="1"/>
  <c r="B7" i="38" s="1"/>
  <c r="N46" i="32"/>
  <c r="L23" i="7"/>
  <c r="L22" i="7"/>
  <c r="L18" i="7"/>
  <c r="L19" i="7"/>
  <c r="L20" i="7"/>
  <c r="H24" i="38"/>
  <c r="H61" i="3"/>
  <c r="J61" i="3"/>
  <c r="N9" i="10"/>
  <c r="K19" i="4"/>
  <c r="H78" i="16"/>
  <c r="G79" i="16"/>
  <c r="H77" i="16"/>
  <c r="M17" i="220"/>
  <c r="M56" i="220"/>
  <c r="J97" i="31"/>
  <c r="K97" i="31"/>
  <c r="L117" i="16"/>
  <c r="L116" i="16"/>
  <c r="K118" i="16"/>
  <c r="J91" i="31"/>
  <c r="K91" i="31"/>
  <c r="G79" i="276"/>
  <c r="H77" i="276"/>
  <c r="H78" i="276"/>
  <c r="M116" i="276"/>
  <c r="L118" i="276"/>
  <c r="M117" i="276"/>
  <c r="N14" i="216"/>
  <c r="K14" i="262"/>
  <c r="K14" i="263"/>
  <c r="K14" i="264" s="1"/>
  <c r="K14" i="265" s="1"/>
  <c r="G134" i="253"/>
  <c r="H135" i="253" s="1"/>
  <c r="J96" i="31"/>
  <c r="H77" i="220"/>
  <c r="G79" i="220"/>
  <c r="H78" i="220"/>
  <c r="N19" i="276"/>
  <c r="N52" i="276"/>
  <c r="C68" i="276" s="1"/>
  <c r="E34" i="20"/>
  <c r="G34" i="20" s="1"/>
  <c r="B35" i="20"/>
  <c r="P32" i="19"/>
  <c r="Q31" i="19" s="1"/>
  <c r="O32" i="19"/>
  <c r="J95" i="14" s="1"/>
  <c r="K92" i="14"/>
  <c r="J90" i="31"/>
  <c r="F61" i="3"/>
  <c r="M98" i="31"/>
  <c r="Q95" i="241"/>
  <c r="J61" i="32"/>
  <c r="J43" i="32"/>
  <c r="E25" i="2"/>
  <c r="J49" i="32"/>
  <c r="J42" i="3"/>
  <c r="B280" i="38"/>
  <c r="H25" i="215"/>
  <c r="G26" i="14"/>
  <c r="F25" i="1"/>
  <c r="S16" i="30"/>
  <c r="M104" i="14"/>
  <c r="M107" i="14"/>
  <c r="N110" i="14"/>
  <c r="F58" i="3"/>
  <c r="F60" i="3"/>
  <c r="P114" i="14"/>
  <c r="P120" i="14"/>
  <c r="P117" i="14"/>
  <c r="C75" i="231"/>
  <c r="C78" i="231" s="1"/>
  <c r="P56" i="232"/>
  <c r="M46" i="16"/>
  <c r="N51" i="14"/>
  <c r="M38" i="219"/>
  <c r="N38" i="218"/>
  <c r="AQ45" i="231"/>
  <c r="K82" i="1"/>
  <c r="K95" i="233"/>
  <c r="M61" i="14"/>
  <c r="M57" i="218"/>
  <c r="L57" i="219"/>
  <c r="J75" i="249"/>
  <c r="J82" i="234"/>
  <c r="K63" i="276"/>
  <c r="K63" i="220"/>
  <c r="K63" i="16"/>
  <c r="O12" i="214"/>
  <c r="J50" i="252"/>
  <c r="J38" i="235"/>
  <c r="O82" i="265"/>
  <c r="N22" i="7" s="1"/>
  <c r="J78" i="249"/>
  <c r="J87" i="234"/>
  <c r="J45" i="249"/>
  <c r="J41" i="276"/>
  <c r="J28" i="234"/>
  <c r="J51" i="249"/>
  <c r="J47" i="276"/>
  <c r="J40" i="234"/>
  <c r="H67" i="253"/>
  <c r="I135" i="249"/>
  <c r="J40" i="252"/>
  <c r="J18" i="235"/>
  <c r="J40" i="253" s="1"/>
  <c r="AL64" i="231"/>
  <c r="AK64" i="231"/>
  <c r="L40" i="1"/>
  <c r="L35" i="220"/>
  <c r="L18" i="233"/>
  <c r="J124" i="252"/>
  <c r="J103" i="235"/>
  <c r="J105" i="234"/>
  <c r="AL43" i="231"/>
  <c r="AK43" i="231"/>
  <c r="N44" i="14"/>
  <c r="M39" i="16"/>
  <c r="M24" i="219"/>
  <c r="N24" i="218"/>
  <c r="AQ35" i="231"/>
  <c r="J74" i="252"/>
  <c r="J80" i="235"/>
  <c r="J74" i="253" s="1"/>
  <c r="K40" i="249"/>
  <c r="K35" i="276"/>
  <c r="K18" i="234"/>
  <c r="K47" i="1"/>
  <c r="K43" i="220"/>
  <c r="K32" i="233"/>
  <c r="M59" i="14"/>
  <c r="L53" i="219"/>
  <c r="M53" i="218"/>
  <c r="AM51" i="231"/>
  <c r="I82" i="252"/>
  <c r="I95" i="235"/>
  <c r="I82" i="253" s="1"/>
  <c r="AO49" i="231"/>
  <c r="AP49" i="231"/>
  <c r="K73" i="1"/>
  <c r="K78" i="233"/>
  <c r="AP31" i="231"/>
  <c r="AO31" i="231"/>
  <c r="L89" i="220"/>
  <c r="M86" i="220"/>
  <c r="N78" i="14"/>
  <c r="N85" i="218"/>
  <c r="M85" i="219"/>
  <c r="AQ69" i="231"/>
  <c r="I67" i="252"/>
  <c r="I66" i="235"/>
  <c r="I67" i="253" s="1"/>
  <c r="K74" i="249"/>
  <c r="K80" i="234"/>
  <c r="I47" i="252"/>
  <c r="I32" i="235"/>
  <c r="I47" i="253" s="1"/>
  <c r="AP33" i="231"/>
  <c r="AO33" i="231"/>
  <c r="N73" i="14"/>
  <c r="N76" i="218"/>
  <c r="M76" i="219"/>
  <c r="AQ66" i="231"/>
  <c r="L74" i="1"/>
  <c r="L80" i="233"/>
  <c r="J72" i="252"/>
  <c r="J76" i="235"/>
  <c r="K49" i="1"/>
  <c r="K45" i="220"/>
  <c r="K36" i="233"/>
  <c r="I78" i="252"/>
  <c r="I87" i="235"/>
  <c r="I78" i="253" s="1"/>
  <c r="AP45" i="231"/>
  <c r="AO45" i="231"/>
  <c r="M83" i="14"/>
  <c r="L95" i="219"/>
  <c r="M95" i="218"/>
  <c r="AK37" i="231"/>
  <c r="AL37" i="231" s="1"/>
  <c r="K71" i="1"/>
  <c r="K74" i="233"/>
  <c r="M35" i="16"/>
  <c r="N41" i="14"/>
  <c r="M18" i="219"/>
  <c r="N18" i="218"/>
  <c r="O18" i="218" s="1"/>
  <c r="C31" i="2" s="1"/>
  <c r="D31" i="2" s="1"/>
  <c r="AQ32" i="231"/>
  <c r="M50" i="14"/>
  <c r="L45" i="16"/>
  <c r="L36" i="219"/>
  <c r="M36" i="218"/>
  <c r="AM43" i="231"/>
  <c r="I49" i="252"/>
  <c r="I36" i="235"/>
  <c r="I49" i="253" s="1"/>
  <c r="L43" i="1"/>
  <c r="L39" i="220"/>
  <c r="L24" i="233"/>
  <c r="AP62" i="231"/>
  <c r="AO62" i="231"/>
  <c r="L43" i="16"/>
  <c r="M48" i="14"/>
  <c r="M32" i="218"/>
  <c r="L32" i="219"/>
  <c r="AM39" i="231"/>
  <c r="K60" i="1"/>
  <c r="K57" i="233"/>
  <c r="K58" i="1"/>
  <c r="K53" i="233"/>
  <c r="N58" i="14"/>
  <c r="N51" i="218"/>
  <c r="M51" i="219"/>
  <c r="AQ49" i="231"/>
  <c r="I55" i="253"/>
  <c r="M34" i="16"/>
  <c r="N40" i="14"/>
  <c r="M16" i="219"/>
  <c r="N16" i="218"/>
  <c r="AQ31" i="231"/>
  <c r="I38" i="252"/>
  <c r="I97" i="234"/>
  <c r="I97" i="235" s="1"/>
  <c r="I14" i="235"/>
  <c r="L77" i="1"/>
  <c r="L85" i="233"/>
  <c r="J79" i="252"/>
  <c r="J89" i="235"/>
  <c r="J79" i="253" s="1"/>
  <c r="J134" i="1"/>
  <c r="K135" i="1" s="1"/>
  <c r="K79" i="249"/>
  <c r="K89" i="234"/>
  <c r="K81" i="249"/>
  <c r="K93" i="234"/>
  <c r="AP60" i="231"/>
  <c r="AO60" i="231"/>
  <c r="AO58" i="231"/>
  <c r="AP58" i="231"/>
  <c r="M36" i="16"/>
  <c r="N42" i="14"/>
  <c r="N20" i="218"/>
  <c r="M20" i="219"/>
  <c r="AQ33" i="231"/>
  <c r="L72" i="1"/>
  <c r="L76" i="233"/>
  <c r="K46" i="249"/>
  <c r="K42" i="276"/>
  <c r="K30" i="234"/>
  <c r="H51" i="253"/>
  <c r="K124" i="249"/>
  <c r="K103" i="234"/>
  <c r="K105" i="233"/>
  <c r="AL70" i="231"/>
  <c r="AK70" i="231"/>
  <c r="I57" i="253"/>
  <c r="AP41" i="231"/>
  <c r="AO41" i="231"/>
  <c r="I61" i="253"/>
  <c r="H134" i="252"/>
  <c r="AP34" i="231"/>
  <c r="AO34" i="231"/>
  <c r="AP47" i="231"/>
  <c r="AO47" i="231"/>
  <c r="I56" i="252"/>
  <c r="I49" i="235"/>
  <c r="I56" i="253" s="1"/>
  <c r="N69" i="14"/>
  <c r="N68" i="218"/>
  <c r="M68" i="219"/>
  <c r="AQ60" i="231"/>
  <c r="J69" i="249"/>
  <c r="J70" i="234"/>
  <c r="AK30" i="231"/>
  <c r="AL30" i="231" s="1"/>
  <c r="N67" i="14"/>
  <c r="M64" i="219"/>
  <c r="N64" i="218"/>
  <c r="AQ58" i="231"/>
  <c r="N82" i="14"/>
  <c r="N93" i="218"/>
  <c r="M93" i="219"/>
  <c r="L41" i="1"/>
  <c r="L36" i="220"/>
  <c r="L20" i="233"/>
  <c r="AL61" i="231"/>
  <c r="AK61" i="231"/>
  <c r="AL57" i="231"/>
  <c r="AK57" i="231"/>
  <c r="J61" i="252"/>
  <c r="J59" i="235"/>
  <c r="J61" i="253" s="1"/>
  <c r="J52" i="252"/>
  <c r="J42" i="235"/>
  <c r="J52" i="253" s="1"/>
  <c r="M79" i="14"/>
  <c r="L87" i="219"/>
  <c r="M87" i="218"/>
  <c r="AM70" i="231"/>
  <c r="L50" i="1"/>
  <c r="L46" i="220"/>
  <c r="L38" i="233"/>
  <c r="L124" i="1"/>
  <c r="L103" i="233"/>
  <c r="L105" i="219"/>
  <c r="L41" i="16"/>
  <c r="M46" i="14"/>
  <c r="M28" i="218"/>
  <c r="L28" i="219"/>
  <c r="AM37" i="231"/>
  <c r="AP36" i="231"/>
  <c r="AO36" i="231"/>
  <c r="J47" i="249"/>
  <c r="J43" i="276"/>
  <c r="J32" i="234"/>
  <c r="N62" i="14"/>
  <c r="N59" i="218"/>
  <c r="M59" i="219"/>
  <c r="L70" i="1"/>
  <c r="L72" i="233"/>
  <c r="L52" i="1"/>
  <c r="L48" i="220"/>
  <c r="L42" i="233"/>
  <c r="I75" i="252"/>
  <c r="I82" i="235"/>
  <c r="M44" i="16"/>
  <c r="N49" i="14"/>
  <c r="N34" i="218"/>
  <c r="M34" i="219"/>
  <c r="AQ41" i="231"/>
  <c r="I52" i="253"/>
  <c r="V24" i="30"/>
  <c r="K77" i="249"/>
  <c r="K85" i="234"/>
  <c r="K55" i="249"/>
  <c r="K47" i="234"/>
  <c r="K89" i="276"/>
  <c r="L86" i="276"/>
  <c r="M38" i="16"/>
  <c r="N43" i="14"/>
  <c r="M22" i="219"/>
  <c r="N22" i="218"/>
  <c r="AQ34" i="231"/>
  <c r="N56" i="14"/>
  <c r="M47" i="219"/>
  <c r="N47" i="218"/>
  <c r="AQ47" i="231"/>
  <c r="L68" i="1"/>
  <c r="L68" i="233"/>
  <c r="I71" i="252"/>
  <c r="I74" i="235"/>
  <c r="I71" i="253" s="1"/>
  <c r="M52" i="220"/>
  <c r="M19" i="220"/>
  <c r="K89" i="16"/>
  <c r="L86" i="16"/>
  <c r="AP72" i="231"/>
  <c r="AO72" i="231"/>
  <c r="L66" i="1"/>
  <c r="L64" i="233"/>
  <c r="L81" i="1"/>
  <c r="L93" i="233"/>
  <c r="M70" i="14"/>
  <c r="L70" i="219"/>
  <c r="M70" i="218"/>
  <c r="AM61" i="231"/>
  <c r="M66" i="14"/>
  <c r="L62" i="219"/>
  <c r="M62" i="218"/>
  <c r="AM57" i="231"/>
  <c r="K70" i="249"/>
  <c r="K72" i="234"/>
  <c r="M48" i="16"/>
  <c r="N53" i="14"/>
  <c r="N42" i="218"/>
  <c r="M42" i="219"/>
  <c r="L57" i="1"/>
  <c r="L51" i="233"/>
  <c r="AO38" i="231"/>
  <c r="AP38" i="231"/>
  <c r="K50" i="249"/>
  <c r="K46" i="276"/>
  <c r="K38" i="234"/>
  <c r="I60" i="252"/>
  <c r="I57" i="235"/>
  <c r="I60" i="253" s="1"/>
  <c r="K78" i="1"/>
  <c r="K87" i="233"/>
  <c r="N128" i="14"/>
  <c r="O65" i="232" s="1"/>
  <c r="M106" i="218"/>
  <c r="N104" i="218"/>
  <c r="M103" i="219"/>
  <c r="I58" i="252"/>
  <c r="I53" i="235"/>
  <c r="I58" i="253" s="1"/>
  <c r="J68" i="252"/>
  <c r="J68" i="235"/>
  <c r="J41" i="252"/>
  <c r="J20" i="235"/>
  <c r="K51" i="1"/>
  <c r="K47" i="220"/>
  <c r="K40" i="233"/>
  <c r="M40" i="16"/>
  <c r="N45" i="14"/>
  <c r="M26" i="219"/>
  <c r="N26" i="218"/>
  <c r="AQ36" i="231"/>
  <c r="L61" i="1"/>
  <c r="L59" i="233"/>
  <c r="L48" i="1"/>
  <c r="L44" i="220"/>
  <c r="L34" i="233"/>
  <c r="J39" i="252"/>
  <c r="J16" i="235"/>
  <c r="J39" i="253" s="1"/>
  <c r="K39" i="249"/>
  <c r="K34" i="276"/>
  <c r="K16" i="234"/>
  <c r="I25" i="232"/>
  <c r="H36" i="232"/>
  <c r="C73" i="220"/>
  <c r="D70" i="220" s="1"/>
  <c r="C72" i="220"/>
  <c r="H73" i="253"/>
  <c r="L116" i="220"/>
  <c r="L117" i="220"/>
  <c r="K118" i="220"/>
  <c r="L49" i="16"/>
  <c r="M54" i="14"/>
  <c r="L44" i="219"/>
  <c r="M44" i="218"/>
  <c r="K59" i="249"/>
  <c r="K55" i="234"/>
  <c r="H37" i="276"/>
  <c r="G50" i="276"/>
  <c r="G54" i="276" s="1"/>
  <c r="G58" i="276" s="1"/>
  <c r="I134" i="249"/>
  <c r="J135" i="249" s="1"/>
  <c r="L42" i="1"/>
  <c r="L38" i="220"/>
  <c r="L22" i="233"/>
  <c r="L55" i="1"/>
  <c r="L47" i="233"/>
  <c r="AL48" i="231"/>
  <c r="AK48" i="231"/>
  <c r="AK74" i="231"/>
  <c r="AL74" i="231"/>
  <c r="M56" i="16"/>
  <c r="M17" i="16"/>
  <c r="H59" i="31"/>
  <c r="K59" i="31" s="1"/>
  <c r="K62" i="31" s="1"/>
  <c r="D62" i="31"/>
  <c r="L33" i="16"/>
  <c r="M39" i="14"/>
  <c r="M14" i="218"/>
  <c r="L14" i="219"/>
  <c r="L97" i="218"/>
  <c r="AM30" i="231"/>
  <c r="N80" i="14"/>
  <c r="M89" i="219"/>
  <c r="N89" i="218"/>
  <c r="AQ72" i="231"/>
  <c r="O89" i="218"/>
  <c r="C70" i="2" s="1"/>
  <c r="D70" i="2" s="1"/>
  <c r="J65" i="249"/>
  <c r="J62" i="234"/>
  <c r="K69" i="1"/>
  <c r="K70" i="233"/>
  <c r="K65" i="1"/>
  <c r="K62" i="233"/>
  <c r="K45" i="1"/>
  <c r="K41" i="220"/>
  <c r="K28" i="233"/>
  <c r="J46" i="252"/>
  <c r="J30" i="235"/>
  <c r="I39" i="253"/>
  <c r="M17" i="276"/>
  <c r="M56" i="276"/>
  <c r="I66" i="253"/>
  <c r="L46" i="1"/>
  <c r="L42" i="220"/>
  <c r="L30" i="233"/>
  <c r="J42" i="252"/>
  <c r="J22" i="235"/>
  <c r="J42" i="253" s="1"/>
  <c r="J82" i="249"/>
  <c r="J95" i="234"/>
  <c r="J43" i="252"/>
  <c r="J24" i="235"/>
  <c r="K44" i="249"/>
  <c r="K40" i="276"/>
  <c r="K26" i="234"/>
  <c r="H78" i="253"/>
  <c r="K52" i="249"/>
  <c r="K48" i="276"/>
  <c r="K42" i="234"/>
  <c r="L47" i="16"/>
  <c r="M52" i="14"/>
  <c r="M40" i="218"/>
  <c r="L40" i="219"/>
  <c r="L44" i="1"/>
  <c r="L40" i="220"/>
  <c r="L26" i="233"/>
  <c r="I53" i="252"/>
  <c r="I44" i="235"/>
  <c r="I53" i="253" s="1"/>
  <c r="J60" i="249"/>
  <c r="J57" i="234"/>
  <c r="H37" i="220"/>
  <c r="G50" i="220"/>
  <c r="G54" i="220" s="1"/>
  <c r="G58" i="220" s="1"/>
  <c r="D52" i="221"/>
  <c r="C68" i="16"/>
  <c r="C19" i="220"/>
  <c r="O52" i="16"/>
  <c r="I65" i="252"/>
  <c r="I62" i="235"/>
  <c r="J73" i="249"/>
  <c r="J78" i="234"/>
  <c r="O21" i="276"/>
  <c r="C23" i="276"/>
  <c r="K68" i="249"/>
  <c r="K68" i="234"/>
  <c r="K53" i="1"/>
  <c r="K49" i="220"/>
  <c r="K44" i="233"/>
  <c r="K42" i="249"/>
  <c r="K38" i="276"/>
  <c r="K22" i="234"/>
  <c r="J56" i="249"/>
  <c r="J49" i="234"/>
  <c r="K75" i="1"/>
  <c r="K82" i="233"/>
  <c r="C25" i="38"/>
  <c r="G25" i="38"/>
  <c r="E25" i="38"/>
  <c r="D25" i="38"/>
  <c r="F25" i="38"/>
  <c r="B25" i="38"/>
  <c r="I73" i="252"/>
  <c r="I78" i="235"/>
  <c r="I73" i="253" s="1"/>
  <c r="AP53" i="231"/>
  <c r="AO53" i="231"/>
  <c r="K56" i="1"/>
  <c r="K49" i="233"/>
  <c r="AK59" i="231"/>
  <c r="AL59" i="231"/>
  <c r="L14" i="217"/>
  <c r="O14" i="29"/>
  <c r="K80" i="1"/>
  <c r="K91" i="233"/>
  <c r="C70" i="276"/>
  <c r="O24" i="276"/>
  <c r="K38" i="1"/>
  <c r="K33" i="220"/>
  <c r="K14" i="233"/>
  <c r="K97" i="219"/>
  <c r="L79" i="1"/>
  <c r="L89" i="233"/>
  <c r="J44" i="252"/>
  <c r="J26" i="235"/>
  <c r="O18" i="253"/>
  <c r="H69" i="31"/>
  <c r="M72" i="14"/>
  <c r="M74" i="218"/>
  <c r="L74" i="219"/>
  <c r="AM64" i="231"/>
  <c r="N71" i="14"/>
  <c r="M72" i="219"/>
  <c r="N72" i="218"/>
  <c r="AQ62" i="231"/>
  <c r="X18" i="30"/>
  <c r="W19" i="30"/>
  <c r="W22" i="30" s="1"/>
  <c r="L39" i="1"/>
  <c r="L34" i="220"/>
  <c r="L16" i="233"/>
  <c r="M15" i="16"/>
  <c r="M15" i="220" s="1"/>
  <c r="M15" i="276" s="1"/>
  <c r="R12" i="213"/>
  <c r="N47" i="14"/>
  <c r="M42" i="16"/>
  <c r="M30" i="219"/>
  <c r="N30" i="218"/>
  <c r="AQ38" i="231"/>
  <c r="J71" i="249"/>
  <c r="J74" i="234"/>
  <c r="I80" i="252"/>
  <c r="I91" i="235"/>
  <c r="O21" i="16"/>
  <c r="N23" i="16"/>
  <c r="K43" i="249"/>
  <c r="K39" i="276"/>
  <c r="K24" i="234"/>
  <c r="I42" i="253"/>
  <c r="I51" i="252"/>
  <c r="I40" i="235"/>
  <c r="I51" i="253" s="1"/>
  <c r="I69" i="252"/>
  <c r="I70" i="235"/>
  <c r="I69" i="253" s="1"/>
  <c r="K48" i="249"/>
  <c r="K44" i="276"/>
  <c r="K34" i="234"/>
  <c r="J55" i="252"/>
  <c r="J47" i="235"/>
  <c r="J55" i="253" s="1"/>
  <c r="J58" i="249"/>
  <c r="J53" i="234"/>
  <c r="I59" i="253"/>
  <c r="I45" i="252"/>
  <c r="I28" i="235"/>
  <c r="K57" i="249"/>
  <c r="K51" i="234"/>
  <c r="J67" i="249"/>
  <c r="J66" i="234"/>
  <c r="M76" i="14"/>
  <c r="M82" i="218"/>
  <c r="L82" i="219"/>
  <c r="J77" i="252"/>
  <c r="J85" i="235"/>
  <c r="J77" i="253" s="1"/>
  <c r="N60" i="14"/>
  <c r="M55" i="219"/>
  <c r="N55" i="218"/>
  <c r="AQ53" i="231"/>
  <c r="M57" i="14"/>
  <c r="M49" i="218"/>
  <c r="L49" i="219"/>
  <c r="AM48" i="231"/>
  <c r="K67" i="1"/>
  <c r="K66" i="233"/>
  <c r="N29" i="10"/>
  <c r="K19" i="269"/>
  <c r="M81" i="14"/>
  <c r="M91" i="218"/>
  <c r="L91" i="219"/>
  <c r="AM74" i="231"/>
  <c r="L138" i="14"/>
  <c r="M272" i="38"/>
  <c r="J48" i="252"/>
  <c r="J34" i="235"/>
  <c r="H37" i="16"/>
  <c r="G50" i="16"/>
  <c r="G54" i="16" s="1"/>
  <c r="G58" i="16" s="1"/>
  <c r="J80" i="249"/>
  <c r="J91" i="234"/>
  <c r="K41" i="249"/>
  <c r="K36" i="276"/>
  <c r="K20" i="234"/>
  <c r="J81" i="252"/>
  <c r="J93" i="235"/>
  <c r="J81" i="253" s="1"/>
  <c r="J49" i="249"/>
  <c r="J45" i="276"/>
  <c r="J36" i="234"/>
  <c r="D24" i="221"/>
  <c r="D25" i="221" s="1"/>
  <c r="C21" i="220"/>
  <c r="C70" i="16"/>
  <c r="O24" i="16"/>
  <c r="J70" i="252"/>
  <c r="J72" i="235"/>
  <c r="J70" i="253" s="1"/>
  <c r="K61" i="249"/>
  <c r="K59" i="234"/>
  <c r="AO32" i="231"/>
  <c r="AP32" i="231"/>
  <c r="AP35" i="231"/>
  <c r="AO35" i="231"/>
  <c r="AK39" i="231"/>
  <c r="AL39" i="231"/>
  <c r="J53" i="249"/>
  <c r="J49" i="276"/>
  <c r="J44" i="234"/>
  <c r="AL51" i="231"/>
  <c r="AK51" i="231"/>
  <c r="M74" i="14"/>
  <c r="L78" i="219"/>
  <c r="M78" i="218"/>
  <c r="I74" i="253"/>
  <c r="AP69" i="231"/>
  <c r="AO69" i="231"/>
  <c r="C28" i="253"/>
  <c r="O28" i="253" s="1"/>
  <c r="A280" i="38"/>
  <c r="L59" i="1"/>
  <c r="L55" i="233"/>
  <c r="J66" i="252"/>
  <c r="J64" i="235"/>
  <c r="J66" i="253" s="1"/>
  <c r="J38" i="249"/>
  <c r="J33" i="276"/>
  <c r="J97" i="233"/>
  <c r="J14" i="234"/>
  <c r="K66" i="249"/>
  <c r="K64" i="234"/>
  <c r="M68" i="14"/>
  <c r="M66" i="218"/>
  <c r="L66" i="219"/>
  <c r="AM59" i="231"/>
  <c r="K72" i="249"/>
  <c r="K76" i="234"/>
  <c r="I124" i="253"/>
  <c r="I105" i="235"/>
  <c r="J59" i="252"/>
  <c r="J55" i="235"/>
  <c r="J59" i="253" s="1"/>
  <c r="J57" i="252"/>
  <c r="J51" i="235"/>
  <c r="J57" i="253" s="1"/>
  <c r="AO66" i="231"/>
  <c r="AP66" i="231"/>
  <c r="N75" i="14"/>
  <c r="M80" i="219"/>
  <c r="N80" i="218"/>
  <c r="K71" i="18"/>
  <c r="N70" i="18"/>
  <c r="P70" i="18" s="1"/>
  <c r="Q69" i="18" s="1"/>
  <c r="P71" i="19"/>
  <c r="K73" i="19"/>
  <c r="N73" i="19" s="1"/>
  <c r="P73" i="19" s="1"/>
  <c r="Q73" i="19" s="1"/>
  <c r="N72" i="19"/>
  <c r="P72" i="19" s="1"/>
  <c r="P47" i="232"/>
  <c r="P55" i="232"/>
  <c r="P53" i="232"/>
  <c r="P58" i="232"/>
  <c r="P57" i="232"/>
  <c r="P54" i="232"/>
  <c r="P46" i="232"/>
  <c r="B35" i="21"/>
  <c r="E34" i="21"/>
  <c r="G34" i="21" s="1"/>
  <c r="F78" i="21"/>
  <c r="E135" i="253"/>
  <c r="I20" i="2"/>
  <c r="J20" i="2" s="1"/>
  <c r="A8" i="38" s="1"/>
  <c r="C74" i="220" l="1"/>
  <c r="G25" i="2"/>
  <c r="H25" i="2" s="1"/>
  <c r="L28" i="7"/>
  <c r="I22" i="2" s="1"/>
  <c r="J22" i="2" s="1"/>
  <c r="B8" i="38" s="1"/>
  <c r="H25" i="38"/>
  <c r="N21" i="7"/>
  <c r="L19" i="4"/>
  <c r="O9" i="10"/>
  <c r="J59" i="31"/>
  <c r="N17" i="220"/>
  <c r="N56" i="220"/>
  <c r="O56" i="220"/>
  <c r="I77" i="16"/>
  <c r="I78" i="16"/>
  <c r="H79" i="16"/>
  <c r="I78" i="220"/>
  <c r="I77" i="220"/>
  <c r="H79" i="220"/>
  <c r="L118" i="16"/>
  <c r="M117" i="16"/>
  <c r="M116" i="16"/>
  <c r="N116" i="276"/>
  <c r="M118" i="276"/>
  <c r="N117" i="276"/>
  <c r="H134" i="253"/>
  <c r="I135" i="253" s="1"/>
  <c r="L14" i="263"/>
  <c r="L14" i="264" s="1"/>
  <c r="L14" i="265" s="1"/>
  <c r="O14" i="216"/>
  <c r="L14" i="262"/>
  <c r="J69" i="31"/>
  <c r="D87" i="31" s="1"/>
  <c r="K69" i="31"/>
  <c r="L49" i="32"/>
  <c r="L42" i="3"/>
  <c r="O52" i="276"/>
  <c r="H79" i="276"/>
  <c r="I77" i="276"/>
  <c r="I78" i="276"/>
  <c r="E35" i="20"/>
  <c r="G35" i="20" s="1"/>
  <c r="B36" i="20"/>
  <c r="P33" i="19"/>
  <c r="Q32" i="19" s="1"/>
  <c r="O33" i="19"/>
  <c r="K95" i="14" s="1"/>
  <c r="L92" i="14"/>
  <c r="N23" i="7"/>
  <c r="N18" i="7"/>
  <c r="N20" i="7"/>
  <c r="N19" i="7"/>
  <c r="F25" i="2"/>
  <c r="J69" i="32"/>
  <c r="M280" i="38"/>
  <c r="H29" i="272"/>
  <c r="G20" i="252"/>
  <c r="G25" i="252" s="1"/>
  <c r="S17" i="30"/>
  <c r="S21" i="30" s="1"/>
  <c r="S23" i="30" s="1"/>
  <c r="H20" i="14"/>
  <c r="H26" i="14" s="1"/>
  <c r="H29" i="215"/>
  <c r="G20" i="1"/>
  <c r="G25" i="1" s="1"/>
  <c r="H29" i="270"/>
  <c r="H29" i="273"/>
  <c r="G20" i="253"/>
  <c r="G25" i="253" s="1"/>
  <c r="G20" i="249"/>
  <c r="G25" i="249" s="1"/>
  <c r="H29" i="271"/>
  <c r="E75" i="231"/>
  <c r="F75" i="231" s="1"/>
  <c r="N104" i="14"/>
  <c r="N107" i="14"/>
  <c r="O110" i="14"/>
  <c r="P110" i="14" s="1"/>
  <c r="P111" i="14" s="1"/>
  <c r="K20" i="2"/>
  <c r="L20" i="2" s="1"/>
  <c r="A9" i="38" s="1"/>
  <c r="J38" i="252"/>
  <c r="J97" i="234"/>
  <c r="J97" i="235" s="1"/>
  <c r="J14" i="235"/>
  <c r="J38" i="253" s="1"/>
  <c r="C73" i="16"/>
  <c r="D70" i="16" s="1"/>
  <c r="C72" i="16"/>
  <c r="C74" i="16" s="1"/>
  <c r="J134" i="249"/>
  <c r="K135" i="249" s="1"/>
  <c r="J49" i="252"/>
  <c r="J36" i="235"/>
  <c r="J49" i="253" s="1"/>
  <c r="L75" i="1"/>
  <c r="L82" i="233"/>
  <c r="M74" i="1"/>
  <c r="M80" i="233"/>
  <c r="N68" i="14"/>
  <c r="N66" i="218"/>
  <c r="M66" i="219"/>
  <c r="AQ59" i="231"/>
  <c r="O29" i="10"/>
  <c r="L19" i="269"/>
  <c r="AT53" i="231"/>
  <c r="AS53" i="231"/>
  <c r="N76" i="14"/>
  <c r="N82" i="218"/>
  <c r="M82" i="219"/>
  <c r="K48" i="252"/>
  <c r="K34" i="235"/>
  <c r="K48" i="253" s="1"/>
  <c r="O71" i="14"/>
  <c r="P71" i="14" s="1"/>
  <c r="N72" i="219"/>
  <c r="AU62" i="231"/>
  <c r="O72" i="218"/>
  <c r="C61" i="2" s="1"/>
  <c r="D61" i="2" s="1"/>
  <c r="C73" i="276"/>
  <c r="D70" i="276" s="1"/>
  <c r="C72" i="276"/>
  <c r="J73" i="252"/>
  <c r="J78" i="235"/>
  <c r="J73" i="253" s="1"/>
  <c r="L44" i="249"/>
  <c r="L40" i="276"/>
  <c r="L26" i="234"/>
  <c r="J43" i="253"/>
  <c r="K45" i="249"/>
  <c r="K41" i="276"/>
  <c r="K28" i="234"/>
  <c r="L38" i="1"/>
  <c r="L33" i="220"/>
  <c r="L14" i="233"/>
  <c r="L97" i="219"/>
  <c r="N56" i="16"/>
  <c r="N17" i="16"/>
  <c r="O17" i="16" s="1"/>
  <c r="L42" i="249"/>
  <c r="L38" i="276"/>
  <c r="L22" i="234"/>
  <c r="K39" i="252"/>
  <c r="K16" i="235"/>
  <c r="K51" i="249"/>
  <c r="K47" i="276"/>
  <c r="K40" i="234"/>
  <c r="M61" i="1"/>
  <c r="M59" i="233"/>
  <c r="L78" i="1"/>
  <c r="L87" i="233"/>
  <c r="O69" i="14"/>
  <c r="P69" i="14" s="1"/>
  <c r="N68" i="219"/>
  <c r="O68" i="219" s="1"/>
  <c r="E59" i="2" s="1"/>
  <c r="F59" i="2" s="1"/>
  <c r="AU60" i="231"/>
  <c r="AY60" i="231" s="1"/>
  <c r="O68" i="218"/>
  <c r="C59" i="2" s="1"/>
  <c r="D59" i="2" s="1"/>
  <c r="K46" i="252"/>
  <c r="K30" i="235"/>
  <c r="K46" i="253" s="1"/>
  <c r="L77" i="249"/>
  <c r="L85" i="234"/>
  <c r="M39" i="1"/>
  <c r="M34" i="220"/>
  <c r="M16" i="233"/>
  <c r="M57" i="1"/>
  <c r="M51" i="233"/>
  <c r="AP39" i="231"/>
  <c r="AO39" i="231"/>
  <c r="L43" i="249"/>
  <c r="L39" i="276"/>
  <c r="L24" i="234"/>
  <c r="K71" i="249"/>
  <c r="K74" i="234"/>
  <c r="J72" i="253"/>
  <c r="L58" i="1"/>
  <c r="L53" i="233"/>
  <c r="K40" i="252"/>
  <c r="K18" i="235"/>
  <c r="K40" i="253" s="1"/>
  <c r="L40" i="249"/>
  <c r="L35" i="276"/>
  <c r="L18" i="234"/>
  <c r="K82" i="249"/>
  <c r="K95" i="234"/>
  <c r="K67" i="249"/>
  <c r="K66" i="234"/>
  <c r="O60" i="14"/>
  <c r="P60" i="14" s="1"/>
  <c r="N55" i="219"/>
  <c r="AU53" i="231"/>
  <c r="O55" i="218"/>
  <c r="C50" i="2" s="1"/>
  <c r="D50" i="2" s="1"/>
  <c r="AT38" i="231"/>
  <c r="AS38" i="231"/>
  <c r="L39" i="249"/>
  <c r="L34" i="276"/>
  <c r="L16" i="234"/>
  <c r="M70" i="1"/>
  <c r="M72" i="233"/>
  <c r="L79" i="249"/>
  <c r="L89" i="234"/>
  <c r="K80" i="249"/>
  <c r="K91" i="234"/>
  <c r="J56" i="252"/>
  <c r="J49" i="235"/>
  <c r="J56" i="253" s="1"/>
  <c r="J46" i="253"/>
  <c r="M33" i="16"/>
  <c r="N39" i="14"/>
  <c r="N14" i="218"/>
  <c r="M97" i="218"/>
  <c r="M14" i="219"/>
  <c r="AQ30" i="231"/>
  <c r="M116" i="220"/>
  <c r="L118" i="220"/>
  <c r="M117" i="220"/>
  <c r="L61" i="249"/>
  <c r="L59" i="234"/>
  <c r="L57" i="249"/>
  <c r="L51" i="234"/>
  <c r="AO61" i="231"/>
  <c r="AP61" i="231"/>
  <c r="AT34" i="231"/>
  <c r="AS34" i="231"/>
  <c r="I75" i="253"/>
  <c r="O62" i="14"/>
  <c r="P62" i="14" s="1"/>
  <c r="N59" i="219"/>
  <c r="O59" i="218"/>
  <c r="C52" i="2" s="1"/>
  <c r="D52" i="2" s="1"/>
  <c r="L124" i="249"/>
  <c r="L103" i="234"/>
  <c r="L105" i="233"/>
  <c r="K79" i="252"/>
  <c r="K89" i="235"/>
  <c r="K79" i="253" s="1"/>
  <c r="O58" i="14"/>
  <c r="P58" i="14" s="1"/>
  <c r="N51" i="219"/>
  <c r="AU49" i="231"/>
  <c r="O51" i="218"/>
  <c r="C48" i="2" s="1"/>
  <c r="D48" i="2" s="1"/>
  <c r="L47" i="1"/>
  <c r="L43" i="220"/>
  <c r="L32" i="233"/>
  <c r="J45" i="252"/>
  <c r="J28" i="235"/>
  <c r="J45" i="253" s="1"/>
  <c r="J75" i="252"/>
  <c r="J82" i="235"/>
  <c r="J75" i="253" s="1"/>
  <c r="K66" i="252"/>
  <c r="K64" i="235"/>
  <c r="K66" i="253" s="1"/>
  <c r="M139" i="14"/>
  <c r="J67" i="252"/>
  <c r="J66" i="235"/>
  <c r="J67" i="253" s="1"/>
  <c r="J82" i="252"/>
  <c r="J95" i="235"/>
  <c r="J82" i="253" s="1"/>
  <c r="M138" i="14"/>
  <c r="N139" i="14" s="1"/>
  <c r="N44" i="232" s="1"/>
  <c r="M49" i="16"/>
  <c r="M44" i="219"/>
  <c r="N44" i="218"/>
  <c r="N54" i="14"/>
  <c r="M124" i="1"/>
  <c r="M103" i="233"/>
  <c r="M105" i="219"/>
  <c r="K50" i="252"/>
  <c r="K38" i="235"/>
  <c r="K50" i="253" s="1"/>
  <c r="N70" i="14"/>
  <c r="M70" i="219"/>
  <c r="N70" i="218"/>
  <c r="AQ61" i="231"/>
  <c r="N38" i="16"/>
  <c r="O38" i="16" s="1"/>
  <c r="D38" i="221" s="1"/>
  <c r="O43" i="14"/>
  <c r="P43" i="14" s="1"/>
  <c r="N22" i="219"/>
  <c r="AU34" i="231"/>
  <c r="O22" i="218"/>
  <c r="C33" i="2" s="1"/>
  <c r="D33" i="2" s="1"/>
  <c r="K55" i="252"/>
  <c r="K47" i="235"/>
  <c r="K55" i="253" s="1"/>
  <c r="M81" i="1"/>
  <c r="M93" i="233"/>
  <c r="I135" i="252"/>
  <c r="M43" i="16"/>
  <c r="N48" i="14"/>
  <c r="N32" i="218"/>
  <c r="M32" i="219"/>
  <c r="AQ39" i="231"/>
  <c r="L74" i="249"/>
  <c r="L80" i="234"/>
  <c r="N86" i="220"/>
  <c r="N89" i="220" s="1"/>
  <c r="M89" i="220"/>
  <c r="J50" i="253"/>
  <c r="AS45" i="231"/>
  <c r="AT45" i="231"/>
  <c r="L59" i="249"/>
  <c r="L55" i="234"/>
  <c r="N74" i="14"/>
  <c r="M78" i="219"/>
  <c r="N78" i="218"/>
  <c r="J80" i="252"/>
  <c r="J91" i="235"/>
  <c r="J80" i="253" s="1"/>
  <c r="M59" i="1"/>
  <c r="M55" i="233"/>
  <c r="K43" i="252"/>
  <c r="K24" i="235"/>
  <c r="K43" i="253" s="1"/>
  <c r="N42" i="16"/>
  <c r="O42" i="16" s="1"/>
  <c r="D42" i="221" s="1"/>
  <c r="O47" i="14"/>
  <c r="P47" i="14" s="1"/>
  <c r="N30" i="219"/>
  <c r="AU38" i="231"/>
  <c r="AY38" i="231" s="1"/>
  <c r="O30" i="218"/>
  <c r="C37" i="2" s="1"/>
  <c r="D37" i="2" s="1"/>
  <c r="K68" i="252"/>
  <c r="K68" i="235"/>
  <c r="K68" i="253" s="1"/>
  <c r="I37" i="220"/>
  <c r="H50" i="220"/>
  <c r="H54" i="220" s="1"/>
  <c r="H58" i="220" s="1"/>
  <c r="AT72" i="231"/>
  <c r="AS72" i="231"/>
  <c r="L73" i="1"/>
  <c r="L78" i="233"/>
  <c r="J53" i="252"/>
  <c r="J44" i="235"/>
  <c r="J53" i="253" s="1"/>
  <c r="AP74" i="231"/>
  <c r="AO74" i="231"/>
  <c r="J58" i="252"/>
  <c r="J53" i="235"/>
  <c r="I80" i="253"/>
  <c r="M46" i="1"/>
  <c r="M42" i="220"/>
  <c r="M30" i="233"/>
  <c r="AP64" i="231"/>
  <c r="AO64" i="231"/>
  <c r="N18" i="3"/>
  <c r="M14" i="217"/>
  <c r="P14" i="29"/>
  <c r="N14" i="217" s="1"/>
  <c r="K42" i="252"/>
  <c r="K22" i="235"/>
  <c r="K42" i="253" s="1"/>
  <c r="I65" i="253"/>
  <c r="J60" i="252"/>
  <c r="J57" i="235"/>
  <c r="J60" i="253" s="1"/>
  <c r="L51" i="1"/>
  <c r="L47" i="220"/>
  <c r="L40" i="233"/>
  <c r="N17" i="276"/>
  <c r="N56" i="276"/>
  <c r="K65" i="249"/>
  <c r="K62" i="234"/>
  <c r="O80" i="14"/>
  <c r="P80" i="14" s="1"/>
  <c r="N89" i="219"/>
  <c r="AU72" i="231"/>
  <c r="L53" i="1"/>
  <c r="L49" i="220"/>
  <c r="L44" i="233"/>
  <c r="AT36" i="231"/>
  <c r="AS36" i="231"/>
  <c r="O128" i="14"/>
  <c r="P128" i="14" s="1"/>
  <c r="P129" i="14" s="1"/>
  <c r="N103" i="219"/>
  <c r="N106" i="218"/>
  <c r="O104" i="218"/>
  <c r="O106" i="218" s="1"/>
  <c r="M52" i="1"/>
  <c r="M48" i="220"/>
  <c r="M42" i="233"/>
  <c r="L69" i="1"/>
  <c r="L70" i="233"/>
  <c r="L89" i="16"/>
  <c r="M86" i="16"/>
  <c r="L68" i="249"/>
  <c r="L68" i="234"/>
  <c r="M42" i="1"/>
  <c r="M38" i="220"/>
  <c r="M22" i="233"/>
  <c r="AT41" i="231"/>
  <c r="AS41" i="231"/>
  <c r="L52" i="249"/>
  <c r="L48" i="276"/>
  <c r="L42" i="234"/>
  <c r="AO37" i="231"/>
  <c r="AP37" i="231" s="1"/>
  <c r="L50" i="249"/>
  <c r="L46" i="276"/>
  <c r="L38" i="234"/>
  <c r="O82" i="14"/>
  <c r="P82" i="14" s="1"/>
  <c r="N93" i="219"/>
  <c r="O93" i="218"/>
  <c r="C72" i="2" s="1"/>
  <c r="D72" i="2" s="1"/>
  <c r="L72" i="249"/>
  <c r="L76" i="234"/>
  <c r="I38" i="253"/>
  <c r="K58" i="249"/>
  <c r="K53" i="234"/>
  <c r="AT32" i="231"/>
  <c r="AS32" i="231"/>
  <c r="N46" i="16"/>
  <c r="O46" i="16" s="1"/>
  <c r="D46" i="221" s="1"/>
  <c r="O51" i="14"/>
  <c r="P51" i="14" s="1"/>
  <c r="N38" i="219"/>
  <c r="AU45" i="231"/>
  <c r="AY45" i="231" s="1"/>
  <c r="O38" i="218"/>
  <c r="C41" i="2" s="1"/>
  <c r="D41" i="2" s="1"/>
  <c r="K72" i="252"/>
  <c r="K76" i="235"/>
  <c r="K72" i="253" s="1"/>
  <c r="L80" i="1"/>
  <c r="L91" i="233"/>
  <c r="AP48" i="231"/>
  <c r="AO48" i="231"/>
  <c r="K57" i="252"/>
  <c r="K51" i="235"/>
  <c r="K57" i="253" s="1"/>
  <c r="L71" i="1"/>
  <c r="L74" i="233"/>
  <c r="K38" i="249"/>
  <c r="K33" i="276"/>
  <c r="K97" i="233"/>
  <c r="K14" i="234"/>
  <c r="O23" i="276"/>
  <c r="O25" i="276" s="1"/>
  <c r="C25" i="276"/>
  <c r="M47" i="16"/>
  <c r="N52" i="14"/>
  <c r="N40" i="218"/>
  <c r="M40" i="219"/>
  <c r="K44" i="252"/>
  <c r="K26" i="235"/>
  <c r="K44" i="253" s="1"/>
  <c r="M79" i="1"/>
  <c r="M89" i="233"/>
  <c r="N40" i="16"/>
  <c r="O40" i="16" s="1"/>
  <c r="D40" i="221" s="1"/>
  <c r="O45" i="14"/>
  <c r="P45" i="14" s="1"/>
  <c r="N26" i="219"/>
  <c r="AU36" i="231"/>
  <c r="AY36" i="231" s="1"/>
  <c r="O26" i="218"/>
  <c r="C35" i="2" s="1"/>
  <c r="D35" i="2" s="1"/>
  <c r="J41" i="253"/>
  <c r="N48" i="16"/>
  <c r="O48" i="16" s="1"/>
  <c r="D48" i="221" s="1"/>
  <c r="O53" i="14"/>
  <c r="P53" i="14" s="1"/>
  <c r="N42" i="219"/>
  <c r="O42" i="218"/>
  <c r="C43" i="2" s="1"/>
  <c r="D43" i="2" s="1"/>
  <c r="K77" i="252"/>
  <c r="K85" i="235"/>
  <c r="K77" i="253" s="1"/>
  <c r="M48" i="1"/>
  <c r="M44" i="220"/>
  <c r="M34" i="233"/>
  <c r="L45" i="1"/>
  <c r="L41" i="220"/>
  <c r="L28" i="233"/>
  <c r="J69" i="252"/>
  <c r="J70" i="235"/>
  <c r="J69" i="253" s="1"/>
  <c r="K124" i="252"/>
  <c r="K103" i="235"/>
  <c r="K105" i="234"/>
  <c r="N35" i="16"/>
  <c r="O35" i="16" s="1"/>
  <c r="D35" i="221" s="1"/>
  <c r="O41" i="14"/>
  <c r="P41" i="14" s="1"/>
  <c r="N18" i="219"/>
  <c r="AU32" i="231"/>
  <c r="N83" i="14"/>
  <c r="M95" i="219"/>
  <c r="N95" i="218"/>
  <c r="AT66" i="231"/>
  <c r="AS66" i="231"/>
  <c r="AT69" i="231"/>
  <c r="AS69" i="231"/>
  <c r="L63" i="276"/>
  <c r="L63" i="220"/>
  <c r="L63" i="16"/>
  <c r="P12" i="214"/>
  <c r="L60" i="1"/>
  <c r="L57" i="233"/>
  <c r="M50" i="1"/>
  <c r="M46" i="220"/>
  <c r="M38" i="233"/>
  <c r="F21" i="221"/>
  <c r="F23" i="221" s="1"/>
  <c r="F25" i="221" s="1"/>
  <c r="O21" i="220"/>
  <c r="C23" i="220"/>
  <c r="I37" i="16"/>
  <c r="H50" i="16"/>
  <c r="H54" i="16" s="1"/>
  <c r="H58" i="16" s="1"/>
  <c r="N81" i="14"/>
  <c r="N91" i="218"/>
  <c r="M91" i="219"/>
  <c r="AQ74" i="231"/>
  <c r="L56" i="1"/>
  <c r="L49" i="233"/>
  <c r="W24" i="30"/>
  <c r="N72" i="14"/>
  <c r="N74" i="218"/>
  <c r="M74" i="219"/>
  <c r="AQ64" i="231"/>
  <c r="K69" i="249"/>
  <c r="K70" i="234"/>
  <c r="D77" i="31"/>
  <c r="J62" i="31"/>
  <c r="D73" i="220"/>
  <c r="E70" i="220" s="1"/>
  <c r="D72" i="220"/>
  <c r="L48" i="249"/>
  <c r="L44" i="276"/>
  <c r="L34" i="234"/>
  <c r="M44" i="1"/>
  <c r="M40" i="220"/>
  <c r="M26" i="233"/>
  <c r="AP57" i="231"/>
  <c r="AO57" i="231"/>
  <c r="L81" i="249"/>
  <c r="L93" i="234"/>
  <c r="AT47" i="231"/>
  <c r="AS47" i="231"/>
  <c r="N44" i="16"/>
  <c r="O44" i="16" s="1"/>
  <c r="D44" i="221" s="1"/>
  <c r="O49" i="14"/>
  <c r="P49" i="14" s="1"/>
  <c r="N34" i="219"/>
  <c r="O34" i="219" s="1"/>
  <c r="E39" i="2" s="1"/>
  <c r="F39" i="2" s="1"/>
  <c r="AU41" i="231"/>
  <c r="O34" i="218"/>
  <c r="C39" i="2" s="1"/>
  <c r="D39" i="2" s="1"/>
  <c r="J47" i="252"/>
  <c r="J32" i="235"/>
  <c r="M41" i="16"/>
  <c r="N46" i="14"/>
  <c r="N28" i="218"/>
  <c r="M28" i="219"/>
  <c r="AQ37" i="231"/>
  <c r="AT58" i="231"/>
  <c r="AS58" i="231"/>
  <c r="AT33" i="231"/>
  <c r="AS33" i="231"/>
  <c r="I134" i="252"/>
  <c r="J135" i="252" s="1"/>
  <c r="AO43" i="231"/>
  <c r="AP43" i="231"/>
  <c r="M40" i="1"/>
  <c r="M35" i="220"/>
  <c r="M18" i="233"/>
  <c r="L82" i="1"/>
  <c r="L95" i="233"/>
  <c r="K49" i="249"/>
  <c r="K45" i="276"/>
  <c r="K36" i="234"/>
  <c r="M72" i="1"/>
  <c r="M76" i="233"/>
  <c r="K74" i="252"/>
  <c r="K80" i="235"/>
  <c r="K74" i="253" s="1"/>
  <c r="M77" i="1"/>
  <c r="M85" i="233"/>
  <c r="K47" i="249"/>
  <c r="K43" i="276"/>
  <c r="K32" i="234"/>
  <c r="AT35" i="231"/>
  <c r="AS35" i="231"/>
  <c r="N61" i="14"/>
  <c r="N57" i="218"/>
  <c r="M57" i="219"/>
  <c r="AP59" i="231"/>
  <c r="AO59" i="231"/>
  <c r="K41" i="252"/>
  <c r="K20" i="235"/>
  <c r="K41" i="253" s="1"/>
  <c r="N57" i="14"/>
  <c r="N49" i="218"/>
  <c r="M49" i="219"/>
  <c r="AQ48" i="231"/>
  <c r="I45" i="253"/>
  <c r="N25" i="16"/>
  <c r="O23" i="16"/>
  <c r="O25" i="16" s="1"/>
  <c r="N15" i="16"/>
  <c r="C15" i="2"/>
  <c r="E15" i="2" s="1"/>
  <c r="G15" i="2" s="1"/>
  <c r="I15" i="2" s="1"/>
  <c r="K15" i="2" s="1"/>
  <c r="Y18" i="30"/>
  <c r="X19" i="30"/>
  <c r="X22" i="30" s="1"/>
  <c r="X24" i="30"/>
  <c r="J44" i="253"/>
  <c r="K134" i="1"/>
  <c r="F19" i="221"/>
  <c r="L46" i="249"/>
  <c r="L42" i="276"/>
  <c r="L30" i="234"/>
  <c r="AO30" i="231"/>
  <c r="AP30" i="231" s="1"/>
  <c r="H64" i="31"/>
  <c r="G82" i="2"/>
  <c r="H82" i="2" s="1"/>
  <c r="L55" i="249"/>
  <c r="L47" i="234"/>
  <c r="I37" i="276"/>
  <c r="H50" i="276"/>
  <c r="H54" i="276" s="1"/>
  <c r="H58" i="276" s="1"/>
  <c r="J68" i="253"/>
  <c r="K78" i="249"/>
  <c r="K87" i="234"/>
  <c r="N66" i="14"/>
  <c r="M62" i="219"/>
  <c r="N62" i="218"/>
  <c r="AQ57" i="231"/>
  <c r="O56" i="14"/>
  <c r="P56" i="14" s="1"/>
  <c r="N47" i="219"/>
  <c r="AU47" i="231"/>
  <c r="AY47" i="231" s="1"/>
  <c r="O47" i="218"/>
  <c r="C46" i="2" s="1"/>
  <c r="D46" i="2" s="1"/>
  <c r="L70" i="249"/>
  <c r="L72" i="234"/>
  <c r="AP70" i="231"/>
  <c r="AO70" i="231"/>
  <c r="O67" i="14"/>
  <c r="P67" i="14" s="1"/>
  <c r="N64" i="219"/>
  <c r="AU58" i="231"/>
  <c r="O64" i="218"/>
  <c r="C57" i="2" s="1"/>
  <c r="D57" i="2" s="1"/>
  <c r="AS60" i="231"/>
  <c r="AT60" i="231"/>
  <c r="M41" i="1"/>
  <c r="M36" i="220"/>
  <c r="M20" i="233"/>
  <c r="AT31" i="231"/>
  <c r="AS31" i="231"/>
  <c r="K60" i="249"/>
  <c r="K57" i="234"/>
  <c r="M45" i="16"/>
  <c r="N50" i="14"/>
  <c r="M36" i="219"/>
  <c r="N36" i="218"/>
  <c r="AQ43" i="231"/>
  <c r="O73" i="14"/>
  <c r="P73" i="14" s="1"/>
  <c r="N76" i="219"/>
  <c r="AU66" i="231"/>
  <c r="AY66" i="231" s="1"/>
  <c r="O76" i="218"/>
  <c r="C63" i="2" s="1"/>
  <c r="D63" i="2" s="1"/>
  <c r="O78" i="14"/>
  <c r="P78" i="14" s="1"/>
  <c r="N85" i="219"/>
  <c r="AU69" i="231"/>
  <c r="AY69" i="231" s="1"/>
  <c r="O85" i="218"/>
  <c r="C68" i="2" s="1"/>
  <c r="D68" i="2" s="1"/>
  <c r="K73" i="249"/>
  <c r="K78" i="234"/>
  <c r="AP51" i="231"/>
  <c r="AO51" i="231"/>
  <c r="N39" i="16"/>
  <c r="O39" i="16" s="1"/>
  <c r="D39" i="221" s="1"/>
  <c r="O44" i="14"/>
  <c r="P44" i="14" s="1"/>
  <c r="N24" i="219"/>
  <c r="AU35" i="231"/>
  <c r="O24" i="218"/>
  <c r="C34" i="2" s="1"/>
  <c r="D34" i="2" s="1"/>
  <c r="J124" i="253"/>
  <c r="J105" i="235"/>
  <c r="J51" i="252"/>
  <c r="J40" i="235"/>
  <c r="J51" i="253" s="1"/>
  <c r="O75" i="14"/>
  <c r="P75" i="14" s="1"/>
  <c r="N80" i="219"/>
  <c r="O80" i="218"/>
  <c r="C65" i="2" s="1"/>
  <c r="D65" i="2" s="1"/>
  <c r="L67" i="1"/>
  <c r="L66" i="233"/>
  <c r="E78" i="231"/>
  <c r="F78" i="231" s="1"/>
  <c r="C90" i="231"/>
  <c r="K61" i="252"/>
  <c r="K59" i="235"/>
  <c r="K61" i="253" s="1"/>
  <c r="J48" i="253"/>
  <c r="J71" i="252"/>
  <c r="J74" i="235"/>
  <c r="J71" i="253" s="1"/>
  <c r="AT62" i="231"/>
  <c r="AS62" i="231"/>
  <c r="K56" i="249"/>
  <c r="K49" i="234"/>
  <c r="K75" i="249"/>
  <c r="K82" i="234"/>
  <c r="K53" i="249"/>
  <c r="K49" i="276"/>
  <c r="K44" i="234"/>
  <c r="K52" i="252"/>
  <c r="K42" i="235"/>
  <c r="K52" i="253" s="1"/>
  <c r="J65" i="252"/>
  <c r="J62" i="235"/>
  <c r="J65" i="253" s="1"/>
  <c r="K59" i="252"/>
  <c r="K55" i="235"/>
  <c r="K59" i="253" s="1"/>
  <c r="I36" i="232"/>
  <c r="J25" i="232"/>
  <c r="K70" i="252"/>
  <c r="K72" i="235"/>
  <c r="K70" i="253" s="1"/>
  <c r="L65" i="1"/>
  <c r="L62" i="233"/>
  <c r="L66" i="249"/>
  <c r="L64" i="234"/>
  <c r="N52" i="220"/>
  <c r="N19" i="220"/>
  <c r="O19" i="220" s="1"/>
  <c r="M55" i="1"/>
  <c r="M47" i="233"/>
  <c r="L89" i="276"/>
  <c r="M86" i="276"/>
  <c r="N79" i="14"/>
  <c r="M87" i="219"/>
  <c r="N87" i="218"/>
  <c r="AQ70" i="231"/>
  <c r="L41" i="249"/>
  <c r="L36" i="276"/>
  <c r="L20" i="234"/>
  <c r="M66" i="1"/>
  <c r="M64" i="233"/>
  <c r="M68" i="1"/>
  <c r="M68" i="233"/>
  <c r="AY34" i="231"/>
  <c r="N36" i="16"/>
  <c r="O36" i="16" s="1"/>
  <c r="D36" i="221" s="1"/>
  <c r="O42" i="14"/>
  <c r="P42" i="14" s="1"/>
  <c r="N20" i="219"/>
  <c r="AU33" i="231"/>
  <c r="AY33" i="231" s="1"/>
  <c r="O20" i="218"/>
  <c r="C32" i="2" s="1"/>
  <c r="D32" i="2" s="1"/>
  <c r="K81" i="252"/>
  <c r="K93" i="235"/>
  <c r="K81" i="253" s="1"/>
  <c r="N34" i="16"/>
  <c r="O34" i="16" s="1"/>
  <c r="D34" i="221" s="1"/>
  <c r="O40" i="14"/>
  <c r="P40" i="14" s="1"/>
  <c r="N16" i="219"/>
  <c r="AU31" i="231"/>
  <c r="O16" i="218"/>
  <c r="C30" i="2" s="1"/>
  <c r="D30" i="2" s="1"/>
  <c r="AT49" i="231"/>
  <c r="AS49" i="231"/>
  <c r="L49" i="1"/>
  <c r="L45" i="220"/>
  <c r="L36" i="233"/>
  <c r="N59" i="14"/>
  <c r="M53" i="219"/>
  <c r="N53" i="218"/>
  <c r="AQ51" i="231"/>
  <c r="M43" i="1"/>
  <c r="M39" i="220"/>
  <c r="M24" i="233"/>
  <c r="J78" i="252"/>
  <c r="J87" i="235"/>
  <c r="J78" i="253" s="1"/>
  <c r="O71" i="18"/>
  <c r="K72" i="18"/>
  <c r="N71" i="18"/>
  <c r="P71" i="18" s="1"/>
  <c r="Q70" i="18" s="1"/>
  <c r="O72" i="19"/>
  <c r="Q71" i="19"/>
  <c r="Q70" i="19"/>
  <c r="Q72" i="19"/>
  <c r="O73" i="19"/>
  <c r="S73" i="19"/>
  <c r="E35" i="21"/>
  <c r="G35" i="21" s="1"/>
  <c r="B36" i="21"/>
  <c r="F79" i="21"/>
  <c r="N43" i="32"/>
  <c r="N61" i="32"/>
  <c r="N118" i="276" l="1"/>
  <c r="L69" i="32"/>
  <c r="I25" i="2"/>
  <c r="M19" i="4"/>
  <c r="P9" i="10"/>
  <c r="N19" i="4" s="1"/>
  <c r="C74" i="276"/>
  <c r="M118" i="16"/>
  <c r="N117" i="16"/>
  <c r="N116" i="16"/>
  <c r="N118" i="16" s="1"/>
  <c r="J77" i="16"/>
  <c r="I79" i="16"/>
  <c r="J78" i="16"/>
  <c r="I79" i="276"/>
  <c r="J78" i="276"/>
  <c r="J77" i="276"/>
  <c r="M14" i="263"/>
  <c r="M14" i="264" s="1"/>
  <c r="M14" i="265" s="1"/>
  <c r="P14" i="216"/>
  <c r="M14" i="262"/>
  <c r="C17" i="276"/>
  <c r="O17" i="276" s="1"/>
  <c r="C66" i="220"/>
  <c r="F56" i="221"/>
  <c r="N42" i="3"/>
  <c r="P49" i="32" s="1"/>
  <c r="N49" i="32"/>
  <c r="I79" i="220"/>
  <c r="J77" i="220"/>
  <c r="J78" i="220"/>
  <c r="P46" i="32"/>
  <c r="P58" i="32"/>
  <c r="E36" i="20"/>
  <c r="G36" i="20" s="1"/>
  <c r="B37" i="20"/>
  <c r="P34" i="19"/>
  <c r="Q33" i="19" s="1"/>
  <c r="O34" i="19"/>
  <c r="L95" i="14" s="1"/>
  <c r="M92" i="14"/>
  <c r="N28" i="7"/>
  <c r="K22" i="2" s="1"/>
  <c r="L22" i="2" s="1"/>
  <c r="B9" i="38" s="1"/>
  <c r="T16" i="30"/>
  <c r="T17" i="30" s="1"/>
  <c r="I25" i="215"/>
  <c r="O104" i="14"/>
  <c r="P104" i="14" s="1"/>
  <c r="P105" i="14" s="1"/>
  <c r="O107" i="14"/>
  <c r="P107" i="14" s="1"/>
  <c r="P108" i="14" s="1"/>
  <c r="F57" i="3"/>
  <c r="P61" i="32"/>
  <c r="P43" i="32"/>
  <c r="BB33" i="231"/>
  <c r="BA33" i="231"/>
  <c r="BB47" i="231"/>
  <c r="BA47" i="231"/>
  <c r="BB38" i="231"/>
  <c r="BA38" i="231"/>
  <c r="BA69" i="231"/>
  <c r="BB69" i="231" s="1"/>
  <c r="BB45" i="231"/>
  <c r="BA45" i="231"/>
  <c r="M58" i="1"/>
  <c r="M53" i="233"/>
  <c r="F52" i="221"/>
  <c r="C19" i="276"/>
  <c r="O19" i="276" s="1"/>
  <c r="C68" i="220"/>
  <c r="O52" i="220"/>
  <c r="L55" i="252"/>
  <c r="L47" i="235"/>
  <c r="L55" i="253" s="1"/>
  <c r="M72" i="249"/>
  <c r="M76" i="234"/>
  <c r="M55" i="249"/>
  <c r="M47" i="234"/>
  <c r="O61" i="14"/>
  <c r="P61" i="14" s="1"/>
  <c r="N57" i="219"/>
  <c r="O57" i="218"/>
  <c r="C51" i="2" s="1"/>
  <c r="D51" i="2" s="1"/>
  <c r="M45" i="1"/>
  <c r="M41" i="220"/>
  <c r="M28" i="233"/>
  <c r="AT74" i="231"/>
  <c r="AS74" i="231"/>
  <c r="AS51" i="231"/>
  <c r="AT51" i="231"/>
  <c r="BB34" i="231"/>
  <c r="BA34" i="231"/>
  <c r="K75" i="252"/>
  <c r="K82" i="235"/>
  <c r="K75" i="253" s="1"/>
  <c r="AX66" i="231"/>
  <c r="AW66" i="231"/>
  <c r="K60" i="252"/>
  <c r="K57" i="235"/>
  <c r="K60" i="253" s="1"/>
  <c r="AS57" i="231"/>
  <c r="AT57" i="231"/>
  <c r="N15" i="220"/>
  <c r="N15" i="276" s="1"/>
  <c r="D16" i="8"/>
  <c r="D15" i="221"/>
  <c r="N41" i="16"/>
  <c r="O41" i="16" s="1"/>
  <c r="D41" i="221" s="1"/>
  <c r="O46" i="14"/>
  <c r="P46" i="14" s="1"/>
  <c r="N28" i="219"/>
  <c r="AU37" i="231"/>
  <c r="AY37" i="231" s="1"/>
  <c r="O28" i="218"/>
  <c r="C36" i="2" s="1"/>
  <c r="M44" i="249"/>
  <c r="M40" i="276"/>
  <c r="M26" i="234"/>
  <c r="AT64" i="231"/>
  <c r="AS64" i="231"/>
  <c r="M80" i="1"/>
  <c r="M91" i="233"/>
  <c r="N52" i="1"/>
  <c r="O52" i="1" s="1"/>
  <c r="N48" i="220"/>
  <c r="O48" i="220" s="1"/>
  <c r="F48" i="221" s="1"/>
  <c r="N42" i="233"/>
  <c r="O42" i="219"/>
  <c r="E43" i="2" s="1"/>
  <c r="F43" i="2" s="1"/>
  <c r="M51" i="1"/>
  <c r="M47" i="220"/>
  <c r="M40" i="233"/>
  <c r="L80" i="249"/>
  <c r="L91" i="234"/>
  <c r="K58" i="252"/>
  <c r="K53" i="235"/>
  <c r="K58" i="253" s="1"/>
  <c r="N81" i="1"/>
  <c r="O81" i="1" s="1"/>
  <c r="N93" i="233"/>
  <c r="O93" i="219"/>
  <c r="E72" i="2" s="1"/>
  <c r="F72" i="2" s="1"/>
  <c r="M59" i="249"/>
  <c r="M55" i="234"/>
  <c r="L59" i="252"/>
  <c r="L55" i="235"/>
  <c r="L59" i="253" s="1"/>
  <c r="M81" i="249"/>
  <c r="M93" i="234"/>
  <c r="M124" i="249"/>
  <c r="M103" i="234"/>
  <c r="M105" i="233"/>
  <c r="L124" i="252"/>
  <c r="L103" i="235"/>
  <c r="L105" i="234"/>
  <c r="K82" i="252"/>
  <c r="K95" i="235"/>
  <c r="K82" i="253" s="1"/>
  <c r="L43" i="252"/>
  <c r="L24" i="235"/>
  <c r="L43" i="253" s="1"/>
  <c r="AX60" i="231"/>
  <c r="AW60" i="231"/>
  <c r="D56" i="221"/>
  <c r="C66" i="16"/>
  <c r="C17" i="220"/>
  <c r="O56" i="16"/>
  <c r="D73" i="276"/>
  <c r="E70" i="276" s="1"/>
  <c r="D72" i="276"/>
  <c r="D74" i="276" s="1"/>
  <c r="D93" i="276" s="1"/>
  <c r="D97" i="276" s="1"/>
  <c r="O76" i="14"/>
  <c r="P76" i="14" s="1"/>
  <c r="N82" i="219"/>
  <c r="O82" i="218"/>
  <c r="C66" i="2" s="1"/>
  <c r="D66" i="2" s="1"/>
  <c r="O68" i="14"/>
  <c r="P68" i="14" s="1"/>
  <c r="N66" i="219"/>
  <c r="AU59" i="231"/>
  <c r="O66" i="218"/>
  <c r="C58" i="2" s="1"/>
  <c r="D58" i="2" s="1"/>
  <c r="O79" i="14"/>
  <c r="P79" i="14" s="1"/>
  <c r="N87" i="219"/>
  <c r="AU70" i="231"/>
  <c r="O87" i="218"/>
  <c r="C69" i="2" s="1"/>
  <c r="D69" i="2" s="1"/>
  <c r="M65" i="1"/>
  <c r="M62" i="233"/>
  <c r="O59" i="14"/>
  <c r="P59" i="14" s="1"/>
  <c r="N53" i="219"/>
  <c r="AU51" i="231"/>
  <c r="AY51" i="231" s="1"/>
  <c r="O53" i="218"/>
  <c r="C49" i="2" s="1"/>
  <c r="D49" i="2" s="1"/>
  <c r="AT70" i="231"/>
  <c r="AS70" i="231"/>
  <c r="N74" i="1"/>
  <c r="O74" i="1" s="1"/>
  <c r="N80" i="233"/>
  <c r="O80" i="219"/>
  <c r="E65" i="2" s="1"/>
  <c r="F65" i="2" s="1"/>
  <c r="K73" i="252"/>
  <c r="K78" i="235"/>
  <c r="K73" i="253" s="1"/>
  <c r="N72" i="1"/>
  <c r="O72" i="1" s="1"/>
  <c r="N76" i="233"/>
  <c r="O76" i="219"/>
  <c r="E63" i="2" s="1"/>
  <c r="F63" i="2" s="1"/>
  <c r="BA60" i="231"/>
  <c r="BB60" i="231"/>
  <c r="O66" i="14"/>
  <c r="P66" i="14" s="1"/>
  <c r="N62" i="219"/>
  <c r="AU57" i="231"/>
  <c r="O62" i="218"/>
  <c r="C56" i="2" s="1"/>
  <c r="D56" i="2" s="1"/>
  <c r="J37" i="276"/>
  <c r="I50" i="276"/>
  <c r="I54" i="276" s="1"/>
  <c r="I58" i="276" s="1"/>
  <c r="L135" i="1"/>
  <c r="M40" i="249"/>
  <c r="M35" i="276"/>
  <c r="M18" i="234"/>
  <c r="H77" i="31"/>
  <c r="D80" i="31"/>
  <c r="M71" i="1"/>
  <c r="M74" i="233"/>
  <c r="O81" i="14"/>
  <c r="P81" i="14" s="1"/>
  <c r="N91" i="219"/>
  <c r="AU74" i="231"/>
  <c r="O91" i="218"/>
  <c r="C71" i="2" s="1"/>
  <c r="D71" i="2" s="1"/>
  <c r="M50" i="249"/>
  <c r="M46" i="276"/>
  <c r="M38" i="234"/>
  <c r="O83" i="14"/>
  <c r="P83" i="14" s="1"/>
  <c r="N95" i="219"/>
  <c r="O95" i="218"/>
  <c r="C73" i="2" s="1"/>
  <c r="D73" i="2" s="1"/>
  <c r="K124" i="253"/>
  <c r="K105" i="235"/>
  <c r="N47" i="16"/>
  <c r="O47" i="16" s="1"/>
  <c r="D47" i="221" s="1"/>
  <c r="O52" i="14"/>
  <c r="P52" i="14" s="1"/>
  <c r="N40" i="219"/>
  <c r="O40" i="218"/>
  <c r="C42" i="2" s="1"/>
  <c r="D42" i="2" s="1"/>
  <c r="K134" i="249"/>
  <c r="M89" i="16"/>
  <c r="N86" i="16"/>
  <c r="N89" i="16" s="1"/>
  <c r="C66" i="276"/>
  <c r="O56" i="276"/>
  <c r="J58" i="253"/>
  <c r="AT39" i="231"/>
  <c r="AS39" i="231"/>
  <c r="AT61" i="231"/>
  <c r="AS61" i="231"/>
  <c r="M118" i="220"/>
  <c r="N117" i="220"/>
  <c r="N116" i="220"/>
  <c r="N68" i="1"/>
  <c r="O68" i="1" s="1"/>
  <c r="N68" i="233"/>
  <c r="AX31" i="231"/>
  <c r="AW31" i="231"/>
  <c r="J36" i="232"/>
  <c r="K25" i="232"/>
  <c r="AY31" i="231"/>
  <c r="K69" i="252"/>
  <c r="K70" i="235"/>
  <c r="K69" i="253" s="1"/>
  <c r="O72" i="14"/>
  <c r="P72" i="14" s="1"/>
  <c r="N74" i="219"/>
  <c r="AU64" i="231"/>
  <c r="O74" i="218"/>
  <c r="C62" i="2" s="1"/>
  <c r="D62" i="2" s="1"/>
  <c r="M82" i="1"/>
  <c r="M95" i="233"/>
  <c r="M48" i="249"/>
  <c r="M44" i="276"/>
  <c r="M34" i="234"/>
  <c r="L50" i="252"/>
  <c r="L38" i="235"/>
  <c r="L50" i="253" s="1"/>
  <c r="N124" i="1"/>
  <c r="N103" i="233"/>
  <c r="N105" i="219"/>
  <c r="O103" i="219"/>
  <c r="O105" i="219" s="1"/>
  <c r="AW72" i="231"/>
  <c r="AX72" i="231"/>
  <c r="AY72" i="231"/>
  <c r="AX38" i="231"/>
  <c r="AW38" i="231"/>
  <c r="M47" i="1"/>
  <c r="M43" i="220"/>
  <c r="M32" i="233"/>
  <c r="O70" i="14"/>
  <c r="P70" i="14" s="1"/>
  <c r="N70" i="219"/>
  <c r="AU61" i="231"/>
  <c r="O70" i="218"/>
  <c r="C60" i="2" s="1"/>
  <c r="D60" i="2" s="1"/>
  <c r="AX49" i="231"/>
  <c r="AW49" i="231"/>
  <c r="AS30" i="231"/>
  <c r="AT30" i="231" s="1"/>
  <c r="M70" i="249"/>
  <c r="M72" i="234"/>
  <c r="AX53" i="231"/>
  <c r="AW53" i="231"/>
  <c r="AY53" i="231"/>
  <c r="L40" i="252"/>
  <c r="L18" i="235"/>
  <c r="L40" i="253" s="1"/>
  <c r="L77" i="252"/>
  <c r="L85" i="235"/>
  <c r="L77" i="253" s="1"/>
  <c r="K39" i="253"/>
  <c r="L38" i="249"/>
  <c r="L33" i="276"/>
  <c r="L14" i="234"/>
  <c r="L97" i="233"/>
  <c r="L44" i="252"/>
  <c r="L26" i="235"/>
  <c r="L44" i="253" s="1"/>
  <c r="AX62" i="231"/>
  <c r="AW62" i="231"/>
  <c r="M74" i="249"/>
  <c r="M80" i="234"/>
  <c r="AY49" i="231"/>
  <c r="BA36" i="231"/>
  <c r="BB36" i="231" s="1"/>
  <c r="N39" i="1"/>
  <c r="O39" i="1" s="1"/>
  <c r="N34" i="220"/>
  <c r="O34" i="220" s="1"/>
  <c r="F34" i="221" s="1"/>
  <c r="N16" i="233"/>
  <c r="O16" i="219"/>
  <c r="E30" i="2" s="1"/>
  <c r="F30" i="2" s="1"/>
  <c r="N41" i="1"/>
  <c r="O41" i="1" s="1"/>
  <c r="N36" i="220"/>
  <c r="O36" i="220" s="1"/>
  <c r="F36" i="221" s="1"/>
  <c r="N20" i="233"/>
  <c r="O20" i="219"/>
  <c r="E32" i="2" s="1"/>
  <c r="F32" i="2" s="1"/>
  <c r="M78" i="1"/>
  <c r="M87" i="233"/>
  <c r="L66" i="252"/>
  <c r="L64" i="235"/>
  <c r="L66" i="253" s="1"/>
  <c r="AW35" i="231"/>
  <c r="AX35" i="231"/>
  <c r="AY35" i="231"/>
  <c r="AT43" i="231"/>
  <c r="AS43" i="231"/>
  <c r="K47" i="252"/>
  <c r="K32" i="235"/>
  <c r="K47" i="253" s="1"/>
  <c r="J47" i="253"/>
  <c r="L48" i="252"/>
  <c r="L34" i="235"/>
  <c r="L48" i="253" s="1"/>
  <c r="I134" i="253"/>
  <c r="L69" i="249"/>
  <c r="L70" i="234"/>
  <c r="P65" i="232"/>
  <c r="F70" i="3"/>
  <c r="D42" i="8" s="1"/>
  <c r="N79" i="1"/>
  <c r="O79" i="1" s="1"/>
  <c r="N89" i="233"/>
  <c r="O89" i="219"/>
  <c r="E70" i="2" s="1"/>
  <c r="F70" i="2" s="1"/>
  <c r="M46" i="249"/>
  <c r="M42" i="276"/>
  <c r="M30" i="234"/>
  <c r="N46" i="1"/>
  <c r="O46" i="1" s="1"/>
  <c r="N42" i="220"/>
  <c r="O42" i="220" s="1"/>
  <c r="F42" i="221" s="1"/>
  <c r="N30" i="233"/>
  <c r="O30" i="219"/>
  <c r="E37" i="2" s="1"/>
  <c r="F37" i="2" s="1"/>
  <c r="N43" i="16"/>
  <c r="O43" i="16" s="1"/>
  <c r="D43" i="221" s="1"/>
  <c r="O48" i="14"/>
  <c r="P48" i="14" s="1"/>
  <c r="N32" i="219"/>
  <c r="AU39" i="231"/>
  <c r="AY39" i="231" s="1"/>
  <c r="O32" i="218"/>
  <c r="C38" i="2" s="1"/>
  <c r="D38" i="2" s="1"/>
  <c r="M69" i="1"/>
  <c r="M70" i="233"/>
  <c r="N49" i="16"/>
  <c r="O49" i="16" s="1"/>
  <c r="D49" i="221" s="1"/>
  <c r="O54" i="14"/>
  <c r="P54" i="14" s="1"/>
  <c r="N44" i="219"/>
  <c r="O44" i="218"/>
  <c r="C44" i="2" s="1"/>
  <c r="D44" i="2" s="1"/>
  <c r="N57" i="1"/>
  <c r="O57" i="1" s="1"/>
  <c r="N51" i="233"/>
  <c r="O51" i="219"/>
  <c r="E48" i="2" s="1"/>
  <c r="F48" i="2" s="1"/>
  <c r="N61" i="1"/>
  <c r="O61" i="1" s="1"/>
  <c r="N59" i="233"/>
  <c r="O59" i="219"/>
  <c r="E52" i="2" s="1"/>
  <c r="F52" i="2" s="1"/>
  <c r="L57" i="252"/>
  <c r="L51" i="235"/>
  <c r="L57" i="253" s="1"/>
  <c r="M38" i="1"/>
  <c r="M33" i="220"/>
  <c r="M14" i="233"/>
  <c r="M97" i="219"/>
  <c r="N59" i="1"/>
  <c r="O59" i="1" s="1"/>
  <c r="N55" i="233"/>
  <c r="O55" i="219"/>
  <c r="E50" i="2" s="1"/>
  <c r="F50" i="2" s="1"/>
  <c r="L78" i="249"/>
  <c r="L87" i="234"/>
  <c r="N70" i="1"/>
  <c r="O70" i="1" s="1"/>
  <c r="N72" i="233"/>
  <c r="O72" i="219"/>
  <c r="E61" i="2" s="1"/>
  <c r="F61" i="2" s="1"/>
  <c r="D73" i="16"/>
  <c r="E70" i="16" s="1"/>
  <c r="D72" i="16"/>
  <c r="AX33" i="231"/>
  <c r="AW33" i="231"/>
  <c r="E68" i="232"/>
  <c r="E69" i="232" s="1"/>
  <c r="F63" i="232" s="1"/>
  <c r="E90" i="231"/>
  <c r="F90" i="231" s="1"/>
  <c r="N43" i="1"/>
  <c r="O43" i="1" s="1"/>
  <c r="N39" i="220"/>
  <c r="O39" i="220" s="1"/>
  <c r="F39" i="221" s="1"/>
  <c r="N24" i="233"/>
  <c r="O24" i="219"/>
  <c r="E34" i="2" s="1"/>
  <c r="F34" i="2" s="1"/>
  <c r="AX69" i="231"/>
  <c r="AW69" i="231"/>
  <c r="N45" i="16"/>
  <c r="O45" i="16" s="1"/>
  <c r="D45" i="221" s="1"/>
  <c r="O50" i="14"/>
  <c r="P50" i="14" s="1"/>
  <c r="N36" i="219"/>
  <c r="AU43" i="231"/>
  <c r="O36" i="218"/>
  <c r="C40" i="2" s="1"/>
  <c r="D40" i="2" s="1"/>
  <c r="K78" i="252"/>
  <c r="K87" i="235"/>
  <c r="K78" i="253" s="1"/>
  <c r="L46" i="252"/>
  <c r="L30" i="235"/>
  <c r="L46" i="253" s="1"/>
  <c r="K49" i="252"/>
  <c r="K36" i="235"/>
  <c r="K49" i="253" s="1"/>
  <c r="L81" i="252"/>
  <c r="L93" i="235"/>
  <c r="L81" i="253" s="1"/>
  <c r="I50" i="16"/>
  <c r="I54" i="16" s="1"/>
  <c r="I58" i="16" s="1"/>
  <c r="J37" i="16"/>
  <c r="L60" i="249"/>
  <c r="L57" i="234"/>
  <c r="AX32" i="231"/>
  <c r="AW32" i="231"/>
  <c r="AY32" i="231"/>
  <c r="L72" i="252"/>
  <c r="L76" i="235"/>
  <c r="L72" i="253" s="1"/>
  <c r="M42" i="249"/>
  <c r="M38" i="276"/>
  <c r="M22" i="234"/>
  <c r="L51" i="249"/>
  <c r="L47" i="276"/>
  <c r="L40" i="234"/>
  <c r="M53" i="1"/>
  <c r="M49" i="220"/>
  <c r="M44" i="233"/>
  <c r="M44" i="232"/>
  <c r="K80" i="252"/>
  <c r="K91" i="235"/>
  <c r="L39" i="252"/>
  <c r="L16" i="235"/>
  <c r="L39" i="253" s="1"/>
  <c r="L42" i="252"/>
  <c r="L22" i="235"/>
  <c r="L42" i="253" s="1"/>
  <c r="L134" i="1"/>
  <c r="M135" i="1" s="1"/>
  <c r="L75" i="249"/>
  <c r="L82" i="234"/>
  <c r="J134" i="253"/>
  <c r="K135" i="253" s="1"/>
  <c r="M68" i="249"/>
  <c r="M68" i="234"/>
  <c r="L70" i="252"/>
  <c r="L72" i="235"/>
  <c r="L70" i="253" s="1"/>
  <c r="M79" i="249"/>
  <c r="M89" i="234"/>
  <c r="M66" i="249"/>
  <c r="M64" i="234"/>
  <c r="M89" i="276"/>
  <c r="N86" i="276"/>
  <c r="N89" i="276" s="1"/>
  <c r="L65" i="249"/>
  <c r="L62" i="234"/>
  <c r="K53" i="252"/>
  <c r="K44" i="235"/>
  <c r="K53" i="253" s="1"/>
  <c r="N77" i="1"/>
  <c r="O77" i="1" s="1"/>
  <c r="N85" i="233"/>
  <c r="O85" i="219"/>
  <c r="E68" i="2" s="1"/>
  <c r="F68" i="2" s="1"/>
  <c r="M49" i="1"/>
  <c r="M45" i="220"/>
  <c r="M36" i="233"/>
  <c r="M41" i="249"/>
  <c r="M36" i="276"/>
  <c r="M20" i="234"/>
  <c r="AX58" i="231"/>
  <c r="AW58" i="231"/>
  <c r="AY58" i="231"/>
  <c r="AW47" i="231"/>
  <c r="AX47" i="231"/>
  <c r="AS48" i="231"/>
  <c r="AT48" i="231"/>
  <c r="L56" i="249"/>
  <c r="L49" i="234"/>
  <c r="O23" i="220"/>
  <c r="O25" i="220" s="1"/>
  <c r="C25" i="220"/>
  <c r="C54" i="220" s="1"/>
  <c r="N40" i="1"/>
  <c r="O40" i="1" s="1"/>
  <c r="N35" i="220"/>
  <c r="O35" i="220" s="1"/>
  <c r="F35" i="221" s="1"/>
  <c r="N18" i="233"/>
  <c r="O18" i="219"/>
  <c r="E31" i="2" s="1"/>
  <c r="F31" i="2" s="1"/>
  <c r="AX45" i="231"/>
  <c r="AW45" i="231"/>
  <c r="M52" i="249"/>
  <c r="M48" i="276"/>
  <c r="M42" i="234"/>
  <c r="K65" i="252"/>
  <c r="K62" i="235"/>
  <c r="K65" i="253" s="1"/>
  <c r="O74" i="14"/>
  <c r="P74" i="14" s="1"/>
  <c r="N78" i="219"/>
  <c r="O78" i="218"/>
  <c r="C64" i="2" s="1"/>
  <c r="D64" i="2" s="1"/>
  <c r="AX34" i="231"/>
  <c r="AW34" i="231"/>
  <c r="L61" i="252"/>
  <c r="L59" i="235"/>
  <c r="L61" i="253" s="1"/>
  <c r="N33" i="16"/>
  <c r="O33" i="16" s="1"/>
  <c r="D33" i="221" s="1"/>
  <c r="O39" i="14"/>
  <c r="P39" i="14" s="1"/>
  <c r="N97" i="218"/>
  <c r="N14" i="219"/>
  <c r="AU30" i="231"/>
  <c r="AY30" i="231" s="1"/>
  <c r="O14" i="218"/>
  <c r="K67" i="252"/>
  <c r="K66" i="235"/>
  <c r="K67" i="253" s="1"/>
  <c r="M57" i="249"/>
  <c r="M51" i="234"/>
  <c r="M61" i="249"/>
  <c r="M59" i="234"/>
  <c r="K45" i="252"/>
  <c r="K28" i="235"/>
  <c r="K45" i="253" s="1"/>
  <c r="M19" i="269"/>
  <c r="P29" i="10"/>
  <c r="N19" i="269" s="1"/>
  <c r="H87" i="31"/>
  <c r="K87" i="31" s="1"/>
  <c r="L71" i="249"/>
  <c r="L74" i="234"/>
  <c r="L49" i="249"/>
  <c r="L45" i="276"/>
  <c r="L36" i="234"/>
  <c r="L41" i="252"/>
  <c r="L20" i="235"/>
  <c r="L41" i="253" s="1"/>
  <c r="L67" i="249"/>
  <c r="L66" i="234"/>
  <c r="N66" i="1"/>
  <c r="O66" i="1" s="1"/>
  <c r="N64" i="233"/>
  <c r="O64" i="219"/>
  <c r="E57" i="2" s="1"/>
  <c r="F57" i="2" s="1"/>
  <c r="N55" i="1"/>
  <c r="O55" i="1" s="1"/>
  <c r="N47" i="233"/>
  <c r="O47" i="219"/>
  <c r="E46" i="2" s="1"/>
  <c r="F46" i="2" s="1"/>
  <c r="G92" i="2"/>
  <c r="J36" i="3"/>
  <c r="J37" i="3" s="1"/>
  <c r="Z18" i="30"/>
  <c r="Y19" i="30"/>
  <c r="Y22" i="30" s="1"/>
  <c r="M56" i="1"/>
  <c r="M49" i="233"/>
  <c r="M60" i="1"/>
  <c r="M57" i="233"/>
  <c r="M77" i="249"/>
  <c r="M85" i="234"/>
  <c r="AT37" i="231"/>
  <c r="AS37" i="231"/>
  <c r="AW41" i="231"/>
  <c r="AX41" i="231"/>
  <c r="AY41" i="231"/>
  <c r="D74" i="220"/>
  <c r="D93" i="220" s="1"/>
  <c r="D97" i="220" s="1"/>
  <c r="M63" i="16"/>
  <c r="Q12" i="214"/>
  <c r="M63" i="276"/>
  <c r="M63" i="220"/>
  <c r="BA66" i="231"/>
  <c r="BB66" i="231"/>
  <c r="L45" i="249"/>
  <c r="L41" i="276"/>
  <c r="L28" i="234"/>
  <c r="AX36" i="231"/>
  <c r="AW36" i="231"/>
  <c r="K38" i="252"/>
  <c r="K97" i="234"/>
  <c r="K97" i="235" s="1"/>
  <c r="K14" i="235"/>
  <c r="K38" i="253" s="1"/>
  <c r="N50" i="1"/>
  <c r="O50" i="1" s="1"/>
  <c r="N46" i="220"/>
  <c r="O46" i="220" s="1"/>
  <c r="F46" i="221" s="1"/>
  <c r="N38" i="233"/>
  <c r="O38" i="219"/>
  <c r="E41" i="2" s="1"/>
  <c r="F41" i="2" s="1"/>
  <c r="J37" i="220"/>
  <c r="I50" i="220"/>
  <c r="I54" i="220" s="1"/>
  <c r="I58" i="220" s="1"/>
  <c r="M73" i="1"/>
  <c r="M78" i="233"/>
  <c r="N42" i="1"/>
  <c r="O42" i="1" s="1"/>
  <c r="N38" i="220"/>
  <c r="O38" i="220" s="1"/>
  <c r="F38" i="221" s="1"/>
  <c r="N22" i="233"/>
  <c r="O22" i="219"/>
  <c r="E33" i="2" s="1"/>
  <c r="F33" i="2" s="1"/>
  <c r="L47" i="249"/>
  <c r="L43" i="276"/>
  <c r="L32" i="234"/>
  <c r="N138" i="14"/>
  <c r="O139" i="14" s="1"/>
  <c r="O44" i="232" s="1"/>
  <c r="L79" i="252"/>
  <c r="L89" i="235"/>
  <c r="L79" i="253" s="1"/>
  <c r="K71" i="252"/>
  <c r="K74" i="235"/>
  <c r="K71" i="253" s="1"/>
  <c r="AT59" i="231"/>
  <c r="AS59" i="231"/>
  <c r="J134" i="252"/>
  <c r="K56" i="252"/>
  <c r="K49" i="235"/>
  <c r="K56" i="253" s="1"/>
  <c r="M43" i="249"/>
  <c r="M39" i="276"/>
  <c r="M24" i="234"/>
  <c r="O57" i="14"/>
  <c r="P57" i="14" s="1"/>
  <c r="N49" i="219"/>
  <c r="AU48" i="231"/>
  <c r="O49" i="218"/>
  <c r="C47" i="2" s="1"/>
  <c r="D47" i="2" s="1"/>
  <c r="L82" i="249"/>
  <c r="L95" i="234"/>
  <c r="N48" i="1"/>
  <c r="O48" i="1" s="1"/>
  <c r="N44" i="220"/>
  <c r="O44" i="220" s="1"/>
  <c r="F44" i="221" s="1"/>
  <c r="N34" i="233"/>
  <c r="E73" i="220"/>
  <c r="F70" i="220" s="1"/>
  <c r="E72" i="220"/>
  <c r="N44" i="1"/>
  <c r="O44" i="1" s="1"/>
  <c r="N40" i="220"/>
  <c r="O40" i="220" s="1"/>
  <c r="F40" i="221" s="1"/>
  <c r="N26" i="233"/>
  <c r="O26" i="219"/>
  <c r="E35" i="2" s="1"/>
  <c r="F35" i="2" s="1"/>
  <c r="L52" i="252"/>
  <c r="L42" i="235"/>
  <c r="L52" i="253" s="1"/>
  <c r="L68" i="252"/>
  <c r="L68" i="235"/>
  <c r="L68" i="253" s="1"/>
  <c r="L53" i="249"/>
  <c r="L49" i="276"/>
  <c r="L44" i="234"/>
  <c r="L73" i="249"/>
  <c r="L78" i="234"/>
  <c r="L74" i="252"/>
  <c r="L80" i="235"/>
  <c r="L74" i="253" s="1"/>
  <c r="L58" i="249"/>
  <c r="L53" i="234"/>
  <c r="M39" i="249"/>
  <c r="M34" i="276"/>
  <c r="M16" i="234"/>
  <c r="K51" i="252"/>
  <c r="K40" i="235"/>
  <c r="K51" i="253" s="1"/>
  <c r="M75" i="1"/>
  <c r="M82" i="233"/>
  <c r="M67" i="1"/>
  <c r="M66" i="233"/>
  <c r="AY43" i="231"/>
  <c r="AY62" i="231"/>
  <c r="O72" i="18"/>
  <c r="K73" i="18"/>
  <c r="N73" i="18" s="1"/>
  <c r="N72" i="18"/>
  <c r="P72" i="18" s="1"/>
  <c r="Q71" i="18" s="1"/>
  <c r="F80" i="21"/>
  <c r="E36" i="21"/>
  <c r="G36" i="21" s="1"/>
  <c r="B37" i="21"/>
  <c r="J25" i="2"/>
  <c r="N69" i="32"/>
  <c r="L55" i="32" l="1"/>
  <c r="N118" i="220"/>
  <c r="C58" i="220"/>
  <c r="J87" i="31"/>
  <c r="K77" i="220"/>
  <c r="J79" i="220"/>
  <c r="K78" i="220"/>
  <c r="J79" i="16"/>
  <c r="K78" i="16"/>
  <c r="K77" i="16"/>
  <c r="N14" i="263"/>
  <c r="N14" i="264" s="1"/>
  <c r="N14" i="265" s="1"/>
  <c r="N14" i="262"/>
  <c r="O124" i="1"/>
  <c r="H70" i="3" s="1"/>
  <c r="F42" i="8" s="1"/>
  <c r="J79" i="276"/>
  <c r="K77" i="276"/>
  <c r="K78" i="276"/>
  <c r="C54" i="276"/>
  <c r="C58" i="276" s="1"/>
  <c r="J77" i="31"/>
  <c r="J80" i="31" s="1"/>
  <c r="K77" i="31"/>
  <c r="K80" i="31" s="1"/>
  <c r="E37" i="20"/>
  <c r="G37" i="20" s="1"/>
  <c r="B38" i="20"/>
  <c r="P35" i="19"/>
  <c r="Q34" i="19" s="1"/>
  <c r="O35" i="19"/>
  <c r="M95" i="14" s="1"/>
  <c r="N92" i="14"/>
  <c r="K25" i="2"/>
  <c r="P69" i="32" s="1"/>
  <c r="T21" i="30"/>
  <c r="T23" i="30" s="1"/>
  <c r="J25" i="215" s="1"/>
  <c r="U16" i="30"/>
  <c r="U17" i="30" s="1"/>
  <c r="U21" i="30" s="1"/>
  <c r="P139" i="14"/>
  <c r="I29" i="270"/>
  <c r="H20" i="1"/>
  <c r="H25" i="1" s="1"/>
  <c r="I29" i="271"/>
  <c r="H20" i="249"/>
  <c r="H25" i="249" s="1"/>
  <c r="H20" i="252"/>
  <c r="H25" i="252" s="1"/>
  <c r="I29" i="272"/>
  <c r="H20" i="253"/>
  <c r="H25" i="253" s="1"/>
  <c r="I29" i="273"/>
  <c r="I20" i="14"/>
  <c r="I26" i="14" s="1"/>
  <c r="I29" i="215"/>
  <c r="F55" i="3"/>
  <c r="F56" i="3"/>
  <c r="BB39" i="231"/>
  <c r="BA39" i="231"/>
  <c r="N48" i="249"/>
  <c r="O48" i="249" s="1"/>
  <c r="N44" i="276"/>
  <c r="N34" i="234"/>
  <c r="O34" i="233"/>
  <c r="G39" i="2" s="1"/>
  <c r="H39" i="2" s="1"/>
  <c r="K135" i="252"/>
  <c r="L47" i="252"/>
  <c r="L32" i="235"/>
  <c r="L47" i="253" s="1"/>
  <c r="M56" i="249"/>
  <c r="M49" i="234"/>
  <c r="H22" i="8"/>
  <c r="H92" i="2"/>
  <c r="D7" i="38" s="1"/>
  <c r="AW30" i="231"/>
  <c r="AX30" i="231" s="1"/>
  <c r="L60" i="252"/>
  <c r="L57" i="235"/>
  <c r="L60" i="253" s="1"/>
  <c r="D74" i="16"/>
  <c r="D93" i="16" s="1"/>
  <c r="D97" i="16" s="1"/>
  <c r="N47" i="1"/>
  <c r="O47" i="1" s="1"/>
  <c r="N43" i="220"/>
  <c r="O43" i="220" s="1"/>
  <c r="F43" i="221" s="1"/>
  <c r="N32" i="233"/>
  <c r="O32" i="219"/>
  <c r="E38" i="2" s="1"/>
  <c r="F38" i="2" s="1"/>
  <c r="BA35" i="231"/>
  <c r="BB35" i="231" s="1"/>
  <c r="N41" i="249"/>
  <c r="O41" i="249" s="1"/>
  <c r="N36" i="276"/>
  <c r="O36" i="276" s="1"/>
  <c r="H36" i="221" s="1"/>
  <c r="N20" i="234"/>
  <c r="O20" i="233"/>
  <c r="G32" i="2" s="1"/>
  <c r="H32" i="2" s="1"/>
  <c r="M47" i="249"/>
  <c r="M43" i="276"/>
  <c r="M32" i="234"/>
  <c r="M48" i="252"/>
  <c r="M34" i="235"/>
  <c r="M48" i="253" s="1"/>
  <c r="N68" i="249"/>
  <c r="O68" i="249" s="1"/>
  <c r="N68" i="234"/>
  <c r="O68" i="233"/>
  <c r="G59" i="2" s="1"/>
  <c r="H59" i="2" s="1"/>
  <c r="C125" i="16"/>
  <c r="C125" i="220"/>
  <c r="C125" i="276"/>
  <c r="I82" i="2"/>
  <c r="J82" i="2" s="1"/>
  <c r="H82" i="31"/>
  <c r="N78" i="1"/>
  <c r="O78" i="1" s="1"/>
  <c r="N87" i="233"/>
  <c r="O87" i="219"/>
  <c r="E69" i="2" s="1"/>
  <c r="F69" i="2" s="1"/>
  <c r="N75" i="1"/>
  <c r="O75" i="1" s="1"/>
  <c r="N82" i="233"/>
  <c r="O82" i="219"/>
  <c r="E66" i="2" s="1"/>
  <c r="F66" i="2" s="1"/>
  <c r="L124" i="253"/>
  <c r="L105" i="235"/>
  <c r="N60" i="1"/>
  <c r="O60" i="1" s="1"/>
  <c r="N57" i="233"/>
  <c r="O57" i="219"/>
  <c r="E51" i="2" s="1"/>
  <c r="F51" i="2" s="1"/>
  <c r="K134" i="252"/>
  <c r="L135" i="252" s="1"/>
  <c r="BA37" i="231"/>
  <c r="BB37" i="231" s="1"/>
  <c r="BA51" i="231"/>
  <c r="BB51" i="231"/>
  <c r="M61" i="252"/>
  <c r="M59" i="235"/>
  <c r="M61" i="253" s="1"/>
  <c r="N38" i="1"/>
  <c r="O38" i="1" s="1"/>
  <c r="N33" i="220"/>
  <c r="N97" i="219"/>
  <c r="N14" i="233"/>
  <c r="O14" i="219"/>
  <c r="BA58" i="231"/>
  <c r="BB58" i="231" s="1"/>
  <c r="M68" i="252"/>
  <c r="M68" i="235"/>
  <c r="M68" i="253" s="1"/>
  <c r="E73" i="16"/>
  <c r="F70" i="16" s="1"/>
  <c r="E72" i="16"/>
  <c r="N59" i="249"/>
  <c r="O59" i="249" s="1"/>
  <c r="N55" i="234"/>
  <c r="O55" i="233"/>
  <c r="G50" i="2" s="1"/>
  <c r="H50" i="2" s="1"/>
  <c r="N53" i="1"/>
  <c r="O53" i="1" s="1"/>
  <c r="N49" i="220"/>
  <c r="O49" i="220" s="1"/>
  <c r="F49" i="221" s="1"/>
  <c r="N44" i="233"/>
  <c r="O44" i="219"/>
  <c r="E44" i="2" s="1"/>
  <c r="F44" i="2" s="1"/>
  <c r="M46" i="252"/>
  <c r="M30" i="235"/>
  <c r="M46" i="253" s="1"/>
  <c r="L69" i="252"/>
  <c r="L70" i="235"/>
  <c r="L69" i="253" s="1"/>
  <c r="BB49" i="231"/>
  <c r="BA49" i="231"/>
  <c r="L38" i="252"/>
  <c r="L97" i="234"/>
  <c r="L97" i="235" s="1"/>
  <c r="L14" i="235"/>
  <c r="L38" i="253" s="1"/>
  <c r="AW74" i="231"/>
  <c r="AX74" i="231"/>
  <c r="M40" i="252"/>
  <c r="M18" i="235"/>
  <c r="M40" i="253" s="1"/>
  <c r="AX57" i="231"/>
  <c r="AW57" i="231"/>
  <c r="AX51" i="231"/>
  <c r="AW51" i="231"/>
  <c r="N52" i="249"/>
  <c r="O52" i="249" s="1"/>
  <c r="N48" i="276"/>
  <c r="N42" i="234"/>
  <c r="O42" i="233"/>
  <c r="G43" i="2" s="1"/>
  <c r="H43" i="2" s="1"/>
  <c r="M44" i="252"/>
  <c r="M26" i="235"/>
  <c r="M44" i="253" s="1"/>
  <c r="AY74" i="231"/>
  <c r="BB62" i="231"/>
  <c r="BA62" i="231"/>
  <c r="M39" i="252"/>
  <c r="M16" i="235"/>
  <c r="M39" i="253" s="1"/>
  <c r="K37" i="220"/>
  <c r="J50" i="220"/>
  <c r="J54" i="220" s="1"/>
  <c r="J58" i="220" s="1"/>
  <c r="Y24" i="30"/>
  <c r="N55" i="249"/>
  <c r="O55" i="249" s="1"/>
  <c r="N47" i="234"/>
  <c r="O47" i="233"/>
  <c r="G46" i="2" s="1"/>
  <c r="H46" i="2" s="1"/>
  <c r="N73" i="1"/>
  <c r="O73" i="1" s="1"/>
  <c r="N78" i="233"/>
  <c r="O78" i="219"/>
  <c r="E64" i="2" s="1"/>
  <c r="F64" i="2" s="1"/>
  <c r="L56" i="252"/>
  <c r="L49" i="235"/>
  <c r="L56" i="253" s="1"/>
  <c r="K37" i="16"/>
  <c r="J50" i="16"/>
  <c r="J54" i="16" s="1"/>
  <c r="J58" i="16" s="1"/>
  <c r="N61" i="249"/>
  <c r="O61" i="249" s="1"/>
  <c r="N59" i="234"/>
  <c r="O59" i="233"/>
  <c r="G52" i="2" s="1"/>
  <c r="H52" i="2" s="1"/>
  <c r="M74" i="252"/>
  <c r="M80" i="235"/>
  <c r="M74" i="253" s="1"/>
  <c r="N80" i="1"/>
  <c r="O80" i="1" s="1"/>
  <c r="N91" i="233"/>
  <c r="O91" i="219"/>
  <c r="E71" i="2" s="1"/>
  <c r="F71" i="2" s="1"/>
  <c r="N65" i="1"/>
  <c r="O65" i="1" s="1"/>
  <c r="N62" i="233"/>
  <c r="O62" i="219"/>
  <c r="E56" i="2" s="1"/>
  <c r="F56" i="2" s="1"/>
  <c r="N58" i="1"/>
  <c r="O58" i="1" s="1"/>
  <c r="N53" i="233"/>
  <c r="O53" i="219"/>
  <c r="E49" i="2" s="1"/>
  <c r="F49" i="2" s="1"/>
  <c r="L80" i="252"/>
  <c r="L91" i="235"/>
  <c r="L80" i="253" s="1"/>
  <c r="M55" i="252"/>
  <c r="M47" i="235"/>
  <c r="M55" i="253" s="1"/>
  <c r="N44" i="249"/>
  <c r="O44" i="249" s="1"/>
  <c r="N40" i="276"/>
  <c r="O40" i="276" s="1"/>
  <c r="H40" i="221" s="1"/>
  <c r="N26" i="234"/>
  <c r="O26" i="233"/>
  <c r="G35" i="2" s="1"/>
  <c r="H35" i="2" s="1"/>
  <c r="M43" i="252"/>
  <c r="M24" i="235"/>
  <c r="M43" i="253" s="1"/>
  <c r="N63" i="16"/>
  <c r="C102" i="16" s="1"/>
  <c r="D102" i="16" s="1"/>
  <c r="E102" i="16" s="1"/>
  <c r="F102" i="16" s="1"/>
  <c r="G102" i="16" s="1"/>
  <c r="H102" i="16" s="1"/>
  <c r="I102" i="16" s="1"/>
  <c r="J102" i="16" s="1"/>
  <c r="K102" i="16" s="1"/>
  <c r="L102" i="16" s="1"/>
  <c r="M102" i="16" s="1"/>
  <c r="N102" i="16" s="1"/>
  <c r="N63" i="276"/>
  <c r="C102" i="276" s="1"/>
  <c r="D102" i="276" s="1"/>
  <c r="E102" i="276" s="1"/>
  <c r="F102" i="276" s="1"/>
  <c r="G102" i="276" s="1"/>
  <c r="H102" i="276" s="1"/>
  <c r="I102" i="276" s="1"/>
  <c r="J102" i="276" s="1"/>
  <c r="K102" i="276" s="1"/>
  <c r="L102" i="276" s="1"/>
  <c r="M102" i="276" s="1"/>
  <c r="N102" i="276" s="1"/>
  <c r="N63" i="220"/>
  <c r="C102" i="220" s="1"/>
  <c r="D102" i="220" s="1"/>
  <c r="E102" i="220" s="1"/>
  <c r="F102" i="220" s="1"/>
  <c r="G102" i="220" s="1"/>
  <c r="H102" i="220" s="1"/>
  <c r="I102" i="220" s="1"/>
  <c r="J102" i="220" s="1"/>
  <c r="K102" i="220" s="1"/>
  <c r="L102" i="220" s="1"/>
  <c r="M102" i="220" s="1"/>
  <c r="N102" i="220" s="1"/>
  <c r="L49" i="252"/>
  <c r="L36" i="235"/>
  <c r="L49" i="253" s="1"/>
  <c r="M57" i="252"/>
  <c r="M51" i="235"/>
  <c r="M57" i="253" s="1"/>
  <c r="O138" i="14"/>
  <c r="N77" i="249"/>
  <c r="O77" i="249" s="1"/>
  <c r="N85" i="234"/>
  <c r="O85" i="233"/>
  <c r="G68" i="2" s="1"/>
  <c r="H68" i="2" s="1"/>
  <c r="M66" i="252"/>
  <c r="M64" i="235"/>
  <c r="M66" i="253" s="1"/>
  <c r="K80" i="253"/>
  <c r="N70" i="249"/>
  <c r="O70" i="249" s="1"/>
  <c r="N72" i="234"/>
  <c r="O72" i="233"/>
  <c r="G61" i="2" s="1"/>
  <c r="H61" i="2" s="1"/>
  <c r="J135" i="253"/>
  <c r="L134" i="249"/>
  <c r="M135" i="249" s="1"/>
  <c r="BB53" i="231"/>
  <c r="BA53" i="231"/>
  <c r="M82" i="249"/>
  <c r="M95" i="234"/>
  <c r="BB31" i="231"/>
  <c r="BA31" i="231"/>
  <c r="L135" i="249"/>
  <c r="N82" i="1"/>
  <c r="O82" i="1" s="1"/>
  <c r="N95" i="233"/>
  <c r="O95" i="219"/>
  <c r="E73" i="2" s="1"/>
  <c r="F73" i="2" s="1"/>
  <c r="E73" i="276"/>
  <c r="F70" i="276" s="1"/>
  <c r="E72" i="276"/>
  <c r="M124" i="252"/>
  <c r="M103" i="235"/>
  <c r="M105" i="234"/>
  <c r="M59" i="252"/>
  <c r="M55" i="235"/>
  <c r="M59" i="253" s="1"/>
  <c r="BA30" i="231"/>
  <c r="BB30" i="231" s="1"/>
  <c r="BA43" i="231"/>
  <c r="BB43" i="231"/>
  <c r="L53" i="252"/>
  <c r="L44" i="235"/>
  <c r="L53" i="253" s="1"/>
  <c r="L82" i="252"/>
  <c r="L95" i="235"/>
  <c r="L82" i="253" s="1"/>
  <c r="M67" i="249"/>
  <c r="M66" i="234"/>
  <c r="N42" i="249"/>
  <c r="O42" i="249" s="1"/>
  <c r="N38" i="276"/>
  <c r="O38" i="276" s="1"/>
  <c r="H38" i="221" s="1"/>
  <c r="N22" i="234"/>
  <c r="O22" i="233"/>
  <c r="G33" i="2" s="1"/>
  <c r="H33" i="2" s="1"/>
  <c r="N50" i="249"/>
  <c r="O50" i="249" s="1"/>
  <c r="N46" i="276"/>
  <c r="N38" i="234"/>
  <c r="O38" i="233"/>
  <c r="G41" i="2" s="1"/>
  <c r="H41" i="2" s="1"/>
  <c r="L45" i="252"/>
  <c r="L28" i="235"/>
  <c r="L45" i="253" s="1"/>
  <c r="M77" i="252"/>
  <c r="M85" i="235"/>
  <c r="M77" i="253" s="1"/>
  <c r="Z19" i="30"/>
  <c r="Z22" i="30" s="1"/>
  <c r="Z24" i="30"/>
  <c r="M41" i="252"/>
  <c r="M20" i="235"/>
  <c r="M41" i="253" s="1"/>
  <c r="L75" i="252"/>
  <c r="L82" i="235"/>
  <c r="L75" i="253" s="1"/>
  <c r="L51" i="252"/>
  <c r="L40" i="235"/>
  <c r="L51" i="253" s="1"/>
  <c r="N43" i="249"/>
  <c r="O43" i="249" s="1"/>
  <c r="N39" i="276"/>
  <c r="O39" i="276" s="1"/>
  <c r="H39" i="221" s="1"/>
  <c r="N24" i="234"/>
  <c r="O24" i="233"/>
  <c r="G34" i="2" s="1"/>
  <c r="H34" i="2" s="1"/>
  <c r="M38" i="249"/>
  <c r="M33" i="276"/>
  <c r="M14" i="234"/>
  <c r="M97" i="233"/>
  <c r="M69" i="249"/>
  <c r="M70" i="234"/>
  <c r="N39" i="249"/>
  <c r="O39" i="249" s="1"/>
  <c r="N34" i="276"/>
  <c r="O34" i="276" s="1"/>
  <c r="H34" i="221" s="1"/>
  <c r="N16" i="234"/>
  <c r="O16" i="233"/>
  <c r="G30" i="2" s="1"/>
  <c r="H30" i="2" s="1"/>
  <c r="N124" i="249"/>
  <c r="O124" i="249" s="1"/>
  <c r="J70" i="3" s="1"/>
  <c r="H42" i="8" s="1"/>
  <c r="N103" i="234"/>
  <c r="N105" i="233"/>
  <c r="O103" i="233"/>
  <c r="O105" i="233" s="1"/>
  <c r="K36" i="232"/>
  <c r="L25" i="232"/>
  <c r="M71" i="249"/>
  <c r="M74" i="234"/>
  <c r="N74" i="249"/>
  <c r="O74" i="249" s="1"/>
  <c r="N80" i="234"/>
  <c r="O80" i="233"/>
  <c r="G65" i="2" s="1"/>
  <c r="H65" i="2" s="1"/>
  <c r="M65" i="249"/>
  <c r="M62" i="234"/>
  <c r="AW59" i="231"/>
  <c r="AX59" i="231"/>
  <c r="AY59" i="231"/>
  <c r="M80" i="249"/>
  <c r="M91" i="234"/>
  <c r="H13" i="244"/>
  <c r="D36" i="2"/>
  <c r="AY57" i="231"/>
  <c r="M45" i="249"/>
  <c r="M41" i="276"/>
  <c r="M28" i="234"/>
  <c r="M72" i="252"/>
  <c r="M76" i="235"/>
  <c r="M72" i="253" s="1"/>
  <c r="M58" i="249"/>
  <c r="M53" i="234"/>
  <c r="L58" i="252"/>
  <c r="L53" i="235"/>
  <c r="L58" i="253" s="1"/>
  <c r="N66" i="249"/>
  <c r="O66" i="249" s="1"/>
  <c r="N64" i="234"/>
  <c r="O64" i="233"/>
  <c r="G57" i="2" s="1"/>
  <c r="H57" i="2" s="1"/>
  <c r="N40" i="249"/>
  <c r="O40" i="249" s="1"/>
  <c r="N35" i="276"/>
  <c r="O35" i="276" s="1"/>
  <c r="H35" i="221" s="1"/>
  <c r="N18" i="234"/>
  <c r="O18" i="233"/>
  <c r="G31" i="2" s="1"/>
  <c r="H31" i="2" s="1"/>
  <c r="M79" i="252"/>
  <c r="M89" i="235"/>
  <c r="M79" i="253" s="1"/>
  <c r="BA32" i="231"/>
  <c r="BB32" i="231"/>
  <c r="AX43" i="231"/>
  <c r="AW43" i="231"/>
  <c r="N57" i="249"/>
  <c r="O57" i="249" s="1"/>
  <c r="N51" i="234"/>
  <c r="O51" i="233"/>
  <c r="G48" i="2" s="1"/>
  <c r="H48" i="2" s="1"/>
  <c r="N79" i="249"/>
  <c r="O79" i="249" s="1"/>
  <c r="N89" i="234"/>
  <c r="O89" i="233"/>
  <c r="G70" i="2" s="1"/>
  <c r="H70" i="2" s="1"/>
  <c r="M78" i="249"/>
  <c r="M87" i="234"/>
  <c r="AX61" i="231"/>
  <c r="AW61" i="231"/>
  <c r="AY61" i="231"/>
  <c r="N51" i="1"/>
  <c r="O51" i="1" s="1"/>
  <c r="N47" i="220"/>
  <c r="O47" i="220" s="1"/>
  <c r="F47" i="221" s="1"/>
  <c r="N40" i="233"/>
  <c r="O40" i="219"/>
  <c r="E42" i="2" s="1"/>
  <c r="F42" i="2" s="1"/>
  <c r="M50" i="252"/>
  <c r="M38" i="235"/>
  <c r="M50" i="253" s="1"/>
  <c r="N67" i="1"/>
  <c r="O67" i="1" s="1"/>
  <c r="N66" i="233"/>
  <c r="O66" i="219"/>
  <c r="E58" i="2" s="1"/>
  <c r="F58" i="2" s="1"/>
  <c r="F17" i="221"/>
  <c r="O17" i="220"/>
  <c r="M81" i="252"/>
  <c r="M93" i="235"/>
  <c r="M81" i="253" s="1"/>
  <c r="M51" i="249"/>
  <c r="M47" i="276"/>
  <c r="M40" i="234"/>
  <c r="AW37" i="231"/>
  <c r="AX37" i="231" s="1"/>
  <c r="L73" i="252"/>
  <c r="L78" i="235"/>
  <c r="L73" i="253" s="1"/>
  <c r="M75" i="249"/>
  <c r="M82" i="234"/>
  <c r="E74" i="220"/>
  <c r="E93" i="220" s="1"/>
  <c r="E97" i="220" s="1"/>
  <c r="AX48" i="231"/>
  <c r="AW48" i="231"/>
  <c r="AY48" i="231"/>
  <c r="BA41" i="231"/>
  <c r="BB41" i="231"/>
  <c r="M60" i="249"/>
  <c r="M57" i="234"/>
  <c r="N49" i="1"/>
  <c r="O49" i="1" s="1"/>
  <c r="N45" i="220"/>
  <c r="O45" i="220" s="1"/>
  <c r="F45" i="221" s="1"/>
  <c r="N36" i="233"/>
  <c r="O36" i="219"/>
  <c r="E40" i="2" s="1"/>
  <c r="F40" i="2" s="1"/>
  <c r="L78" i="252"/>
  <c r="L87" i="235"/>
  <c r="L78" i="253" s="1"/>
  <c r="M134" i="1"/>
  <c r="N135" i="1" s="1"/>
  <c r="N46" i="249"/>
  <c r="O46" i="249" s="1"/>
  <c r="N42" i="276"/>
  <c r="N30" i="234"/>
  <c r="O30" i="233"/>
  <c r="G37" i="2" s="1"/>
  <c r="H37" i="2" s="1"/>
  <c r="M70" i="252"/>
  <c r="M72" i="235"/>
  <c r="M70" i="253" s="1"/>
  <c r="N69" i="1"/>
  <c r="O69" i="1" s="1"/>
  <c r="N70" i="233"/>
  <c r="O70" i="219"/>
  <c r="E60" i="2" s="1"/>
  <c r="F60" i="2" s="1"/>
  <c r="AW64" i="231"/>
  <c r="AX64" i="231"/>
  <c r="N81" i="249"/>
  <c r="O81" i="249" s="1"/>
  <c r="N93" i="234"/>
  <c r="O93" i="233"/>
  <c r="G72" i="2" s="1"/>
  <c r="H72" i="2" s="1"/>
  <c r="AY64" i="231"/>
  <c r="N45" i="1"/>
  <c r="O45" i="1" s="1"/>
  <c r="N41" i="220"/>
  <c r="O41" i="220" s="1"/>
  <c r="F41" i="221" s="1"/>
  <c r="N28" i="233"/>
  <c r="O28" i="219"/>
  <c r="E36" i="2" s="1"/>
  <c r="F73" i="220"/>
  <c r="G70" i="220" s="1"/>
  <c r="F72" i="220"/>
  <c r="N56" i="1"/>
  <c r="O56" i="1" s="1"/>
  <c r="N49" i="233"/>
  <c r="O49" i="219"/>
  <c r="E47" i="2" s="1"/>
  <c r="F47" i="2" s="1"/>
  <c r="M73" i="249"/>
  <c r="M78" i="234"/>
  <c r="K134" i="253"/>
  <c r="L135" i="253" s="1"/>
  <c r="L67" i="252"/>
  <c r="L66" i="235"/>
  <c r="L67" i="253" s="1"/>
  <c r="L71" i="252"/>
  <c r="L74" i="235"/>
  <c r="L71" i="253" s="1"/>
  <c r="O97" i="218"/>
  <c r="C29" i="2"/>
  <c r="D29" i="2" s="1"/>
  <c r="M52" i="252"/>
  <c r="M42" i="235"/>
  <c r="M52" i="253" s="1"/>
  <c r="M49" i="249"/>
  <c r="M45" i="276"/>
  <c r="M36" i="234"/>
  <c r="L65" i="252"/>
  <c r="L62" i="235"/>
  <c r="L65" i="253" s="1"/>
  <c r="M53" i="249"/>
  <c r="M49" i="276"/>
  <c r="M44" i="234"/>
  <c r="M42" i="252"/>
  <c r="M22" i="235"/>
  <c r="M42" i="253" s="1"/>
  <c r="AX39" i="231"/>
  <c r="AW39" i="231"/>
  <c r="BB72" i="231"/>
  <c r="BA72" i="231"/>
  <c r="N71" i="1"/>
  <c r="O71" i="1" s="1"/>
  <c r="N74" i="233"/>
  <c r="O74" i="219"/>
  <c r="E62" i="2" s="1"/>
  <c r="F62" i="2" s="1"/>
  <c r="K37" i="276"/>
  <c r="J50" i="276"/>
  <c r="J54" i="276" s="1"/>
  <c r="J58" i="276" s="1"/>
  <c r="N72" i="249"/>
  <c r="O72" i="249" s="1"/>
  <c r="N76" i="234"/>
  <c r="O76" i="233"/>
  <c r="G63" i="2" s="1"/>
  <c r="H63" i="2" s="1"/>
  <c r="AW70" i="231"/>
  <c r="AX70" i="231"/>
  <c r="AY70" i="231"/>
  <c r="O73" i="18"/>
  <c r="P73" i="18"/>
  <c r="Q73" i="18" s="1"/>
  <c r="S73" i="18"/>
  <c r="F81" i="21"/>
  <c r="E37" i="21"/>
  <c r="G37" i="21" s="1"/>
  <c r="B38" i="21"/>
  <c r="D95" i="31" l="1"/>
  <c r="D98" i="31" s="1"/>
  <c r="L78" i="276"/>
  <c r="L77" i="276"/>
  <c r="K79" i="276"/>
  <c r="L78" i="16"/>
  <c r="K79" i="16"/>
  <c r="L77" i="16"/>
  <c r="F74" i="220"/>
  <c r="F93" i="220" s="1"/>
  <c r="F97" i="220" s="1"/>
  <c r="L77" i="220"/>
  <c r="L78" i="220"/>
  <c r="K79" i="220"/>
  <c r="L25" i="2"/>
  <c r="E38" i="20"/>
  <c r="G38" i="20" s="1"/>
  <c r="B39" i="20"/>
  <c r="P36" i="19"/>
  <c r="O36" i="19"/>
  <c r="N95" i="14" s="1"/>
  <c r="O92" i="14"/>
  <c r="P92" i="14" s="1"/>
  <c r="P93" i="14" s="1"/>
  <c r="U23" i="30"/>
  <c r="K25" i="215" s="1"/>
  <c r="I20" i="252"/>
  <c r="I25" i="252" s="1"/>
  <c r="J29" i="272"/>
  <c r="J20" i="14"/>
  <c r="J26" i="14" s="1"/>
  <c r="J29" i="215"/>
  <c r="J29" i="270"/>
  <c r="I20" i="1"/>
  <c r="I25" i="1" s="1"/>
  <c r="I20" i="249"/>
  <c r="I25" i="249" s="1"/>
  <c r="J29" i="271"/>
  <c r="I20" i="253"/>
  <c r="I25" i="253" s="1"/>
  <c r="J29" i="273"/>
  <c r="V16" i="30"/>
  <c r="C135" i="1"/>
  <c r="O135" i="1" s="1"/>
  <c r="P138" i="14"/>
  <c r="N81" i="252"/>
  <c r="O81" i="252" s="1"/>
  <c r="N93" i="235"/>
  <c r="O93" i="234"/>
  <c r="I72" i="2" s="1"/>
  <c r="J72" i="2" s="1"/>
  <c r="N71" i="249"/>
  <c r="O71" i="249" s="1"/>
  <c r="N74" i="234"/>
  <c r="O74" i="233"/>
  <c r="G62" i="2" s="1"/>
  <c r="H62" i="2" s="1"/>
  <c r="G73" i="220"/>
  <c r="H70" i="220" s="1"/>
  <c r="G72" i="220"/>
  <c r="M51" i="252"/>
  <c r="M40" i="235"/>
  <c r="M51" i="253" s="1"/>
  <c r="N67" i="249"/>
  <c r="O67" i="249" s="1"/>
  <c r="N66" i="234"/>
  <c r="O66" i="233"/>
  <c r="G58" i="2" s="1"/>
  <c r="H58" i="2" s="1"/>
  <c r="BA61" i="231"/>
  <c r="BB61" i="231"/>
  <c r="N39" i="252"/>
  <c r="O39" i="252" s="1"/>
  <c r="N16" i="235"/>
  <c r="O16" i="234"/>
  <c r="I30" i="2" s="1"/>
  <c r="J30" i="2" s="1"/>
  <c r="M134" i="249"/>
  <c r="N65" i="249"/>
  <c r="O65" i="249" s="1"/>
  <c r="N62" i="234"/>
  <c r="O62" i="233"/>
  <c r="G56" i="2" s="1"/>
  <c r="H56" i="2" s="1"/>
  <c r="L134" i="252"/>
  <c r="M135" i="252" s="1"/>
  <c r="N53" i="249"/>
  <c r="O53" i="249" s="1"/>
  <c r="N49" i="276"/>
  <c r="N44" i="234"/>
  <c r="O44" i="233"/>
  <c r="G44" i="2" s="1"/>
  <c r="H44" i="2" s="1"/>
  <c r="N75" i="249"/>
  <c r="O75" i="249" s="1"/>
  <c r="N82" i="234"/>
  <c r="O82" i="233"/>
  <c r="G66" i="2" s="1"/>
  <c r="H66" i="2" s="1"/>
  <c r="C128" i="220"/>
  <c r="D125" i="220"/>
  <c r="N79" i="252"/>
  <c r="O79" i="252" s="1"/>
  <c r="N89" i="235"/>
  <c r="O89" i="234"/>
  <c r="I70" i="2" s="1"/>
  <c r="J70" i="2" s="1"/>
  <c r="N61" i="252"/>
  <c r="O61" i="252" s="1"/>
  <c r="N59" i="235"/>
  <c r="O59" i="234"/>
  <c r="I52" i="2" s="1"/>
  <c r="J52" i="2" s="1"/>
  <c r="O33" i="220"/>
  <c r="C128" i="16"/>
  <c r="D125" i="16"/>
  <c r="N47" i="249"/>
  <c r="O47" i="249" s="1"/>
  <c r="N43" i="276"/>
  <c r="N32" i="234"/>
  <c r="O32" i="233"/>
  <c r="G38" i="2" s="1"/>
  <c r="H38" i="2" s="1"/>
  <c r="J13" i="244"/>
  <c r="J27" i="244" s="1"/>
  <c r="J31" i="244" s="1"/>
  <c r="F36" i="2"/>
  <c r="M75" i="252"/>
  <c r="M82" i="235"/>
  <c r="M75" i="253" s="1"/>
  <c r="M65" i="252"/>
  <c r="M62" i="235"/>
  <c r="M65" i="253" s="1"/>
  <c r="M73" i="252"/>
  <c r="M78" i="235"/>
  <c r="M73" i="253" s="1"/>
  <c r="M58" i="252"/>
  <c r="M53" i="235"/>
  <c r="M58" i="253" s="1"/>
  <c r="M124" i="253"/>
  <c r="M105" i="235"/>
  <c r="N73" i="249"/>
  <c r="O73" i="249" s="1"/>
  <c r="N78" i="234"/>
  <c r="O78" i="233"/>
  <c r="G64" i="2" s="1"/>
  <c r="H64" i="2" s="1"/>
  <c r="L37" i="220"/>
  <c r="K50" i="220"/>
  <c r="K54" i="220" s="1"/>
  <c r="K58" i="220" s="1"/>
  <c r="N134" i="1"/>
  <c r="N48" i="252"/>
  <c r="O48" i="252" s="1"/>
  <c r="N34" i="235"/>
  <c r="O34" i="234"/>
  <c r="I39" i="2" s="1"/>
  <c r="J39" i="2" s="1"/>
  <c r="N72" i="252"/>
  <c r="O72" i="252" s="1"/>
  <c r="N76" i="235"/>
  <c r="O76" i="234"/>
  <c r="I63" i="2" s="1"/>
  <c r="J63" i="2" s="1"/>
  <c r="M53" i="252"/>
  <c r="M44" i="235"/>
  <c r="M53" i="253" s="1"/>
  <c r="N40" i="252"/>
  <c r="O40" i="252" s="1"/>
  <c r="N18" i="235"/>
  <c r="O18" i="234"/>
  <c r="I31" i="2" s="1"/>
  <c r="J31" i="2" s="1"/>
  <c r="N45" i="249"/>
  <c r="O45" i="249" s="1"/>
  <c r="N41" i="276"/>
  <c r="O41" i="276" s="1"/>
  <c r="H41" i="221" s="1"/>
  <c r="N28" i="234"/>
  <c r="O28" i="233"/>
  <c r="G36" i="2" s="1"/>
  <c r="N42" i="252"/>
  <c r="O42" i="252" s="1"/>
  <c r="N22" i="235"/>
  <c r="O22" i="234"/>
  <c r="I33" i="2" s="1"/>
  <c r="J33" i="2" s="1"/>
  <c r="M78" i="252"/>
  <c r="M87" i="235"/>
  <c r="M78" i="253" s="1"/>
  <c r="H27" i="244"/>
  <c r="H31" i="244" s="1"/>
  <c r="M69" i="252"/>
  <c r="M70" i="235"/>
  <c r="M69" i="253" s="1"/>
  <c r="N80" i="249"/>
  <c r="O80" i="249" s="1"/>
  <c r="N91" i="234"/>
  <c r="O91" i="233"/>
  <c r="G71" i="2" s="1"/>
  <c r="H71" i="2" s="1"/>
  <c r="N52" i="252"/>
  <c r="O52" i="252" s="1"/>
  <c r="N42" i="235"/>
  <c r="O42" i="234"/>
  <c r="I43" i="2" s="1"/>
  <c r="J43" i="2" s="1"/>
  <c r="N60" i="249"/>
  <c r="O60" i="249" s="1"/>
  <c r="N57" i="234"/>
  <c r="O57" i="233"/>
  <c r="G51" i="2" s="1"/>
  <c r="H51" i="2" s="1"/>
  <c r="N78" i="249"/>
  <c r="O78" i="249" s="1"/>
  <c r="N87" i="234"/>
  <c r="O87" i="233"/>
  <c r="G69" i="2" s="1"/>
  <c r="H69" i="2" s="1"/>
  <c r="N68" i="252"/>
  <c r="O68" i="252" s="1"/>
  <c r="N68" i="235"/>
  <c r="O68" i="234"/>
  <c r="I59" i="2" s="1"/>
  <c r="J59" i="2" s="1"/>
  <c r="N41" i="252"/>
  <c r="O41" i="252" s="1"/>
  <c r="N20" i="235"/>
  <c r="O20" i="234"/>
  <c r="I32" i="2" s="1"/>
  <c r="J32" i="2" s="1"/>
  <c r="M56" i="252"/>
  <c r="M49" i="235"/>
  <c r="M56" i="253" s="1"/>
  <c r="BA57" i="231"/>
  <c r="BB57" i="231"/>
  <c r="M25" i="232"/>
  <c r="L36" i="232"/>
  <c r="L37" i="276"/>
  <c r="K50" i="276"/>
  <c r="K54" i="276" s="1"/>
  <c r="K58" i="276" s="1"/>
  <c r="N69" i="249"/>
  <c r="O69" i="249" s="1"/>
  <c r="N70" i="234"/>
  <c r="O70" i="233"/>
  <c r="G60" i="2" s="1"/>
  <c r="H60" i="2" s="1"/>
  <c r="N57" i="252"/>
  <c r="O57" i="252" s="1"/>
  <c r="N51" i="235"/>
  <c r="O51" i="234"/>
  <c r="I48" i="2" s="1"/>
  <c r="J48" i="2" s="1"/>
  <c r="M80" i="252"/>
  <c r="M91" i="235"/>
  <c r="M80" i="253" s="1"/>
  <c r="N74" i="252"/>
  <c r="O74" i="252" s="1"/>
  <c r="N80" i="235"/>
  <c r="O80" i="234"/>
  <c r="I65" i="2" s="1"/>
  <c r="J65" i="2" s="1"/>
  <c r="N43" i="252"/>
  <c r="O43" i="252" s="1"/>
  <c r="N24" i="235"/>
  <c r="O24" i="234"/>
  <c r="I34" i="2" s="1"/>
  <c r="J34" i="2" s="1"/>
  <c r="E74" i="276"/>
  <c r="E93" i="276" s="1"/>
  <c r="E97" i="276" s="1"/>
  <c r="N59" i="252"/>
  <c r="O59" i="252" s="1"/>
  <c r="N55" i="235"/>
  <c r="O55" i="234"/>
  <c r="I50" i="2" s="1"/>
  <c r="J50" i="2" s="1"/>
  <c r="N56" i="249"/>
  <c r="O56" i="249" s="1"/>
  <c r="N49" i="234"/>
  <c r="O49" i="233"/>
  <c r="G47" i="2" s="1"/>
  <c r="H47" i="2" s="1"/>
  <c r="BA48" i="231"/>
  <c r="BB48" i="231" s="1"/>
  <c r="N124" i="252"/>
  <c r="O124" i="252" s="1"/>
  <c r="L70" i="3" s="1"/>
  <c r="J42" i="8" s="1"/>
  <c r="N103" i="235"/>
  <c r="N105" i="234"/>
  <c r="O103" i="234"/>
  <c r="O105" i="234" s="1"/>
  <c r="M67" i="252"/>
  <c r="M66" i="235"/>
  <c r="M67" i="253" s="1"/>
  <c r="F73" i="276"/>
  <c r="G70" i="276" s="1"/>
  <c r="F72" i="276"/>
  <c r="M82" i="252"/>
  <c r="M95" i="235"/>
  <c r="M82" i="253" s="1"/>
  <c r="N70" i="252"/>
  <c r="O70" i="252" s="1"/>
  <c r="N72" i="235"/>
  <c r="O72" i="234"/>
  <c r="I61" i="2" s="1"/>
  <c r="J61" i="2" s="1"/>
  <c r="N44" i="252"/>
  <c r="O44" i="252" s="1"/>
  <c r="N26" i="235"/>
  <c r="O26" i="234"/>
  <c r="I35" i="2" s="1"/>
  <c r="J35" i="2" s="1"/>
  <c r="N58" i="249"/>
  <c r="O58" i="249" s="1"/>
  <c r="N53" i="234"/>
  <c r="O53" i="233"/>
  <c r="G49" i="2" s="1"/>
  <c r="H49" i="2" s="1"/>
  <c r="N55" i="252"/>
  <c r="O55" i="252" s="1"/>
  <c r="N47" i="235"/>
  <c r="O47" i="234"/>
  <c r="I46" i="2" s="1"/>
  <c r="J46" i="2" s="1"/>
  <c r="I92" i="2"/>
  <c r="L36" i="3"/>
  <c r="L37" i="3" s="1"/>
  <c r="M60" i="252"/>
  <c r="M57" i="235"/>
  <c r="M60" i="253" s="1"/>
  <c r="BB70" i="231"/>
  <c r="BA70" i="231"/>
  <c r="BB64" i="231"/>
  <c r="BA64" i="231"/>
  <c r="N49" i="249"/>
  <c r="O49" i="249" s="1"/>
  <c r="N45" i="276"/>
  <c r="N36" i="234"/>
  <c r="O36" i="233"/>
  <c r="G40" i="2" s="1"/>
  <c r="H40" i="2" s="1"/>
  <c r="N51" i="249"/>
  <c r="O51" i="249" s="1"/>
  <c r="N47" i="276"/>
  <c r="N40" i="234"/>
  <c r="O40" i="233"/>
  <c r="G42" i="2" s="1"/>
  <c r="H42" i="2" s="1"/>
  <c r="N66" i="252"/>
  <c r="O66" i="252" s="1"/>
  <c r="N64" i="235"/>
  <c r="O64" i="234"/>
  <c r="I57" i="2" s="1"/>
  <c r="J57" i="2" s="1"/>
  <c r="M49" i="252"/>
  <c r="M36" i="235"/>
  <c r="M49" i="253" s="1"/>
  <c r="N46" i="252"/>
  <c r="O46" i="252" s="1"/>
  <c r="N30" i="235"/>
  <c r="O30" i="234"/>
  <c r="I37" i="2" s="1"/>
  <c r="J37" i="2" s="1"/>
  <c r="M45" i="252"/>
  <c r="M28" i="235"/>
  <c r="M45" i="253" s="1"/>
  <c r="BB59" i="231"/>
  <c r="BA59" i="231"/>
  <c r="M38" i="252"/>
  <c r="M14" i="235"/>
  <c r="M38" i="253" s="1"/>
  <c r="M97" i="234"/>
  <c r="M97" i="235" s="1"/>
  <c r="N50" i="252"/>
  <c r="O50" i="252" s="1"/>
  <c r="N38" i="235"/>
  <c r="O38" i="234"/>
  <c r="I41" i="2" s="1"/>
  <c r="J41" i="2" s="1"/>
  <c r="N77" i="252"/>
  <c r="O77" i="252" s="1"/>
  <c r="N85" i="235"/>
  <c r="O85" i="234"/>
  <c r="I68" i="2" s="1"/>
  <c r="J68" i="2" s="1"/>
  <c r="K50" i="16"/>
  <c r="K54" i="16" s="1"/>
  <c r="K58" i="16" s="1"/>
  <c r="L37" i="16"/>
  <c r="L134" i="253"/>
  <c r="M135" i="253" s="1"/>
  <c r="E74" i="16"/>
  <c r="E93" i="16" s="1"/>
  <c r="E97" i="16" s="1"/>
  <c r="E29" i="2"/>
  <c r="F29" i="2" s="1"/>
  <c r="O97" i="219"/>
  <c r="M71" i="252"/>
  <c r="M74" i="235"/>
  <c r="M71" i="253" s="1"/>
  <c r="N82" i="249"/>
  <c r="O82" i="249" s="1"/>
  <c r="N95" i="234"/>
  <c r="O95" i="233"/>
  <c r="G73" i="2" s="1"/>
  <c r="H73" i="2" s="1"/>
  <c r="BB74" i="231"/>
  <c r="BA74" i="231"/>
  <c r="F73" i="16"/>
  <c r="G70" i="16" s="1"/>
  <c r="F72" i="16"/>
  <c r="N38" i="249"/>
  <c r="N33" i="276"/>
  <c r="N14" i="234"/>
  <c r="N97" i="233"/>
  <c r="O14" i="233"/>
  <c r="C128" i="276"/>
  <c r="D125" i="276"/>
  <c r="M47" i="252"/>
  <c r="M32" i="235"/>
  <c r="M47" i="253" s="1"/>
  <c r="Q72" i="18"/>
  <c r="E38" i="21"/>
  <c r="G38" i="21" s="1"/>
  <c r="B39" i="21"/>
  <c r="F82" i="21"/>
  <c r="N55" i="32" l="1"/>
  <c r="H95" i="31"/>
  <c r="J95" i="31" s="1"/>
  <c r="J98" i="31" s="1"/>
  <c r="K95" i="31"/>
  <c r="K98" i="31" s="1"/>
  <c r="L79" i="16"/>
  <c r="M77" i="16"/>
  <c r="M78" i="16"/>
  <c r="F74" i="16"/>
  <c r="F93" i="16" s="1"/>
  <c r="F97" i="16" s="1"/>
  <c r="M77" i="276"/>
  <c r="L79" i="276"/>
  <c r="M78" i="276"/>
  <c r="L79" i="220"/>
  <c r="M77" i="220"/>
  <c r="M78" i="220"/>
  <c r="E39" i="20"/>
  <c r="G39" i="20" s="1"/>
  <c r="B40" i="20"/>
  <c r="O37" i="19"/>
  <c r="O95" i="14" s="1"/>
  <c r="P95" i="14" s="1"/>
  <c r="P96" i="14" s="1"/>
  <c r="P37" i="19"/>
  <c r="Q35" i="19"/>
  <c r="F47" i="3"/>
  <c r="P44" i="232"/>
  <c r="F45" i="3"/>
  <c r="J20" i="253"/>
  <c r="J25" i="253" s="1"/>
  <c r="K29" i="273"/>
  <c r="V17" i="30"/>
  <c r="V21" i="30" s="1"/>
  <c r="V23" i="30" s="1"/>
  <c r="K20" i="14"/>
  <c r="K26" i="14" s="1"/>
  <c r="K29" i="215"/>
  <c r="J20" i="1"/>
  <c r="J25" i="1" s="1"/>
  <c r="K29" i="270"/>
  <c r="K29" i="272"/>
  <c r="J20" i="252"/>
  <c r="J25" i="252" s="1"/>
  <c r="J20" i="249"/>
  <c r="J25" i="249" s="1"/>
  <c r="K29" i="271"/>
  <c r="C135" i="249"/>
  <c r="H45" i="3" s="1"/>
  <c r="O134" i="1"/>
  <c r="O33" i="276"/>
  <c r="J22" i="8"/>
  <c r="J92" i="2"/>
  <c r="D8" i="38" s="1"/>
  <c r="N44" i="253"/>
  <c r="O44" i="253" s="1"/>
  <c r="O26" i="235"/>
  <c r="K35" i="2" s="1"/>
  <c r="L35" i="2" s="1"/>
  <c r="G73" i="276"/>
  <c r="H70" i="276" s="1"/>
  <c r="G72" i="276"/>
  <c r="N68" i="253"/>
  <c r="O68" i="253" s="1"/>
  <c r="O68" i="235"/>
  <c r="K59" i="2" s="1"/>
  <c r="L59" i="2" s="1"/>
  <c r="D128" i="220"/>
  <c r="E125" i="220"/>
  <c r="N134" i="249"/>
  <c r="C135" i="252" s="1"/>
  <c r="O38" i="249"/>
  <c r="M37" i="16"/>
  <c r="L50" i="16"/>
  <c r="L54" i="16" s="1"/>
  <c r="L58" i="16" s="1"/>
  <c r="N51" i="252"/>
  <c r="O51" i="252" s="1"/>
  <c r="N40" i="235"/>
  <c r="O40" i="234"/>
  <c r="I42" i="2" s="1"/>
  <c r="J42" i="2" s="1"/>
  <c r="N43" i="253"/>
  <c r="O43" i="253" s="1"/>
  <c r="O24" i="235"/>
  <c r="K34" i="2" s="1"/>
  <c r="L34" i="2" s="1"/>
  <c r="N57" i="253"/>
  <c r="O57" i="253" s="1"/>
  <c r="O51" i="235"/>
  <c r="K48" i="2" s="1"/>
  <c r="L48" i="2" s="1"/>
  <c r="N52" i="253"/>
  <c r="O52" i="253" s="1"/>
  <c r="O42" i="235"/>
  <c r="K43" i="2" s="1"/>
  <c r="L43" i="2" s="1"/>
  <c r="L13" i="244"/>
  <c r="L27" i="244" s="1"/>
  <c r="L31" i="244" s="1"/>
  <c r="H36" i="2"/>
  <c r="E125" i="16"/>
  <c r="D128" i="16"/>
  <c r="M134" i="253"/>
  <c r="N135" i="253" s="1"/>
  <c r="N55" i="253"/>
  <c r="O55" i="253" s="1"/>
  <c r="O47" i="235"/>
  <c r="K46" i="2" s="1"/>
  <c r="L46" i="2" s="1"/>
  <c r="N56" i="252"/>
  <c r="O56" i="252" s="1"/>
  <c r="N49" i="235"/>
  <c r="O49" i="234"/>
  <c r="I47" i="2" s="1"/>
  <c r="J47" i="2" s="1"/>
  <c r="M37" i="276"/>
  <c r="L50" i="276"/>
  <c r="L54" i="276" s="1"/>
  <c r="L58" i="276" s="1"/>
  <c r="N45" i="252"/>
  <c r="O45" i="252" s="1"/>
  <c r="N28" i="235"/>
  <c r="O28" i="234"/>
  <c r="I36" i="2" s="1"/>
  <c r="G74" i="220"/>
  <c r="G93" i="220" s="1"/>
  <c r="G97" i="220" s="1"/>
  <c r="D128" i="276"/>
  <c r="E125" i="276"/>
  <c r="M134" i="252"/>
  <c r="H100" i="31"/>
  <c r="K82" i="2"/>
  <c r="L82" i="2" s="1"/>
  <c r="N70" i="253"/>
  <c r="O70" i="253" s="1"/>
  <c r="O72" i="235"/>
  <c r="K61" i="2" s="1"/>
  <c r="L61" i="2" s="1"/>
  <c r="N78" i="252"/>
  <c r="O78" i="252" s="1"/>
  <c r="N87" i="235"/>
  <c r="O87" i="234"/>
  <c r="I69" i="2" s="1"/>
  <c r="J69" i="2" s="1"/>
  <c r="N75" i="252"/>
  <c r="O75" i="252" s="1"/>
  <c r="N82" i="235"/>
  <c r="O82" i="234"/>
  <c r="I66" i="2" s="1"/>
  <c r="J66" i="2" s="1"/>
  <c r="N65" i="252"/>
  <c r="O65" i="252" s="1"/>
  <c r="N62" i="235"/>
  <c r="O62" i="234"/>
  <c r="I56" i="2" s="1"/>
  <c r="J56" i="2" s="1"/>
  <c r="H73" i="220"/>
  <c r="I70" i="220" s="1"/>
  <c r="H72" i="220"/>
  <c r="H74" i="220" s="1"/>
  <c r="H93" i="220" s="1"/>
  <c r="H97" i="220" s="1"/>
  <c r="N77" i="253"/>
  <c r="O77" i="253" s="1"/>
  <c r="O85" i="235"/>
  <c r="K68" i="2" s="1"/>
  <c r="L68" i="2" s="1"/>
  <c r="N46" i="253"/>
  <c r="O46" i="253" s="1"/>
  <c r="O30" i="235"/>
  <c r="K37" i="2" s="1"/>
  <c r="L37" i="2" s="1"/>
  <c r="N74" i="253"/>
  <c r="O74" i="253" s="1"/>
  <c r="O80" i="235"/>
  <c r="K65" i="2" s="1"/>
  <c r="L65" i="2" s="1"/>
  <c r="N80" i="252"/>
  <c r="O80" i="252" s="1"/>
  <c r="N91" i="235"/>
  <c r="O91" i="234"/>
  <c r="I71" i="2" s="1"/>
  <c r="J71" i="2" s="1"/>
  <c r="N72" i="253"/>
  <c r="O72" i="253" s="1"/>
  <c r="O76" i="235"/>
  <c r="K63" i="2" s="1"/>
  <c r="L63" i="2" s="1"/>
  <c r="M37" i="220"/>
  <c r="L50" i="220"/>
  <c r="L54" i="220" s="1"/>
  <c r="L58" i="220" s="1"/>
  <c r="F33" i="221"/>
  <c r="N79" i="253"/>
  <c r="O79" i="253" s="1"/>
  <c r="O89" i="235"/>
  <c r="K70" i="2" s="1"/>
  <c r="L70" i="2" s="1"/>
  <c r="N67" i="252"/>
  <c r="O67" i="252" s="1"/>
  <c r="N66" i="235"/>
  <c r="O66" i="234"/>
  <c r="I58" i="2" s="1"/>
  <c r="J58" i="2" s="1"/>
  <c r="N49" i="252"/>
  <c r="O49" i="252" s="1"/>
  <c r="N36" i="235"/>
  <c r="O36" i="234"/>
  <c r="I40" i="2" s="1"/>
  <c r="J40" i="2" s="1"/>
  <c r="N58" i="252"/>
  <c r="O58" i="252" s="1"/>
  <c r="N53" i="235"/>
  <c r="O53" i="234"/>
  <c r="I49" i="2" s="1"/>
  <c r="J49" i="2" s="1"/>
  <c r="N124" i="253"/>
  <c r="O124" i="253" s="1"/>
  <c r="N70" i="3" s="1"/>
  <c r="L42" i="8" s="1"/>
  <c r="N105" i="235"/>
  <c r="O103" i="235"/>
  <c r="O105" i="235" s="1"/>
  <c r="N59" i="253"/>
  <c r="O59" i="253" s="1"/>
  <c r="O55" i="235"/>
  <c r="K50" i="2" s="1"/>
  <c r="L50" i="2" s="1"/>
  <c r="N41" i="253"/>
  <c r="O41" i="253" s="1"/>
  <c r="O20" i="235"/>
  <c r="K32" i="2" s="1"/>
  <c r="L32" i="2" s="1"/>
  <c r="N135" i="249"/>
  <c r="N71" i="252"/>
  <c r="O71" i="252" s="1"/>
  <c r="N74" i="235"/>
  <c r="O74" i="234"/>
  <c r="I62" i="2" s="1"/>
  <c r="J62" i="2" s="1"/>
  <c r="N81" i="253"/>
  <c r="O81" i="253" s="1"/>
  <c r="O93" i="235"/>
  <c r="K72" i="2" s="1"/>
  <c r="L72" i="2" s="1"/>
  <c r="G73" i="16"/>
  <c r="H70" i="16" s="1"/>
  <c r="G72" i="16"/>
  <c r="G74" i="16" s="1"/>
  <c r="G93" i="16" s="1"/>
  <c r="G97" i="16" s="1"/>
  <c r="N66" i="253"/>
  <c r="O66" i="253" s="1"/>
  <c r="O64" i="235"/>
  <c r="K57" i="2" s="1"/>
  <c r="L57" i="2" s="1"/>
  <c r="N69" i="252"/>
  <c r="O69" i="252" s="1"/>
  <c r="N70" i="235"/>
  <c r="O70" i="234"/>
  <c r="I60" i="2" s="1"/>
  <c r="J60" i="2" s="1"/>
  <c r="N60" i="252"/>
  <c r="O60" i="252" s="1"/>
  <c r="N57" i="235"/>
  <c r="O57" i="234"/>
  <c r="I51" i="2" s="1"/>
  <c r="J51" i="2" s="1"/>
  <c r="N73" i="252"/>
  <c r="O73" i="252" s="1"/>
  <c r="N78" i="235"/>
  <c r="O78" i="234"/>
  <c r="I64" i="2" s="1"/>
  <c r="J64" i="2" s="1"/>
  <c r="N47" i="252"/>
  <c r="O47" i="252" s="1"/>
  <c r="N32" i="235"/>
  <c r="O32" i="234"/>
  <c r="I38" i="2" s="1"/>
  <c r="J38" i="2" s="1"/>
  <c r="N61" i="253"/>
  <c r="O61" i="253" s="1"/>
  <c r="O59" i="235"/>
  <c r="K52" i="2" s="1"/>
  <c r="L52" i="2" s="1"/>
  <c r="N53" i="252"/>
  <c r="O53" i="252" s="1"/>
  <c r="N44" i="235"/>
  <c r="O44" i="234"/>
  <c r="I44" i="2" s="1"/>
  <c r="J44" i="2" s="1"/>
  <c r="G29" i="2"/>
  <c r="H29" i="2" s="1"/>
  <c r="O97" i="233"/>
  <c r="N38" i="252"/>
  <c r="N14" i="235"/>
  <c r="N97" i="234"/>
  <c r="N97" i="235" s="1"/>
  <c r="O97" i="235" s="1"/>
  <c r="O14" i="234"/>
  <c r="N82" i="252"/>
  <c r="O82" i="252" s="1"/>
  <c r="N95" i="235"/>
  <c r="O95" i="234"/>
  <c r="I73" i="2" s="1"/>
  <c r="J73" i="2" s="1"/>
  <c r="N50" i="253"/>
  <c r="O50" i="253" s="1"/>
  <c r="O38" i="235"/>
  <c r="K41" i="2" s="1"/>
  <c r="L41" i="2" s="1"/>
  <c r="F74" i="276"/>
  <c r="F93" i="276" s="1"/>
  <c r="F97" i="276" s="1"/>
  <c r="N25" i="232"/>
  <c r="M36" i="232"/>
  <c r="N42" i="253"/>
  <c r="O42" i="253" s="1"/>
  <c r="O22" i="235"/>
  <c r="K33" i="2" s="1"/>
  <c r="L33" i="2" s="1"/>
  <c r="N40" i="253"/>
  <c r="O40" i="253" s="1"/>
  <c r="O18" i="235"/>
  <c r="K31" i="2" s="1"/>
  <c r="L31" i="2" s="1"/>
  <c r="N48" i="253"/>
  <c r="O48" i="253" s="1"/>
  <c r="O34" i="235"/>
  <c r="K39" i="2" s="1"/>
  <c r="L39" i="2" s="1"/>
  <c r="N39" i="253"/>
  <c r="O39" i="253" s="1"/>
  <c r="O16" i="235"/>
  <c r="K30" i="2" s="1"/>
  <c r="L30" i="2" s="1"/>
  <c r="F83" i="21"/>
  <c r="E39" i="21"/>
  <c r="G39" i="21" s="1"/>
  <c r="B40" i="21"/>
  <c r="O135" i="249" l="1"/>
  <c r="N78" i="220"/>
  <c r="M79" i="220"/>
  <c r="N77" i="220"/>
  <c r="N79" i="220" s="1"/>
  <c r="N78" i="276"/>
  <c r="N77" i="276"/>
  <c r="N79" i="276" s="1"/>
  <c r="M79" i="276"/>
  <c r="N77" i="16"/>
  <c r="M79" i="16"/>
  <c r="N78" i="16"/>
  <c r="E40" i="20"/>
  <c r="G40" i="20" s="1"/>
  <c r="B41" i="20"/>
  <c r="Q36" i="19"/>
  <c r="P38" i="19"/>
  <c r="O38" i="19"/>
  <c r="O134" i="249"/>
  <c r="L25" i="215"/>
  <c r="W16" i="30"/>
  <c r="N67" i="253"/>
  <c r="O67" i="253" s="1"/>
  <c r="O66" i="235"/>
  <c r="K58" i="2" s="1"/>
  <c r="L58" i="2" s="1"/>
  <c r="N38" i="253"/>
  <c r="O14" i="235"/>
  <c r="K29" i="2" s="1"/>
  <c r="L29" i="2" s="1"/>
  <c r="N60" i="253"/>
  <c r="O60" i="253" s="1"/>
  <c r="O57" i="235"/>
  <c r="K51" i="2" s="1"/>
  <c r="L51" i="2" s="1"/>
  <c r="H73" i="16"/>
  <c r="I70" i="16" s="1"/>
  <c r="H72" i="16"/>
  <c r="N58" i="253"/>
  <c r="O58" i="253" s="1"/>
  <c r="O53" i="235"/>
  <c r="K49" i="2" s="1"/>
  <c r="L49" i="2" s="1"/>
  <c r="N65" i="253"/>
  <c r="O65" i="253" s="1"/>
  <c r="O62" i="235"/>
  <c r="K56" i="2" s="1"/>
  <c r="L56" i="2" s="1"/>
  <c r="N45" i="253"/>
  <c r="O45" i="253" s="1"/>
  <c r="O28" i="235"/>
  <c r="K36" i="2" s="1"/>
  <c r="N51" i="253"/>
  <c r="O51" i="253" s="1"/>
  <c r="O40" i="235"/>
  <c r="K42" i="2" s="1"/>
  <c r="L42" i="2" s="1"/>
  <c r="N134" i="252"/>
  <c r="C135" i="253" s="1"/>
  <c r="O38" i="252"/>
  <c r="F125" i="220"/>
  <c r="E128" i="220"/>
  <c r="N47" i="253"/>
  <c r="O47" i="253" s="1"/>
  <c r="O32" i="235"/>
  <c r="K38" i="2" s="1"/>
  <c r="L38" i="2" s="1"/>
  <c r="N80" i="253"/>
  <c r="O80" i="253" s="1"/>
  <c r="O91" i="235"/>
  <c r="K71" i="2" s="1"/>
  <c r="L71" i="2" s="1"/>
  <c r="N37" i="276"/>
  <c r="N50" i="276" s="1"/>
  <c r="N54" i="276" s="1"/>
  <c r="N58" i="276" s="1"/>
  <c r="M50" i="276"/>
  <c r="M54" i="276" s="1"/>
  <c r="M58" i="276" s="1"/>
  <c r="N37" i="16"/>
  <c r="N50" i="16" s="1"/>
  <c r="N54" i="16" s="1"/>
  <c r="N58" i="16" s="1"/>
  <c r="M50" i="16"/>
  <c r="M54" i="16" s="1"/>
  <c r="M58" i="16" s="1"/>
  <c r="N75" i="253"/>
  <c r="O75" i="253" s="1"/>
  <c r="O82" i="235"/>
  <c r="K66" i="2" s="1"/>
  <c r="L66" i="2" s="1"/>
  <c r="N82" i="253"/>
  <c r="O82" i="253" s="1"/>
  <c r="O95" i="235"/>
  <c r="K73" i="2" s="1"/>
  <c r="L73" i="2" s="1"/>
  <c r="N71" i="253"/>
  <c r="O71" i="253" s="1"/>
  <c r="O74" i="235"/>
  <c r="K62" i="2" s="1"/>
  <c r="L62" i="2" s="1"/>
  <c r="K92" i="2"/>
  <c r="N36" i="3"/>
  <c r="N37" i="3" s="1"/>
  <c r="P55" i="32" s="1"/>
  <c r="N53" i="253"/>
  <c r="O53" i="253" s="1"/>
  <c r="O44" i="235"/>
  <c r="K44" i="2" s="1"/>
  <c r="L44" i="2" s="1"/>
  <c r="N73" i="253"/>
  <c r="O73" i="253" s="1"/>
  <c r="O78" i="235"/>
  <c r="K64" i="2" s="1"/>
  <c r="L64" i="2" s="1"/>
  <c r="N135" i="252"/>
  <c r="O135" i="252" s="1"/>
  <c r="N56" i="253"/>
  <c r="O56" i="253" s="1"/>
  <c r="O49" i="235"/>
  <c r="K47" i="2" s="1"/>
  <c r="L47" i="2" s="1"/>
  <c r="J45" i="3"/>
  <c r="H33" i="221"/>
  <c r="N36" i="232"/>
  <c r="O25" i="232"/>
  <c r="N69" i="253"/>
  <c r="O69" i="253" s="1"/>
  <c r="O70" i="235"/>
  <c r="K60" i="2" s="1"/>
  <c r="L60" i="2" s="1"/>
  <c r="N49" i="253"/>
  <c r="O49" i="253" s="1"/>
  <c r="O36" i="235"/>
  <c r="K40" i="2" s="1"/>
  <c r="L40" i="2" s="1"/>
  <c r="I29" i="2"/>
  <c r="J29" i="2" s="1"/>
  <c r="O97" i="234"/>
  <c r="N37" i="220"/>
  <c r="M50" i="220"/>
  <c r="M54" i="220" s="1"/>
  <c r="M58" i="220" s="1"/>
  <c r="I73" i="220"/>
  <c r="J70" i="220" s="1"/>
  <c r="I72" i="220"/>
  <c r="I74" i="220" s="1"/>
  <c r="I93" i="220" s="1"/>
  <c r="I97" i="220" s="1"/>
  <c r="N78" i="253"/>
  <c r="O78" i="253" s="1"/>
  <c r="O87" i="235"/>
  <c r="K69" i="2" s="1"/>
  <c r="L69" i="2" s="1"/>
  <c r="F125" i="276"/>
  <c r="E128" i="276"/>
  <c r="F125" i="16"/>
  <c r="E128" i="16"/>
  <c r="G74" i="276"/>
  <c r="G93" i="276" s="1"/>
  <c r="G97" i="276" s="1"/>
  <c r="N13" i="244"/>
  <c r="N27" i="244" s="1"/>
  <c r="N31" i="244" s="1"/>
  <c r="J36" i="2"/>
  <c r="H73" i="276"/>
  <c r="I70" i="276" s="1"/>
  <c r="H72" i="276"/>
  <c r="H74" i="276" s="1"/>
  <c r="H93" i="276" s="1"/>
  <c r="H97" i="276" s="1"/>
  <c r="O37" i="16"/>
  <c r="F84" i="21"/>
  <c r="E40" i="21"/>
  <c r="G40" i="21" s="1"/>
  <c r="B41" i="21"/>
  <c r="H74" i="16" l="1"/>
  <c r="H93" i="16" s="1"/>
  <c r="H97" i="16" s="1"/>
  <c r="N79" i="16"/>
  <c r="E41" i="20"/>
  <c r="G41" i="20" s="1"/>
  <c r="B42" i="20"/>
  <c r="O39" i="19"/>
  <c r="P39" i="19"/>
  <c r="Q38" i="19" s="1"/>
  <c r="Q37" i="19"/>
  <c r="F48" i="3" s="1"/>
  <c r="O134" i="252"/>
  <c r="K20" i="1"/>
  <c r="K25" i="1" s="1"/>
  <c r="L29" i="270"/>
  <c r="K20" i="249"/>
  <c r="L29" i="271"/>
  <c r="W17" i="30"/>
  <c r="W21" i="30" s="1"/>
  <c r="W23" i="30" s="1"/>
  <c r="X16" i="30"/>
  <c r="L20" i="14"/>
  <c r="L26" i="14" s="1"/>
  <c r="L29" i="215"/>
  <c r="K20" i="252"/>
  <c r="L29" i="272"/>
  <c r="L29" i="273"/>
  <c r="K20" i="253"/>
  <c r="F128" i="220"/>
  <c r="G125" i="220"/>
  <c r="G125" i="276"/>
  <c r="F128" i="276"/>
  <c r="I73" i="16"/>
  <c r="J70" i="16" s="1"/>
  <c r="I72" i="16"/>
  <c r="P25" i="232"/>
  <c r="P36" i="232" s="1"/>
  <c r="O36" i="232"/>
  <c r="O37" i="276"/>
  <c r="P13" i="244"/>
  <c r="P27" i="244" s="1"/>
  <c r="P31" i="244" s="1"/>
  <c r="L36" i="2"/>
  <c r="L45" i="3"/>
  <c r="O135" i="253"/>
  <c r="O50" i="16"/>
  <c r="O54" i="16" s="1"/>
  <c r="O58" i="16" s="1"/>
  <c r="D37" i="221"/>
  <c r="D50" i="221" s="1"/>
  <c r="D54" i="221" s="1"/>
  <c r="D58" i="221" s="1"/>
  <c r="J73" i="220"/>
  <c r="K70" i="220" s="1"/>
  <c r="J72" i="220"/>
  <c r="J74" i="220" s="1"/>
  <c r="J93" i="220" s="1"/>
  <c r="J97" i="220" s="1"/>
  <c r="N134" i="253"/>
  <c r="O38" i="253"/>
  <c r="L22" i="8"/>
  <c r="L92" i="2"/>
  <c r="D9" i="38" s="1"/>
  <c r="I73" i="276"/>
  <c r="J70" i="276" s="1"/>
  <c r="I72" i="276"/>
  <c r="F128" i="16"/>
  <c r="G125" i="16"/>
  <c r="N50" i="220"/>
  <c r="N54" i="220" s="1"/>
  <c r="N58" i="220" s="1"/>
  <c r="O37" i="220"/>
  <c r="F85" i="21"/>
  <c r="E41" i="21"/>
  <c r="G41" i="21" s="1"/>
  <c r="B42" i="21"/>
  <c r="I74" i="16" l="1"/>
  <c r="I93" i="16" s="1"/>
  <c r="I97" i="16" s="1"/>
  <c r="E42" i="20"/>
  <c r="G42" i="20" s="1"/>
  <c r="B43" i="20"/>
  <c r="O40" i="19"/>
  <c r="P40" i="19"/>
  <c r="K25" i="253"/>
  <c r="K25" i="252"/>
  <c r="K25" i="249"/>
  <c r="M25" i="215"/>
  <c r="X17" i="30"/>
  <c r="X21" i="30" s="1"/>
  <c r="X23" i="30" s="1"/>
  <c r="F37" i="221"/>
  <c r="F50" i="221" s="1"/>
  <c r="F54" i="221" s="1"/>
  <c r="F58" i="221" s="1"/>
  <c r="O50" i="220"/>
  <c r="O54" i="220" s="1"/>
  <c r="O58" i="220" s="1"/>
  <c r="G128" i="276"/>
  <c r="H125" i="276"/>
  <c r="J73" i="276"/>
  <c r="K70" i="276" s="1"/>
  <c r="J72" i="276"/>
  <c r="N45" i="3"/>
  <c r="O134" i="253"/>
  <c r="H125" i="220"/>
  <c r="G128" i="220"/>
  <c r="J73" i="16"/>
  <c r="K70" i="16" s="1"/>
  <c r="J72" i="16"/>
  <c r="J74" i="16" s="1"/>
  <c r="J93" i="16" s="1"/>
  <c r="J97" i="16" s="1"/>
  <c r="H37" i="221"/>
  <c r="H50" i="221" s="1"/>
  <c r="H54" i="221" s="1"/>
  <c r="H58" i="221" s="1"/>
  <c r="O50" i="276"/>
  <c r="O54" i="276" s="1"/>
  <c r="O58" i="276" s="1"/>
  <c r="H125" i="16"/>
  <c r="G128" i="16"/>
  <c r="I74" i="276"/>
  <c r="I93" i="276" s="1"/>
  <c r="I97" i="276" s="1"/>
  <c r="K73" i="220"/>
  <c r="L70" i="220" s="1"/>
  <c r="K72" i="220"/>
  <c r="K74" i="220" s="1"/>
  <c r="K93" i="220" s="1"/>
  <c r="K97" i="220" s="1"/>
  <c r="F86" i="21"/>
  <c r="E42" i="21"/>
  <c r="G42" i="21" s="1"/>
  <c r="B43" i="21"/>
  <c r="E43" i="20" l="1"/>
  <c r="G43" i="20" s="1"/>
  <c r="B44" i="20"/>
  <c r="Q39" i="19"/>
  <c r="O41" i="19"/>
  <c r="P41" i="19"/>
  <c r="Q40" i="19" s="1"/>
  <c r="L20" i="252"/>
  <c r="M29" i="272"/>
  <c r="L20" i="253"/>
  <c r="M29" i="273"/>
  <c r="M20" i="14"/>
  <c r="M26" i="14" s="1"/>
  <c r="M29" i="215"/>
  <c r="M29" i="270"/>
  <c r="L20" i="1"/>
  <c r="L25" i="1" s="1"/>
  <c r="Y16" i="30"/>
  <c r="L20" i="249"/>
  <c r="M29" i="271"/>
  <c r="N25" i="215"/>
  <c r="J74" i="276"/>
  <c r="J93" i="276" s="1"/>
  <c r="J97" i="276" s="1"/>
  <c r="H128" i="276"/>
  <c r="I125" i="276"/>
  <c r="K73" i="16"/>
  <c r="L70" i="16" s="1"/>
  <c r="K72" i="16"/>
  <c r="K74" i="16" s="1"/>
  <c r="K93" i="16" s="1"/>
  <c r="K97" i="16" s="1"/>
  <c r="K73" i="276"/>
  <c r="L70" i="276" s="1"/>
  <c r="K72" i="276"/>
  <c r="K74" i="276" s="1"/>
  <c r="K93" i="276" s="1"/>
  <c r="K97" i="276" s="1"/>
  <c r="L73" i="220"/>
  <c r="M70" i="220" s="1"/>
  <c r="L72" i="220"/>
  <c r="I125" i="220"/>
  <c r="H128" i="220"/>
  <c r="I125" i="16"/>
  <c r="H128" i="16"/>
  <c r="E43" i="21"/>
  <c r="G43" i="21" s="1"/>
  <c r="B44" i="21"/>
  <c r="F87" i="21"/>
  <c r="E44" i="20" l="1"/>
  <c r="G44" i="20" s="1"/>
  <c r="B45" i="20"/>
  <c r="O42" i="19"/>
  <c r="P42" i="19"/>
  <c r="Q41" i="19"/>
  <c r="M20" i="252"/>
  <c r="M25" i="252" s="1"/>
  <c r="N29" i="272"/>
  <c r="N20" i="14"/>
  <c r="N26" i="14" s="1"/>
  <c r="N29" i="215"/>
  <c r="L25" i="249"/>
  <c r="N29" i="273"/>
  <c r="M20" i="253"/>
  <c r="M25" i="253" s="1"/>
  <c r="M20" i="1"/>
  <c r="M25" i="1" s="1"/>
  <c r="N29" i="270"/>
  <c r="Y17" i="30"/>
  <c r="Y21" i="30" s="1"/>
  <c r="Y23" i="30" s="1"/>
  <c r="Z16" i="30"/>
  <c r="L25" i="252"/>
  <c r="M20" i="249"/>
  <c r="M25" i="249" s="1"/>
  <c r="N29" i="271"/>
  <c r="L25" i="253"/>
  <c r="I128" i="16"/>
  <c r="J125" i="16"/>
  <c r="L73" i="276"/>
  <c r="M70" i="276" s="1"/>
  <c r="L72" i="276"/>
  <c r="I128" i="220"/>
  <c r="J125" i="220"/>
  <c r="L73" i="16"/>
  <c r="M70" i="16" s="1"/>
  <c r="L72" i="16"/>
  <c r="L74" i="220"/>
  <c r="L93" i="220" s="1"/>
  <c r="L97" i="220" s="1"/>
  <c r="J125" i="276"/>
  <c r="I128" i="276"/>
  <c r="M73" i="220"/>
  <c r="N70" i="220" s="1"/>
  <c r="M72" i="220"/>
  <c r="M74" i="220" s="1"/>
  <c r="M93" i="220" s="1"/>
  <c r="M97" i="220" s="1"/>
  <c r="F88" i="21"/>
  <c r="E44" i="21"/>
  <c r="G44" i="21" s="1"/>
  <c r="B45" i="21"/>
  <c r="L74" i="276" l="1"/>
  <c r="L93" i="276" s="1"/>
  <c r="L97" i="276" s="1"/>
  <c r="E45" i="20"/>
  <c r="G45" i="20" s="1"/>
  <c r="B46" i="20"/>
  <c r="P43" i="19"/>
  <c r="O43" i="19"/>
  <c r="Z17" i="30"/>
  <c r="Z21" i="30" s="1"/>
  <c r="Z23" i="30"/>
  <c r="O25" i="215"/>
  <c r="J128" i="220"/>
  <c r="K125" i="220"/>
  <c r="M73" i="276"/>
  <c r="N70" i="276" s="1"/>
  <c r="M72" i="276"/>
  <c r="M74" i="276" s="1"/>
  <c r="M93" i="276" s="1"/>
  <c r="M97" i="276" s="1"/>
  <c r="J128" i="276"/>
  <c r="K125" i="276"/>
  <c r="M73" i="16"/>
  <c r="N70" i="16" s="1"/>
  <c r="M72" i="16"/>
  <c r="J128" i="16"/>
  <c r="K125" i="16"/>
  <c r="N73" i="220"/>
  <c r="C109" i="220" s="1"/>
  <c r="N72" i="220"/>
  <c r="N74" i="220" s="1"/>
  <c r="N93" i="220" s="1"/>
  <c r="N97" i="220" s="1"/>
  <c r="L74" i="16"/>
  <c r="L93" i="16" s="1"/>
  <c r="L97" i="16" s="1"/>
  <c r="E45" i="21"/>
  <c r="G45" i="21" s="1"/>
  <c r="B46" i="21"/>
  <c r="F89" i="21"/>
  <c r="M74" i="16" l="1"/>
  <c r="M93" i="16" s="1"/>
  <c r="M97" i="16" s="1"/>
  <c r="E46" i="20"/>
  <c r="G46" i="20" s="1"/>
  <c r="B47" i="20"/>
  <c r="Q42" i="19"/>
  <c r="P44" i="19"/>
  <c r="Q43" i="19" s="1"/>
  <c r="O44" i="19"/>
  <c r="O29" i="272"/>
  <c r="N20" i="252"/>
  <c r="P25" i="272"/>
  <c r="J39" i="8" s="1"/>
  <c r="N20" i="253"/>
  <c r="O29" i="273"/>
  <c r="P25" i="273"/>
  <c r="L39" i="8" s="1"/>
  <c r="N20" i="1"/>
  <c r="O29" i="270"/>
  <c r="P25" i="270"/>
  <c r="F39" i="8" s="1"/>
  <c r="O29" i="215"/>
  <c r="O20" i="14"/>
  <c r="P25" i="215"/>
  <c r="D39" i="8" s="1"/>
  <c r="O29" i="271"/>
  <c r="N20" i="249"/>
  <c r="P25" i="271"/>
  <c r="H39" i="8" s="1"/>
  <c r="N73" i="276"/>
  <c r="C109" i="276" s="1"/>
  <c r="N72" i="276"/>
  <c r="C112" i="220"/>
  <c r="D109" i="220" s="1"/>
  <c r="C111" i="220"/>
  <c r="C113" i="220" s="1"/>
  <c r="L125" i="16"/>
  <c r="K128" i="16"/>
  <c r="L125" i="276"/>
  <c r="K128" i="276"/>
  <c r="K128" i="220"/>
  <c r="L125" i="220"/>
  <c r="N73" i="16"/>
  <c r="C109" i="16" s="1"/>
  <c r="N72" i="16"/>
  <c r="E46" i="21"/>
  <c r="G46" i="21" s="1"/>
  <c r="B47" i="21"/>
  <c r="F90" i="21"/>
  <c r="N74" i="16" l="1"/>
  <c r="N93" i="16" s="1"/>
  <c r="N97" i="16" s="1"/>
  <c r="E47" i="20"/>
  <c r="G47" i="20" s="1"/>
  <c r="B48" i="20"/>
  <c r="P45" i="19"/>
  <c r="O45" i="19"/>
  <c r="J69" i="3"/>
  <c r="P29" i="271"/>
  <c r="P20" i="14"/>
  <c r="P26" i="14" s="1"/>
  <c r="O26" i="14"/>
  <c r="P29" i="272"/>
  <c r="L69" i="3"/>
  <c r="N25" i="249"/>
  <c r="O25" i="249" s="1"/>
  <c r="O20" i="249"/>
  <c r="N69" i="3"/>
  <c r="P29" i="273"/>
  <c r="N25" i="252"/>
  <c r="O20" i="252"/>
  <c r="O25" i="252" s="1"/>
  <c r="H69" i="3"/>
  <c r="P29" i="270"/>
  <c r="F69" i="3"/>
  <c r="P29" i="215"/>
  <c r="N25" i="253"/>
  <c r="O20" i="253"/>
  <c r="O25" i="253" s="1"/>
  <c r="O20" i="1"/>
  <c r="O25" i="1" s="1"/>
  <c r="N25" i="1"/>
  <c r="L128" i="276"/>
  <c r="M125" i="276"/>
  <c r="C112" i="276"/>
  <c r="D109" i="276" s="1"/>
  <c r="C111" i="276"/>
  <c r="C113" i="276" s="1"/>
  <c r="L128" i="16"/>
  <c r="M125" i="16"/>
  <c r="C112" i="16"/>
  <c r="D109" i="16" s="1"/>
  <c r="C111" i="16"/>
  <c r="M125" i="220"/>
  <c r="L128" i="220"/>
  <c r="D111" i="220"/>
  <c r="D112" i="220"/>
  <c r="E109" i="220" s="1"/>
  <c r="N74" i="276"/>
  <c r="N93" i="276" s="1"/>
  <c r="N97" i="276" s="1"/>
  <c r="E47" i="21"/>
  <c r="G47" i="21" s="1"/>
  <c r="B48" i="21"/>
  <c r="F91" i="21"/>
  <c r="C113" i="16" l="1"/>
  <c r="E48" i="20"/>
  <c r="G48" i="20" s="1"/>
  <c r="B49" i="20"/>
  <c r="P46" i="19"/>
  <c r="Q45" i="19" s="1"/>
  <c r="O46" i="19"/>
  <c r="Q44" i="19"/>
  <c r="M128" i="16"/>
  <c r="N125" i="16"/>
  <c r="N128" i="16" s="1"/>
  <c r="D113" i="220"/>
  <c r="D132" i="220" s="1"/>
  <c r="D136" i="220" s="1"/>
  <c r="D111" i="276"/>
  <c r="D112" i="276"/>
  <c r="E109" i="276" s="1"/>
  <c r="M128" i="276"/>
  <c r="N125" i="276"/>
  <c r="N128" i="276" s="1"/>
  <c r="D112" i="16"/>
  <c r="E109" i="16" s="1"/>
  <c r="D111" i="16"/>
  <c r="D113" i="16" s="1"/>
  <c r="D132" i="16" s="1"/>
  <c r="D136" i="16" s="1"/>
  <c r="E111" i="220"/>
  <c r="E112" i="220"/>
  <c r="F109" i="220" s="1"/>
  <c r="N125" i="220"/>
  <c r="N128" i="220" s="1"/>
  <c r="M128" i="220"/>
  <c r="E48" i="21"/>
  <c r="G48" i="21" s="1"/>
  <c r="B49" i="21"/>
  <c r="F92" i="21"/>
  <c r="E113" i="220" l="1"/>
  <c r="E132" i="220" s="1"/>
  <c r="E136" i="220" s="1"/>
  <c r="E49" i="20"/>
  <c r="G49" i="20" s="1"/>
  <c r="B50" i="20"/>
  <c r="P47" i="19"/>
  <c r="Q46" i="19" s="1"/>
  <c r="O47" i="19"/>
  <c r="E111" i="276"/>
  <c r="E112" i="276"/>
  <c r="F109" i="276" s="1"/>
  <c r="F112" i="220"/>
  <c r="G109" i="220" s="1"/>
  <c r="F111" i="220"/>
  <c r="F113" i="220" s="1"/>
  <c r="F132" i="220" s="1"/>
  <c r="F136" i="220" s="1"/>
  <c r="D113" i="276"/>
  <c r="D132" i="276" s="1"/>
  <c r="D136" i="276" s="1"/>
  <c r="E111" i="16"/>
  <c r="E112" i="16"/>
  <c r="F109" i="16" s="1"/>
  <c r="E49" i="21"/>
  <c r="G49" i="21" s="1"/>
  <c r="B50" i="21"/>
  <c r="F93" i="21"/>
  <c r="E113" i="16" l="1"/>
  <c r="E132" i="16" s="1"/>
  <c r="E136" i="16" s="1"/>
  <c r="E50" i="20"/>
  <c r="G50" i="20" s="1"/>
  <c r="B51" i="20"/>
  <c r="P48" i="19"/>
  <c r="Q47" i="19" s="1"/>
  <c r="O48" i="19"/>
  <c r="F111" i="276"/>
  <c r="F112" i="276"/>
  <c r="G109" i="276" s="1"/>
  <c r="G111" i="220"/>
  <c r="G112" i="220"/>
  <c r="H109" i="220" s="1"/>
  <c r="E113" i="276"/>
  <c r="E132" i="276" s="1"/>
  <c r="E136" i="276" s="1"/>
  <c r="F111" i="16"/>
  <c r="F112" i="16"/>
  <c r="G109" i="16" s="1"/>
  <c r="F94" i="21"/>
  <c r="E50" i="21"/>
  <c r="G50" i="21" s="1"/>
  <c r="B51" i="21"/>
  <c r="F113" i="16" l="1"/>
  <c r="F132" i="16" s="1"/>
  <c r="F136" i="16" s="1"/>
  <c r="E51" i="20"/>
  <c r="G51" i="20" s="1"/>
  <c r="B52" i="20"/>
  <c r="P49" i="19"/>
  <c r="O49" i="19"/>
  <c r="G111" i="16"/>
  <c r="G112" i="16"/>
  <c r="H109" i="16" s="1"/>
  <c r="H112" i="220"/>
  <c r="I109" i="220" s="1"/>
  <c r="H111" i="220"/>
  <c r="H113" i="220" s="1"/>
  <c r="H132" i="220" s="1"/>
  <c r="H136" i="220" s="1"/>
  <c r="G113" i="220"/>
  <c r="G132" i="220" s="1"/>
  <c r="G136" i="220" s="1"/>
  <c r="G111" i="276"/>
  <c r="G112" i="276"/>
  <c r="H109" i="276" s="1"/>
  <c r="F113" i="276"/>
  <c r="F132" i="276" s="1"/>
  <c r="F136" i="276" s="1"/>
  <c r="E51" i="21"/>
  <c r="G51" i="21" s="1"/>
  <c r="B52" i="21"/>
  <c r="F95" i="21"/>
  <c r="E52" i="20" l="1"/>
  <c r="G52" i="20" s="1"/>
  <c r="B53" i="20"/>
  <c r="O50" i="19"/>
  <c r="P50" i="19"/>
  <c r="Q48" i="19"/>
  <c r="H112" i="276"/>
  <c r="I109" i="276" s="1"/>
  <c r="H111" i="276"/>
  <c r="G113" i="276"/>
  <c r="G132" i="276" s="1"/>
  <c r="G136" i="276" s="1"/>
  <c r="I112" i="220"/>
  <c r="J109" i="220" s="1"/>
  <c r="I111" i="220"/>
  <c r="I113" i="220" s="1"/>
  <c r="I132" i="220" s="1"/>
  <c r="I136" i="220" s="1"/>
  <c r="H111" i="16"/>
  <c r="H112" i="16"/>
  <c r="I109" i="16" s="1"/>
  <c r="G113" i="16"/>
  <c r="G132" i="16" s="1"/>
  <c r="G136" i="16" s="1"/>
  <c r="F96" i="21"/>
  <c r="E52" i="21"/>
  <c r="G52" i="21" s="1"/>
  <c r="B53" i="21"/>
  <c r="H113" i="16" l="1"/>
  <c r="H132" i="16" s="1"/>
  <c r="H136" i="16" s="1"/>
  <c r="H113" i="276"/>
  <c r="H132" i="276" s="1"/>
  <c r="H136" i="276" s="1"/>
  <c r="E53" i="20"/>
  <c r="G53" i="20" s="1"/>
  <c r="B54" i="20"/>
  <c r="O51" i="19"/>
  <c r="P51" i="19"/>
  <c r="Q50" i="19" s="1"/>
  <c r="Q49" i="19"/>
  <c r="J111" i="220"/>
  <c r="J112" i="220"/>
  <c r="K109" i="220" s="1"/>
  <c r="I112" i="16"/>
  <c r="J109" i="16" s="1"/>
  <c r="I111" i="16"/>
  <c r="I113" i="16" s="1"/>
  <c r="I132" i="16" s="1"/>
  <c r="I136" i="16" s="1"/>
  <c r="I112" i="276"/>
  <c r="J109" i="276" s="1"/>
  <c r="I111" i="276"/>
  <c r="I113" i="276" s="1"/>
  <c r="I132" i="276" s="1"/>
  <c r="I136" i="276" s="1"/>
  <c r="F97" i="21"/>
  <c r="E53" i="21"/>
  <c r="G53" i="21" s="1"/>
  <c r="B54" i="21"/>
  <c r="E54" i="20" l="1"/>
  <c r="G54" i="20" s="1"/>
  <c r="B55" i="20"/>
  <c r="O52" i="19"/>
  <c r="P52" i="19"/>
  <c r="Q51" i="19" s="1"/>
  <c r="J112" i="16"/>
  <c r="K109" i="16" s="1"/>
  <c r="J111" i="16"/>
  <c r="J113" i="16" s="1"/>
  <c r="J132" i="16" s="1"/>
  <c r="J136" i="16" s="1"/>
  <c r="K112" i="220"/>
  <c r="L109" i="220" s="1"/>
  <c r="K111" i="220"/>
  <c r="K113" i="220" s="1"/>
  <c r="K132" i="220" s="1"/>
  <c r="K136" i="220" s="1"/>
  <c r="J112" i="276"/>
  <c r="K109" i="276" s="1"/>
  <c r="J111" i="276"/>
  <c r="J113" i="276" s="1"/>
  <c r="J132" i="276" s="1"/>
  <c r="J136" i="276" s="1"/>
  <c r="J113" i="220"/>
  <c r="J132" i="220" s="1"/>
  <c r="J136" i="220" s="1"/>
  <c r="F98" i="21"/>
  <c r="E54" i="21"/>
  <c r="G54" i="21" s="1"/>
  <c r="B55" i="21"/>
  <c r="E55" i="20" l="1"/>
  <c r="G55" i="20" s="1"/>
  <c r="B56" i="20"/>
  <c r="P53" i="19"/>
  <c r="Q52" i="19" s="1"/>
  <c r="O53" i="19"/>
  <c r="L111" i="220"/>
  <c r="L112" i="220"/>
  <c r="M109" i="220" s="1"/>
  <c r="K112" i="276"/>
  <c r="L109" i="276" s="1"/>
  <c r="K111" i="276"/>
  <c r="K112" i="16"/>
  <c r="L109" i="16" s="1"/>
  <c r="K111" i="16"/>
  <c r="K113" i="16" s="1"/>
  <c r="K132" i="16" s="1"/>
  <c r="K136" i="16" s="1"/>
  <c r="F99" i="21"/>
  <c r="E55" i="21"/>
  <c r="G55" i="21" s="1"/>
  <c r="B56" i="21"/>
  <c r="K113" i="276" l="1"/>
  <c r="K132" i="276" s="1"/>
  <c r="K136" i="276" s="1"/>
  <c r="E56" i="20"/>
  <c r="G56" i="20" s="1"/>
  <c r="B57" i="20"/>
  <c r="O54" i="19"/>
  <c r="P54" i="19"/>
  <c r="Q53" i="19"/>
  <c r="L112" i="16"/>
  <c r="M109" i="16" s="1"/>
  <c r="L111" i="16"/>
  <c r="L113" i="16" s="1"/>
  <c r="L132" i="16" s="1"/>
  <c r="L136" i="16" s="1"/>
  <c r="L111" i="276"/>
  <c r="L112" i="276"/>
  <c r="M109" i="276" s="1"/>
  <c r="M111" i="220"/>
  <c r="M112" i="220"/>
  <c r="N109" i="220" s="1"/>
  <c r="L113" i="220"/>
  <c r="L132" i="220" s="1"/>
  <c r="L136" i="220" s="1"/>
  <c r="F100" i="21"/>
  <c r="E56" i="21"/>
  <c r="G56" i="21" s="1"/>
  <c r="B57" i="21"/>
  <c r="E57" i="20" l="1"/>
  <c r="G57" i="20" s="1"/>
  <c r="B58" i="20"/>
  <c r="O55" i="19"/>
  <c r="P55" i="19"/>
  <c r="Q54" i="19" s="1"/>
  <c r="M111" i="276"/>
  <c r="M112" i="276"/>
  <c r="N109" i="276" s="1"/>
  <c r="M113" i="220"/>
  <c r="M132" i="220" s="1"/>
  <c r="M136" i="220" s="1"/>
  <c r="L113" i="276"/>
  <c r="L132" i="276" s="1"/>
  <c r="L136" i="276" s="1"/>
  <c r="N112" i="220"/>
  <c r="N111" i="220"/>
  <c r="N113" i="220" s="1"/>
  <c r="N132" i="220" s="1"/>
  <c r="N136" i="220" s="1"/>
  <c r="M111" i="16"/>
  <c r="M112" i="16"/>
  <c r="N109" i="16" s="1"/>
  <c r="F101" i="21"/>
  <c r="E57" i="21"/>
  <c r="G57" i="21" s="1"/>
  <c r="B58" i="21"/>
  <c r="M113" i="276" l="1"/>
  <c r="M132" i="276" s="1"/>
  <c r="M136" i="276" s="1"/>
  <c r="M113" i="16"/>
  <c r="M132" i="16" s="1"/>
  <c r="M136" i="16" s="1"/>
  <c r="E58" i="20"/>
  <c r="G58" i="20" s="1"/>
  <c r="B59" i="20"/>
  <c r="O56" i="19"/>
  <c r="P56" i="19"/>
  <c r="N111" i="16"/>
  <c r="N112" i="16"/>
  <c r="N111" i="276"/>
  <c r="N112" i="276"/>
  <c r="F102" i="21"/>
  <c r="E58" i="21"/>
  <c r="G58" i="21" s="1"/>
  <c r="B59" i="21"/>
  <c r="N113" i="276" l="1"/>
  <c r="N132" i="276" s="1"/>
  <c r="N136" i="276" s="1"/>
  <c r="E59" i="20"/>
  <c r="G59" i="20" s="1"/>
  <c r="B60" i="20"/>
  <c r="P57" i="19"/>
  <c r="Q56" i="19" s="1"/>
  <c r="O57" i="19"/>
  <c r="Q55" i="19"/>
  <c r="N113" i="16"/>
  <c r="N132" i="16" s="1"/>
  <c r="N136" i="16" s="1"/>
  <c r="F103" i="21"/>
  <c r="E59" i="21"/>
  <c r="G59" i="21" s="1"/>
  <c r="B60" i="21"/>
  <c r="E60" i="20" l="1"/>
  <c r="G60" i="20" s="1"/>
  <c r="B61" i="20"/>
  <c r="P58" i="19"/>
  <c r="Q57" i="19" s="1"/>
  <c r="O58" i="19"/>
  <c r="F104" i="21"/>
  <c r="E60" i="21"/>
  <c r="G60" i="21" s="1"/>
  <c r="B61" i="21"/>
  <c r="E61" i="20" l="1"/>
  <c r="G61" i="20" s="1"/>
  <c r="B62" i="20"/>
  <c r="O59" i="19"/>
  <c r="P59" i="19"/>
  <c r="Q58" i="19" s="1"/>
  <c r="F105" i="21"/>
  <c r="B62" i="21"/>
  <c r="E61" i="21"/>
  <c r="G61" i="21" s="1"/>
  <c r="E62" i="20" l="1"/>
  <c r="G62" i="20" s="1"/>
  <c r="B63" i="20"/>
  <c r="O60" i="19"/>
  <c r="P60" i="19"/>
  <c r="Q59" i="19" s="1"/>
  <c r="O74" i="18"/>
  <c r="F106" i="21"/>
  <c r="B63" i="21"/>
  <c r="E62" i="21"/>
  <c r="G62" i="21" s="1"/>
  <c r="E63" i="20" l="1"/>
  <c r="G63" i="20" s="1"/>
  <c r="B64" i="20"/>
  <c r="O61" i="19"/>
  <c r="O74" i="19" s="1"/>
  <c r="P61" i="19"/>
  <c r="Q60" i="19" s="1"/>
  <c r="F107" i="21"/>
  <c r="E63" i="21"/>
  <c r="G63" i="21" s="1"/>
  <c r="B64" i="21"/>
  <c r="E64" i="20" l="1"/>
  <c r="G64" i="20" s="1"/>
  <c r="B65" i="20"/>
  <c r="P62" i="19"/>
  <c r="O62" i="19"/>
  <c r="F108" i="21"/>
  <c r="E64" i="21"/>
  <c r="G64" i="21" s="1"/>
  <c r="B65" i="21"/>
  <c r="E65" i="20" l="1"/>
  <c r="G65" i="20" s="1"/>
  <c r="B66" i="20"/>
  <c r="O63" i="19"/>
  <c r="P63" i="19"/>
  <c r="Q62" i="19" s="1"/>
  <c r="Q61" i="19"/>
  <c r="F109" i="21"/>
  <c r="E65" i="21"/>
  <c r="G65" i="21" s="1"/>
  <c r="B66" i="21"/>
  <c r="E66" i="20" l="1"/>
  <c r="G66" i="20" s="1"/>
  <c r="B67" i="20"/>
  <c r="P64" i="19"/>
  <c r="Q63" i="19" s="1"/>
  <c r="O64" i="19"/>
  <c r="F110" i="21"/>
  <c r="E66" i="21"/>
  <c r="G66" i="21" s="1"/>
  <c r="B67" i="21"/>
  <c r="E67" i="20" l="1"/>
  <c r="G67" i="20" s="1"/>
  <c r="B68" i="20"/>
  <c r="P65" i="19"/>
  <c r="Q64" i="19" s="1"/>
  <c r="O65" i="19"/>
  <c r="F111" i="21"/>
  <c r="E67" i="21"/>
  <c r="G67" i="21" s="1"/>
  <c r="B68" i="21"/>
  <c r="E68" i="20" l="1"/>
  <c r="G68" i="20" s="1"/>
  <c r="B69" i="20"/>
  <c r="P66" i="19"/>
  <c r="O66" i="19"/>
  <c r="F112" i="21"/>
  <c r="E68" i="21"/>
  <c r="G68" i="21" s="1"/>
  <c r="B69" i="21"/>
  <c r="E69" i="20" l="1"/>
  <c r="G69" i="20" s="1"/>
  <c r="B70" i="20"/>
  <c r="Q65" i="19"/>
  <c r="P67" i="19"/>
  <c r="O67" i="19"/>
  <c r="F113" i="21"/>
  <c r="E69" i="21"/>
  <c r="G69" i="21" s="1"/>
  <c r="B70" i="21"/>
  <c r="E70" i="20" l="1"/>
  <c r="G70" i="20" s="1"/>
  <c r="B71" i="20"/>
  <c r="P68" i="19"/>
  <c r="O68" i="19"/>
  <c r="Q66" i="19"/>
  <c r="F114" i="21"/>
  <c r="E70" i="21"/>
  <c r="G70" i="21" s="1"/>
  <c r="B71" i="21"/>
  <c r="E71" i="20" l="1"/>
  <c r="G71" i="20" s="1"/>
  <c r="B72" i="20"/>
  <c r="O69" i="19"/>
  <c r="P69" i="19"/>
  <c r="Q68" i="19"/>
  <c r="Q67" i="19"/>
  <c r="O70" i="18"/>
  <c r="O75" i="18" s="1"/>
  <c r="F115" i="21"/>
  <c r="E71" i="21"/>
  <c r="G71" i="21" s="1"/>
  <c r="B72" i="21"/>
  <c r="E72" i="20" l="1"/>
  <c r="G72" i="20" s="1"/>
  <c r="B73" i="20"/>
  <c r="O70" i="19"/>
  <c r="O75" i="19" s="1"/>
  <c r="Q69" i="19"/>
  <c r="F116" i="21"/>
  <c r="E72" i="21"/>
  <c r="G72" i="21" s="1"/>
  <c r="B73" i="21"/>
  <c r="E73" i="20" l="1"/>
  <c r="B74" i="20"/>
  <c r="F117" i="21"/>
  <c r="E73" i="21"/>
  <c r="B74" i="21"/>
  <c r="E74" i="20" l="1"/>
  <c r="G74" i="20" s="1"/>
  <c r="B75" i="20"/>
  <c r="G73" i="20"/>
  <c r="E269" i="20"/>
  <c r="F118" i="21"/>
  <c r="E74" i="21"/>
  <c r="G74" i="21" s="1"/>
  <c r="B75" i="21"/>
  <c r="G73" i="21"/>
  <c r="E269" i="21"/>
  <c r="C230" i="20" l="1"/>
  <c r="C224" i="20"/>
  <c r="C204" i="20"/>
  <c r="C252" i="20"/>
  <c r="C264" i="20"/>
  <c r="C216" i="20"/>
  <c r="C54" i="20"/>
  <c r="I54" i="20" s="1"/>
  <c r="C124" i="20"/>
  <c r="C162" i="20"/>
  <c r="C193" i="20"/>
  <c r="C110" i="20"/>
  <c r="C62" i="20"/>
  <c r="C167" i="20"/>
  <c r="C45" i="20"/>
  <c r="C254" i="20"/>
  <c r="C59" i="20"/>
  <c r="C128" i="20"/>
  <c r="C118" i="20"/>
  <c r="C126" i="20"/>
  <c r="C44" i="20"/>
  <c r="C221" i="20"/>
  <c r="C241" i="20"/>
  <c r="C75" i="20"/>
  <c r="C245" i="20"/>
  <c r="C133" i="20"/>
  <c r="C238" i="20"/>
  <c r="C148" i="20"/>
  <c r="C158" i="20"/>
  <c r="C181" i="20"/>
  <c r="C77" i="20"/>
  <c r="C143" i="20"/>
  <c r="C203" i="20"/>
  <c r="C66" i="20"/>
  <c r="C99" i="20"/>
  <c r="C239" i="20"/>
  <c r="C161" i="20"/>
  <c r="C262" i="20"/>
  <c r="C104" i="20"/>
  <c r="C82" i="20"/>
  <c r="C93" i="20"/>
  <c r="C123" i="20"/>
  <c r="C265" i="20"/>
  <c r="C144" i="20"/>
  <c r="C185" i="20"/>
  <c r="C79" i="20"/>
  <c r="C129" i="20"/>
  <c r="C113" i="20"/>
  <c r="C260" i="20"/>
  <c r="C152" i="20"/>
  <c r="C68" i="20"/>
  <c r="C73" i="20"/>
  <c r="I73" i="20" s="1"/>
  <c r="C176" i="20"/>
  <c r="C95" i="20"/>
  <c r="C141" i="20"/>
  <c r="C138" i="20"/>
  <c r="C137" i="20"/>
  <c r="C29" i="20"/>
  <c r="C257" i="20"/>
  <c r="C121" i="20"/>
  <c r="C57" i="20"/>
  <c r="C234" i="20"/>
  <c r="C53" i="20"/>
  <c r="C228" i="20"/>
  <c r="C156" i="20"/>
  <c r="C32" i="20"/>
  <c r="C78" i="20"/>
  <c r="C65" i="20"/>
  <c r="I65" i="20" s="1"/>
  <c r="C192" i="20"/>
  <c r="C34" i="20"/>
  <c r="C111" i="20"/>
  <c r="C175" i="20"/>
  <c r="C101" i="20"/>
  <c r="C200" i="20"/>
  <c r="C217" i="20"/>
  <c r="C199" i="20"/>
  <c r="C69" i="20"/>
  <c r="C163" i="20"/>
  <c r="C227" i="20"/>
  <c r="C201" i="20"/>
  <c r="C207" i="20"/>
  <c r="C88" i="20"/>
  <c r="C187" i="20"/>
  <c r="C67" i="20"/>
  <c r="I67" i="20" s="1"/>
  <c r="C102" i="20"/>
  <c r="C249" i="20"/>
  <c r="C96" i="20"/>
  <c r="C39" i="20"/>
  <c r="I39" i="20" s="1"/>
  <c r="C91" i="20"/>
  <c r="C105" i="20"/>
  <c r="C220" i="20"/>
  <c r="C35" i="20"/>
  <c r="I35" i="20" s="1"/>
  <c r="C242" i="20"/>
  <c r="C140" i="20"/>
  <c r="C209" i="20"/>
  <c r="C117" i="20"/>
  <c r="C219" i="20"/>
  <c r="C184" i="20"/>
  <c r="C174" i="20"/>
  <c r="C153" i="20"/>
  <c r="C178" i="20"/>
  <c r="C157" i="20"/>
  <c r="C195" i="20"/>
  <c r="C27" i="20"/>
  <c r="I27" i="20" s="1"/>
  <c r="C189" i="20"/>
  <c r="C87" i="20"/>
  <c r="C109" i="20"/>
  <c r="C229" i="20"/>
  <c r="C248" i="20"/>
  <c r="C37" i="20"/>
  <c r="C218" i="20"/>
  <c r="C50" i="20"/>
  <c r="I50" i="20" s="1"/>
  <c r="C183" i="20"/>
  <c r="C261" i="20"/>
  <c r="C31" i="20"/>
  <c r="C115" i="20"/>
  <c r="C28" i="20"/>
  <c r="C30" i="20"/>
  <c r="C168" i="20"/>
  <c r="C214" i="20"/>
  <c r="C61" i="20"/>
  <c r="C250" i="20"/>
  <c r="C188" i="20"/>
  <c r="C244" i="20"/>
  <c r="C236" i="20"/>
  <c r="C208" i="20"/>
  <c r="C172" i="20"/>
  <c r="C108" i="20"/>
  <c r="C146" i="20"/>
  <c r="C177" i="20"/>
  <c r="C94" i="20"/>
  <c r="C215" i="20"/>
  <c r="C253" i="20"/>
  <c r="C225" i="20"/>
  <c r="C226" i="20"/>
  <c r="C52" i="20"/>
  <c r="I52" i="20" s="1"/>
  <c r="C100" i="20"/>
  <c r="C205" i="20"/>
  <c r="C114" i="20"/>
  <c r="C173" i="20"/>
  <c r="C81" i="20"/>
  <c r="C235" i="20"/>
  <c r="C107" i="20"/>
  <c r="C255" i="20"/>
  <c r="C186" i="20"/>
  <c r="C212" i="20"/>
  <c r="C120" i="20"/>
  <c r="C150" i="20"/>
  <c r="C142" i="20"/>
  <c r="C70" i="20"/>
  <c r="C159" i="20"/>
  <c r="C71" i="20"/>
  <c r="I71" i="20" s="1"/>
  <c r="C85" i="20"/>
  <c r="C131" i="20"/>
  <c r="C190" i="20"/>
  <c r="C64" i="20"/>
  <c r="I64" i="20" s="1"/>
  <c r="C51" i="20"/>
  <c r="C36" i="20"/>
  <c r="C194" i="20"/>
  <c r="C47" i="20"/>
  <c r="I47" i="20" s="1"/>
  <c r="C72" i="20"/>
  <c r="C60" i="20"/>
  <c r="C116" i="20"/>
  <c r="C166" i="20"/>
  <c r="C263" i="20"/>
  <c r="C83" i="20"/>
  <c r="C211" i="20"/>
  <c r="C246" i="20"/>
  <c r="C134" i="20"/>
  <c r="C97" i="20"/>
  <c r="C26" i="20"/>
  <c r="C80" i="20"/>
  <c r="C231" i="20"/>
  <c r="C58" i="20"/>
  <c r="C206" i="20"/>
  <c r="C155" i="20"/>
  <c r="C122" i="20"/>
  <c r="C202" i="20"/>
  <c r="C42" i="20"/>
  <c r="C135" i="20"/>
  <c r="C256" i="20"/>
  <c r="C258" i="20"/>
  <c r="C180" i="20"/>
  <c r="C92" i="20"/>
  <c r="C170" i="20"/>
  <c r="C49" i="20"/>
  <c r="C251" i="20"/>
  <c r="C164" i="20"/>
  <c r="C197" i="20"/>
  <c r="C86" i="20"/>
  <c r="C165" i="20"/>
  <c r="C139" i="20"/>
  <c r="C233" i="20"/>
  <c r="C112" i="20"/>
  <c r="C106" i="20"/>
  <c r="C247" i="20"/>
  <c r="C145" i="20"/>
  <c r="C179" i="20"/>
  <c r="C160" i="20"/>
  <c r="C43" i="20"/>
  <c r="I43" i="20" s="1"/>
  <c r="C48" i="20"/>
  <c r="C55" i="20"/>
  <c r="C89" i="20"/>
  <c r="C147" i="20"/>
  <c r="C196" i="20"/>
  <c r="C191" i="20"/>
  <c r="C154" i="20"/>
  <c r="C182" i="20"/>
  <c r="C119" i="20"/>
  <c r="C90" i="20"/>
  <c r="C198" i="20"/>
  <c r="C240" i="20"/>
  <c r="C222" i="20"/>
  <c r="C56" i="20"/>
  <c r="C76" i="20"/>
  <c r="C130" i="20"/>
  <c r="C103" i="20"/>
  <c r="C169" i="20"/>
  <c r="C136" i="20"/>
  <c r="C33" i="20"/>
  <c r="I33" i="20" s="1"/>
  <c r="C127" i="20"/>
  <c r="C171" i="20"/>
  <c r="C243" i="20"/>
  <c r="C84" i="20"/>
  <c r="C98" i="20"/>
  <c r="C40" i="20"/>
  <c r="C41" i="20"/>
  <c r="C125" i="20"/>
  <c r="C132" i="20"/>
  <c r="C237" i="20"/>
  <c r="C149" i="20"/>
  <c r="C213" i="20"/>
  <c r="C63" i="20"/>
  <c r="C259" i="20"/>
  <c r="C74" i="20"/>
  <c r="C232" i="20"/>
  <c r="C46" i="20"/>
  <c r="C38" i="20"/>
  <c r="C210" i="20"/>
  <c r="C223" i="20"/>
  <c r="C151" i="20"/>
  <c r="G269" i="20"/>
  <c r="E75" i="20"/>
  <c r="G75" i="20" s="1"/>
  <c r="B76" i="20"/>
  <c r="C48" i="21"/>
  <c r="C39" i="21"/>
  <c r="C45" i="21"/>
  <c r="C38" i="21"/>
  <c r="C28" i="21"/>
  <c r="C34" i="21"/>
  <c r="C35" i="21"/>
  <c r="C32" i="21"/>
  <c r="C33" i="21"/>
  <c r="C37" i="21"/>
  <c r="C47" i="21"/>
  <c r="C43" i="21"/>
  <c r="C42" i="21"/>
  <c r="C46" i="21"/>
  <c r="C31" i="21"/>
  <c r="C40" i="21"/>
  <c r="C51" i="21"/>
  <c r="C36" i="21"/>
  <c r="C30" i="21"/>
  <c r="C41" i="21"/>
  <c r="C26" i="21"/>
  <c r="C29" i="21"/>
  <c r="C58" i="21"/>
  <c r="C67" i="21"/>
  <c r="C44" i="21"/>
  <c r="C27" i="21"/>
  <c r="C56" i="21"/>
  <c r="C49" i="21"/>
  <c r="C54" i="21"/>
  <c r="C71" i="21"/>
  <c r="C60" i="21"/>
  <c r="C68" i="21"/>
  <c r="C63" i="21"/>
  <c r="C50" i="21"/>
  <c r="C52" i="21"/>
  <c r="C59" i="21"/>
  <c r="C70" i="21"/>
  <c r="C64" i="21"/>
  <c r="C66" i="21"/>
  <c r="C53" i="21"/>
  <c r="C65" i="21"/>
  <c r="C57" i="21"/>
  <c r="C55" i="21"/>
  <c r="C69" i="21"/>
  <c r="C61" i="21"/>
  <c r="C62"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G269" i="21"/>
  <c r="F119" i="21"/>
  <c r="C118" i="21"/>
  <c r="E75" i="21"/>
  <c r="G75" i="21" s="1"/>
  <c r="B76" i="21"/>
  <c r="I75" i="20" l="1"/>
  <c r="I41" i="20"/>
  <c r="I42" i="20"/>
  <c r="I53" i="20"/>
  <c r="I68" i="20"/>
  <c r="I45" i="20"/>
  <c r="I38" i="20"/>
  <c r="I40" i="20"/>
  <c r="I56" i="20"/>
  <c r="I55" i="20"/>
  <c r="I49" i="20"/>
  <c r="I58" i="20"/>
  <c r="I60" i="20"/>
  <c r="I36" i="20"/>
  <c r="I70" i="20"/>
  <c r="I30" i="20"/>
  <c r="I37" i="20"/>
  <c r="I34" i="20"/>
  <c r="I32" i="20"/>
  <c r="I29" i="20"/>
  <c r="I66" i="20"/>
  <c r="I74" i="20"/>
  <c r="I26" i="20"/>
  <c r="H26" i="20" s="1"/>
  <c r="H27" i="20" s="1"/>
  <c r="I31" i="20"/>
  <c r="E76" i="20"/>
  <c r="G76" i="20" s="1"/>
  <c r="I76" i="20" s="1"/>
  <c r="B77" i="20"/>
  <c r="I46" i="20"/>
  <c r="I63" i="20"/>
  <c r="I48" i="20"/>
  <c r="I72" i="20"/>
  <c r="I51" i="20"/>
  <c r="I61" i="20"/>
  <c r="I28" i="20"/>
  <c r="I69" i="20"/>
  <c r="I57" i="20"/>
  <c r="I44" i="20"/>
  <c r="I59" i="20"/>
  <c r="I62" i="20"/>
  <c r="I61" i="21"/>
  <c r="I70" i="21"/>
  <c r="I44" i="21"/>
  <c r="I42" i="21"/>
  <c r="I74" i="21"/>
  <c r="I65" i="21"/>
  <c r="I63" i="21"/>
  <c r="I54" i="21"/>
  <c r="I26" i="21"/>
  <c r="H26" i="21" s="1"/>
  <c r="I51" i="21"/>
  <c r="I33" i="21"/>
  <c r="I28" i="21"/>
  <c r="I48" i="21"/>
  <c r="I73" i="21"/>
  <c r="I69" i="21"/>
  <c r="I53" i="21"/>
  <c r="I59" i="21"/>
  <c r="I68" i="21"/>
  <c r="I49" i="21"/>
  <c r="I67" i="21"/>
  <c r="I41" i="21"/>
  <c r="I40" i="21"/>
  <c r="I43" i="21"/>
  <c r="I32" i="21"/>
  <c r="I38" i="21"/>
  <c r="F120" i="21"/>
  <c r="C119" i="21"/>
  <c r="I72" i="21"/>
  <c r="I55" i="21"/>
  <c r="I66" i="21"/>
  <c r="I52" i="21"/>
  <c r="I60" i="21"/>
  <c r="I56" i="21"/>
  <c r="I58" i="21"/>
  <c r="I30" i="21"/>
  <c r="I31" i="21"/>
  <c r="I47" i="21"/>
  <c r="I35" i="21"/>
  <c r="I45" i="21"/>
  <c r="E76" i="21"/>
  <c r="G76" i="21" s="1"/>
  <c r="B77" i="21"/>
  <c r="I75" i="21"/>
  <c r="I62" i="21"/>
  <c r="I57" i="21"/>
  <c r="I64" i="21"/>
  <c r="I50" i="21"/>
  <c r="I71" i="21"/>
  <c r="I27" i="21"/>
  <c r="I29" i="21"/>
  <c r="I36" i="21"/>
  <c r="I46" i="21"/>
  <c r="I37" i="21"/>
  <c r="I34" i="21"/>
  <c r="I39" i="21"/>
  <c r="N26" i="21" l="1"/>
  <c r="P26" i="21" s="1"/>
  <c r="N27" i="20"/>
  <c r="E97" i="14" s="1"/>
  <c r="H28" i="20"/>
  <c r="N28" i="20" s="1"/>
  <c r="F97" i="14" s="1"/>
  <c r="E77" i="20"/>
  <c r="G77" i="20" s="1"/>
  <c r="B78" i="20"/>
  <c r="N26" i="20"/>
  <c r="P26" i="20" s="1"/>
  <c r="H27" i="21"/>
  <c r="I76" i="21"/>
  <c r="F121" i="21"/>
  <c r="C120" i="21"/>
  <c r="B78" i="21"/>
  <c r="E77" i="21"/>
  <c r="G77" i="21" s="1"/>
  <c r="M26" i="21" l="1"/>
  <c r="P22" i="21" s="1"/>
  <c r="D100" i="14"/>
  <c r="E52" i="232" s="1"/>
  <c r="N27" i="21"/>
  <c r="P27" i="21" s="1"/>
  <c r="Q25" i="21"/>
  <c r="O26" i="21" s="1"/>
  <c r="D101" i="14" s="1"/>
  <c r="O27" i="21"/>
  <c r="H29" i="20"/>
  <c r="N29" i="20" s="1"/>
  <c r="G97" i="14" s="1"/>
  <c r="M28" i="20"/>
  <c r="M26" i="20"/>
  <c r="P22" i="20" s="1"/>
  <c r="P27" i="20"/>
  <c r="O28" i="20" s="1"/>
  <c r="F98" i="14" s="1"/>
  <c r="H30" i="20"/>
  <c r="M27" i="20"/>
  <c r="Q25" i="20"/>
  <c r="Q26" i="20"/>
  <c r="O27" i="20"/>
  <c r="E98" i="14" s="1"/>
  <c r="D97" i="14"/>
  <c r="E51" i="232" s="1"/>
  <c r="F51" i="232" s="1"/>
  <c r="G51" i="232" s="1"/>
  <c r="P28" i="20"/>
  <c r="E78" i="20"/>
  <c r="G78" i="20" s="1"/>
  <c r="B79" i="20"/>
  <c r="I77" i="20"/>
  <c r="O268" i="228"/>
  <c r="H28" i="21"/>
  <c r="H29" i="21" s="1"/>
  <c r="E100" i="14"/>
  <c r="F122" i="21"/>
  <c r="C121" i="21"/>
  <c r="I77" i="21"/>
  <c r="E78" i="21"/>
  <c r="G78" i="21" s="1"/>
  <c r="B79" i="21"/>
  <c r="M27" i="21" l="1"/>
  <c r="O28" i="21"/>
  <c r="Q26" i="21"/>
  <c r="N28" i="21"/>
  <c r="P28" i="21" s="1"/>
  <c r="N29" i="21"/>
  <c r="M29" i="21" s="1"/>
  <c r="P29" i="20"/>
  <c r="Q28" i="20" s="1"/>
  <c r="H51" i="232"/>
  <c r="N30" i="20"/>
  <c r="M30" i="20" s="1"/>
  <c r="H31" i="20"/>
  <c r="E79" i="20"/>
  <c r="G79" i="20" s="1"/>
  <c r="B80" i="20"/>
  <c r="O29" i="20"/>
  <c r="G98" i="14" s="1"/>
  <c r="Q27" i="20"/>
  <c r="O30" i="20"/>
  <c r="H98" i="14" s="1"/>
  <c r="I78" i="20"/>
  <c r="E101" i="14"/>
  <c r="H30" i="21"/>
  <c r="F52" i="232"/>
  <c r="E59" i="232"/>
  <c r="F123" i="21"/>
  <c r="C122" i="21"/>
  <c r="I78" i="21"/>
  <c r="E79" i="21"/>
  <c r="G79" i="21" s="1"/>
  <c r="B80" i="21"/>
  <c r="P29" i="21" l="1"/>
  <c r="M28" i="21"/>
  <c r="F100" i="14"/>
  <c r="O30" i="21"/>
  <c r="N30" i="21"/>
  <c r="H100" i="14" s="1"/>
  <c r="Q28" i="21"/>
  <c r="O29" i="21"/>
  <c r="Q27" i="21"/>
  <c r="M29" i="20"/>
  <c r="H97" i="14"/>
  <c r="P30" i="20"/>
  <c r="N31" i="20"/>
  <c r="I97" i="14" s="1"/>
  <c r="H32" i="20"/>
  <c r="E80" i="20"/>
  <c r="G80" i="20" s="1"/>
  <c r="B81" i="20"/>
  <c r="I79" i="20"/>
  <c r="F101" i="14"/>
  <c r="G100" i="14"/>
  <c r="H31" i="21"/>
  <c r="E80" i="21"/>
  <c r="G80" i="21" s="1"/>
  <c r="B81" i="21"/>
  <c r="F59" i="232"/>
  <c r="G52" i="232"/>
  <c r="I79" i="21"/>
  <c r="F124" i="21"/>
  <c r="C123" i="21"/>
  <c r="M30" i="21" l="1"/>
  <c r="P30" i="21"/>
  <c r="I80" i="21"/>
  <c r="N31" i="21"/>
  <c r="P31" i="21" s="1"/>
  <c r="Q30" i="21" s="1"/>
  <c r="O31" i="21"/>
  <c r="Q29" i="21"/>
  <c r="O31" i="20"/>
  <c r="I98" i="14" s="1"/>
  <c r="Q29" i="20"/>
  <c r="H33" i="20"/>
  <c r="N32" i="20"/>
  <c r="J97" i="14" s="1"/>
  <c r="I51" i="232"/>
  <c r="J51" i="232" s="1"/>
  <c r="P31" i="20"/>
  <c r="Q30" i="20" s="1"/>
  <c r="E81" i="20"/>
  <c r="G81" i="20" s="1"/>
  <c r="B82" i="20"/>
  <c r="I80" i="20"/>
  <c r="O268" i="227"/>
  <c r="O268" i="229"/>
  <c r="G101" i="14"/>
  <c r="I100" i="14"/>
  <c r="H32" i="21"/>
  <c r="H101" i="14"/>
  <c r="F125" i="21"/>
  <c r="C124" i="21"/>
  <c r="E81" i="21"/>
  <c r="G81" i="21" s="1"/>
  <c r="B82" i="21"/>
  <c r="H52" i="232"/>
  <c r="G59" i="232"/>
  <c r="M31" i="21" l="1"/>
  <c r="N32" i="21"/>
  <c r="P32" i="21" s="1"/>
  <c r="Q31" i="21" s="1"/>
  <c r="O32" i="21"/>
  <c r="M31" i="20"/>
  <c r="P32" i="20"/>
  <c r="O32" i="20"/>
  <c r="J98" i="14" s="1"/>
  <c r="N33" i="20"/>
  <c r="K97" i="14" s="1"/>
  <c r="H34" i="20"/>
  <c r="K51" i="232"/>
  <c r="I81" i="20"/>
  <c r="E82" i="20"/>
  <c r="G82" i="20" s="1"/>
  <c r="B83" i="20"/>
  <c r="I101" i="14"/>
  <c r="H33" i="21"/>
  <c r="H59" i="232"/>
  <c r="I52" i="232"/>
  <c r="E82" i="21"/>
  <c r="G82" i="21" s="1"/>
  <c r="B83" i="21"/>
  <c r="I81" i="21"/>
  <c r="F126" i="21"/>
  <c r="C125" i="21"/>
  <c r="M32" i="21" l="1"/>
  <c r="O33" i="21"/>
  <c r="N33" i="21"/>
  <c r="K100" i="14" s="1"/>
  <c r="M32" i="20"/>
  <c r="L51" i="232"/>
  <c r="O33" i="20"/>
  <c r="K98" i="14" s="1"/>
  <c r="P33" i="20"/>
  <c r="H35" i="20"/>
  <c r="N34" i="20"/>
  <c r="L97" i="14" s="1"/>
  <c r="Q31" i="20"/>
  <c r="E83" i="20"/>
  <c r="G83" i="20" s="1"/>
  <c r="B84" i="20"/>
  <c r="I82" i="20"/>
  <c r="O268" i="210"/>
  <c r="H34" i="21"/>
  <c r="J100" i="14"/>
  <c r="J101" i="14"/>
  <c r="F127" i="21"/>
  <c r="C126" i="21"/>
  <c r="I82" i="21"/>
  <c r="J52" i="232"/>
  <c r="I59" i="232"/>
  <c r="B84" i="21"/>
  <c r="E83" i="21"/>
  <c r="G83" i="21" s="1"/>
  <c r="M33" i="21" l="1"/>
  <c r="P33" i="21"/>
  <c r="O34" i="21" s="1"/>
  <c r="I83" i="21"/>
  <c r="N34" i="21"/>
  <c r="M34" i="21" s="1"/>
  <c r="M33" i="20"/>
  <c r="M51" i="232"/>
  <c r="O34" i="20"/>
  <c r="L98" i="14" s="1"/>
  <c r="N35" i="20"/>
  <c r="M97" i="14" s="1"/>
  <c r="H36" i="20"/>
  <c r="P34" i="20"/>
  <c r="Q32" i="20"/>
  <c r="E84" i="20"/>
  <c r="G84" i="20" s="1"/>
  <c r="B85" i="20"/>
  <c r="I83" i="20"/>
  <c r="O268" i="22"/>
  <c r="O268" i="23"/>
  <c r="K101" i="14"/>
  <c r="H35" i="21"/>
  <c r="F128" i="21"/>
  <c r="C127" i="21"/>
  <c r="B85" i="21"/>
  <c r="E84" i="21"/>
  <c r="G84" i="21" s="1"/>
  <c r="K52" i="232"/>
  <c r="J59" i="232"/>
  <c r="Q32" i="21" l="1"/>
  <c r="P34" i="21"/>
  <c r="O35" i="21" s="1"/>
  <c r="N35" i="21"/>
  <c r="P35" i="21" s="1"/>
  <c r="Q34" i="21" s="1"/>
  <c r="Q33" i="21"/>
  <c r="M34" i="20"/>
  <c r="N51" i="232"/>
  <c r="H37" i="20"/>
  <c r="N36" i="20"/>
  <c r="N97" i="14" s="1"/>
  <c r="O35" i="20"/>
  <c r="M98" i="14" s="1"/>
  <c r="P35" i="20"/>
  <c r="Q34" i="20" s="1"/>
  <c r="Q33" i="20"/>
  <c r="E85" i="20"/>
  <c r="G85" i="20" s="1"/>
  <c r="B86" i="20"/>
  <c r="I84" i="20"/>
  <c r="L100" i="14"/>
  <c r="L101" i="14"/>
  <c r="M100" i="14"/>
  <c r="H36" i="21"/>
  <c r="L52" i="232"/>
  <c r="K59" i="232"/>
  <c r="I84" i="21"/>
  <c r="F129" i="21"/>
  <c r="C128" i="21"/>
  <c r="E85" i="21"/>
  <c r="G85" i="21" s="1"/>
  <c r="B86" i="21"/>
  <c r="M35" i="21" l="1"/>
  <c r="O36" i="21"/>
  <c r="N36" i="21"/>
  <c r="P36" i="21" s="1"/>
  <c r="M35" i="20"/>
  <c r="O51" i="232"/>
  <c r="P36" i="20"/>
  <c r="Q35" i="20" s="1"/>
  <c r="N37" i="20"/>
  <c r="H38" i="20"/>
  <c r="O36" i="20"/>
  <c r="N98" i="14" s="1"/>
  <c r="I85" i="20"/>
  <c r="E86" i="20"/>
  <c r="G86" i="20" s="1"/>
  <c r="B87" i="20"/>
  <c r="H37" i="21"/>
  <c r="M101" i="14"/>
  <c r="B87" i="21"/>
  <c r="E86" i="21"/>
  <c r="G86" i="21" s="1"/>
  <c r="M52" i="232"/>
  <c r="L59" i="232"/>
  <c r="I85" i="21"/>
  <c r="F130" i="21"/>
  <c r="C129" i="21"/>
  <c r="M36" i="21" l="1"/>
  <c r="O37" i="21"/>
  <c r="I86" i="21"/>
  <c r="Q35" i="21"/>
  <c r="N37" i="21"/>
  <c r="O100" i="14" s="1"/>
  <c r="M36" i="20"/>
  <c r="O97" i="14"/>
  <c r="S37" i="20"/>
  <c r="P37" i="20"/>
  <c r="Q36" i="20" s="1"/>
  <c r="O37" i="20"/>
  <c r="O98" i="14" s="1"/>
  <c r="P98" i="14" s="1"/>
  <c r="H39" i="20"/>
  <c r="N38" i="20"/>
  <c r="I86" i="20"/>
  <c r="E87" i="20"/>
  <c r="G87" i="20" s="1"/>
  <c r="B88" i="20"/>
  <c r="N101" i="14"/>
  <c r="N100" i="14"/>
  <c r="H38" i="21"/>
  <c r="N52" i="232"/>
  <c r="M59" i="232"/>
  <c r="F131" i="21"/>
  <c r="C130" i="21"/>
  <c r="E87" i="21"/>
  <c r="G87" i="21" s="1"/>
  <c r="B88" i="21"/>
  <c r="M37" i="21" l="1"/>
  <c r="P37" i="21"/>
  <c r="O38" i="21" s="1"/>
  <c r="N38" i="21"/>
  <c r="P38" i="21" s="1"/>
  <c r="Q36" i="21"/>
  <c r="M37" i="20"/>
  <c r="O38" i="20"/>
  <c r="M38" i="20" s="1"/>
  <c r="N39" i="20"/>
  <c r="H40" i="20"/>
  <c r="P38" i="20"/>
  <c r="P97" i="14"/>
  <c r="P99" i="14" s="1"/>
  <c r="P51" i="232"/>
  <c r="I87" i="20"/>
  <c r="E88" i="20"/>
  <c r="G88" i="20" s="1"/>
  <c r="B89" i="20"/>
  <c r="P100" i="14"/>
  <c r="H39" i="21"/>
  <c r="O101" i="14"/>
  <c r="P101" i="14" s="1"/>
  <c r="S37" i="21"/>
  <c r="E88" i="21"/>
  <c r="G88" i="21" s="1"/>
  <c r="B89" i="21"/>
  <c r="I87" i="21"/>
  <c r="F132" i="21"/>
  <c r="C131" i="21"/>
  <c r="O52" i="232"/>
  <c r="N59" i="232"/>
  <c r="M38" i="21" l="1"/>
  <c r="O39" i="21"/>
  <c r="Q37" i="21"/>
  <c r="N39" i="21"/>
  <c r="P39" i="21" s="1"/>
  <c r="P39" i="20"/>
  <c r="O40" i="20" s="1"/>
  <c r="O39" i="20"/>
  <c r="M39" i="20" s="1"/>
  <c r="Q37" i="20"/>
  <c r="F53" i="3" s="1"/>
  <c r="D49" i="3"/>
  <c r="D50" i="3" s="1"/>
  <c r="N40" i="20"/>
  <c r="H41" i="20"/>
  <c r="E89" i="20"/>
  <c r="G89" i="20" s="1"/>
  <c r="B90" i="20"/>
  <c r="I88" i="20"/>
  <c r="P102" i="14"/>
  <c r="H40" i="21"/>
  <c r="P52" i="232"/>
  <c r="P59" i="232" s="1"/>
  <c r="O59" i="232"/>
  <c r="E89" i="21"/>
  <c r="G89" i="21" s="1"/>
  <c r="B90" i="21"/>
  <c r="F133" i="21"/>
  <c r="C132" i="21"/>
  <c r="I88" i="21"/>
  <c r="M39" i="21" l="1"/>
  <c r="O40" i="21"/>
  <c r="I89" i="21"/>
  <c r="N40" i="21"/>
  <c r="P40" i="21" s="1"/>
  <c r="Q38" i="21"/>
  <c r="Q38" i="20"/>
  <c r="P40" i="20"/>
  <c r="Q39" i="20" s="1"/>
  <c r="D62" i="3"/>
  <c r="D64" i="3" s="1"/>
  <c r="D65" i="3" s="1"/>
  <c r="M40" i="20"/>
  <c r="N41" i="20"/>
  <c r="H42" i="20"/>
  <c r="O41" i="20"/>
  <c r="I89" i="20"/>
  <c r="H89" i="20" s="1"/>
  <c r="E90" i="20"/>
  <c r="G90" i="20" s="1"/>
  <c r="B91" i="20"/>
  <c r="H41" i="21"/>
  <c r="F54" i="3"/>
  <c r="E90" i="21"/>
  <c r="G90" i="21" s="1"/>
  <c r="B91" i="21"/>
  <c r="F134" i="21"/>
  <c r="C133" i="21"/>
  <c r="M40" i="21" l="1"/>
  <c r="O41" i="21"/>
  <c r="N41" i="21"/>
  <c r="P41" i="21" s="1"/>
  <c r="Q40" i="21" s="1"/>
  <c r="Q39" i="21"/>
  <c r="M41" i="20"/>
  <c r="H43" i="20"/>
  <c r="N42" i="20"/>
  <c r="P41" i="20"/>
  <c r="E91" i="20"/>
  <c r="G91" i="20" s="1"/>
  <c r="B92" i="20"/>
  <c r="I90" i="20"/>
  <c r="H90" i="20" s="1"/>
  <c r="N89" i="20"/>
  <c r="M89" i="20"/>
  <c r="D76" i="3"/>
  <c r="D17" i="3" s="1"/>
  <c r="F34" i="32" s="1"/>
  <c r="F20" i="32"/>
  <c r="H42" i="21"/>
  <c r="I90" i="21"/>
  <c r="E91" i="21"/>
  <c r="G91" i="21" s="1"/>
  <c r="B92" i="21"/>
  <c r="F135" i="21"/>
  <c r="C134" i="21"/>
  <c r="M41" i="21" l="1"/>
  <c r="O42" i="21"/>
  <c r="N42" i="21"/>
  <c r="P42" i="21" s="1"/>
  <c r="O42" i="20"/>
  <c r="M42" i="20" s="1"/>
  <c r="Q40" i="20"/>
  <c r="N43" i="20"/>
  <c r="P43" i="20" s="1"/>
  <c r="H44" i="20"/>
  <c r="P42" i="20"/>
  <c r="P89" i="20"/>
  <c r="N90" i="20"/>
  <c r="P90" i="20" s="1"/>
  <c r="M90" i="20"/>
  <c r="E92" i="20"/>
  <c r="G92" i="20" s="1"/>
  <c r="B93" i="20"/>
  <c r="I91" i="20"/>
  <c r="H91" i="20" s="1"/>
  <c r="D22" i="3"/>
  <c r="D48" i="8"/>
  <c r="D18" i="232"/>
  <c r="D22" i="232" s="1"/>
  <c r="D37" i="232" s="1"/>
  <c r="F28" i="32"/>
  <c r="H43" i="21"/>
  <c r="E92" i="21"/>
  <c r="G92" i="21" s="1"/>
  <c r="B93" i="21"/>
  <c r="I91" i="21"/>
  <c r="F136" i="21"/>
  <c r="C135" i="21"/>
  <c r="M42" i="21" l="1"/>
  <c r="N43" i="21"/>
  <c r="P43" i="21" s="1"/>
  <c r="Q42" i="21" s="1"/>
  <c r="O43" i="21"/>
  <c r="Q41" i="21"/>
  <c r="Q42" i="20"/>
  <c r="O43" i="20"/>
  <c r="M43" i="20" s="1"/>
  <c r="H45" i="20"/>
  <c r="N44" i="20"/>
  <c r="P44" i="20" s="1"/>
  <c r="Q41" i="20"/>
  <c r="O44" i="20"/>
  <c r="O90" i="20"/>
  <c r="Q89" i="20"/>
  <c r="N91" i="20"/>
  <c r="P91" i="20" s="1"/>
  <c r="M91" i="20"/>
  <c r="O91" i="20"/>
  <c r="E93" i="20"/>
  <c r="G93" i="20" s="1"/>
  <c r="B94" i="20"/>
  <c r="I92" i="20"/>
  <c r="H92" i="20" s="1"/>
  <c r="H44" i="21"/>
  <c r="D38" i="3"/>
  <c r="F25" i="32"/>
  <c r="F137" i="21"/>
  <c r="C136" i="21"/>
  <c r="I92" i="21"/>
  <c r="E93" i="21"/>
  <c r="G93" i="21" s="1"/>
  <c r="B94" i="21"/>
  <c r="M43" i="21" l="1"/>
  <c r="N44" i="21"/>
  <c r="P44" i="21" s="1"/>
  <c r="Q43" i="21" s="1"/>
  <c r="O44" i="21"/>
  <c r="O45" i="20"/>
  <c r="H46" i="20"/>
  <c r="N45" i="20"/>
  <c r="P45" i="20" s="1"/>
  <c r="Q43" i="20"/>
  <c r="M44" i="20"/>
  <c r="N92" i="20"/>
  <c r="M92" i="20"/>
  <c r="E94" i="20"/>
  <c r="G94" i="20" s="1"/>
  <c r="B95" i="20"/>
  <c r="O92" i="20"/>
  <c r="I93" i="20"/>
  <c r="H93" i="20" s="1"/>
  <c r="Q90" i="20"/>
  <c r="M44" i="21"/>
  <c r="H45" i="21"/>
  <c r="H52" i="32"/>
  <c r="F17" i="32"/>
  <c r="F138" i="21"/>
  <c r="C137" i="21"/>
  <c r="I93" i="21"/>
  <c r="E94" i="21"/>
  <c r="G94" i="21" s="1"/>
  <c r="B95" i="21"/>
  <c r="N45" i="21" l="1"/>
  <c r="P45" i="21" s="1"/>
  <c r="Q44" i="21" s="1"/>
  <c r="O45" i="21"/>
  <c r="M45" i="20"/>
  <c r="H47" i="20"/>
  <c r="N46" i="20"/>
  <c r="P46" i="20" s="1"/>
  <c r="O46" i="20"/>
  <c r="Q44" i="20"/>
  <c r="N93" i="20"/>
  <c r="M93" i="20"/>
  <c r="E95" i="20"/>
  <c r="G95" i="20" s="1"/>
  <c r="B96" i="20"/>
  <c r="P92" i="20"/>
  <c r="I94" i="20"/>
  <c r="H94" i="20" s="1"/>
  <c r="M45" i="21"/>
  <c r="H46" i="21"/>
  <c r="F139" i="21"/>
  <c r="C138" i="21"/>
  <c r="E95" i="21"/>
  <c r="G95" i="21" s="1"/>
  <c r="B96" i="21"/>
  <c r="I94" i="21"/>
  <c r="N46" i="21" l="1"/>
  <c r="P46" i="21" s="1"/>
  <c r="Q45" i="21" s="1"/>
  <c r="O46" i="21"/>
  <c r="O47" i="20"/>
  <c r="Q45" i="20"/>
  <c r="N47" i="20"/>
  <c r="P47" i="20" s="1"/>
  <c r="Q46" i="20" s="1"/>
  <c r="H48" i="20"/>
  <c r="M46" i="20"/>
  <c r="E96" i="20"/>
  <c r="G96" i="20" s="1"/>
  <c r="B97" i="20"/>
  <c r="N94" i="20"/>
  <c r="M94" i="20"/>
  <c r="I95" i="20"/>
  <c r="H95" i="20" s="1"/>
  <c r="P93" i="20"/>
  <c r="Q92" i="20" s="1"/>
  <c r="O93" i="20"/>
  <c r="Q91" i="20"/>
  <c r="M46" i="21"/>
  <c r="H47" i="21"/>
  <c r="E96" i="21"/>
  <c r="G96" i="21" s="1"/>
  <c r="B97" i="21"/>
  <c r="I95" i="21"/>
  <c r="F140" i="21"/>
  <c r="C139" i="21"/>
  <c r="N47" i="21" l="1"/>
  <c r="P47" i="21" s="1"/>
  <c r="Q46" i="21" s="1"/>
  <c r="O47" i="21"/>
  <c r="M47" i="20"/>
  <c r="N48" i="20"/>
  <c r="P48" i="20" s="1"/>
  <c r="M48" i="20"/>
  <c r="H49" i="20"/>
  <c r="O48" i="20"/>
  <c r="O94" i="20"/>
  <c r="P94" i="20"/>
  <c r="N95" i="20"/>
  <c r="P95" i="20" s="1"/>
  <c r="M95" i="20"/>
  <c r="E97" i="20"/>
  <c r="G97" i="20" s="1"/>
  <c r="B98" i="20"/>
  <c r="I96" i="20"/>
  <c r="H96" i="20" s="1"/>
  <c r="H48" i="21"/>
  <c r="F141" i="21"/>
  <c r="C140" i="21"/>
  <c r="I96" i="21"/>
  <c r="E97" i="21"/>
  <c r="G97" i="21" s="1"/>
  <c r="B98" i="21"/>
  <c r="M47" i="21" l="1"/>
  <c r="N48" i="21"/>
  <c r="P48" i="21" s="1"/>
  <c r="Q47" i="21" s="1"/>
  <c r="O48" i="21"/>
  <c r="O49" i="20"/>
  <c r="H50" i="20"/>
  <c r="N49" i="20"/>
  <c r="Q47" i="20"/>
  <c r="N96" i="20"/>
  <c r="M96" i="20"/>
  <c r="E98" i="20"/>
  <c r="G98" i="20" s="1"/>
  <c r="B99" i="20"/>
  <c r="Q94" i="20"/>
  <c r="O95" i="20"/>
  <c r="I97" i="20"/>
  <c r="H97" i="20" s="1"/>
  <c r="O96" i="20"/>
  <c r="Q93" i="20"/>
  <c r="H49" i="21"/>
  <c r="B99" i="21"/>
  <c r="E98" i="21"/>
  <c r="G98" i="21" s="1"/>
  <c r="F142" i="21"/>
  <c r="C141" i="21"/>
  <c r="I97" i="21"/>
  <c r="M48" i="21" l="1"/>
  <c r="N49" i="21"/>
  <c r="P49" i="21" s="1"/>
  <c r="Q48" i="21" s="1"/>
  <c r="O49" i="21"/>
  <c r="N50" i="20"/>
  <c r="H51" i="20"/>
  <c r="P49" i="20"/>
  <c r="S49" i="20"/>
  <c r="M49" i="20"/>
  <c r="N97" i="20"/>
  <c r="P97" i="20" s="1"/>
  <c r="M97" i="20"/>
  <c r="E99" i="20"/>
  <c r="G99" i="20" s="1"/>
  <c r="B100" i="20"/>
  <c r="P96" i="20"/>
  <c r="I98" i="20"/>
  <c r="H98" i="20" s="1"/>
  <c r="H50" i="21"/>
  <c r="F143" i="21"/>
  <c r="C142" i="21"/>
  <c r="I98" i="21"/>
  <c r="H98" i="21" s="1"/>
  <c r="N98" i="21" s="1"/>
  <c r="E99" i="21"/>
  <c r="G99" i="21" s="1"/>
  <c r="B100" i="21"/>
  <c r="M49" i="21" l="1"/>
  <c r="O50" i="21"/>
  <c r="N50" i="21"/>
  <c r="P50" i="21" s="1"/>
  <c r="P98" i="21"/>
  <c r="O50" i="20"/>
  <c r="M50" i="20" s="1"/>
  <c r="Q48" i="20"/>
  <c r="H52" i="20"/>
  <c r="N51" i="20"/>
  <c r="P50" i="20"/>
  <c r="O97" i="20"/>
  <c r="Q96" i="20"/>
  <c r="Q95" i="20"/>
  <c r="E100" i="20"/>
  <c r="G100" i="20" s="1"/>
  <c r="B101" i="20"/>
  <c r="N98" i="20"/>
  <c r="M98" i="20"/>
  <c r="I99" i="20"/>
  <c r="H99" i="20" s="1"/>
  <c r="O98" i="20"/>
  <c r="M98" i="21"/>
  <c r="S49" i="21"/>
  <c r="H51" i="21"/>
  <c r="I99" i="21"/>
  <c r="H99" i="21" s="1"/>
  <c r="N99" i="21" s="1"/>
  <c r="F144" i="21"/>
  <c r="C143" i="21"/>
  <c r="E100" i="21"/>
  <c r="G100" i="21" s="1"/>
  <c r="B101" i="21"/>
  <c r="M50" i="21" l="1"/>
  <c r="N51" i="21"/>
  <c r="P51" i="21" s="1"/>
  <c r="Q50" i="21" s="1"/>
  <c r="O99" i="21"/>
  <c r="O51" i="21"/>
  <c r="Q49" i="21"/>
  <c r="P99" i="21"/>
  <c r="Q98" i="21" s="1"/>
  <c r="P51" i="20"/>
  <c r="O52" i="20" s="1"/>
  <c r="O51" i="20"/>
  <c r="M51" i="20" s="1"/>
  <c r="N52" i="20"/>
  <c r="P52" i="20" s="1"/>
  <c r="H53" i="20"/>
  <c r="Q49" i="20"/>
  <c r="P98" i="20"/>
  <c r="N99" i="20"/>
  <c r="M99" i="20"/>
  <c r="E101" i="20"/>
  <c r="G101" i="20" s="1"/>
  <c r="B102" i="20"/>
  <c r="I100" i="20"/>
  <c r="H100" i="20" s="1"/>
  <c r="M99" i="21"/>
  <c r="H52" i="21"/>
  <c r="I100" i="21"/>
  <c r="H100" i="21" s="1"/>
  <c r="N100" i="21" s="1"/>
  <c r="F145" i="21"/>
  <c r="C144" i="21"/>
  <c r="E101" i="21"/>
  <c r="G101" i="21" s="1"/>
  <c r="B102" i="21"/>
  <c r="M51" i="21" l="1"/>
  <c r="P100" i="21"/>
  <c r="O101" i="21" s="1"/>
  <c r="N52" i="21"/>
  <c r="P52" i="21" s="1"/>
  <c r="Q51" i="21" s="1"/>
  <c r="I101" i="21"/>
  <c r="H101" i="21" s="1"/>
  <c r="N101" i="21" s="1"/>
  <c r="O52" i="21"/>
  <c r="Q99" i="21"/>
  <c r="O100" i="21"/>
  <c r="Q51" i="20"/>
  <c r="Q50" i="20"/>
  <c r="M52" i="20"/>
  <c r="O53" i="20"/>
  <c r="H54" i="20"/>
  <c r="N53" i="20"/>
  <c r="N100" i="20"/>
  <c r="P100" i="20" s="1"/>
  <c r="M100" i="20"/>
  <c r="O99" i="20"/>
  <c r="Q97" i="20"/>
  <c r="E102" i="20"/>
  <c r="G102" i="20" s="1"/>
  <c r="B103" i="20"/>
  <c r="I101" i="20"/>
  <c r="H101" i="20" s="1"/>
  <c r="P99" i="20"/>
  <c r="M100" i="21"/>
  <c r="M52" i="21"/>
  <c r="H53" i="21"/>
  <c r="E102" i="21"/>
  <c r="G102" i="21" s="1"/>
  <c r="B103" i="21"/>
  <c r="F146" i="21"/>
  <c r="C145" i="21"/>
  <c r="P101" i="21" l="1"/>
  <c r="Q100" i="21" s="1"/>
  <c r="N53" i="21"/>
  <c r="P53" i="21" s="1"/>
  <c r="Q52" i="21" s="1"/>
  <c r="I102" i="21"/>
  <c r="H102" i="21" s="1"/>
  <c r="N102" i="21" s="1"/>
  <c r="O53" i="21"/>
  <c r="M101" i="21"/>
  <c r="P53" i="20"/>
  <c r="N54" i="20"/>
  <c r="H55" i="20"/>
  <c r="M53" i="20"/>
  <c r="N101" i="20"/>
  <c r="P101" i="20" s="1"/>
  <c r="M101" i="20"/>
  <c r="O101" i="20"/>
  <c r="I102" i="20"/>
  <c r="H102" i="20" s="1"/>
  <c r="S100" i="20"/>
  <c r="O100" i="20"/>
  <c r="Q99" i="20"/>
  <c r="E103" i="20"/>
  <c r="G103" i="20" s="1"/>
  <c r="B104" i="20"/>
  <c r="Q98" i="20"/>
  <c r="H54" i="21"/>
  <c r="F147" i="21"/>
  <c r="C146" i="21"/>
  <c r="E103" i="21"/>
  <c r="G103" i="21" s="1"/>
  <c r="B104" i="21"/>
  <c r="M53" i="21" l="1"/>
  <c r="P102" i="21"/>
  <c r="Q101" i="21" s="1"/>
  <c r="O102" i="21"/>
  <c r="N54" i="21"/>
  <c r="P54" i="21" s="1"/>
  <c r="Q53" i="21" s="1"/>
  <c r="O54" i="21"/>
  <c r="M102" i="21"/>
  <c r="P54" i="20"/>
  <c r="O55" i="20" s="1"/>
  <c r="H56" i="20"/>
  <c r="N55" i="20"/>
  <c r="P55" i="20" s="1"/>
  <c r="O54" i="20"/>
  <c r="M54" i="20" s="1"/>
  <c r="Q52" i="20"/>
  <c r="O102" i="20"/>
  <c r="S101" i="20"/>
  <c r="E104" i="20"/>
  <c r="G104" i="20" s="1"/>
  <c r="B105" i="20"/>
  <c r="N102" i="20"/>
  <c r="M102" i="20"/>
  <c r="I103" i="20"/>
  <c r="H103" i="20" s="1"/>
  <c r="Q100" i="20"/>
  <c r="H55" i="21"/>
  <c r="I103" i="21"/>
  <c r="H103" i="21" s="1"/>
  <c r="N103" i="21" s="1"/>
  <c r="F148" i="21"/>
  <c r="C147" i="21"/>
  <c r="E104" i="21"/>
  <c r="G104" i="21" s="1"/>
  <c r="B105" i="21"/>
  <c r="O103" i="21" l="1"/>
  <c r="M54" i="21"/>
  <c r="P103" i="21"/>
  <c r="Q102" i="21" s="1"/>
  <c r="O55" i="21"/>
  <c r="N55" i="21"/>
  <c r="P55" i="21" s="1"/>
  <c r="Q53" i="20"/>
  <c r="M55" i="20"/>
  <c r="O56" i="20"/>
  <c r="Q54" i="20"/>
  <c r="N56" i="20"/>
  <c r="H57" i="20"/>
  <c r="S102" i="20"/>
  <c r="E105" i="20"/>
  <c r="G105" i="20" s="1"/>
  <c r="B106" i="20"/>
  <c r="P102" i="20"/>
  <c r="N103" i="20"/>
  <c r="M103" i="20"/>
  <c r="I104" i="20"/>
  <c r="H104" i="20" s="1"/>
  <c r="M103" i="21"/>
  <c r="H56" i="21"/>
  <c r="E105" i="21"/>
  <c r="G105" i="21" s="1"/>
  <c r="B106" i="21"/>
  <c r="I104" i="21"/>
  <c r="H104" i="21" s="1"/>
  <c r="N104" i="21" s="1"/>
  <c r="F149" i="21"/>
  <c r="C148" i="21"/>
  <c r="M55" i="21" l="1"/>
  <c r="O104" i="21"/>
  <c r="O56" i="21"/>
  <c r="N56" i="21"/>
  <c r="P56" i="21" s="1"/>
  <c r="P104" i="21"/>
  <c r="Q54" i="21"/>
  <c r="P56" i="20"/>
  <c r="M56" i="20"/>
  <c r="H58" i="20"/>
  <c r="N57" i="20"/>
  <c r="E106" i="20"/>
  <c r="G106" i="20" s="1"/>
  <c r="B107" i="20"/>
  <c r="I105" i="20"/>
  <c r="H105" i="20" s="1"/>
  <c r="S103" i="20"/>
  <c r="N104" i="20"/>
  <c r="M104" i="20"/>
  <c r="O103" i="20"/>
  <c r="Q101" i="20"/>
  <c r="P103" i="20"/>
  <c r="M104" i="21"/>
  <c r="H57" i="21"/>
  <c r="B107" i="21"/>
  <c r="E106" i="21"/>
  <c r="G106" i="21" s="1"/>
  <c r="I105" i="21"/>
  <c r="H105" i="21" s="1"/>
  <c r="N105" i="21" s="1"/>
  <c r="F150" i="21"/>
  <c r="C149" i="21"/>
  <c r="M56" i="21" l="1"/>
  <c r="P105" i="21"/>
  <c r="Q104" i="21" s="1"/>
  <c r="N57" i="21"/>
  <c r="P57" i="21" s="1"/>
  <c r="Q56" i="21" s="1"/>
  <c r="O105" i="21"/>
  <c r="Q103" i="21"/>
  <c r="O57" i="21"/>
  <c r="O106" i="21"/>
  <c r="Q55" i="21"/>
  <c r="P57" i="20"/>
  <c r="Q56" i="20" s="1"/>
  <c r="H59" i="20"/>
  <c r="N58" i="20"/>
  <c r="O57" i="20"/>
  <c r="M57" i="20" s="1"/>
  <c r="Q55" i="20"/>
  <c r="S104" i="20"/>
  <c r="P104" i="20"/>
  <c r="Q103" i="20" s="1"/>
  <c r="O104" i="20"/>
  <c r="Q102" i="20"/>
  <c r="E107" i="20"/>
  <c r="G107" i="20" s="1"/>
  <c r="B108" i="20"/>
  <c r="N105" i="20"/>
  <c r="M105" i="20"/>
  <c r="I106" i="20"/>
  <c r="H106" i="20" s="1"/>
  <c r="M105" i="21"/>
  <c r="H58" i="21"/>
  <c r="I106" i="21"/>
  <c r="H106" i="21" s="1"/>
  <c r="N106" i="21" s="1"/>
  <c r="F151" i="21"/>
  <c r="C150" i="21"/>
  <c r="E107" i="21"/>
  <c r="G107" i="21" s="1"/>
  <c r="B108" i="21"/>
  <c r="M57" i="21" l="1"/>
  <c r="N58" i="21"/>
  <c r="P58" i="21" s="1"/>
  <c r="Q57" i="21" s="1"/>
  <c r="P106" i="21"/>
  <c r="O58" i="21"/>
  <c r="O58" i="20"/>
  <c r="P58" i="20"/>
  <c r="O59" i="20" s="1"/>
  <c r="M58" i="20"/>
  <c r="N59" i="20"/>
  <c r="P59" i="20" s="1"/>
  <c r="H60" i="20"/>
  <c r="S105" i="20"/>
  <c r="P105" i="20"/>
  <c r="O106" i="20" s="1"/>
  <c r="I107" i="20"/>
  <c r="H107" i="20" s="1"/>
  <c r="N106" i="20"/>
  <c r="M106" i="20"/>
  <c r="E108" i="20"/>
  <c r="G108" i="20" s="1"/>
  <c r="B109" i="20"/>
  <c r="O105" i="20"/>
  <c r="M58" i="21"/>
  <c r="M106" i="21"/>
  <c r="H59" i="21"/>
  <c r="E108" i="21"/>
  <c r="G108" i="21" s="1"/>
  <c r="B109" i="21"/>
  <c r="I107" i="21"/>
  <c r="H107" i="21" s="1"/>
  <c r="N107" i="21" s="1"/>
  <c r="F152" i="21"/>
  <c r="C151" i="21"/>
  <c r="N59" i="21" l="1"/>
  <c r="P59" i="21" s="1"/>
  <c r="Q58" i="21" s="1"/>
  <c r="O59" i="21"/>
  <c r="O107" i="21"/>
  <c r="Q105" i="21"/>
  <c r="P107" i="21"/>
  <c r="Q106" i="21" s="1"/>
  <c r="Q58" i="20"/>
  <c r="Q57" i="20"/>
  <c r="M59" i="20"/>
  <c r="H61" i="20"/>
  <c r="N60" i="20"/>
  <c r="P60" i="20" s="1"/>
  <c r="O60" i="20"/>
  <c r="Q104" i="20"/>
  <c r="S106" i="20"/>
  <c r="P106" i="20"/>
  <c r="N107" i="20"/>
  <c r="M107" i="20"/>
  <c r="E109" i="20"/>
  <c r="G109" i="20" s="1"/>
  <c r="B110" i="20"/>
  <c r="I108" i="20"/>
  <c r="H108" i="20" s="1"/>
  <c r="M107" i="21"/>
  <c r="H60" i="21"/>
  <c r="F153" i="21"/>
  <c r="C152" i="21"/>
  <c r="B110" i="21"/>
  <c r="E109" i="21"/>
  <c r="G109" i="21" s="1"/>
  <c r="I108" i="21"/>
  <c r="H108" i="21" s="1"/>
  <c r="N108" i="21" s="1"/>
  <c r="M59" i="21" l="1"/>
  <c r="O60" i="21"/>
  <c r="N60" i="21"/>
  <c r="P60" i="21" s="1"/>
  <c r="O108" i="21"/>
  <c r="P108" i="21"/>
  <c r="Q107" i="21" s="1"/>
  <c r="M60" i="20"/>
  <c r="O61" i="20"/>
  <c r="Q59" i="20"/>
  <c r="N61" i="20"/>
  <c r="S61" i="20" s="1"/>
  <c r="H62" i="20"/>
  <c r="S107" i="20"/>
  <c r="P107" i="20"/>
  <c r="E110" i="20"/>
  <c r="G110" i="20" s="1"/>
  <c r="B111" i="20"/>
  <c r="Q105" i="20"/>
  <c r="O107" i="20"/>
  <c r="N108" i="20"/>
  <c r="M108" i="20"/>
  <c r="I109" i="20"/>
  <c r="H109" i="20" s="1"/>
  <c r="M108" i="21"/>
  <c r="H61" i="21"/>
  <c r="E110" i="21"/>
  <c r="G110" i="21" s="1"/>
  <c r="B111" i="21"/>
  <c r="F154" i="21"/>
  <c r="C153" i="21"/>
  <c r="I109" i="21"/>
  <c r="H109" i="21" s="1"/>
  <c r="N109" i="21" s="1"/>
  <c r="M60" i="21" l="1"/>
  <c r="O61" i="21"/>
  <c r="Q59" i="21"/>
  <c r="N61" i="21"/>
  <c r="M61" i="21" s="1"/>
  <c r="P109" i="21"/>
  <c r="Q108" i="21" s="1"/>
  <c r="O109" i="21"/>
  <c r="M61" i="20"/>
  <c r="P61" i="20"/>
  <c r="H63" i="20"/>
  <c r="N62" i="20"/>
  <c r="O108" i="20"/>
  <c r="N109" i="20"/>
  <c r="M109" i="20"/>
  <c r="Q106" i="20"/>
  <c r="E111" i="20"/>
  <c r="G111" i="20" s="1"/>
  <c r="B112" i="20"/>
  <c r="I110" i="20"/>
  <c r="H110" i="20" s="1"/>
  <c r="S108" i="20"/>
  <c r="P108" i="20"/>
  <c r="M109" i="21"/>
  <c r="H62" i="21"/>
  <c r="E111" i="21"/>
  <c r="G111" i="21" s="1"/>
  <c r="B112" i="21"/>
  <c r="I110" i="21"/>
  <c r="H110" i="21" s="1"/>
  <c r="N110" i="21" s="1"/>
  <c r="F155" i="21"/>
  <c r="C154" i="21"/>
  <c r="P61" i="21" l="1"/>
  <c r="O110" i="21"/>
  <c r="O62" i="21"/>
  <c r="P110" i="21"/>
  <c r="I111" i="21"/>
  <c r="H111" i="21" s="1"/>
  <c r="N111" i="21" s="1"/>
  <c r="N62" i="21"/>
  <c r="P62" i="21" s="1"/>
  <c r="Q60" i="21"/>
  <c r="O62" i="20"/>
  <c r="M62" i="20" s="1"/>
  <c r="Q60" i="20"/>
  <c r="P62" i="20"/>
  <c r="Q61" i="20" s="1"/>
  <c r="H64" i="20"/>
  <c r="N63" i="20"/>
  <c r="E112" i="20"/>
  <c r="G112" i="20" s="1"/>
  <c r="B113" i="20"/>
  <c r="O109" i="20"/>
  <c r="N110" i="20"/>
  <c r="M110" i="20"/>
  <c r="I111" i="20"/>
  <c r="H111" i="20" s="1"/>
  <c r="S109" i="20"/>
  <c r="Q107" i="20"/>
  <c r="P109" i="20"/>
  <c r="M110" i="21"/>
  <c r="H63" i="21"/>
  <c r="S61" i="21"/>
  <c r="H49" i="3" s="1"/>
  <c r="H62" i="3" s="1"/>
  <c r="F156" i="21"/>
  <c r="C155" i="21"/>
  <c r="S109" i="21"/>
  <c r="E112" i="21"/>
  <c r="G112" i="21" s="1"/>
  <c r="B113" i="21"/>
  <c r="M62" i="21" l="1"/>
  <c r="P111" i="21"/>
  <c r="O112" i="21" s="1"/>
  <c r="O63" i="21"/>
  <c r="Q61" i="21"/>
  <c r="O111" i="21"/>
  <c r="N63" i="21"/>
  <c r="P63" i="21" s="1"/>
  <c r="M111" i="21"/>
  <c r="Q109" i="21"/>
  <c r="P63" i="20"/>
  <c r="O64" i="20" s="1"/>
  <c r="H65" i="20"/>
  <c r="N64" i="20"/>
  <c r="O63" i="20"/>
  <c r="M63" i="20" s="1"/>
  <c r="O110" i="20"/>
  <c r="P110" i="20"/>
  <c r="N111" i="20"/>
  <c r="P111" i="20" s="1"/>
  <c r="M111" i="20"/>
  <c r="Q108" i="20"/>
  <c r="E113" i="20"/>
  <c r="G113" i="20" s="1"/>
  <c r="B114" i="20"/>
  <c r="S110" i="20"/>
  <c r="I112" i="20"/>
  <c r="H112" i="20" s="1"/>
  <c r="H64" i="21"/>
  <c r="F157" i="21"/>
  <c r="C156" i="21"/>
  <c r="S110" i="21"/>
  <c r="E113" i="21"/>
  <c r="G113" i="21" s="1"/>
  <c r="B114" i="21"/>
  <c r="S111" i="21"/>
  <c r="I112" i="21"/>
  <c r="H112" i="21" s="1"/>
  <c r="N112" i="21" s="1"/>
  <c r="M63" i="21" l="1"/>
  <c r="Q110" i="21"/>
  <c r="O64" i="21"/>
  <c r="Q62" i="21"/>
  <c r="N64" i="21"/>
  <c r="P64" i="21" s="1"/>
  <c r="P112" i="21"/>
  <c r="Q62" i="20"/>
  <c r="M64" i="20"/>
  <c r="P64" i="20"/>
  <c r="O65" i="20" s="1"/>
  <c r="N65" i="20"/>
  <c r="M65" i="20" s="1"/>
  <c r="H66" i="20"/>
  <c r="N112" i="20"/>
  <c r="P112" i="20" s="1"/>
  <c r="Q111" i="20" s="1"/>
  <c r="M112" i="20"/>
  <c r="O111" i="20"/>
  <c r="Q110" i="20"/>
  <c r="E114" i="20"/>
  <c r="G114" i="20" s="1"/>
  <c r="B115" i="20"/>
  <c r="Q109" i="20"/>
  <c r="I113" i="20"/>
  <c r="H113" i="20" s="1"/>
  <c r="O112" i="20"/>
  <c r="S111" i="20"/>
  <c r="M112" i="21"/>
  <c r="H65" i="21"/>
  <c r="E114" i="21"/>
  <c r="G114" i="21" s="1"/>
  <c r="B115" i="21"/>
  <c r="I113" i="21"/>
  <c r="H113" i="21" s="1"/>
  <c r="N113" i="21" s="1"/>
  <c r="F158" i="21"/>
  <c r="C157" i="21"/>
  <c r="M64" i="21" l="1"/>
  <c r="O113" i="21"/>
  <c r="Q111" i="21"/>
  <c r="O65" i="21"/>
  <c r="P113" i="21"/>
  <c r="N65" i="21"/>
  <c r="P65" i="21" s="1"/>
  <c r="Q64" i="21" s="1"/>
  <c r="Q63" i="21"/>
  <c r="Q63" i="20"/>
  <c r="P65" i="20"/>
  <c r="H67" i="20"/>
  <c r="N66" i="20"/>
  <c r="E115" i="20"/>
  <c r="G115" i="20" s="1"/>
  <c r="B116" i="20"/>
  <c r="I114" i="20"/>
  <c r="H114" i="20" s="1"/>
  <c r="S112" i="20"/>
  <c r="N113" i="20"/>
  <c r="M113" i="20"/>
  <c r="O113" i="20"/>
  <c r="M113" i="21"/>
  <c r="H66" i="21"/>
  <c r="S112" i="21"/>
  <c r="E115" i="21"/>
  <c r="G115" i="21" s="1"/>
  <c r="B116" i="21"/>
  <c r="F159" i="21"/>
  <c r="C158" i="21"/>
  <c r="I114" i="21"/>
  <c r="H114" i="21" s="1"/>
  <c r="N114" i="21" s="1"/>
  <c r="M65" i="21" l="1"/>
  <c r="O114" i="21"/>
  <c r="O66" i="21"/>
  <c r="Q112" i="21"/>
  <c r="N66" i="21"/>
  <c r="P66" i="21" s="1"/>
  <c r="P114" i="21"/>
  <c r="N67" i="20"/>
  <c r="H68" i="20"/>
  <c r="P66" i="20"/>
  <c r="Q65" i="20" s="1"/>
  <c r="O66" i="20"/>
  <c r="M66" i="20" s="1"/>
  <c r="Q64" i="20"/>
  <c r="S113" i="20"/>
  <c r="E116" i="20"/>
  <c r="G116" i="20" s="1"/>
  <c r="B117" i="20"/>
  <c r="I115" i="20"/>
  <c r="H115" i="20" s="1"/>
  <c r="N114" i="20"/>
  <c r="P114" i="20" s="1"/>
  <c r="M114" i="20"/>
  <c r="P113" i="20"/>
  <c r="M114" i="21"/>
  <c r="H67" i="21"/>
  <c r="F160" i="21"/>
  <c r="C159" i="21"/>
  <c r="E116" i="21"/>
  <c r="G116" i="21" s="1"/>
  <c r="B117" i="21"/>
  <c r="I115" i="21"/>
  <c r="H115" i="21" s="1"/>
  <c r="N115" i="21" s="1"/>
  <c r="S113" i="21"/>
  <c r="M66" i="21" l="1"/>
  <c r="N67" i="21"/>
  <c r="P67" i="21" s="1"/>
  <c r="Q66" i="21" s="1"/>
  <c r="O67" i="21"/>
  <c r="Q65" i="21"/>
  <c r="P115" i="21"/>
  <c r="O115" i="21"/>
  <c r="Q113" i="21"/>
  <c r="M67" i="20"/>
  <c r="H69" i="20"/>
  <c r="N68" i="20"/>
  <c r="O67" i="20"/>
  <c r="P67" i="20"/>
  <c r="O115" i="20"/>
  <c r="S114" i="20"/>
  <c r="N115" i="20"/>
  <c r="M115" i="20"/>
  <c r="E117" i="20"/>
  <c r="G117" i="20" s="1"/>
  <c r="B118" i="20"/>
  <c r="O114" i="20"/>
  <c r="Q113" i="20"/>
  <c r="Q112" i="20"/>
  <c r="I116" i="20"/>
  <c r="H116" i="20" s="1"/>
  <c r="M115" i="21"/>
  <c r="H68" i="21"/>
  <c r="E117" i="21"/>
  <c r="G117" i="21" s="1"/>
  <c r="B118" i="21"/>
  <c r="I116" i="21"/>
  <c r="H116" i="21" s="1"/>
  <c r="N116" i="21" s="1"/>
  <c r="S114" i="21"/>
  <c r="F161" i="21"/>
  <c r="C160" i="21"/>
  <c r="M67" i="21" l="1"/>
  <c r="O116" i="21"/>
  <c r="P116" i="21"/>
  <c r="N68" i="21"/>
  <c r="M68" i="21" s="1"/>
  <c r="O68" i="21"/>
  <c r="Q114" i="21"/>
  <c r="P68" i="20"/>
  <c r="Q67" i="20" s="1"/>
  <c r="O68" i="20"/>
  <c r="M68" i="20" s="1"/>
  <c r="Q66" i="20"/>
  <c r="H70" i="20"/>
  <c r="N69" i="20"/>
  <c r="E118" i="20"/>
  <c r="G118" i="20" s="1"/>
  <c r="B119" i="20"/>
  <c r="I117" i="20"/>
  <c r="H117" i="20" s="1"/>
  <c r="N116" i="20"/>
  <c r="M116" i="20"/>
  <c r="S115" i="20"/>
  <c r="P115" i="20"/>
  <c r="P116" i="20"/>
  <c r="M116" i="21"/>
  <c r="H69" i="21"/>
  <c r="F162" i="21"/>
  <c r="C161" i="21"/>
  <c r="E118" i="21"/>
  <c r="G118" i="21" s="1"/>
  <c r="B119" i="21"/>
  <c r="I117" i="21"/>
  <c r="H117" i="21" s="1"/>
  <c r="N117" i="21" s="1"/>
  <c r="S115" i="21"/>
  <c r="P68" i="21" l="1"/>
  <c r="Q67" i="21" s="1"/>
  <c r="O117" i="21"/>
  <c r="P117" i="21"/>
  <c r="N69" i="21"/>
  <c r="M69" i="21" s="1"/>
  <c r="Q115" i="21"/>
  <c r="O69" i="20"/>
  <c r="M69" i="20" s="1"/>
  <c r="P69" i="20"/>
  <c r="H71" i="20"/>
  <c r="N70" i="20"/>
  <c r="M70" i="20" s="1"/>
  <c r="O70" i="20"/>
  <c r="Q68" i="20"/>
  <c r="O117" i="20"/>
  <c r="N117" i="20"/>
  <c r="P117" i="20" s="1"/>
  <c r="M117" i="20"/>
  <c r="E119" i="20"/>
  <c r="G119" i="20" s="1"/>
  <c r="B120" i="20"/>
  <c r="Q115" i="20"/>
  <c r="O116" i="20"/>
  <c r="Q114" i="20"/>
  <c r="S116" i="20"/>
  <c r="I118" i="20"/>
  <c r="H118" i="20" s="1"/>
  <c r="M117" i="21"/>
  <c r="H70" i="21"/>
  <c r="I118" i="21"/>
  <c r="H118" i="21" s="1"/>
  <c r="N118" i="21" s="1"/>
  <c r="F163" i="21"/>
  <c r="C162" i="21"/>
  <c r="S116" i="21"/>
  <c r="E119" i="21"/>
  <c r="G119" i="21" s="1"/>
  <c r="B120" i="21"/>
  <c r="P69" i="21" l="1"/>
  <c r="Q68" i="21" s="1"/>
  <c r="O69" i="21"/>
  <c r="P118" i="21"/>
  <c r="O119" i="21"/>
  <c r="Q117" i="21"/>
  <c r="O118" i="21"/>
  <c r="N70" i="21"/>
  <c r="P70" i="21" s="1"/>
  <c r="Q116" i="21"/>
  <c r="P70" i="20"/>
  <c r="N71" i="20"/>
  <c r="P71" i="20" s="1"/>
  <c r="O72" i="20" s="1"/>
  <c r="H72" i="20"/>
  <c r="O118" i="20"/>
  <c r="Q116" i="20"/>
  <c r="E120" i="20"/>
  <c r="G120" i="20" s="1"/>
  <c r="B121" i="20"/>
  <c r="N118" i="20"/>
  <c r="M118" i="20"/>
  <c r="I119" i="20"/>
  <c r="H119" i="20" s="1"/>
  <c r="S117" i="20"/>
  <c r="M118" i="21"/>
  <c r="H71" i="21"/>
  <c r="I119" i="21"/>
  <c r="H119" i="21" s="1"/>
  <c r="N119" i="21" s="1"/>
  <c r="F164" i="21"/>
  <c r="C163" i="21"/>
  <c r="S117" i="21"/>
  <c r="B121" i="21"/>
  <c r="E120" i="21"/>
  <c r="G120" i="21" s="1"/>
  <c r="O70" i="21" l="1"/>
  <c r="M70" i="21"/>
  <c r="O71" i="21"/>
  <c r="P119" i="21"/>
  <c r="N71" i="21"/>
  <c r="M71" i="21" s="1"/>
  <c r="Q69" i="21"/>
  <c r="H73" i="20"/>
  <c r="N72" i="20"/>
  <c r="M72" i="20" s="1"/>
  <c r="Q70" i="20"/>
  <c r="O71" i="20"/>
  <c r="M71" i="20" s="1"/>
  <c r="Q69" i="20"/>
  <c r="S118" i="20"/>
  <c r="N119" i="20"/>
  <c r="P119" i="20" s="1"/>
  <c r="M119" i="20"/>
  <c r="E121" i="20"/>
  <c r="G121" i="20" s="1"/>
  <c r="B122" i="20"/>
  <c r="P118" i="20"/>
  <c r="I120" i="20"/>
  <c r="H120" i="20" s="1"/>
  <c r="M119" i="21"/>
  <c r="H72" i="21"/>
  <c r="I120" i="21"/>
  <c r="H120" i="21" s="1"/>
  <c r="N120" i="21" s="1"/>
  <c r="E121" i="21"/>
  <c r="G121" i="21" s="1"/>
  <c r="B122" i="21"/>
  <c r="S118" i="21"/>
  <c r="F165" i="21"/>
  <c r="C164" i="21"/>
  <c r="P71" i="21" l="1"/>
  <c r="O72" i="21" s="1"/>
  <c r="N72" i="21"/>
  <c r="P72" i="21" s="1"/>
  <c r="Q71" i="21" s="1"/>
  <c r="O120" i="21"/>
  <c r="Q118" i="21"/>
  <c r="P120" i="21"/>
  <c r="Q119" i="21" s="1"/>
  <c r="Q70" i="21"/>
  <c r="P72" i="20"/>
  <c r="N73" i="20"/>
  <c r="H74" i="20"/>
  <c r="O120" i="20"/>
  <c r="I121" i="20"/>
  <c r="H121" i="20" s="1"/>
  <c r="N120" i="20"/>
  <c r="M120" i="20"/>
  <c r="Q118" i="20"/>
  <c r="O119" i="20"/>
  <c r="Q117" i="20"/>
  <c r="S119" i="20"/>
  <c r="E122" i="20"/>
  <c r="G122" i="20" s="1"/>
  <c r="B123" i="20"/>
  <c r="M120" i="21"/>
  <c r="H73" i="21"/>
  <c r="S119" i="21"/>
  <c r="F166" i="21"/>
  <c r="C165" i="21"/>
  <c r="E122" i="21"/>
  <c r="G122" i="21" s="1"/>
  <c r="B123" i="21"/>
  <c r="I121" i="21"/>
  <c r="H121" i="21" s="1"/>
  <c r="N121" i="21" s="1"/>
  <c r="M72" i="21" l="1"/>
  <c r="P121" i="21"/>
  <c r="I122" i="21"/>
  <c r="H122" i="21" s="1"/>
  <c r="N122" i="21" s="1"/>
  <c r="O73" i="21"/>
  <c r="N73" i="21"/>
  <c r="P73" i="21" s="1"/>
  <c r="Q120" i="21"/>
  <c r="O121" i="21"/>
  <c r="O122" i="21"/>
  <c r="N74" i="20"/>
  <c r="H75" i="20"/>
  <c r="Q71" i="20"/>
  <c r="O73" i="20"/>
  <c r="M73" i="20" s="1"/>
  <c r="P73" i="20"/>
  <c r="Q72" i="20" s="1"/>
  <c r="S73" i="20"/>
  <c r="I122" i="20"/>
  <c r="H122" i="20" s="1"/>
  <c r="P120" i="20"/>
  <c r="N121" i="20"/>
  <c r="M121" i="20"/>
  <c r="E123" i="20"/>
  <c r="G123" i="20" s="1"/>
  <c r="B124" i="20"/>
  <c r="S120" i="20"/>
  <c r="M121" i="21"/>
  <c r="M122" i="21"/>
  <c r="H74" i="21"/>
  <c r="S120" i="21"/>
  <c r="E123" i="21"/>
  <c r="G123" i="21" s="1"/>
  <c r="B124" i="21"/>
  <c r="F167" i="21"/>
  <c r="C166" i="21"/>
  <c r="M73" i="21" l="1"/>
  <c r="O74" i="21"/>
  <c r="N74" i="21"/>
  <c r="P74" i="21" s="1"/>
  <c r="Q72" i="21"/>
  <c r="P122" i="21"/>
  <c r="H76" i="20"/>
  <c r="N75" i="20"/>
  <c r="P74" i="20"/>
  <c r="O75" i="20" s="1"/>
  <c r="S74" i="20"/>
  <c r="O74" i="20"/>
  <c r="M74" i="20" s="1"/>
  <c r="E124" i="20"/>
  <c r="G124" i="20" s="1"/>
  <c r="B125" i="20"/>
  <c r="I123" i="20"/>
  <c r="H123" i="20" s="1"/>
  <c r="S121" i="20"/>
  <c r="N122" i="20"/>
  <c r="P122" i="20" s="1"/>
  <c r="M122" i="20"/>
  <c r="P121" i="20"/>
  <c r="O122" i="20" s="1"/>
  <c r="O121" i="20"/>
  <c r="Q119" i="20"/>
  <c r="H75" i="21"/>
  <c r="S73" i="21"/>
  <c r="J49" i="3" s="1"/>
  <c r="J62" i="3" s="1"/>
  <c r="S122" i="21"/>
  <c r="F168" i="21"/>
  <c r="C167" i="21"/>
  <c r="E124" i="21"/>
  <c r="G124" i="21" s="1"/>
  <c r="B125" i="21"/>
  <c r="I123" i="21"/>
  <c r="H123" i="21" s="1"/>
  <c r="N123" i="21" s="1"/>
  <c r="S121" i="21"/>
  <c r="M74" i="21" l="1"/>
  <c r="P123" i="21"/>
  <c r="N75" i="21"/>
  <c r="P75" i="21" s="1"/>
  <c r="Q74" i="21" s="1"/>
  <c r="O124" i="21"/>
  <c r="Q122" i="21"/>
  <c r="O123" i="21"/>
  <c r="Q121" i="21"/>
  <c r="I124" i="21"/>
  <c r="H124" i="21" s="1"/>
  <c r="N124" i="21" s="1"/>
  <c r="O75" i="21"/>
  <c r="Q73" i="21"/>
  <c r="M75" i="20"/>
  <c r="Q73" i="20"/>
  <c r="P75" i="20"/>
  <c r="S75" i="20"/>
  <c r="N76" i="20"/>
  <c r="H77" i="20"/>
  <c r="Q120" i="20"/>
  <c r="S122" i="20"/>
  <c r="I124" i="20"/>
  <c r="H124" i="20" s="1"/>
  <c r="N123" i="20"/>
  <c r="M123" i="20"/>
  <c r="Q121" i="20"/>
  <c r="O123" i="20"/>
  <c r="E125" i="20"/>
  <c r="G125" i="20" s="1"/>
  <c r="B126" i="20"/>
  <c r="M123" i="21"/>
  <c r="S74" i="21"/>
  <c r="H76" i="21"/>
  <c r="F169" i="21"/>
  <c r="C168" i="21"/>
  <c r="B126" i="21"/>
  <c r="E125" i="21"/>
  <c r="G125" i="21" s="1"/>
  <c r="M75" i="21" l="1"/>
  <c r="M124" i="21"/>
  <c r="P124" i="21"/>
  <c r="Q123" i="21" s="1"/>
  <c r="O76" i="21"/>
  <c r="O125" i="21"/>
  <c r="N76" i="21"/>
  <c r="M76" i="21" s="1"/>
  <c r="I125" i="21"/>
  <c r="H125" i="21" s="1"/>
  <c r="N125" i="21" s="1"/>
  <c r="Q74" i="20"/>
  <c r="O76" i="20"/>
  <c r="N77" i="20"/>
  <c r="H78" i="20"/>
  <c r="P76" i="20"/>
  <c r="S76" i="20"/>
  <c r="M76" i="20"/>
  <c r="S123" i="20"/>
  <c r="P123" i="20"/>
  <c r="E126" i="20"/>
  <c r="G126" i="20" s="1"/>
  <c r="B127" i="20"/>
  <c r="N124" i="20"/>
  <c r="M124" i="20"/>
  <c r="I125" i="20"/>
  <c r="H125" i="20" s="1"/>
  <c r="S75" i="21"/>
  <c r="H77" i="21"/>
  <c r="S124" i="21"/>
  <c r="E126" i="21"/>
  <c r="G126" i="21" s="1"/>
  <c r="B127" i="21"/>
  <c r="F170" i="21"/>
  <c r="C169" i="21"/>
  <c r="S123" i="21"/>
  <c r="P76" i="21" l="1"/>
  <c r="P125" i="21"/>
  <c r="M125" i="21"/>
  <c r="O126" i="21"/>
  <c r="O77" i="21"/>
  <c r="I126" i="21"/>
  <c r="H126" i="21" s="1"/>
  <c r="N126" i="21" s="1"/>
  <c r="Q124" i="21"/>
  <c r="N77" i="21"/>
  <c r="P77" i="21" s="1"/>
  <c r="Q76" i="21" s="1"/>
  <c r="Q75" i="21"/>
  <c r="P77" i="20"/>
  <c r="O78" i="20" s="1"/>
  <c r="N78" i="20"/>
  <c r="H79" i="20"/>
  <c r="O77" i="20"/>
  <c r="M77" i="20" s="1"/>
  <c r="Q75" i="20"/>
  <c r="S77" i="20"/>
  <c r="I126" i="20"/>
  <c r="H126" i="20" s="1"/>
  <c r="N125" i="20"/>
  <c r="P125" i="20" s="1"/>
  <c r="M125" i="20"/>
  <c r="S124" i="20"/>
  <c r="P124" i="20"/>
  <c r="O124" i="20"/>
  <c r="Q122" i="20"/>
  <c r="E127" i="20"/>
  <c r="G127" i="20" s="1"/>
  <c r="B128" i="20"/>
  <c r="S76" i="21"/>
  <c r="H78" i="21"/>
  <c r="E127" i="21"/>
  <c r="G127" i="21" s="1"/>
  <c r="B128" i="21"/>
  <c r="S125" i="21"/>
  <c r="F171" i="21"/>
  <c r="C170" i="21"/>
  <c r="M77" i="21" l="1"/>
  <c r="P126" i="21"/>
  <c r="I127" i="21"/>
  <c r="H127" i="21" s="1"/>
  <c r="N127" i="21" s="1"/>
  <c r="O127" i="21"/>
  <c r="N78" i="21"/>
  <c r="P78" i="21" s="1"/>
  <c r="Q77" i="21" s="1"/>
  <c r="M126" i="21"/>
  <c r="O78" i="21"/>
  <c r="Q125" i="21"/>
  <c r="Q76" i="20"/>
  <c r="S78" i="20"/>
  <c r="N79" i="20"/>
  <c r="H80" i="20"/>
  <c r="P78" i="20"/>
  <c r="M78" i="20"/>
  <c r="O125" i="20"/>
  <c r="Q124" i="20"/>
  <c r="S125" i="20"/>
  <c r="N126" i="20"/>
  <c r="P126" i="20" s="1"/>
  <c r="Q125" i="20" s="1"/>
  <c r="M126" i="20"/>
  <c r="E128" i="20"/>
  <c r="G128" i="20" s="1"/>
  <c r="B129" i="20"/>
  <c r="I127" i="20"/>
  <c r="H127" i="20" s="1"/>
  <c r="Q123" i="20"/>
  <c r="O126" i="20"/>
  <c r="S77" i="21"/>
  <c r="H79" i="21"/>
  <c r="S126" i="21"/>
  <c r="F172" i="21"/>
  <c r="C171" i="21"/>
  <c r="E128" i="21"/>
  <c r="G128" i="21" s="1"/>
  <c r="B129" i="21"/>
  <c r="M78" i="21" l="1"/>
  <c r="M127" i="21"/>
  <c r="N79" i="21"/>
  <c r="M79" i="21" s="1"/>
  <c r="O79" i="21"/>
  <c r="P127" i="21"/>
  <c r="P79" i="20"/>
  <c r="O80" i="20" s="1"/>
  <c r="O79" i="20"/>
  <c r="Q77" i="20"/>
  <c r="S79" i="20"/>
  <c r="M79" i="20"/>
  <c r="N80" i="20"/>
  <c r="P80" i="20" s="1"/>
  <c r="H81" i="20"/>
  <c r="I128" i="20"/>
  <c r="H128" i="20" s="1"/>
  <c r="O127" i="20"/>
  <c r="S126" i="20"/>
  <c r="N127" i="20"/>
  <c r="M127" i="20"/>
  <c r="E129" i="20"/>
  <c r="G129" i="20" s="1"/>
  <c r="B130" i="20"/>
  <c r="S78" i="21"/>
  <c r="H80" i="21"/>
  <c r="E129" i="21"/>
  <c r="G129" i="21" s="1"/>
  <c r="B130" i="21"/>
  <c r="F173" i="21"/>
  <c r="C172" i="21"/>
  <c r="S127" i="21"/>
  <c r="I128" i="21"/>
  <c r="H128" i="21" s="1"/>
  <c r="N128" i="21" s="1"/>
  <c r="P79" i="21" l="1"/>
  <c r="Q78" i="21" s="1"/>
  <c r="N80" i="21"/>
  <c r="P80" i="21" s="1"/>
  <c r="Q79" i="21" s="1"/>
  <c r="P128" i="21"/>
  <c r="Q127" i="21" s="1"/>
  <c r="O128" i="21"/>
  <c r="Q126" i="21"/>
  <c r="O80" i="21"/>
  <c r="Q78" i="20"/>
  <c r="N81" i="20"/>
  <c r="H82" i="20"/>
  <c r="M80" i="20"/>
  <c r="Q79" i="20"/>
  <c r="O81" i="20"/>
  <c r="S80" i="20"/>
  <c r="S127" i="20"/>
  <c r="P127" i="20"/>
  <c r="N128" i="20"/>
  <c r="M128" i="20"/>
  <c r="E130" i="20"/>
  <c r="G130" i="20" s="1"/>
  <c r="B131" i="20"/>
  <c r="P128" i="20"/>
  <c r="I129" i="20"/>
  <c r="H129" i="20" s="1"/>
  <c r="M128" i="21"/>
  <c r="H81" i="21"/>
  <c r="S79" i="21"/>
  <c r="F174" i="21"/>
  <c r="C173" i="21"/>
  <c r="E130" i="21"/>
  <c r="G130" i="21" s="1"/>
  <c r="B131" i="21"/>
  <c r="I129" i="21"/>
  <c r="H129" i="21" s="1"/>
  <c r="N129" i="21" s="1"/>
  <c r="M80" i="21" l="1"/>
  <c r="O129" i="21"/>
  <c r="N81" i="21"/>
  <c r="P81" i="21" s="1"/>
  <c r="Q80" i="21" s="1"/>
  <c r="O81" i="21"/>
  <c r="P129" i="21"/>
  <c r="M81" i="20"/>
  <c r="P81" i="20"/>
  <c r="Q80" i="20" s="1"/>
  <c r="N82" i="20"/>
  <c r="P82" i="20" s="1"/>
  <c r="H83" i="20"/>
  <c r="S81" i="20"/>
  <c r="O129" i="20"/>
  <c r="S128" i="20"/>
  <c r="N129" i="20"/>
  <c r="P129" i="20" s="1"/>
  <c r="M129" i="20"/>
  <c r="E131" i="20"/>
  <c r="G131" i="20" s="1"/>
  <c r="B132" i="20"/>
  <c r="Q127" i="20"/>
  <c r="O128" i="20"/>
  <c r="Q126" i="20"/>
  <c r="I130" i="20"/>
  <c r="H130" i="20" s="1"/>
  <c r="M129" i="21"/>
  <c r="M81" i="21"/>
  <c r="S80" i="21"/>
  <c r="H82" i="21"/>
  <c r="S128" i="21"/>
  <c r="E131" i="21"/>
  <c r="G131" i="21" s="1"/>
  <c r="B132" i="21"/>
  <c r="I130" i="21"/>
  <c r="H130" i="21" s="1"/>
  <c r="N130" i="21" s="1"/>
  <c r="F175" i="21"/>
  <c r="C174" i="21"/>
  <c r="O130" i="21" l="1"/>
  <c r="O82" i="21"/>
  <c r="N82" i="21"/>
  <c r="P82" i="21" s="1"/>
  <c r="Q128" i="21"/>
  <c r="P130" i="21"/>
  <c r="O82" i="20"/>
  <c r="M82" i="20" s="1"/>
  <c r="Q81" i="20"/>
  <c r="O83" i="20"/>
  <c r="N83" i="20"/>
  <c r="H84" i="20"/>
  <c r="S82" i="20"/>
  <c r="O130" i="20"/>
  <c r="S129" i="20"/>
  <c r="E132" i="20"/>
  <c r="G132" i="20" s="1"/>
  <c r="B133" i="20"/>
  <c r="Q128" i="20"/>
  <c r="N130" i="20"/>
  <c r="P130" i="20" s="1"/>
  <c r="M130" i="20"/>
  <c r="I131" i="20"/>
  <c r="H131" i="20" s="1"/>
  <c r="M130" i="21"/>
  <c r="M82" i="21"/>
  <c r="H83" i="21"/>
  <c r="S81" i="21"/>
  <c r="S129" i="21"/>
  <c r="E132" i="21"/>
  <c r="G132" i="21" s="1"/>
  <c r="B133" i="21"/>
  <c r="I131" i="21"/>
  <c r="H131" i="21" s="1"/>
  <c r="N131" i="21" s="1"/>
  <c r="F176" i="21"/>
  <c r="C175" i="21"/>
  <c r="O83" i="21" l="1"/>
  <c r="Q81" i="21"/>
  <c r="P131" i="21"/>
  <c r="N83" i="21"/>
  <c r="S83" i="21" s="1"/>
  <c r="Q130" i="21"/>
  <c r="O131" i="21"/>
  <c r="Q129" i="21"/>
  <c r="P83" i="20"/>
  <c r="S83" i="20"/>
  <c r="M83" i="20"/>
  <c r="N84" i="20"/>
  <c r="H85" i="20"/>
  <c r="H86" i="20" s="1"/>
  <c r="O131" i="20"/>
  <c r="N131" i="20"/>
  <c r="M131" i="20"/>
  <c r="E133" i="20"/>
  <c r="G133" i="20" s="1"/>
  <c r="B134" i="20"/>
  <c r="Q129" i="20"/>
  <c r="S130" i="20"/>
  <c r="I132" i="20"/>
  <c r="H132" i="20" s="1"/>
  <c r="M131" i="21"/>
  <c r="S82" i="21"/>
  <c r="H84" i="21"/>
  <c r="S130" i="21"/>
  <c r="E133" i="21"/>
  <c r="G133" i="21" s="1"/>
  <c r="B134" i="21"/>
  <c r="I132" i="21"/>
  <c r="H132" i="21" s="1"/>
  <c r="N132" i="21" s="1"/>
  <c r="F177" i="21"/>
  <c r="C176" i="21"/>
  <c r="M83" i="21" l="1"/>
  <c r="P83" i="21"/>
  <c r="O84" i="21" s="1"/>
  <c r="O132" i="21"/>
  <c r="N84" i="21"/>
  <c r="P132" i="21"/>
  <c r="Q131" i="21" s="1"/>
  <c r="N86" i="20"/>
  <c r="M86" i="20" s="1"/>
  <c r="H87" i="20"/>
  <c r="P84" i="20"/>
  <c r="O85" i="20" s="1"/>
  <c r="S84" i="20"/>
  <c r="O84" i="20"/>
  <c r="M84" i="20" s="1"/>
  <c r="Q82" i="20"/>
  <c r="N85" i="20"/>
  <c r="S131" i="20"/>
  <c r="P131" i="20"/>
  <c r="N132" i="20"/>
  <c r="M132" i="20"/>
  <c r="E134" i="20"/>
  <c r="G134" i="20" s="1"/>
  <c r="B135" i="20"/>
  <c r="I133" i="20"/>
  <c r="H133" i="20" s="1"/>
  <c r="M132" i="21"/>
  <c r="H85" i="21"/>
  <c r="E134" i="21"/>
  <c r="G134" i="21" s="1"/>
  <c r="B135" i="21"/>
  <c r="I133" i="21"/>
  <c r="H133" i="21" s="1"/>
  <c r="N133" i="21" s="1"/>
  <c r="F178" i="21"/>
  <c r="C177" i="21"/>
  <c r="S131" i="21"/>
  <c r="P84" i="21" l="1"/>
  <c r="M84" i="21"/>
  <c r="Q82" i="21"/>
  <c r="O85" i="21"/>
  <c r="Q83" i="21"/>
  <c r="P133" i="21"/>
  <c r="Q132" i="21" s="1"/>
  <c r="O133" i="21"/>
  <c r="N85" i="21"/>
  <c r="P85" i="21" s="1"/>
  <c r="O268" i="20"/>
  <c r="Q83" i="20"/>
  <c r="N87" i="20"/>
  <c r="S87" i="20" s="1"/>
  <c r="M87" i="20"/>
  <c r="H88" i="20"/>
  <c r="M85" i="20"/>
  <c r="P85" i="20"/>
  <c r="P86" i="20" s="1"/>
  <c r="S86" i="20"/>
  <c r="S85" i="20"/>
  <c r="E135" i="20"/>
  <c r="G135" i="20" s="1"/>
  <c r="B136" i="20"/>
  <c r="S132" i="20"/>
  <c r="N133" i="20"/>
  <c r="M133" i="20"/>
  <c r="P132" i="20"/>
  <c r="Q131" i="20" s="1"/>
  <c r="I134" i="20"/>
  <c r="H134" i="20" s="1"/>
  <c r="O132" i="20"/>
  <c r="Q130" i="20"/>
  <c r="M133" i="21"/>
  <c r="S84" i="21"/>
  <c r="H86" i="21"/>
  <c r="F179" i="21"/>
  <c r="C178" i="21"/>
  <c r="E135" i="21"/>
  <c r="G135" i="21" s="1"/>
  <c r="B136" i="21"/>
  <c r="I134" i="21"/>
  <c r="H134" i="21" s="1"/>
  <c r="N134" i="21" s="1"/>
  <c r="S132" i="21"/>
  <c r="M85" i="21" l="1"/>
  <c r="N86" i="21"/>
  <c r="P86" i="21" s="1"/>
  <c r="O134" i="21"/>
  <c r="P134" i="21"/>
  <c r="I135" i="21"/>
  <c r="H135" i="21" s="1"/>
  <c r="N135" i="21" s="1"/>
  <c r="O86" i="21"/>
  <c r="Q84" i="21"/>
  <c r="O87" i="20"/>
  <c r="P87" i="20"/>
  <c r="O88" i="20" s="1"/>
  <c r="N88" i="20"/>
  <c r="S90" i="20" s="1"/>
  <c r="M88" i="20"/>
  <c r="Q84" i="20"/>
  <c r="O86" i="20"/>
  <c r="Q85" i="20"/>
  <c r="O133" i="20"/>
  <c r="N134" i="20"/>
  <c r="M134" i="20"/>
  <c r="S133" i="20"/>
  <c r="P133" i="20"/>
  <c r="E136" i="20"/>
  <c r="G136" i="20" s="1"/>
  <c r="B137" i="20"/>
  <c r="I135" i="20"/>
  <c r="H135" i="20" s="1"/>
  <c r="M86" i="21"/>
  <c r="M134" i="21"/>
  <c r="H87" i="21"/>
  <c r="O268" i="21"/>
  <c r="S85" i="21"/>
  <c r="L49" i="3" s="1"/>
  <c r="L62" i="3" s="1"/>
  <c r="S133" i="21"/>
  <c r="F180" i="21"/>
  <c r="C179" i="21"/>
  <c r="E136" i="21"/>
  <c r="G136" i="21" s="1"/>
  <c r="B137" i="21"/>
  <c r="N87" i="21" l="1"/>
  <c r="P87" i="21"/>
  <c r="O135" i="21"/>
  <c r="Q133" i="21"/>
  <c r="M135" i="21"/>
  <c r="Q86" i="21"/>
  <c r="O87" i="21"/>
  <c r="Q85" i="21"/>
  <c r="P135" i="21"/>
  <c r="P88" i="20"/>
  <c r="Q87" i="20" s="1"/>
  <c r="S94" i="20"/>
  <c r="S99" i="20"/>
  <c r="S95" i="20"/>
  <c r="S96" i="20"/>
  <c r="S89" i="20"/>
  <c r="S97" i="20"/>
  <c r="S91" i="20"/>
  <c r="S93" i="20"/>
  <c r="S92" i="20"/>
  <c r="S88" i="20"/>
  <c r="S98" i="20"/>
  <c r="Q86" i="20"/>
  <c r="O134" i="20"/>
  <c r="E137" i="20"/>
  <c r="G137" i="20" s="1"/>
  <c r="B138" i="20"/>
  <c r="Q132" i="20"/>
  <c r="N135" i="20"/>
  <c r="P135" i="20" s="1"/>
  <c r="M135" i="20"/>
  <c r="S134" i="20"/>
  <c r="P134" i="20"/>
  <c r="I136" i="20"/>
  <c r="H136" i="20" s="1"/>
  <c r="M87" i="21"/>
  <c r="H88" i="21"/>
  <c r="S86" i="21"/>
  <c r="S134" i="21"/>
  <c r="E137" i="21"/>
  <c r="G137" i="21" s="1"/>
  <c r="B138" i="21"/>
  <c r="I136" i="21"/>
  <c r="H136" i="21" s="1"/>
  <c r="N136" i="21" s="1"/>
  <c r="F181" i="21"/>
  <c r="C180" i="21"/>
  <c r="S135" i="21"/>
  <c r="P136" i="21" l="1"/>
  <c r="Q135" i="21" s="1"/>
  <c r="N88" i="21"/>
  <c r="P88" i="21" s="1"/>
  <c r="O136" i="21"/>
  <c r="Q134" i="21"/>
  <c r="O88" i="21"/>
  <c r="Q88" i="20"/>
  <c r="O89" i="20"/>
  <c r="Q134" i="20"/>
  <c r="O135" i="20"/>
  <c r="O136" i="20"/>
  <c r="I137" i="20"/>
  <c r="H137" i="20" s="1"/>
  <c r="S135" i="20"/>
  <c r="E138" i="20"/>
  <c r="G138" i="20" s="1"/>
  <c r="B139" i="20"/>
  <c r="N136" i="20"/>
  <c r="M136" i="20"/>
  <c r="Q133" i="20"/>
  <c r="M88" i="21"/>
  <c r="M136" i="21"/>
  <c r="H89" i="21"/>
  <c r="S87" i="21"/>
  <c r="E138" i="21"/>
  <c r="G138" i="21" s="1"/>
  <c r="B139" i="21"/>
  <c r="I137" i="21"/>
  <c r="H137" i="21" s="1"/>
  <c r="N137" i="21" s="1"/>
  <c r="F182" i="21"/>
  <c r="C181" i="21"/>
  <c r="O89" i="21" l="1"/>
  <c r="O137" i="21"/>
  <c r="P137" i="21"/>
  <c r="N89" i="21"/>
  <c r="P89" i="21" s="1"/>
  <c r="Q87" i="21"/>
  <c r="S136" i="20"/>
  <c r="P136" i="20"/>
  <c r="E139" i="20"/>
  <c r="G139" i="20" s="1"/>
  <c r="B140" i="20"/>
  <c r="N137" i="20"/>
  <c r="P137" i="20" s="1"/>
  <c r="O138" i="20" s="1"/>
  <c r="M137" i="20"/>
  <c r="I138" i="20"/>
  <c r="H138" i="20" s="1"/>
  <c r="M137" i="21"/>
  <c r="M89" i="21"/>
  <c r="S88" i="21"/>
  <c r="H90" i="21"/>
  <c r="S136" i="21"/>
  <c r="E139" i="21"/>
  <c r="G139" i="21" s="1"/>
  <c r="B140" i="21"/>
  <c r="F183" i="21"/>
  <c r="C182" i="21"/>
  <c r="I138" i="21"/>
  <c r="H138" i="21" s="1"/>
  <c r="N138" i="21" s="1"/>
  <c r="P138" i="21" l="1"/>
  <c r="Q137" i="21" s="1"/>
  <c r="O90" i="21"/>
  <c r="O138" i="21"/>
  <c r="N90" i="21"/>
  <c r="P90" i="21" s="1"/>
  <c r="Q136" i="21"/>
  <c r="O139" i="21"/>
  <c r="Q88" i="21"/>
  <c r="I139" i="20"/>
  <c r="H139" i="20" s="1"/>
  <c r="O137" i="20"/>
  <c r="Q136" i="20"/>
  <c r="Q135" i="20"/>
  <c r="B141" i="20"/>
  <c r="E140" i="20"/>
  <c r="G140" i="20" s="1"/>
  <c r="S137" i="20"/>
  <c r="N138" i="20"/>
  <c r="M138" i="20"/>
  <c r="M90" i="21"/>
  <c r="M138" i="21"/>
  <c r="S89" i="21"/>
  <c r="H91" i="21"/>
  <c r="S137" i="21"/>
  <c r="F184" i="21"/>
  <c r="C183" i="21"/>
  <c r="I139" i="21"/>
  <c r="H139" i="21" s="1"/>
  <c r="N139" i="21" s="1"/>
  <c r="E140" i="21"/>
  <c r="G140" i="21" s="1"/>
  <c r="B141" i="21"/>
  <c r="O91" i="21" l="1"/>
  <c r="P139" i="21"/>
  <c r="Q89" i="21"/>
  <c r="N91" i="21"/>
  <c r="P91" i="21"/>
  <c r="S138" i="20"/>
  <c r="E141" i="20"/>
  <c r="G141" i="20" s="1"/>
  <c r="B142" i="20"/>
  <c r="N139" i="20"/>
  <c r="P139" i="20" s="1"/>
  <c r="M139" i="20"/>
  <c r="P138" i="20"/>
  <c r="I140" i="20"/>
  <c r="H140" i="20" s="1"/>
  <c r="M139" i="21"/>
  <c r="M91" i="21"/>
  <c r="H92" i="21"/>
  <c r="S90" i="21"/>
  <c r="I140" i="21"/>
  <c r="H140" i="21" s="1"/>
  <c r="N140" i="21" s="1"/>
  <c r="F185" i="21"/>
  <c r="C184" i="21"/>
  <c r="S138" i="21"/>
  <c r="E141" i="21"/>
  <c r="G141" i="21" s="1"/>
  <c r="B142" i="21"/>
  <c r="O92" i="21" l="1"/>
  <c r="O140" i="21"/>
  <c r="Q138" i="21"/>
  <c r="P140" i="21"/>
  <c r="N92" i="21"/>
  <c r="P92" i="21" s="1"/>
  <c r="Q91" i="21" s="1"/>
  <c r="Q90" i="21"/>
  <c r="O140" i="20"/>
  <c r="S139" i="20"/>
  <c r="N140" i="20"/>
  <c r="P140" i="20" s="1"/>
  <c r="Q139" i="20" s="1"/>
  <c r="M140" i="20"/>
  <c r="Q137" i="20"/>
  <c r="Q138" i="20"/>
  <c r="O139" i="20"/>
  <c r="E142" i="20"/>
  <c r="G142" i="20" s="1"/>
  <c r="B143" i="20"/>
  <c r="I141" i="20"/>
  <c r="H141" i="20" s="1"/>
  <c r="M140" i="21"/>
  <c r="M92" i="21"/>
  <c r="S91" i="21"/>
  <c r="H93" i="21"/>
  <c r="E142" i="21"/>
  <c r="G142" i="21" s="1"/>
  <c r="B143" i="21"/>
  <c r="S139" i="21"/>
  <c r="I141" i="21"/>
  <c r="H141" i="21" s="1"/>
  <c r="N141" i="21" s="1"/>
  <c r="F186" i="21"/>
  <c r="C185" i="21"/>
  <c r="O141" i="21" l="1"/>
  <c r="Q139" i="21"/>
  <c r="O93" i="21"/>
  <c r="P141" i="21"/>
  <c r="N93" i="21"/>
  <c r="P93" i="21" s="1"/>
  <c r="N141" i="20"/>
  <c r="P141" i="20" s="1"/>
  <c r="Q140" i="20" s="1"/>
  <c r="M141" i="20"/>
  <c r="E143" i="20"/>
  <c r="G143" i="20" s="1"/>
  <c r="B144" i="20"/>
  <c r="I142" i="20"/>
  <c r="H142" i="20" s="1"/>
  <c r="O141" i="20"/>
  <c r="S140" i="20"/>
  <c r="M93" i="21"/>
  <c r="M141" i="21"/>
  <c r="S92" i="21"/>
  <c r="H94" i="21"/>
  <c r="S140" i="21"/>
  <c r="E143" i="21"/>
  <c r="G143" i="21" s="1"/>
  <c r="B144" i="21"/>
  <c r="F187" i="21"/>
  <c r="C186" i="21"/>
  <c r="I142" i="21"/>
  <c r="H142" i="21" s="1"/>
  <c r="N142" i="21" s="1"/>
  <c r="O94" i="21" l="1"/>
  <c r="Q92" i="21"/>
  <c r="O142" i="21"/>
  <c r="N94" i="21"/>
  <c r="P94" i="21" s="1"/>
  <c r="P142" i="21"/>
  <c r="Q141" i="21" s="1"/>
  <c r="Q140" i="21"/>
  <c r="N142" i="20"/>
  <c r="P142" i="20" s="1"/>
  <c r="Q141" i="20" s="1"/>
  <c r="M142" i="20"/>
  <c r="I143" i="20"/>
  <c r="H143" i="20" s="1"/>
  <c r="O142" i="20"/>
  <c r="S141" i="20"/>
  <c r="E144" i="20"/>
  <c r="G144" i="20" s="1"/>
  <c r="B145" i="20"/>
  <c r="M142" i="21"/>
  <c r="M94" i="21"/>
  <c r="S93" i="21"/>
  <c r="H95" i="21"/>
  <c r="S141" i="21"/>
  <c r="E144" i="21"/>
  <c r="G144" i="21" s="1"/>
  <c r="B145" i="21"/>
  <c r="I143" i="21"/>
  <c r="H143" i="21" s="1"/>
  <c r="N143" i="21" s="1"/>
  <c r="F188" i="21"/>
  <c r="C187" i="21"/>
  <c r="P143" i="21" l="1"/>
  <c r="O95" i="21"/>
  <c r="Q93" i="21"/>
  <c r="O144" i="21"/>
  <c r="N95" i="21"/>
  <c r="P95" i="21" s="1"/>
  <c r="Q142" i="21"/>
  <c r="O143" i="21"/>
  <c r="E145" i="20"/>
  <c r="G145" i="20" s="1"/>
  <c r="B146" i="20"/>
  <c r="I144" i="20"/>
  <c r="H144" i="20" s="1"/>
  <c r="O143" i="20"/>
  <c r="S142" i="20"/>
  <c r="N143" i="20"/>
  <c r="M143" i="20"/>
  <c r="M95" i="21"/>
  <c r="M143" i="21"/>
  <c r="H96" i="21"/>
  <c r="S94" i="21"/>
  <c r="S142" i="21"/>
  <c r="I144" i="21"/>
  <c r="H144" i="21" s="1"/>
  <c r="N144" i="21" s="1"/>
  <c r="F189" i="21"/>
  <c r="C188" i="21"/>
  <c r="E145" i="21"/>
  <c r="G145" i="21" s="1"/>
  <c r="B146" i="21"/>
  <c r="O96" i="21" l="1"/>
  <c r="N96" i="21"/>
  <c r="P96" i="21" s="1"/>
  <c r="P144" i="21"/>
  <c r="I145" i="21"/>
  <c r="H145" i="21" s="1"/>
  <c r="N145" i="21" s="1"/>
  <c r="Q94" i="21"/>
  <c r="I145" i="20"/>
  <c r="H145" i="20" s="1"/>
  <c r="S143" i="20"/>
  <c r="P143" i="20"/>
  <c r="N144" i="20"/>
  <c r="P144" i="20" s="1"/>
  <c r="M144" i="20"/>
  <c r="E146" i="20"/>
  <c r="G146" i="20" s="1"/>
  <c r="B147" i="20"/>
  <c r="M96" i="21"/>
  <c r="M144" i="21"/>
  <c r="H97" i="21"/>
  <c r="S95" i="21"/>
  <c r="E146" i="21"/>
  <c r="G146" i="21" s="1"/>
  <c r="B147" i="21"/>
  <c r="F190" i="21"/>
  <c r="C189" i="21"/>
  <c r="S143" i="21"/>
  <c r="O145" i="21" l="1"/>
  <c r="Q143" i="21"/>
  <c r="O97" i="21"/>
  <c r="N97" i="21"/>
  <c r="S105" i="21" s="1"/>
  <c r="M145" i="21"/>
  <c r="Q95" i="21"/>
  <c r="P145" i="21"/>
  <c r="S144" i="20"/>
  <c r="E147" i="20"/>
  <c r="G147" i="20" s="1"/>
  <c r="B148" i="20"/>
  <c r="Q143" i="20"/>
  <c r="O144" i="20"/>
  <c r="Q142" i="20"/>
  <c r="I146" i="20"/>
  <c r="H146" i="20" s="1"/>
  <c r="N145" i="20"/>
  <c r="P145" i="20" s="1"/>
  <c r="M145" i="20"/>
  <c r="O145" i="20"/>
  <c r="M97" i="21"/>
  <c r="S103" i="21"/>
  <c r="S96" i="21"/>
  <c r="F191" i="21"/>
  <c r="C190" i="21"/>
  <c r="E147" i="21"/>
  <c r="G147" i="21" s="1"/>
  <c r="B148" i="21"/>
  <c r="S144" i="21"/>
  <c r="S145" i="21"/>
  <c r="I146" i="21"/>
  <c r="H146" i="21" s="1"/>
  <c r="N146" i="21" s="1"/>
  <c r="P97" i="21" l="1"/>
  <c r="S107" i="21"/>
  <c r="Q97" i="21"/>
  <c r="O98" i="21"/>
  <c r="Q96" i="21"/>
  <c r="O146" i="21"/>
  <c r="Q144" i="21"/>
  <c r="P146" i="21"/>
  <c r="Q145" i="21" s="1"/>
  <c r="E148" i="20"/>
  <c r="G148" i="20" s="1"/>
  <c r="B149" i="20"/>
  <c r="N146" i="20"/>
  <c r="P146" i="20" s="1"/>
  <c r="Q145" i="20" s="1"/>
  <c r="M146" i="20"/>
  <c r="I147" i="20"/>
  <c r="H147" i="20" s="1"/>
  <c r="O146" i="20"/>
  <c r="S145" i="20"/>
  <c r="Q144" i="20"/>
  <c r="S102" i="21"/>
  <c r="S106" i="21"/>
  <c r="S104" i="21"/>
  <c r="M146" i="21"/>
  <c r="S108" i="21"/>
  <c r="S98" i="21"/>
  <c r="S97" i="21"/>
  <c r="N49" i="3" s="1"/>
  <c r="N62" i="3" s="1"/>
  <c r="S99" i="21"/>
  <c r="S101" i="21"/>
  <c r="S100" i="21"/>
  <c r="F192" i="21"/>
  <c r="C191" i="21"/>
  <c r="E148" i="21"/>
  <c r="G148" i="21" s="1"/>
  <c r="B149" i="21"/>
  <c r="I147" i="21"/>
  <c r="H147" i="21" s="1"/>
  <c r="N147" i="21" s="1"/>
  <c r="P147" i="21" l="1"/>
  <c r="Q146" i="21" s="1"/>
  <c r="O148" i="21"/>
  <c r="O147" i="21"/>
  <c r="N147" i="20"/>
  <c r="P147" i="20" s="1"/>
  <c r="Q146" i="20" s="1"/>
  <c r="M147" i="20"/>
  <c r="E149" i="20"/>
  <c r="G149" i="20" s="1"/>
  <c r="B150" i="20"/>
  <c r="I148" i="20"/>
  <c r="H148" i="20" s="1"/>
  <c r="O147" i="20"/>
  <c r="S146" i="20"/>
  <c r="M147" i="21"/>
  <c r="I148" i="21"/>
  <c r="H148" i="21" s="1"/>
  <c r="N148" i="21" s="1"/>
  <c r="E149" i="21"/>
  <c r="G149" i="21" s="1"/>
  <c r="B150" i="21"/>
  <c r="F193" i="21"/>
  <c r="C192" i="21"/>
  <c r="S146" i="21"/>
  <c r="I149" i="21" l="1"/>
  <c r="H149" i="21" s="1"/>
  <c r="N149" i="21" s="1"/>
  <c r="P148" i="21"/>
  <c r="O148" i="20"/>
  <c r="S147" i="20"/>
  <c r="N148" i="20"/>
  <c r="P148" i="20" s="1"/>
  <c r="M148" i="20"/>
  <c r="E150" i="20"/>
  <c r="G150" i="20" s="1"/>
  <c r="B151" i="20"/>
  <c r="I149" i="20"/>
  <c r="H149" i="20" s="1"/>
  <c r="M148" i="21"/>
  <c r="M149" i="21"/>
  <c r="E150" i="21"/>
  <c r="G150" i="21" s="1"/>
  <c r="B151" i="21"/>
  <c r="S147" i="21"/>
  <c r="F194" i="21"/>
  <c r="C193" i="21"/>
  <c r="P149" i="21" l="1"/>
  <c r="Q148" i="21" s="1"/>
  <c r="I150" i="21"/>
  <c r="H150" i="21" s="1"/>
  <c r="N150" i="21" s="1"/>
  <c r="O149" i="21"/>
  <c r="Q147" i="21"/>
  <c r="O149" i="20"/>
  <c r="S148" i="20"/>
  <c r="E151" i="20"/>
  <c r="G151" i="20" s="1"/>
  <c r="B152" i="20"/>
  <c r="N149" i="20"/>
  <c r="M149" i="20"/>
  <c r="I150" i="20"/>
  <c r="H150" i="20" s="1"/>
  <c r="Q147" i="20"/>
  <c r="F195" i="21"/>
  <c r="C194" i="21"/>
  <c r="S148" i="21"/>
  <c r="S149" i="21"/>
  <c r="B152" i="21"/>
  <c r="E151" i="21"/>
  <c r="G151" i="21" s="1"/>
  <c r="O150" i="21" l="1"/>
  <c r="P150" i="21"/>
  <c r="Q149" i="21" s="1"/>
  <c r="M150" i="21"/>
  <c r="N150" i="20"/>
  <c r="P150" i="20" s="1"/>
  <c r="M150" i="20"/>
  <c r="I151" i="20"/>
  <c r="H151" i="20" s="1"/>
  <c r="S149" i="20"/>
  <c r="P149" i="20"/>
  <c r="E152" i="20"/>
  <c r="G152" i="20" s="1"/>
  <c r="B153" i="20"/>
  <c r="I151" i="21"/>
  <c r="H151" i="21" s="1"/>
  <c r="N151" i="21" s="1"/>
  <c r="E152" i="21"/>
  <c r="G152" i="21" s="1"/>
  <c r="B153" i="21"/>
  <c r="S150" i="21"/>
  <c r="F196" i="21"/>
  <c r="C195" i="21"/>
  <c r="O151" i="21" l="1"/>
  <c r="P151" i="21"/>
  <c r="O151" i="20"/>
  <c r="N151" i="20"/>
  <c r="M151" i="20"/>
  <c r="S150" i="20"/>
  <c r="E153" i="20"/>
  <c r="G153" i="20" s="1"/>
  <c r="B154" i="20"/>
  <c r="I152" i="20"/>
  <c r="H152" i="20" s="1"/>
  <c r="Q149" i="20"/>
  <c r="O150" i="20"/>
  <c r="Q148" i="20"/>
  <c r="M151" i="21"/>
  <c r="F197" i="21"/>
  <c r="C196" i="21"/>
  <c r="I152" i="21"/>
  <c r="H152" i="21" s="1"/>
  <c r="N152" i="21" s="1"/>
  <c r="E153" i="21"/>
  <c r="G153" i="21" s="1"/>
  <c r="B154" i="21"/>
  <c r="O152" i="21" l="1"/>
  <c r="Q150" i="21"/>
  <c r="P152" i="21"/>
  <c r="S151" i="20"/>
  <c r="P151" i="20"/>
  <c r="E154" i="20"/>
  <c r="G154" i="20" s="1"/>
  <c r="B155" i="20"/>
  <c r="I153" i="20"/>
  <c r="H153" i="20" s="1"/>
  <c r="N152" i="20"/>
  <c r="P152" i="20" s="1"/>
  <c r="M152" i="20"/>
  <c r="M152" i="21"/>
  <c r="E154" i="21"/>
  <c r="G154" i="21" s="1"/>
  <c r="B155" i="21"/>
  <c r="I153" i="21"/>
  <c r="H153" i="21" s="1"/>
  <c r="N153" i="21" s="1"/>
  <c r="S151" i="21"/>
  <c r="F198" i="21"/>
  <c r="C197" i="21"/>
  <c r="P153" i="21" l="1"/>
  <c r="Q152" i="21" s="1"/>
  <c r="I154" i="21"/>
  <c r="H154" i="21" s="1"/>
  <c r="N154" i="21" s="1"/>
  <c r="O153" i="21"/>
  <c r="O154" i="21"/>
  <c r="Q151" i="21"/>
  <c r="N153" i="20"/>
  <c r="P153" i="20" s="1"/>
  <c r="O154" i="20" s="1"/>
  <c r="M153" i="20"/>
  <c r="E155" i="20"/>
  <c r="G155" i="20" s="1"/>
  <c r="B156" i="20"/>
  <c r="O152" i="20"/>
  <c r="Q151" i="20"/>
  <c r="Q150" i="20"/>
  <c r="O153" i="20"/>
  <c r="S152" i="20"/>
  <c r="I154" i="20"/>
  <c r="H154" i="20" s="1"/>
  <c r="M153" i="21"/>
  <c r="F199" i="21"/>
  <c r="C198" i="21"/>
  <c r="S152" i="21"/>
  <c r="E155" i="21"/>
  <c r="G155" i="21" s="1"/>
  <c r="B156" i="21"/>
  <c r="M154" i="21" l="1"/>
  <c r="P154" i="21"/>
  <c r="I155" i="21"/>
  <c r="H155" i="21" s="1"/>
  <c r="N155" i="21" s="1"/>
  <c r="P155" i="21" s="1"/>
  <c r="Q152" i="20"/>
  <c r="N154" i="20"/>
  <c r="P154" i="20" s="1"/>
  <c r="M154" i="20"/>
  <c r="E156" i="20"/>
  <c r="G156" i="20" s="1"/>
  <c r="B157" i="20"/>
  <c r="I155" i="20"/>
  <c r="H155" i="20" s="1"/>
  <c r="S153" i="20"/>
  <c r="F200" i="21"/>
  <c r="C199" i="21"/>
  <c r="S153" i="21"/>
  <c r="E156" i="21"/>
  <c r="G156" i="21" s="1"/>
  <c r="B157" i="21"/>
  <c r="S154" i="21"/>
  <c r="M155" i="21" l="1"/>
  <c r="O155" i="21"/>
  <c r="Q153" i="21"/>
  <c r="Q154" i="21"/>
  <c r="O156" i="21"/>
  <c r="Q153" i="20"/>
  <c r="O155" i="20"/>
  <c r="S154" i="20"/>
  <c r="I156" i="20"/>
  <c r="H156" i="20" s="1"/>
  <c r="N155" i="20"/>
  <c r="M155" i="20"/>
  <c r="E157" i="20"/>
  <c r="G157" i="20" s="1"/>
  <c r="B158" i="20"/>
  <c r="F201" i="21"/>
  <c r="C200" i="21"/>
  <c r="E157" i="21"/>
  <c r="G157" i="21" s="1"/>
  <c r="B158" i="21"/>
  <c r="I156" i="21"/>
  <c r="H156" i="21" s="1"/>
  <c r="N156" i="21" s="1"/>
  <c r="S155" i="21"/>
  <c r="P156" i="21" l="1"/>
  <c r="S155" i="20"/>
  <c r="P155" i="20"/>
  <c r="E158" i="20"/>
  <c r="G158" i="20" s="1"/>
  <c r="B159" i="20"/>
  <c r="N156" i="20"/>
  <c r="M156" i="20"/>
  <c r="I157" i="20"/>
  <c r="H157" i="20" s="1"/>
  <c r="M156" i="21"/>
  <c r="F202" i="21"/>
  <c r="C201" i="21"/>
  <c r="E158" i="21"/>
  <c r="G158" i="21" s="1"/>
  <c r="B159" i="21"/>
  <c r="I157" i="21"/>
  <c r="H157" i="21" s="1"/>
  <c r="N157" i="21" s="1"/>
  <c r="I158" i="21" l="1"/>
  <c r="H158" i="21" s="1"/>
  <c r="N158" i="21" s="1"/>
  <c r="P158" i="21"/>
  <c r="O157" i="21"/>
  <c r="Q155" i="21"/>
  <c r="P157" i="21"/>
  <c r="E159" i="20"/>
  <c r="G159" i="20" s="1"/>
  <c r="B160" i="20"/>
  <c r="I158" i="20"/>
  <c r="H158" i="20" s="1"/>
  <c r="O156" i="20"/>
  <c r="Q154" i="20"/>
  <c r="N157" i="20"/>
  <c r="M157" i="20"/>
  <c r="S156" i="20"/>
  <c r="P156" i="20"/>
  <c r="M157" i="21"/>
  <c r="M158" i="21"/>
  <c r="S156" i="21"/>
  <c r="B160" i="21"/>
  <c r="E159" i="21"/>
  <c r="G159" i="21" s="1"/>
  <c r="F203" i="21"/>
  <c r="C202" i="21"/>
  <c r="Q157" i="21" l="1"/>
  <c r="O158" i="21"/>
  <c r="Q156" i="21"/>
  <c r="O159" i="21"/>
  <c r="O157" i="20"/>
  <c r="E160" i="20"/>
  <c r="G160" i="20" s="1"/>
  <c r="B161" i="20"/>
  <c r="Q155" i="20"/>
  <c r="I159" i="20"/>
  <c r="H159" i="20" s="1"/>
  <c r="S157" i="20"/>
  <c r="P157" i="20"/>
  <c r="N158" i="20"/>
  <c r="M158" i="20"/>
  <c r="F204" i="21"/>
  <c r="C203" i="21"/>
  <c r="I159" i="21"/>
  <c r="H159" i="21" s="1"/>
  <c r="N159" i="21" s="1"/>
  <c r="E160" i="21"/>
  <c r="G160" i="21" s="1"/>
  <c r="B161" i="21"/>
  <c r="S158" i="21"/>
  <c r="S157" i="21"/>
  <c r="P159" i="21" l="1"/>
  <c r="Q158" i="21" s="1"/>
  <c r="O160" i="21"/>
  <c r="O158" i="20"/>
  <c r="I160" i="20"/>
  <c r="H160" i="20" s="1"/>
  <c r="S158" i="20"/>
  <c r="P158" i="20"/>
  <c r="Q156" i="20"/>
  <c r="E161" i="20"/>
  <c r="G161" i="20" s="1"/>
  <c r="B162" i="20"/>
  <c r="N159" i="20"/>
  <c r="P159" i="20" s="1"/>
  <c r="M159" i="20"/>
  <c r="M159" i="21"/>
  <c r="E161" i="21"/>
  <c r="G161" i="21" s="1"/>
  <c r="B162" i="21"/>
  <c r="I160" i="21"/>
  <c r="H160" i="21" s="1"/>
  <c r="N160" i="21" s="1"/>
  <c r="F205" i="21"/>
  <c r="C204" i="21"/>
  <c r="P160" i="21" l="1"/>
  <c r="I161" i="20"/>
  <c r="H161" i="20" s="1"/>
  <c r="N160" i="20"/>
  <c r="M160" i="20"/>
  <c r="O160" i="20"/>
  <c r="O159" i="20"/>
  <c r="Q158" i="20"/>
  <c r="S159" i="20"/>
  <c r="Q157" i="20"/>
  <c r="E162" i="20"/>
  <c r="G162" i="20" s="1"/>
  <c r="B163" i="20"/>
  <c r="M160" i="21"/>
  <c r="F206" i="21"/>
  <c r="C205" i="21"/>
  <c r="I161" i="21"/>
  <c r="H161" i="21" s="1"/>
  <c r="N161" i="21" s="1"/>
  <c r="S159" i="21"/>
  <c r="E162" i="21"/>
  <c r="G162" i="21" s="1"/>
  <c r="B163" i="21"/>
  <c r="P161" i="21" l="1"/>
  <c r="O162" i="21" s="1"/>
  <c r="Q160" i="21"/>
  <c r="O161" i="21"/>
  <c r="Q159" i="21"/>
  <c r="S160" i="20"/>
  <c r="N161" i="20"/>
  <c r="P161" i="20" s="1"/>
  <c r="M161" i="20"/>
  <c r="E163" i="20"/>
  <c r="G163" i="20" s="1"/>
  <c r="B164" i="20"/>
  <c r="I162" i="20"/>
  <c r="H162" i="20" s="1"/>
  <c r="P160" i="20"/>
  <c r="M161" i="21"/>
  <c r="F207" i="21"/>
  <c r="C206" i="21"/>
  <c r="I162" i="21"/>
  <c r="H162" i="21" s="1"/>
  <c r="N162" i="21" s="1"/>
  <c r="E163" i="21"/>
  <c r="G163" i="21" s="1"/>
  <c r="B164" i="21"/>
  <c r="S160" i="21"/>
  <c r="P162" i="21" l="1"/>
  <c r="E164" i="20"/>
  <c r="G164" i="20" s="1"/>
  <c r="B165" i="20"/>
  <c r="N162" i="20"/>
  <c r="P162" i="20" s="1"/>
  <c r="M162" i="20"/>
  <c r="I163" i="20"/>
  <c r="H163" i="20" s="1"/>
  <c r="O162" i="20"/>
  <c r="O161" i="20"/>
  <c r="Q160" i="20"/>
  <c r="Q159" i="20"/>
  <c r="S161" i="20"/>
  <c r="M162" i="21"/>
  <c r="S161" i="21"/>
  <c r="E164" i="21"/>
  <c r="G164" i="21" s="1"/>
  <c r="B165" i="21"/>
  <c r="I163" i="21"/>
  <c r="H163" i="21" s="1"/>
  <c r="N163" i="21" s="1"/>
  <c r="S162" i="21"/>
  <c r="F208" i="21"/>
  <c r="C207" i="21"/>
  <c r="O163" i="21" l="1"/>
  <c r="Q161" i="21"/>
  <c r="P163" i="21"/>
  <c r="O163" i="20"/>
  <c r="I164" i="20"/>
  <c r="H164" i="20" s="1"/>
  <c r="Q161" i="20"/>
  <c r="S162" i="20"/>
  <c r="N163" i="20"/>
  <c r="M163" i="20"/>
  <c r="E165" i="20"/>
  <c r="G165" i="20" s="1"/>
  <c r="B166" i="20"/>
  <c r="M163" i="21"/>
  <c r="F209" i="21"/>
  <c r="C208" i="21"/>
  <c r="E165" i="21"/>
  <c r="G165" i="21" s="1"/>
  <c r="B166" i="21"/>
  <c r="I164" i="21"/>
  <c r="H164" i="21" s="1"/>
  <c r="N164" i="21" s="1"/>
  <c r="P164" i="21" l="1"/>
  <c r="O165" i="21" s="1"/>
  <c r="O164" i="21"/>
  <c r="Q162" i="21"/>
  <c r="S163" i="20"/>
  <c r="P163" i="20"/>
  <c r="E166" i="20"/>
  <c r="G166" i="20" s="1"/>
  <c r="B167" i="20"/>
  <c r="N164" i="20"/>
  <c r="P164" i="20" s="1"/>
  <c r="M164" i="20"/>
  <c r="I165" i="20"/>
  <c r="H165" i="20" s="1"/>
  <c r="M164" i="21"/>
  <c r="E166" i="21"/>
  <c r="G166" i="21" s="1"/>
  <c r="B167" i="21"/>
  <c r="F210" i="21"/>
  <c r="C209" i="21"/>
  <c r="I165" i="21"/>
  <c r="H165" i="21" s="1"/>
  <c r="N165" i="21" s="1"/>
  <c r="S163" i="21"/>
  <c r="Q163" i="21" l="1"/>
  <c r="P165" i="21"/>
  <c r="Q164" i="21" s="1"/>
  <c r="O166" i="21"/>
  <c r="N165" i="20"/>
  <c r="M165" i="20"/>
  <c r="O165" i="20"/>
  <c r="E167" i="20"/>
  <c r="G167" i="20" s="1"/>
  <c r="B168" i="20"/>
  <c r="Q163" i="20"/>
  <c r="O164" i="20"/>
  <c r="Q162" i="20"/>
  <c r="S164" i="20"/>
  <c r="I166" i="20"/>
  <c r="H166" i="20" s="1"/>
  <c r="M165" i="21"/>
  <c r="E167" i="21"/>
  <c r="G167" i="21" s="1"/>
  <c r="B168" i="21"/>
  <c r="S164" i="21"/>
  <c r="I166" i="21"/>
  <c r="H166" i="21" s="1"/>
  <c r="N166" i="21" s="1"/>
  <c r="F211" i="21"/>
  <c r="C210" i="21"/>
  <c r="P166" i="21" l="1"/>
  <c r="I167" i="21"/>
  <c r="H167" i="21" s="1"/>
  <c r="N167" i="21" s="1"/>
  <c r="S165" i="20"/>
  <c r="E168" i="20"/>
  <c r="G168" i="20" s="1"/>
  <c r="B169" i="20"/>
  <c r="P165" i="20"/>
  <c r="N166" i="20"/>
  <c r="M166" i="20"/>
  <c r="I167" i="20"/>
  <c r="H167" i="20" s="1"/>
  <c r="M166" i="21"/>
  <c r="F212" i="21"/>
  <c r="C211" i="21"/>
  <c r="S165" i="21"/>
  <c r="E168" i="21"/>
  <c r="G168" i="21" s="1"/>
  <c r="B169" i="21"/>
  <c r="M167" i="21" l="1"/>
  <c r="P167" i="21"/>
  <c r="O168" i="21" s="1"/>
  <c r="O167" i="21"/>
  <c r="Q165" i="21"/>
  <c r="I168" i="20"/>
  <c r="H168" i="20" s="1"/>
  <c r="S166" i="20"/>
  <c r="P166" i="20"/>
  <c r="Q165" i="20" s="1"/>
  <c r="N167" i="20"/>
  <c r="M167" i="20"/>
  <c r="O166" i="20"/>
  <c r="Q164" i="20"/>
  <c r="E169" i="20"/>
  <c r="G169" i="20" s="1"/>
  <c r="B170" i="20"/>
  <c r="E169" i="21"/>
  <c r="G169" i="21" s="1"/>
  <c r="B170" i="21"/>
  <c r="I168" i="21"/>
  <c r="H168" i="21" s="1"/>
  <c r="N168" i="21" s="1"/>
  <c r="F213" i="21"/>
  <c r="C212" i="21"/>
  <c r="S166" i="21"/>
  <c r="S167" i="21"/>
  <c r="P168" i="21" l="1"/>
  <c r="Q166" i="21"/>
  <c r="O169" i="21"/>
  <c r="Q167" i="21"/>
  <c r="O167" i="20"/>
  <c r="E170" i="20"/>
  <c r="G170" i="20" s="1"/>
  <c r="B171" i="20"/>
  <c r="I169" i="20"/>
  <c r="H169" i="20" s="1"/>
  <c r="S167" i="20"/>
  <c r="P167" i="20"/>
  <c r="Q166" i="20" s="1"/>
  <c r="N168" i="20"/>
  <c r="M168" i="20"/>
  <c r="M168" i="21"/>
  <c r="E170" i="21"/>
  <c r="G170" i="21" s="1"/>
  <c r="B171" i="21"/>
  <c r="F214" i="21"/>
  <c r="C213" i="21"/>
  <c r="I169" i="21"/>
  <c r="H169" i="21" s="1"/>
  <c r="N169" i="21" s="1"/>
  <c r="P169" i="21" l="1"/>
  <c r="O170" i="21" s="1"/>
  <c r="O168" i="20"/>
  <c r="E171" i="20"/>
  <c r="G171" i="20" s="1"/>
  <c r="B172" i="20"/>
  <c r="I170" i="20"/>
  <c r="H170" i="20" s="1"/>
  <c r="S168" i="20"/>
  <c r="P168" i="20"/>
  <c r="N169" i="20"/>
  <c r="M169" i="20"/>
  <c r="M169" i="21"/>
  <c r="S168" i="21"/>
  <c r="E171" i="21"/>
  <c r="G171" i="21" s="1"/>
  <c r="B172" i="21"/>
  <c r="F215" i="21"/>
  <c r="C214" i="21"/>
  <c r="I170" i="21"/>
  <c r="H170" i="21" s="1"/>
  <c r="N170" i="21" s="1"/>
  <c r="Q168" i="21" l="1"/>
  <c r="P170" i="21"/>
  <c r="S169" i="20"/>
  <c r="P169" i="20"/>
  <c r="O170" i="20" s="1"/>
  <c r="E172" i="20"/>
  <c r="G172" i="20" s="1"/>
  <c r="B173" i="20"/>
  <c r="I171" i="20"/>
  <c r="H171" i="20" s="1"/>
  <c r="O169" i="20"/>
  <c r="N170" i="20"/>
  <c r="M170" i="20"/>
  <c r="Q167" i="20"/>
  <c r="M170" i="21"/>
  <c r="E172" i="21"/>
  <c r="G172" i="21" s="1"/>
  <c r="B173" i="21"/>
  <c r="S169" i="21"/>
  <c r="I171" i="21"/>
  <c r="H171" i="21" s="1"/>
  <c r="N171" i="21" s="1"/>
  <c r="F216" i="21"/>
  <c r="C215" i="21"/>
  <c r="I172" i="21" l="1"/>
  <c r="H172" i="21" s="1"/>
  <c r="N172" i="21" s="1"/>
  <c r="O171" i="21"/>
  <c r="Q169" i="21"/>
  <c r="P171" i="21"/>
  <c r="N171" i="20"/>
  <c r="M171" i="20"/>
  <c r="I172" i="20"/>
  <c r="H172" i="20" s="1"/>
  <c r="S170" i="20"/>
  <c r="P170" i="20"/>
  <c r="Q168" i="20"/>
  <c r="E173" i="20"/>
  <c r="G173" i="20" s="1"/>
  <c r="B174" i="20"/>
  <c r="M171" i="21"/>
  <c r="F217" i="21"/>
  <c r="C216" i="21"/>
  <c r="S170" i="21"/>
  <c r="E173" i="21"/>
  <c r="G173" i="21" s="1"/>
  <c r="B174" i="21"/>
  <c r="M172" i="21" l="1"/>
  <c r="P172" i="21"/>
  <c r="Q171" i="21" s="1"/>
  <c r="O172" i="21"/>
  <c r="Q170" i="21"/>
  <c r="O173" i="21"/>
  <c r="I173" i="20"/>
  <c r="H173" i="20" s="1"/>
  <c r="S171" i="20"/>
  <c r="P171" i="20"/>
  <c r="Q170" i="20" s="1"/>
  <c r="N172" i="20"/>
  <c r="M172" i="20"/>
  <c r="Q169" i="20"/>
  <c r="O171" i="20"/>
  <c r="E174" i="20"/>
  <c r="G174" i="20" s="1"/>
  <c r="B175" i="20"/>
  <c r="I173" i="21"/>
  <c r="H173" i="21" s="1"/>
  <c r="N173" i="21" s="1"/>
  <c r="F218" i="21"/>
  <c r="C217" i="21"/>
  <c r="S171" i="21"/>
  <c r="S172" i="21"/>
  <c r="E174" i="21"/>
  <c r="G174" i="21" s="1"/>
  <c r="B175" i="21"/>
  <c r="P173" i="21" l="1"/>
  <c r="E175" i="20"/>
  <c r="G175" i="20" s="1"/>
  <c r="B176" i="20"/>
  <c r="I174" i="20"/>
  <c r="H174" i="20" s="1"/>
  <c r="S172" i="20"/>
  <c r="P172" i="20"/>
  <c r="O172" i="20"/>
  <c r="N173" i="20"/>
  <c r="M173" i="20"/>
  <c r="M173" i="21"/>
  <c r="F219" i="21"/>
  <c r="C218" i="21"/>
  <c r="E175" i="21"/>
  <c r="G175" i="21" s="1"/>
  <c r="B176" i="21"/>
  <c r="I174" i="21"/>
  <c r="H174" i="21" s="1"/>
  <c r="N174" i="21" s="1"/>
  <c r="P174" i="21" l="1"/>
  <c r="Q173" i="21" s="1"/>
  <c r="O174" i="21"/>
  <c r="Q172" i="21"/>
  <c r="O173" i="20"/>
  <c r="I175" i="20"/>
  <c r="H175" i="20" s="1"/>
  <c r="Q171" i="20"/>
  <c r="N174" i="20"/>
  <c r="M174" i="20"/>
  <c r="S173" i="20"/>
  <c r="P173" i="20"/>
  <c r="P174" i="20"/>
  <c r="E176" i="20"/>
  <c r="G176" i="20" s="1"/>
  <c r="B177" i="20"/>
  <c r="M174" i="21"/>
  <c r="I175" i="21"/>
  <c r="H175" i="21" s="1"/>
  <c r="N175" i="21" s="1"/>
  <c r="F220" i="21"/>
  <c r="C219" i="21"/>
  <c r="E176" i="21"/>
  <c r="G176" i="21" s="1"/>
  <c r="B177" i="21"/>
  <c r="S173" i="21"/>
  <c r="O175" i="21" l="1"/>
  <c r="P175" i="21"/>
  <c r="O175" i="20"/>
  <c r="N175" i="20"/>
  <c r="P175" i="20" s="1"/>
  <c r="M175" i="20"/>
  <c r="E177" i="20"/>
  <c r="G177" i="20" s="1"/>
  <c r="B178" i="20"/>
  <c r="I176" i="20"/>
  <c r="H176" i="20" s="1"/>
  <c r="O174" i="20"/>
  <c r="Q173" i="20"/>
  <c r="S174" i="20"/>
  <c r="Q172" i="20"/>
  <c r="M175" i="21"/>
  <c r="S174" i="21"/>
  <c r="I176" i="21"/>
  <c r="H176" i="21" s="1"/>
  <c r="N176" i="21" s="1"/>
  <c r="F221" i="21"/>
  <c r="C220" i="21"/>
  <c r="E177" i="21"/>
  <c r="G177" i="21" s="1"/>
  <c r="B178" i="21"/>
  <c r="P176" i="21" l="1"/>
  <c r="Q175" i="21" s="1"/>
  <c r="O176" i="21"/>
  <c r="Q174" i="21"/>
  <c r="N176" i="20"/>
  <c r="P176" i="20" s="1"/>
  <c r="M176" i="20"/>
  <c r="I177" i="20"/>
  <c r="H177" i="20" s="1"/>
  <c r="O176" i="20"/>
  <c r="S175" i="20"/>
  <c r="E178" i="20"/>
  <c r="G178" i="20" s="1"/>
  <c r="B179" i="20"/>
  <c r="Q174" i="20"/>
  <c r="M176" i="21"/>
  <c r="I177" i="21"/>
  <c r="H177" i="21" s="1"/>
  <c r="N177" i="21" s="1"/>
  <c r="F222" i="21"/>
  <c r="C221" i="21"/>
  <c r="S175" i="21"/>
  <c r="E178" i="21"/>
  <c r="G178" i="21" s="1"/>
  <c r="B179" i="21"/>
  <c r="O177" i="21" l="1"/>
  <c r="I178" i="21"/>
  <c r="H178" i="21" s="1"/>
  <c r="N178" i="21" s="1"/>
  <c r="P177" i="21"/>
  <c r="O177" i="20"/>
  <c r="S176" i="20"/>
  <c r="N177" i="20"/>
  <c r="M177" i="20"/>
  <c r="E179" i="20"/>
  <c r="G179" i="20" s="1"/>
  <c r="B180" i="20"/>
  <c r="I178" i="20"/>
  <c r="H178" i="20" s="1"/>
  <c r="Q175" i="20"/>
  <c r="M177" i="21"/>
  <c r="E179" i="21"/>
  <c r="G179" i="21" s="1"/>
  <c r="B180" i="21"/>
  <c r="F223" i="21"/>
  <c r="C222" i="21"/>
  <c r="S176" i="21"/>
  <c r="M178" i="21" l="1"/>
  <c r="P178" i="21"/>
  <c r="Q177" i="21" s="1"/>
  <c r="O178" i="21"/>
  <c r="Q176" i="21"/>
  <c r="S177" i="20"/>
  <c r="N178" i="20"/>
  <c r="M178" i="20"/>
  <c r="E180" i="20"/>
  <c r="G180" i="20" s="1"/>
  <c r="B181" i="20"/>
  <c r="I179" i="20"/>
  <c r="H179" i="20" s="1"/>
  <c r="P177" i="20"/>
  <c r="F224" i="21"/>
  <c r="C223" i="21"/>
  <c r="E180" i="21"/>
  <c r="G180" i="21" s="1"/>
  <c r="B181" i="21"/>
  <c r="I179" i="21"/>
  <c r="H179" i="21" s="1"/>
  <c r="N179" i="21" s="1"/>
  <c r="S177" i="21"/>
  <c r="S178" i="21"/>
  <c r="O179" i="21" l="1"/>
  <c r="P179" i="21"/>
  <c r="S178" i="20"/>
  <c r="N179" i="20"/>
  <c r="M179" i="20"/>
  <c r="E181" i="20"/>
  <c r="G181" i="20" s="1"/>
  <c r="B182" i="20"/>
  <c r="I180" i="20"/>
  <c r="H180" i="20" s="1"/>
  <c r="O178" i="20"/>
  <c r="Q176" i="20"/>
  <c r="P178" i="20"/>
  <c r="M179" i="21"/>
  <c r="F225" i="21"/>
  <c r="C224" i="21"/>
  <c r="E181" i="21"/>
  <c r="G181" i="21" s="1"/>
  <c r="B182" i="21"/>
  <c r="I180" i="21"/>
  <c r="H180" i="21" s="1"/>
  <c r="N180" i="21" s="1"/>
  <c r="O180" i="21" l="1"/>
  <c r="Q178" i="21"/>
  <c r="P180" i="21"/>
  <c r="O179" i="20"/>
  <c r="S179" i="20"/>
  <c r="N180" i="20"/>
  <c r="M180" i="20"/>
  <c r="E182" i="20"/>
  <c r="G182" i="20" s="1"/>
  <c r="B183" i="20"/>
  <c r="Q177" i="20"/>
  <c r="I181" i="20"/>
  <c r="H181" i="20" s="1"/>
  <c r="P179" i="20"/>
  <c r="Q178" i="20" s="1"/>
  <c r="M180" i="21"/>
  <c r="E182" i="21"/>
  <c r="G182" i="21" s="1"/>
  <c r="B183" i="21"/>
  <c r="F226" i="21"/>
  <c r="C225" i="21"/>
  <c r="I181" i="21"/>
  <c r="H181" i="21" s="1"/>
  <c r="N181" i="21" s="1"/>
  <c r="S179" i="21"/>
  <c r="P181" i="21" l="1"/>
  <c r="O182" i="21" s="1"/>
  <c r="I182" i="21"/>
  <c r="H182" i="21" s="1"/>
  <c r="N182" i="21" s="1"/>
  <c r="O181" i="21"/>
  <c r="Q179" i="21"/>
  <c r="N181" i="20"/>
  <c r="M181" i="20"/>
  <c r="S180" i="20"/>
  <c r="E183" i="20"/>
  <c r="G183" i="20" s="1"/>
  <c r="B184" i="20"/>
  <c r="O180" i="20"/>
  <c r="P180" i="20"/>
  <c r="I182" i="20"/>
  <c r="H182" i="20" s="1"/>
  <c r="M181" i="21"/>
  <c r="S180" i="21"/>
  <c r="B184" i="21"/>
  <c r="E183" i="21"/>
  <c r="G183" i="21" s="1"/>
  <c r="F227" i="21"/>
  <c r="C226" i="21"/>
  <c r="Q180" i="21" l="1"/>
  <c r="P182" i="21"/>
  <c r="Q181" i="21" s="1"/>
  <c r="M182" i="21"/>
  <c r="O181" i="20"/>
  <c r="S181" i="20"/>
  <c r="E184" i="20"/>
  <c r="G184" i="20" s="1"/>
  <c r="B185" i="20"/>
  <c r="N182" i="20"/>
  <c r="M182" i="20"/>
  <c r="Q179" i="20"/>
  <c r="I183" i="20"/>
  <c r="H183" i="20" s="1"/>
  <c r="P182" i="20"/>
  <c r="P181" i="20"/>
  <c r="I183" i="21"/>
  <c r="H183" i="21" s="1"/>
  <c r="N183" i="21" s="1"/>
  <c r="F228" i="21"/>
  <c r="C227" i="21"/>
  <c r="E184" i="21"/>
  <c r="G184" i="21" s="1"/>
  <c r="B185" i="21"/>
  <c r="S181" i="21"/>
  <c r="S182" i="21"/>
  <c r="O183" i="21" l="1"/>
  <c r="P183" i="21"/>
  <c r="E185" i="20"/>
  <c r="G185" i="20" s="1"/>
  <c r="B186" i="20"/>
  <c r="O183" i="20"/>
  <c r="I184" i="20"/>
  <c r="H184" i="20" s="1"/>
  <c r="Q181" i="20"/>
  <c r="O182" i="20"/>
  <c r="N183" i="20"/>
  <c r="M183" i="20"/>
  <c r="S182" i="20"/>
  <c r="Q180" i="20"/>
  <c r="M183" i="21"/>
  <c r="E185" i="21"/>
  <c r="G185" i="21" s="1"/>
  <c r="B186" i="21"/>
  <c r="I184" i="21"/>
  <c r="H184" i="21" s="1"/>
  <c r="N184" i="21" s="1"/>
  <c r="F229" i="21"/>
  <c r="C228" i="21"/>
  <c r="I185" i="21" l="1"/>
  <c r="H185" i="21" s="1"/>
  <c r="N185" i="21" s="1"/>
  <c r="O184" i="21"/>
  <c r="Q182" i="21"/>
  <c r="P184" i="21"/>
  <c r="S183" i="20"/>
  <c r="P183" i="20"/>
  <c r="I185" i="20"/>
  <c r="H185" i="20" s="1"/>
  <c r="N184" i="20"/>
  <c r="M184" i="20"/>
  <c r="E186" i="20"/>
  <c r="G186" i="20" s="1"/>
  <c r="B187" i="20"/>
  <c r="M184" i="21"/>
  <c r="M185" i="21"/>
  <c r="E186" i="21"/>
  <c r="G186" i="21" s="1"/>
  <c r="B187" i="21"/>
  <c r="S183" i="21"/>
  <c r="F230" i="21"/>
  <c r="C229" i="21"/>
  <c r="P185" i="21" l="1"/>
  <c r="Q184" i="21" s="1"/>
  <c r="O185" i="21"/>
  <c r="Q183" i="21"/>
  <c r="I186" i="20"/>
  <c r="H186" i="20" s="1"/>
  <c r="N185" i="20"/>
  <c r="P185" i="20" s="1"/>
  <c r="O186" i="20" s="1"/>
  <c r="M185" i="20"/>
  <c r="S184" i="20"/>
  <c r="P184" i="20"/>
  <c r="Q183" i="20" s="1"/>
  <c r="E187" i="20"/>
  <c r="G187" i="20" s="1"/>
  <c r="B188" i="20"/>
  <c r="O184" i="20"/>
  <c r="Q182" i="20"/>
  <c r="I186" i="21"/>
  <c r="H186" i="21" s="1"/>
  <c r="N186" i="21" s="1"/>
  <c r="S184" i="21"/>
  <c r="F231" i="21"/>
  <c r="C230" i="21"/>
  <c r="S185" i="21"/>
  <c r="E187" i="21"/>
  <c r="G187" i="21" s="1"/>
  <c r="B188" i="21"/>
  <c r="O186" i="21" l="1"/>
  <c r="P186" i="21"/>
  <c r="E188" i="20"/>
  <c r="G188" i="20" s="1"/>
  <c r="B189" i="20"/>
  <c r="I187" i="20"/>
  <c r="H187" i="20" s="1"/>
  <c r="O185" i="20"/>
  <c r="Q184" i="20"/>
  <c r="S185" i="20"/>
  <c r="N186" i="20"/>
  <c r="M186" i="20"/>
  <c r="M186" i="21"/>
  <c r="I187" i="21"/>
  <c r="H187" i="21" s="1"/>
  <c r="N187" i="21" s="1"/>
  <c r="E188" i="21"/>
  <c r="G188" i="21" s="1"/>
  <c r="B189" i="21"/>
  <c r="F232" i="21"/>
  <c r="C231" i="21"/>
  <c r="P187" i="21" l="1"/>
  <c r="Q186" i="21" s="1"/>
  <c r="O187" i="21"/>
  <c r="Q185" i="21"/>
  <c r="S186" i="20"/>
  <c r="P186" i="20"/>
  <c r="I188" i="20"/>
  <c r="H188" i="20" s="1"/>
  <c r="N187" i="20"/>
  <c r="P187" i="20" s="1"/>
  <c r="M187" i="20"/>
  <c r="E189" i="20"/>
  <c r="G189" i="20" s="1"/>
  <c r="B190" i="20"/>
  <c r="S187" i="21"/>
  <c r="M187" i="21"/>
  <c r="E189" i="21"/>
  <c r="G189" i="21" s="1"/>
  <c r="B190" i="21"/>
  <c r="S186" i="21"/>
  <c r="F233" i="21"/>
  <c r="C232" i="21"/>
  <c r="I188" i="21"/>
  <c r="H188" i="21" s="1"/>
  <c r="N188" i="21" s="1"/>
  <c r="O188" i="21" l="1"/>
  <c r="P188" i="21"/>
  <c r="O188" i="20"/>
  <c r="S187" i="20"/>
  <c r="E190" i="20"/>
  <c r="G190" i="20" s="1"/>
  <c r="B191" i="20"/>
  <c r="Q185" i="20"/>
  <c r="Q186" i="20"/>
  <c r="O187" i="20"/>
  <c r="I189" i="20"/>
  <c r="H189" i="20" s="1"/>
  <c r="N188" i="20"/>
  <c r="P188" i="20" s="1"/>
  <c r="Q187" i="20" s="1"/>
  <c r="M188" i="20"/>
  <c r="M188" i="21"/>
  <c r="I189" i="21"/>
  <c r="H189" i="21" s="1"/>
  <c r="N189" i="21" s="1"/>
  <c r="E190" i="21"/>
  <c r="G190" i="21" s="1"/>
  <c r="B191" i="21"/>
  <c r="F234" i="21"/>
  <c r="C233" i="21"/>
  <c r="P189" i="21" l="1"/>
  <c r="Q188" i="21" s="1"/>
  <c r="O189" i="21"/>
  <c r="Q187" i="21"/>
  <c r="O189" i="20"/>
  <c r="S188" i="20"/>
  <c r="E191" i="20"/>
  <c r="G191" i="20" s="1"/>
  <c r="B192" i="20"/>
  <c r="N189" i="20"/>
  <c r="M189" i="20"/>
  <c r="I190" i="20"/>
  <c r="H190" i="20" s="1"/>
  <c r="M189" i="21"/>
  <c r="E191" i="21"/>
  <c r="G191" i="21" s="1"/>
  <c r="B192" i="21"/>
  <c r="F235" i="21"/>
  <c r="C234" i="21"/>
  <c r="I190" i="21"/>
  <c r="H190" i="21" s="1"/>
  <c r="N190" i="21" s="1"/>
  <c r="S188" i="21"/>
  <c r="P190" i="21" l="1"/>
  <c r="Q189" i="21" s="1"/>
  <c r="O190" i="21"/>
  <c r="S189" i="20"/>
  <c r="P189" i="20"/>
  <c r="I191" i="20"/>
  <c r="H191" i="20" s="1"/>
  <c r="N190" i="20"/>
  <c r="M190" i="20"/>
  <c r="E192" i="20"/>
  <c r="G192" i="20" s="1"/>
  <c r="B193" i="20"/>
  <c r="M190" i="21"/>
  <c r="F236" i="21"/>
  <c r="C235" i="21"/>
  <c r="B193" i="21"/>
  <c r="E192" i="21"/>
  <c r="G192" i="21" s="1"/>
  <c r="S189" i="21"/>
  <c r="I191" i="21"/>
  <c r="H191" i="21" s="1"/>
  <c r="N191" i="21" s="1"/>
  <c r="O191" i="21" l="1"/>
  <c r="P191" i="21"/>
  <c r="S190" i="20"/>
  <c r="N191" i="20"/>
  <c r="M191" i="20"/>
  <c r="E193" i="20"/>
  <c r="G193" i="20" s="1"/>
  <c r="B194" i="20"/>
  <c r="P190" i="20"/>
  <c r="Q189" i="20" s="1"/>
  <c r="I192" i="20"/>
  <c r="H192" i="20" s="1"/>
  <c r="O190" i="20"/>
  <c r="Q188" i="20"/>
  <c r="M191" i="21"/>
  <c r="S190" i="21"/>
  <c r="I192" i="21"/>
  <c r="H192" i="21" s="1"/>
  <c r="N192" i="21" s="1"/>
  <c r="E193" i="21"/>
  <c r="G193" i="21" s="1"/>
  <c r="B194" i="21"/>
  <c r="F237" i="21"/>
  <c r="C236" i="21"/>
  <c r="O192" i="21" l="1"/>
  <c r="Q190" i="21"/>
  <c r="P192" i="21"/>
  <c r="E194" i="20"/>
  <c r="G194" i="20" s="1"/>
  <c r="B195" i="20"/>
  <c r="S191" i="20"/>
  <c r="I193" i="20"/>
  <c r="H193" i="20" s="1"/>
  <c r="P191" i="20"/>
  <c r="N192" i="20"/>
  <c r="M192" i="20"/>
  <c r="O191" i="20"/>
  <c r="Q190" i="20"/>
  <c r="M192" i="21"/>
  <c r="S191" i="21"/>
  <c r="F238" i="21"/>
  <c r="C237" i="21"/>
  <c r="E194" i="21"/>
  <c r="G194" i="21" s="1"/>
  <c r="B195" i="21"/>
  <c r="I193" i="21"/>
  <c r="H193" i="21" s="1"/>
  <c r="N193" i="21" s="1"/>
  <c r="O193" i="21" l="1"/>
  <c r="P193" i="21"/>
  <c r="Q191" i="21"/>
  <c r="S192" i="20"/>
  <c r="P192" i="20"/>
  <c r="Q191" i="20" s="1"/>
  <c r="I194" i="20"/>
  <c r="H194" i="20" s="1"/>
  <c r="N193" i="20"/>
  <c r="M193" i="20"/>
  <c r="O192" i="20"/>
  <c r="E195" i="20"/>
  <c r="G195" i="20" s="1"/>
  <c r="B196" i="20"/>
  <c r="M193" i="21"/>
  <c r="F239" i="21"/>
  <c r="C238" i="21"/>
  <c r="I194" i="21"/>
  <c r="H194" i="21" s="1"/>
  <c r="N194" i="21" s="1"/>
  <c r="S192" i="21"/>
  <c r="E195" i="21"/>
  <c r="G195" i="21" s="1"/>
  <c r="B196" i="21"/>
  <c r="P194" i="21" l="1"/>
  <c r="O195" i="21" s="1"/>
  <c r="O194" i="21"/>
  <c r="Q192" i="21"/>
  <c r="E196" i="20"/>
  <c r="G196" i="20" s="1"/>
  <c r="B197" i="20"/>
  <c r="S193" i="20"/>
  <c r="I195" i="20"/>
  <c r="H195" i="20" s="1"/>
  <c r="O193" i="20"/>
  <c r="P193" i="20"/>
  <c r="N194" i="20"/>
  <c r="M194" i="20"/>
  <c r="M194" i="21"/>
  <c r="E196" i="21"/>
  <c r="G196" i="21" s="1"/>
  <c r="B197" i="21"/>
  <c r="S193" i="21"/>
  <c r="I195" i="21"/>
  <c r="H195" i="21" s="1"/>
  <c r="N195" i="21" s="1"/>
  <c r="F240" i="21"/>
  <c r="C239" i="21"/>
  <c r="Q193" i="21" l="1"/>
  <c r="P195" i="21"/>
  <c r="I196" i="21"/>
  <c r="H196" i="21" s="1"/>
  <c r="N196" i="21" s="1"/>
  <c r="O194" i="20"/>
  <c r="I196" i="20"/>
  <c r="H196" i="20" s="1"/>
  <c r="Q192" i="20"/>
  <c r="N195" i="20"/>
  <c r="P195" i="20" s="1"/>
  <c r="M195" i="20"/>
  <c r="S194" i="20"/>
  <c r="P194" i="20"/>
  <c r="E197" i="20"/>
  <c r="G197" i="20" s="1"/>
  <c r="B198" i="20"/>
  <c r="M195" i="21"/>
  <c r="M196" i="21"/>
  <c r="E197" i="21"/>
  <c r="G197" i="21" s="1"/>
  <c r="B198" i="21"/>
  <c r="S194" i="21"/>
  <c r="F241" i="21"/>
  <c r="C240" i="21"/>
  <c r="P196" i="21" l="1"/>
  <c r="O197" i="21"/>
  <c r="Q195" i="21"/>
  <c r="O196" i="21"/>
  <c r="Q194" i="21"/>
  <c r="I197" i="20"/>
  <c r="H197" i="20" s="1"/>
  <c r="O196" i="20"/>
  <c r="N196" i="20"/>
  <c r="M196" i="20"/>
  <c r="Q194" i="20"/>
  <c r="O195" i="20"/>
  <c r="P196" i="20"/>
  <c r="E198" i="20"/>
  <c r="G198" i="20" s="1"/>
  <c r="B199" i="20"/>
  <c r="S195" i="20"/>
  <c r="Q193" i="20"/>
  <c r="S195" i="21"/>
  <c r="S196" i="21"/>
  <c r="F242" i="21"/>
  <c r="C241" i="21"/>
  <c r="B199" i="21"/>
  <c r="E198" i="21"/>
  <c r="G198" i="21" s="1"/>
  <c r="I197" i="21"/>
  <c r="H197" i="21" s="1"/>
  <c r="N197" i="21" s="1"/>
  <c r="P197" i="21" l="1"/>
  <c r="Q196" i="21" s="1"/>
  <c r="O198" i="21"/>
  <c r="O197" i="20"/>
  <c r="S196" i="20"/>
  <c r="E199" i="20"/>
  <c r="G199" i="20" s="1"/>
  <c r="B200" i="20"/>
  <c r="Q195" i="20"/>
  <c r="I198" i="20"/>
  <c r="H198" i="20" s="1"/>
  <c r="N197" i="20"/>
  <c r="M197" i="20"/>
  <c r="M197" i="21"/>
  <c r="I198" i="21"/>
  <c r="H198" i="21" s="1"/>
  <c r="N198" i="21" s="1"/>
  <c r="E199" i="21"/>
  <c r="G199" i="21" s="1"/>
  <c r="B200" i="21"/>
  <c r="F243" i="21"/>
  <c r="C242" i="21"/>
  <c r="P198" i="21" l="1"/>
  <c r="I199" i="20"/>
  <c r="H199" i="20" s="1"/>
  <c r="S197" i="20"/>
  <c r="P197" i="20"/>
  <c r="N198" i="20"/>
  <c r="M198" i="20"/>
  <c r="E200" i="20"/>
  <c r="G200" i="20" s="1"/>
  <c r="B201" i="20"/>
  <c r="M198" i="21"/>
  <c r="I199" i="21"/>
  <c r="H199" i="21" s="1"/>
  <c r="N199" i="21" s="1"/>
  <c r="S197" i="21"/>
  <c r="F244" i="21"/>
  <c r="C243" i="21"/>
  <c r="E200" i="21"/>
  <c r="G200" i="21" s="1"/>
  <c r="B201" i="21"/>
  <c r="O199" i="21" l="1"/>
  <c r="Q197" i="21"/>
  <c r="P199" i="21"/>
  <c r="O198" i="20"/>
  <c r="Q196" i="20"/>
  <c r="S198" i="20"/>
  <c r="P198" i="20"/>
  <c r="Q197" i="20" s="1"/>
  <c r="E201" i="20"/>
  <c r="G201" i="20" s="1"/>
  <c r="B202" i="20"/>
  <c r="I200" i="20"/>
  <c r="H200" i="20" s="1"/>
  <c r="N199" i="20"/>
  <c r="M199" i="20"/>
  <c r="M199" i="21"/>
  <c r="S198" i="21"/>
  <c r="F245" i="21"/>
  <c r="C244" i="21"/>
  <c r="E201" i="21"/>
  <c r="G201" i="21" s="1"/>
  <c r="B202" i="21"/>
  <c r="I200" i="21"/>
  <c r="H200" i="21" s="1"/>
  <c r="N200" i="21" s="1"/>
  <c r="P200" i="21" l="1"/>
  <c r="Q199" i="21" s="1"/>
  <c r="O200" i="21"/>
  <c r="I201" i="21"/>
  <c r="H201" i="21" s="1"/>
  <c r="N201" i="21" s="1"/>
  <c r="Q198" i="21"/>
  <c r="I201" i="20"/>
  <c r="H201" i="20" s="1"/>
  <c r="S199" i="20"/>
  <c r="P199" i="20"/>
  <c r="Q198" i="20" s="1"/>
  <c r="O199" i="20"/>
  <c r="N200" i="20"/>
  <c r="M200" i="20"/>
  <c r="E202" i="20"/>
  <c r="G202" i="20" s="1"/>
  <c r="B203" i="20"/>
  <c r="M201" i="21"/>
  <c r="M200" i="21"/>
  <c r="S199" i="21"/>
  <c r="F246" i="21"/>
  <c r="C245" i="21"/>
  <c r="E202" i="21"/>
  <c r="G202" i="21" s="1"/>
  <c r="B203" i="21"/>
  <c r="P201" i="21" l="1"/>
  <c r="Q200" i="21" s="1"/>
  <c r="O201" i="21"/>
  <c r="E203" i="20"/>
  <c r="G203" i="20" s="1"/>
  <c r="B204" i="20"/>
  <c r="I202" i="20"/>
  <c r="H202" i="20" s="1"/>
  <c r="S200" i="20"/>
  <c r="P200" i="20"/>
  <c r="O200" i="20"/>
  <c r="N201" i="20"/>
  <c r="M201" i="20"/>
  <c r="S200" i="21"/>
  <c r="I202" i="21"/>
  <c r="H202" i="21" s="1"/>
  <c r="N202" i="21" s="1"/>
  <c r="S201" i="21"/>
  <c r="F247" i="21"/>
  <c r="C246" i="21"/>
  <c r="E203" i="21"/>
  <c r="G203" i="21" s="1"/>
  <c r="B204" i="21"/>
  <c r="O202" i="21" l="1"/>
  <c r="P202" i="21"/>
  <c r="Q201" i="21" s="1"/>
  <c r="I203" i="20"/>
  <c r="H203" i="20" s="1"/>
  <c r="N202" i="20"/>
  <c r="M202" i="20"/>
  <c r="S201" i="20"/>
  <c r="P201" i="20"/>
  <c r="O202" i="20" s="1"/>
  <c r="O201" i="20"/>
  <c r="Q199" i="20"/>
  <c r="E204" i="20"/>
  <c r="G204" i="20" s="1"/>
  <c r="B205" i="20"/>
  <c r="M202" i="21"/>
  <c r="F248" i="21"/>
  <c r="C247" i="21"/>
  <c r="E204" i="21"/>
  <c r="G204" i="21" s="1"/>
  <c r="B205" i="21"/>
  <c r="I203" i="21"/>
  <c r="H203" i="21" s="1"/>
  <c r="N203" i="21" s="1"/>
  <c r="O203" i="21" l="1"/>
  <c r="P203" i="21"/>
  <c r="N203" i="20"/>
  <c r="M203" i="20"/>
  <c r="I204" i="20"/>
  <c r="H204" i="20" s="1"/>
  <c r="S202" i="20"/>
  <c r="P202" i="20"/>
  <c r="E205" i="20"/>
  <c r="G205" i="20" s="1"/>
  <c r="B206" i="20"/>
  <c r="Q200" i="20"/>
  <c r="P203" i="20"/>
  <c r="M203" i="21"/>
  <c r="E205" i="21"/>
  <c r="G205" i="21" s="1"/>
  <c r="B206" i="21"/>
  <c r="S202" i="21"/>
  <c r="I204" i="21"/>
  <c r="H204" i="21" s="1"/>
  <c r="N204" i="21" s="1"/>
  <c r="F249" i="21"/>
  <c r="C248" i="21"/>
  <c r="P204" i="21" l="1"/>
  <c r="Q203" i="21" s="1"/>
  <c r="O204" i="21"/>
  <c r="Q202" i="21"/>
  <c r="N204" i="20"/>
  <c r="P204" i="20" s="1"/>
  <c r="Q203" i="20" s="1"/>
  <c r="M204" i="20"/>
  <c r="E206" i="20"/>
  <c r="G206" i="20" s="1"/>
  <c r="B207" i="20"/>
  <c r="O204" i="20"/>
  <c r="I205" i="20"/>
  <c r="H205" i="20" s="1"/>
  <c r="Q201" i="20"/>
  <c r="Q202" i="20"/>
  <c r="O203" i="20"/>
  <c r="S203" i="20"/>
  <c r="M204" i="21"/>
  <c r="I205" i="21"/>
  <c r="H205" i="21" s="1"/>
  <c r="N205" i="21" s="1"/>
  <c r="F250" i="21"/>
  <c r="C249" i="21"/>
  <c r="S203" i="21"/>
  <c r="E206" i="21"/>
  <c r="G206" i="21" s="1"/>
  <c r="B207" i="21"/>
  <c r="O205" i="21" l="1"/>
  <c r="P205" i="21"/>
  <c r="E207" i="20"/>
  <c r="G207" i="20" s="1"/>
  <c r="B208" i="20"/>
  <c r="I206" i="20"/>
  <c r="H206" i="20" s="1"/>
  <c r="N205" i="20"/>
  <c r="M205" i="20"/>
  <c r="O205" i="20"/>
  <c r="S204" i="20"/>
  <c r="M205" i="21"/>
  <c r="E207" i="21"/>
  <c r="G207" i="21" s="1"/>
  <c r="B208" i="21"/>
  <c r="F251" i="21"/>
  <c r="C250" i="21"/>
  <c r="S204" i="21"/>
  <c r="I206" i="21"/>
  <c r="H206" i="21" s="1"/>
  <c r="N206" i="21" s="1"/>
  <c r="O206" i="21" l="1"/>
  <c r="Q204" i="21"/>
  <c r="P206" i="21"/>
  <c r="N206" i="20"/>
  <c r="P206" i="20" s="1"/>
  <c r="M206" i="20"/>
  <c r="E208" i="20"/>
  <c r="G208" i="20" s="1"/>
  <c r="B209" i="20"/>
  <c r="S205" i="20"/>
  <c r="P205" i="20"/>
  <c r="I207" i="20"/>
  <c r="H207" i="20" s="1"/>
  <c r="M206" i="21"/>
  <c r="E208" i="21"/>
  <c r="G208" i="21" s="1"/>
  <c r="B209" i="21"/>
  <c r="S205" i="21"/>
  <c r="I207" i="21"/>
  <c r="H207" i="21" s="1"/>
  <c r="N207" i="21" s="1"/>
  <c r="F252" i="21"/>
  <c r="C251" i="21"/>
  <c r="O207" i="21" l="1"/>
  <c r="Q205" i="21"/>
  <c r="P207" i="21"/>
  <c r="N207" i="20"/>
  <c r="P207" i="20" s="1"/>
  <c r="Q206" i="20" s="1"/>
  <c r="M207" i="20"/>
  <c r="I208" i="20"/>
  <c r="H208" i="20" s="1"/>
  <c r="O207" i="20"/>
  <c r="O206" i="20"/>
  <c r="Q205" i="20"/>
  <c r="Q204" i="20"/>
  <c r="E209" i="20"/>
  <c r="G209" i="20" s="1"/>
  <c r="B210" i="20"/>
  <c r="S206" i="20"/>
  <c r="M207" i="21"/>
  <c r="F253" i="21"/>
  <c r="C252" i="21"/>
  <c r="E209" i="21"/>
  <c r="G209" i="21" s="1"/>
  <c r="B210" i="21"/>
  <c r="I208" i="21"/>
  <c r="H208" i="21" s="1"/>
  <c r="N208" i="21" s="1"/>
  <c r="S206" i="21"/>
  <c r="O208" i="21" l="1"/>
  <c r="Q206" i="21"/>
  <c r="P208" i="21"/>
  <c r="E210" i="20"/>
  <c r="G210" i="20" s="1"/>
  <c r="B211" i="20"/>
  <c r="N208" i="20"/>
  <c r="P208" i="20" s="1"/>
  <c r="Q207" i="20" s="1"/>
  <c r="M208" i="20"/>
  <c r="I209" i="20"/>
  <c r="H209" i="20" s="1"/>
  <c r="O208" i="20"/>
  <c r="S207" i="20"/>
  <c r="M208" i="21"/>
  <c r="E210" i="21"/>
  <c r="G210" i="21" s="1"/>
  <c r="B211" i="21"/>
  <c r="F254" i="21"/>
  <c r="C253" i="21"/>
  <c r="I209" i="21"/>
  <c r="H209" i="21" s="1"/>
  <c r="N209" i="21" s="1"/>
  <c r="S207" i="21"/>
  <c r="P209" i="21" l="1"/>
  <c r="Q208" i="21" s="1"/>
  <c r="O209" i="21"/>
  <c r="Q207" i="21"/>
  <c r="O209" i="20"/>
  <c r="S208" i="20"/>
  <c r="N209" i="20"/>
  <c r="M209" i="20"/>
  <c r="E211" i="20"/>
  <c r="G211" i="20" s="1"/>
  <c r="B212" i="20"/>
  <c r="I210" i="20"/>
  <c r="H210" i="20" s="1"/>
  <c r="M209" i="21"/>
  <c r="F255" i="21"/>
  <c r="C254" i="21"/>
  <c r="E211" i="21"/>
  <c r="G211" i="21" s="1"/>
  <c r="B212" i="21"/>
  <c r="I210" i="21"/>
  <c r="H210" i="21" s="1"/>
  <c r="N210" i="21" s="1"/>
  <c r="S208" i="21"/>
  <c r="O210" i="21" l="1"/>
  <c r="P210" i="21"/>
  <c r="S209" i="20"/>
  <c r="N210" i="20"/>
  <c r="M210" i="20"/>
  <c r="E212" i="20"/>
  <c r="G212" i="20" s="1"/>
  <c r="B213" i="20"/>
  <c r="I211" i="20"/>
  <c r="H211" i="20" s="1"/>
  <c r="P209" i="20"/>
  <c r="M210" i="21"/>
  <c r="S209" i="21"/>
  <c r="E212" i="21"/>
  <c r="G212" i="21" s="1"/>
  <c r="B213" i="21"/>
  <c r="F256" i="21"/>
  <c r="C255" i="21"/>
  <c r="I211" i="21"/>
  <c r="H211" i="21" s="1"/>
  <c r="N211" i="21" s="1"/>
  <c r="O211" i="21" l="1"/>
  <c r="Q209" i="21"/>
  <c r="P211" i="21"/>
  <c r="N211" i="20"/>
  <c r="P211" i="20" s="1"/>
  <c r="M211" i="20"/>
  <c r="S210" i="20"/>
  <c r="O210" i="20"/>
  <c r="Q208" i="20"/>
  <c r="E213" i="20"/>
  <c r="G213" i="20" s="1"/>
  <c r="B214" i="20"/>
  <c r="P210" i="20"/>
  <c r="Q209" i="20" s="1"/>
  <c r="I212" i="20"/>
  <c r="H212" i="20" s="1"/>
  <c r="M211" i="21"/>
  <c r="E213" i="21"/>
  <c r="G213" i="21" s="1"/>
  <c r="B214" i="21"/>
  <c r="I212" i="21"/>
  <c r="H212" i="21" s="1"/>
  <c r="N212" i="21" s="1"/>
  <c r="S210" i="21"/>
  <c r="F257" i="21"/>
  <c r="C256" i="21"/>
  <c r="I213" i="21" l="1"/>
  <c r="H213" i="21" s="1"/>
  <c r="N213" i="21" s="1"/>
  <c r="O212" i="21"/>
  <c r="Q210" i="21"/>
  <c r="P212" i="21"/>
  <c r="N212" i="20"/>
  <c r="P212" i="20" s="1"/>
  <c r="M212" i="20"/>
  <c r="E214" i="20"/>
  <c r="G214" i="20" s="1"/>
  <c r="B215" i="20"/>
  <c r="I213" i="20"/>
  <c r="H213" i="20" s="1"/>
  <c r="Q210" i="20"/>
  <c r="O211" i="20"/>
  <c r="O212" i="20"/>
  <c r="S211" i="20"/>
  <c r="M213" i="21"/>
  <c r="M212" i="21"/>
  <c r="S211" i="21"/>
  <c r="F258" i="21"/>
  <c r="C257" i="21"/>
  <c r="E214" i="21"/>
  <c r="G214" i="21" s="1"/>
  <c r="B215" i="21"/>
  <c r="P213" i="21" l="1"/>
  <c r="Q212" i="21" s="1"/>
  <c r="O213" i="21"/>
  <c r="Q211" i="21"/>
  <c r="O214" i="21"/>
  <c r="O213" i="20"/>
  <c r="S212" i="20"/>
  <c r="E215" i="20"/>
  <c r="G215" i="20" s="1"/>
  <c r="B216" i="20"/>
  <c r="N213" i="20"/>
  <c r="M213" i="20"/>
  <c r="I214" i="20"/>
  <c r="H214" i="20" s="1"/>
  <c r="Q211" i="20"/>
  <c r="S212" i="21"/>
  <c r="B216" i="21"/>
  <c r="E215" i="21"/>
  <c r="G215" i="21" s="1"/>
  <c r="F259" i="21"/>
  <c r="C258" i="21"/>
  <c r="S213" i="21"/>
  <c r="I214" i="21"/>
  <c r="H214" i="21" s="1"/>
  <c r="N214" i="21" s="1"/>
  <c r="P214" i="21" l="1"/>
  <c r="S213" i="20"/>
  <c r="N214" i="20"/>
  <c r="P214" i="20" s="1"/>
  <c r="M214" i="20"/>
  <c r="P213" i="20"/>
  <c r="E216" i="20"/>
  <c r="G216" i="20" s="1"/>
  <c r="B217" i="20"/>
  <c r="I215" i="20"/>
  <c r="H215" i="20" s="1"/>
  <c r="M214" i="21"/>
  <c r="F260" i="21"/>
  <c r="C259" i="21"/>
  <c r="B217" i="21"/>
  <c r="E216" i="21"/>
  <c r="G216" i="21" s="1"/>
  <c r="I215" i="21"/>
  <c r="H215" i="21" s="1"/>
  <c r="N215" i="21" s="1"/>
  <c r="O215" i="21" l="1"/>
  <c r="Q213" i="21"/>
  <c r="P215" i="21"/>
  <c r="I216" i="20"/>
  <c r="H216" i="20" s="1"/>
  <c r="O215" i="20"/>
  <c r="S214" i="20"/>
  <c r="O214" i="20"/>
  <c r="Q213" i="20"/>
  <c r="Q212" i="20"/>
  <c r="N215" i="20"/>
  <c r="M215" i="20"/>
  <c r="E217" i="20"/>
  <c r="G217" i="20" s="1"/>
  <c r="B218" i="20"/>
  <c r="M215" i="21"/>
  <c r="F261" i="21"/>
  <c r="C260" i="21"/>
  <c r="E217" i="21"/>
  <c r="G217" i="21" s="1"/>
  <c r="B218" i="21"/>
  <c r="S214" i="21"/>
  <c r="I216" i="21"/>
  <c r="H216" i="21" s="1"/>
  <c r="N216" i="21" s="1"/>
  <c r="O216" i="21" l="1"/>
  <c r="Q214" i="21"/>
  <c r="P216" i="21"/>
  <c r="Q215" i="21" s="1"/>
  <c r="S215" i="20"/>
  <c r="P215" i="20"/>
  <c r="E218" i="20"/>
  <c r="G218" i="20" s="1"/>
  <c r="B219" i="20"/>
  <c r="I217" i="20"/>
  <c r="H217" i="20" s="1"/>
  <c r="N216" i="20"/>
  <c r="M216" i="20"/>
  <c r="M216" i="21"/>
  <c r="F262" i="21"/>
  <c r="C261" i="21"/>
  <c r="S215" i="21"/>
  <c r="B219" i="21"/>
  <c r="E218" i="21"/>
  <c r="G218" i="21" s="1"/>
  <c r="I217" i="21"/>
  <c r="H217" i="21" s="1"/>
  <c r="N217" i="21" s="1"/>
  <c r="P217" i="21" l="1"/>
  <c r="Q216" i="21" s="1"/>
  <c r="O217" i="21"/>
  <c r="I218" i="21"/>
  <c r="H218" i="21" s="1"/>
  <c r="N218" i="21" s="1"/>
  <c r="P218" i="21" s="1"/>
  <c r="N217" i="20"/>
  <c r="P217" i="20" s="1"/>
  <c r="M217" i="20"/>
  <c r="E219" i="20"/>
  <c r="G219" i="20" s="1"/>
  <c r="B220" i="20"/>
  <c r="I218" i="20"/>
  <c r="H218" i="20" s="1"/>
  <c r="S216" i="20"/>
  <c r="P216" i="20"/>
  <c r="Q215" i="20" s="1"/>
  <c r="O216" i="20"/>
  <c r="Q214" i="20"/>
  <c r="M217" i="21"/>
  <c r="S216" i="21"/>
  <c r="B220" i="21"/>
  <c r="E219" i="21"/>
  <c r="G219" i="21" s="1"/>
  <c r="F263" i="21"/>
  <c r="C262" i="21"/>
  <c r="O219" i="21" l="1"/>
  <c r="M218" i="21"/>
  <c r="Q217" i="21"/>
  <c r="O218" i="21"/>
  <c r="N218" i="20"/>
  <c r="P218" i="20" s="1"/>
  <c r="M218" i="20"/>
  <c r="E220" i="20"/>
  <c r="G220" i="20" s="1"/>
  <c r="B221" i="20"/>
  <c r="I219" i="20"/>
  <c r="H219" i="20" s="1"/>
  <c r="O218" i="20"/>
  <c r="S217" i="20"/>
  <c r="O217" i="20"/>
  <c r="Q216" i="20"/>
  <c r="I219" i="21"/>
  <c r="H219" i="21" s="1"/>
  <c r="N219" i="21" s="1"/>
  <c r="F264" i="21"/>
  <c r="C263" i="21"/>
  <c r="E220" i="21"/>
  <c r="G220" i="21" s="1"/>
  <c r="B221" i="21"/>
  <c r="S217" i="21"/>
  <c r="S218" i="21"/>
  <c r="P219" i="21" l="1"/>
  <c r="O219" i="20"/>
  <c r="S218" i="20"/>
  <c r="Q217" i="20"/>
  <c r="E221" i="20"/>
  <c r="G221" i="20" s="1"/>
  <c r="B222" i="20"/>
  <c r="N219" i="20"/>
  <c r="M219" i="20"/>
  <c r="I220" i="20"/>
  <c r="H220" i="20" s="1"/>
  <c r="M219" i="21"/>
  <c r="E221" i="21"/>
  <c r="G221" i="21" s="1"/>
  <c r="B222" i="21"/>
  <c r="I220" i="21"/>
  <c r="H220" i="21" s="1"/>
  <c r="N220" i="21" s="1"/>
  <c r="F265" i="21"/>
  <c r="C265" i="21" s="1"/>
  <c r="C264" i="21"/>
  <c r="O220" i="21" l="1"/>
  <c r="Q218" i="21"/>
  <c r="P220" i="21"/>
  <c r="S219" i="20"/>
  <c r="N220" i="20"/>
  <c r="P220" i="20" s="1"/>
  <c r="M220" i="20"/>
  <c r="E222" i="20"/>
  <c r="G222" i="20" s="1"/>
  <c r="B223" i="20"/>
  <c r="I221" i="20"/>
  <c r="H221" i="20" s="1"/>
  <c r="P219" i="20"/>
  <c r="M220" i="21"/>
  <c r="I221" i="21"/>
  <c r="H221" i="21" s="1"/>
  <c r="N221" i="21" s="1"/>
  <c r="S219" i="21"/>
  <c r="E222" i="21"/>
  <c r="G222" i="21" s="1"/>
  <c r="B223" i="21"/>
  <c r="O221" i="21" l="1"/>
  <c r="Q219" i="21"/>
  <c r="P221" i="21"/>
  <c r="O221" i="20"/>
  <c r="S220" i="20"/>
  <c r="E223" i="20"/>
  <c r="G223" i="20" s="1"/>
  <c r="B224" i="20"/>
  <c r="N221" i="20"/>
  <c r="P221" i="20" s="1"/>
  <c r="Q220" i="20" s="1"/>
  <c r="M221" i="20"/>
  <c r="I222" i="20"/>
  <c r="H222" i="20" s="1"/>
  <c r="O220" i="20"/>
  <c r="Q219" i="20"/>
  <c r="Q218" i="20"/>
  <c r="M221" i="21"/>
  <c r="I222" i="21"/>
  <c r="H222" i="21" s="1"/>
  <c r="N222" i="21" s="1"/>
  <c r="S220" i="21"/>
  <c r="E223" i="21"/>
  <c r="G223" i="21" s="1"/>
  <c r="B224" i="21"/>
  <c r="P222" i="21" l="1"/>
  <c r="Q221" i="21" s="1"/>
  <c r="O222" i="21"/>
  <c r="Q220" i="21"/>
  <c r="N222" i="20"/>
  <c r="P222" i="20" s="1"/>
  <c r="Q221" i="20" s="1"/>
  <c r="M222" i="20"/>
  <c r="E224" i="20"/>
  <c r="G224" i="20" s="1"/>
  <c r="B225" i="20"/>
  <c r="I223" i="20"/>
  <c r="H223" i="20" s="1"/>
  <c r="O222" i="20"/>
  <c r="S221" i="20"/>
  <c r="M222" i="21"/>
  <c r="S221" i="21"/>
  <c r="E224" i="21"/>
  <c r="G224" i="21" s="1"/>
  <c r="B225" i="21"/>
  <c r="I223" i="21"/>
  <c r="H223" i="21" s="1"/>
  <c r="N223" i="21" s="1"/>
  <c r="O223" i="21" l="1"/>
  <c r="P223" i="21"/>
  <c r="Q222" i="21" s="1"/>
  <c r="O223" i="20"/>
  <c r="S222" i="20"/>
  <c r="E225" i="20"/>
  <c r="G225" i="20" s="1"/>
  <c r="B226" i="20"/>
  <c r="N223" i="20"/>
  <c r="P223" i="20" s="1"/>
  <c r="M223" i="20"/>
  <c r="I224" i="20"/>
  <c r="H224" i="20" s="1"/>
  <c r="M223" i="21"/>
  <c r="S222" i="21"/>
  <c r="E225" i="21"/>
  <c r="G225" i="21" s="1"/>
  <c r="B226" i="21"/>
  <c r="I224" i="21"/>
  <c r="H224" i="21" s="1"/>
  <c r="N224" i="21" s="1"/>
  <c r="O224" i="21" l="1"/>
  <c r="P224" i="21"/>
  <c r="O225" i="21" s="1"/>
  <c r="I225" i="20"/>
  <c r="H225" i="20" s="1"/>
  <c r="O224" i="20"/>
  <c r="S223" i="20"/>
  <c r="N224" i="20"/>
  <c r="M224" i="20"/>
  <c r="E226" i="20"/>
  <c r="G226" i="20" s="1"/>
  <c r="B227" i="20"/>
  <c r="Q222" i="20"/>
  <c r="M224" i="21"/>
  <c r="S223" i="21"/>
  <c r="E226" i="21"/>
  <c r="G226" i="21" s="1"/>
  <c r="B227" i="21"/>
  <c r="I225" i="21"/>
  <c r="H225" i="21" s="1"/>
  <c r="N225" i="21" s="1"/>
  <c r="Q223" i="21" l="1"/>
  <c r="P225" i="21"/>
  <c r="E227" i="20"/>
  <c r="G227" i="20" s="1"/>
  <c r="B228" i="20"/>
  <c r="I226" i="20"/>
  <c r="H226" i="20" s="1"/>
  <c r="S224" i="20"/>
  <c r="P224" i="20"/>
  <c r="N225" i="20"/>
  <c r="M225" i="20"/>
  <c r="M225" i="21"/>
  <c r="E227" i="21"/>
  <c r="G227" i="21" s="1"/>
  <c r="B228" i="21"/>
  <c r="I226" i="21"/>
  <c r="H226" i="21" s="1"/>
  <c r="N226" i="21" s="1"/>
  <c r="S224" i="21"/>
  <c r="I227" i="21" l="1"/>
  <c r="H227" i="21" s="1"/>
  <c r="N227" i="21" s="1"/>
  <c r="O226" i="21"/>
  <c r="Q224" i="21"/>
  <c r="P226" i="21"/>
  <c r="I227" i="20"/>
  <c r="H227" i="20" s="1"/>
  <c r="N226" i="20"/>
  <c r="P226" i="20" s="1"/>
  <c r="M226" i="20"/>
  <c r="S225" i="20"/>
  <c r="P225" i="20"/>
  <c r="O225" i="20"/>
  <c r="Q223" i="20"/>
  <c r="E228" i="20"/>
  <c r="G228" i="20" s="1"/>
  <c r="B229" i="20"/>
  <c r="M226" i="21"/>
  <c r="E228" i="21"/>
  <c r="G228" i="21" s="1"/>
  <c r="B229" i="21"/>
  <c r="S225" i="21"/>
  <c r="M227" i="21" l="1"/>
  <c r="P227" i="21"/>
  <c r="Q226" i="21" s="1"/>
  <c r="O227" i="21"/>
  <c r="Q225" i="21"/>
  <c r="O228" i="21"/>
  <c r="E229" i="20"/>
  <c r="G229" i="20" s="1"/>
  <c r="B230" i="20"/>
  <c r="O227" i="20"/>
  <c r="Q224" i="20"/>
  <c r="Q225" i="20"/>
  <c r="O226" i="20"/>
  <c r="I228" i="20"/>
  <c r="H228" i="20" s="1"/>
  <c r="S226" i="20"/>
  <c r="N227" i="20"/>
  <c r="M227" i="20"/>
  <c r="S227" i="21"/>
  <c r="I228" i="21"/>
  <c r="H228" i="21" s="1"/>
  <c r="N228" i="21" s="1"/>
  <c r="S226" i="21"/>
  <c r="E229" i="21"/>
  <c r="G229" i="21" s="1"/>
  <c r="B230" i="21"/>
  <c r="P228" i="21" l="1"/>
  <c r="Q227" i="21" s="1"/>
  <c r="I229" i="21"/>
  <c r="H229" i="21" s="1"/>
  <c r="N229" i="21" s="1"/>
  <c r="O229" i="21"/>
  <c r="N228" i="20"/>
  <c r="P228" i="20" s="1"/>
  <c r="M228" i="20"/>
  <c r="I229" i="20"/>
  <c r="H229" i="20" s="1"/>
  <c r="S227" i="20"/>
  <c r="P227" i="20"/>
  <c r="E230" i="20"/>
  <c r="G230" i="20" s="1"/>
  <c r="B231" i="20"/>
  <c r="M228" i="21"/>
  <c r="E230" i="21"/>
  <c r="G230" i="21" s="1"/>
  <c r="B231" i="21"/>
  <c r="M229" i="21" l="1"/>
  <c r="P229" i="21"/>
  <c r="Q228" i="21" s="1"/>
  <c r="O230" i="21"/>
  <c r="Q227" i="20"/>
  <c r="O228" i="20"/>
  <c r="Q226" i="20"/>
  <c r="O229" i="20"/>
  <c r="S228" i="20"/>
  <c r="N229" i="20"/>
  <c r="M229" i="20"/>
  <c r="E231" i="20"/>
  <c r="G231" i="20" s="1"/>
  <c r="B232" i="20"/>
  <c r="P229" i="20"/>
  <c r="Q228" i="20" s="1"/>
  <c r="I230" i="20"/>
  <c r="H230" i="20" s="1"/>
  <c r="S228" i="21"/>
  <c r="S229" i="21"/>
  <c r="E231" i="21"/>
  <c r="G231" i="21" s="1"/>
  <c r="B232" i="21"/>
  <c r="I230" i="21"/>
  <c r="H230" i="21" s="1"/>
  <c r="N230" i="21" s="1"/>
  <c r="P230" i="21" l="1"/>
  <c r="N230" i="20"/>
  <c r="P230" i="20" s="1"/>
  <c r="Q229" i="20" s="1"/>
  <c r="M230" i="20"/>
  <c r="E232" i="20"/>
  <c r="G232" i="20" s="1"/>
  <c r="B233" i="20"/>
  <c r="I231" i="20"/>
  <c r="H231" i="20" s="1"/>
  <c r="O230" i="20"/>
  <c r="S229" i="20"/>
  <c r="M230" i="21"/>
  <c r="I231" i="21"/>
  <c r="H231" i="21" s="1"/>
  <c r="N231" i="21" s="1"/>
  <c r="E232" i="21"/>
  <c r="G232" i="21" s="1"/>
  <c r="B233" i="21"/>
  <c r="O231" i="21" l="1"/>
  <c r="Q229" i="21"/>
  <c r="P231" i="21"/>
  <c r="O231" i="20"/>
  <c r="S230" i="20"/>
  <c r="E233" i="20"/>
  <c r="G233" i="20" s="1"/>
  <c r="B234" i="20"/>
  <c r="N231" i="20"/>
  <c r="P231" i="20" s="1"/>
  <c r="M231" i="20"/>
  <c r="I232" i="20"/>
  <c r="H232" i="20" s="1"/>
  <c r="M231" i="21"/>
  <c r="I232" i="21"/>
  <c r="H232" i="21" s="1"/>
  <c r="N232" i="21" s="1"/>
  <c r="S230" i="21"/>
  <c r="E233" i="21"/>
  <c r="G233" i="21" s="1"/>
  <c r="B234" i="21"/>
  <c r="O232" i="21" l="1"/>
  <c r="Q230" i="21"/>
  <c r="P232" i="21"/>
  <c r="O232" i="20"/>
  <c r="S231" i="20"/>
  <c r="N232" i="20"/>
  <c r="P232" i="20" s="1"/>
  <c r="M232" i="20"/>
  <c r="E234" i="20"/>
  <c r="G234" i="20" s="1"/>
  <c r="B235" i="20"/>
  <c r="I233" i="20"/>
  <c r="H233" i="20" s="1"/>
  <c r="Q230" i="20"/>
  <c r="M232" i="21"/>
  <c r="E234" i="21"/>
  <c r="G234" i="21" s="1"/>
  <c r="B235" i="21"/>
  <c r="I233" i="21"/>
  <c r="H233" i="21" s="1"/>
  <c r="N233" i="21" s="1"/>
  <c r="S231" i="21"/>
  <c r="P233" i="21" l="1"/>
  <c r="O234" i="21" s="1"/>
  <c r="O233" i="21"/>
  <c r="Q231" i="21"/>
  <c r="O233" i="20"/>
  <c r="I234" i="20"/>
  <c r="H234" i="20" s="1"/>
  <c r="Q231" i="20"/>
  <c r="N233" i="20"/>
  <c r="P233" i="20" s="1"/>
  <c r="M233" i="20"/>
  <c r="S232" i="20"/>
  <c r="E235" i="20"/>
  <c r="G235" i="20" s="1"/>
  <c r="B236" i="20"/>
  <c r="M233" i="21"/>
  <c r="S232" i="21"/>
  <c r="E235" i="21"/>
  <c r="G235" i="21" s="1"/>
  <c r="B236" i="21"/>
  <c r="I234" i="21"/>
  <c r="H234" i="21" s="1"/>
  <c r="N234" i="21" s="1"/>
  <c r="Q232" i="21" l="1"/>
  <c r="P234" i="21"/>
  <c r="O235" i="21" s="1"/>
  <c r="O234" i="20"/>
  <c r="N234" i="20"/>
  <c r="P234" i="20" s="1"/>
  <c r="Q233" i="20" s="1"/>
  <c r="M234" i="20"/>
  <c r="E236" i="20"/>
  <c r="G236" i="20" s="1"/>
  <c r="B237" i="20"/>
  <c r="I235" i="20"/>
  <c r="H235" i="20" s="1"/>
  <c r="S233" i="20"/>
  <c r="Q232" i="20"/>
  <c r="M234" i="21"/>
  <c r="E236" i="21"/>
  <c r="G236" i="21" s="1"/>
  <c r="B237" i="21"/>
  <c r="I235" i="21"/>
  <c r="H235" i="21" s="1"/>
  <c r="N235" i="21" s="1"/>
  <c r="S233" i="21"/>
  <c r="Q233" i="21" l="1"/>
  <c r="P235" i="21"/>
  <c r="Q234" i="21" s="1"/>
  <c r="N235" i="20"/>
  <c r="P235" i="20" s="1"/>
  <c r="M235" i="20"/>
  <c r="I236" i="20"/>
  <c r="H236" i="20" s="1"/>
  <c r="O235" i="20"/>
  <c r="S234" i="20"/>
  <c r="E237" i="20"/>
  <c r="G237" i="20" s="1"/>
  <c r="B238" i="20"/>
  <c r="M235" i="21"/>
  <c r="S234" i="21"/>
  <c r="E237" i="21"/>
  <c r="G237" i="21" s="1"/>
  <c r="B238" i="21"/>
  <c r="I236" i="21"/>
  <c r="H236" i="21" s="1"/>
  <c r="N236" i="21" s="1"/>
  <c r="O236" i="21" l="1"/>
  <c r="P236" i="21"/>
  <c r="Q235" i="21" s="1"/>
  <c r="O237" i="21"/>
  <c r="O236" i="20"/>
  <c r="S235" i="20"/>
  <c r="E238" i="20"/>
  <c r="G238" i="20" s="1"/>
  <c r="B239" i="20"/>
  <c r="N236" i="20"/>
  <c r="P236" i="20" s="1"/>
  <c r="M236" i="20"/>
  <c r="I237" i="20"/>
  <c r="H237" i="20" s="1"/>
  <c r="Q234" i="20"/>
  <c r="M236" i="21"/>
  <c r="E238" i="21"/>
  <c r="G238" i="21" s="1"/>
  <c r="B239" i="21"/>
  <c r="I237" i="21"/>
  <c r="H237" i="21" s="1"/>
  <c r="N237" i="21" s="1"/>
  <c r="S235" i="21"/>
  <c r="I238" i="21" l="1"/>
  <c r="H238" i="21" s="1"/>
  <c r="N238" i="21" s="1"/>
  <c r="P237" i="21"/>
  <c r="N237" i="20"/>
  <c r="M237" i="20"/>
  <c r="O237" i="20"/>
  <c r="E239" i="20"/>
  <c r="G239" i="20" s="1"/>
  <c r="B240" i="20"/>
  <c r="S236" i="20"/>
  <c r="I238" i="20"/>
  <c r="H238" i="20" s="1"/>
  <c r="Q235" i="20"/>
  <c r="M237" i="21"/>
  <c r="S236" i="21"/>
  <c r="E239" i="21"/>
  <c r="G239" i="21" s="1"/>
  <c r="B240" i="21"/>
  <c r="M238" i="21" l="1"/>
  <c r="P238" i="21"/>
  <c r="Q237" i="21" s="1"/>
  <c r="O238" i="21"/>
  <c r="Q236" i="21"/>
  <c r="I239" i="21"/>
  <c r="H239" i="21" s="1"/>
  <c r="N239" i="21" s="1"/>
  <c r="P239" i="21" s="1"/>
  <c r="S237" i="20"/>
  <c r="N238" i="20"/>
  <c r="M238" i="20"/>
  <c r="E240" i="20"/>
  <c r="G240" i="20" s="1"/>
  <c r="B241" i="20"/>
  <c r="P237" i="20"/>
  <c r="P238" i="20"/>
  <c r="I239" i="20"/>
  <c r="H239" i="20" s="1"/>
  <c r="E240" i="21"/>
  <c r="G240" i="21" s="1"/>
  <c r="B241" i="21"/>
  <c r="S238" i="21"/>
  <c r="S237" i="21"/>
  <c r="O239" i="21" l="1"/>
  <c r="M239" i="21"/>
  <c r="O240" i="21"/>
  <c r="Q238" i="21"/>
  <c r="N239" i="20"/>
  <c r="P239" i="20" s="1"/>
  <c r="Q238" i="20" s="1"/>
  <c r="M239" i="20"/>
  <c r="E241" i="20"/>
  <c r="G241" i="20" s="1"/>
  <c r="B242" i="20"/>
  <c r="I240" i="20"/>
  <c r="H240" i="20" s="1"/>
  <c r="O239" i="20"/>
  <c r="O238" i="20"/>
  <c r="Q237" i="20"/>
  <c r="Q236" i="20"/>
  <c r="S238" i="20"/>
  <c r="E241" i="21"/>
  <c r="G241" i="21" s="1"/>
  <c r="B242" i="21"/>
  <c r="S239" i="21"/>
  <c r="I240" i="21"/>
  <c r="H240" i="21" s="1"/>
  <c r="N240" i="21" s="1"/>
  <c r="P240" i="21" l="1"/>
  <c r="Q239" i="21" s="1"/>
  <c r="O241" i="21"/>
  <c r="O240" i="20"/>
  <c r="S239" i="20"/>
  <c r="E242" i="20"/>
  <c r="G242" i="20" s="1"/>
  <c r="B243" i="20"/>
  <c r="N240" i="20"/>
  <c r="P240" i="20" s="1"/>
  <c r="M240" i="20"/>
  <c r="I241" i="20"/>
  <c r="H241" i="20" s="1"/>
  <c r="M240" i="21"/>
  <c r="E242" i="21"/>
  <c r="G242" i="21" s="1"/>
  <c r="B243" i="21"/>
  <c r="I241" i="21"/>
  <c r="H241" i="21" s="1"/>
  <c r="N241" i="21" s="1"/>
  <c r="P241" i="21" l="1"/>
  <c r="O241" i="20"/>
  <c r="Q239" i="20"/>
  <c r="S240" i="20"/>
  <c r="N241" i="20"/>
  <c r="M241" i="20"/>
  <c r="E243" i="20"/>
  <c r="G243" i="20" s="1"/>
  <c r="B244" i="20"/>
  <c r="I242" i="20"/>
  <c r="H242" i="20" s="1"/>
  <c r="M241" i="21"/>
  <c r="E243" i="21"/>
  <c r="G243" i="21" s="1"/>
  <c r="B244" i="21"/>
  <c r="I242" i="21"/>
  <c r="H242" i="21" s="1"/>
  <c r="N242" i="21" s="1"/>
  <c r="S240" i="21"/>
  <c r="O242" i="21" l="1"/>
  <c r="Q240" i="21"/>
  <c r="P242" i="21"/>
  <c r="N242" i="20"/>
  <c r="M242" i="20"/>
  <c r="S241" i="20"/>
  <c r="E244" i="20"/>
  <c r="G244" i="20" s="1"/>
  <c r="B245" i="20"/>
  <c r="P241" i="20"/>
  <c r="I243" i="20"/>
  <c r="H243" i="20" s="1"/>
  <c r="M242" i="21"/>
  <c r="E244" i="21"/>
  <c r="G244" i="21" s="1"/>
  <c r="B245" i="21"/>
  <c r="S241" i="21"/>
  <c r="I243" i="21"/>
  <c r="H243" i="21" s="1"/>
  <c r="N243" i="21" s="1"/>
  <c r="O243" i="21" l="1"/>
  <c r="Q241" i="21"/>
  <c r="P243" i="21"/>
  <c r="N243" i="20"/>
  <c r="M243" i="20"/>
  <c r="E245" i="20"/>
  <c r="G245" i="20" s="1"/>
  <c r="B246" i="20"/>
  <c r="S242" i="20"/>
  <c r="I244" i="20"/>
  <c r="H244" i="20" s="1"/>
  <c r="Q240" i="20"/>
  <c r="O242" i="20"/>
  <c r="P242" i="20"/>
  <c r="Q241" i="20" s="1"/>
  <c r="M243" i="21"/>
  <c r="E245" i="21"/>
  <c r="G245" i="21" s="1"/>
  <c r="B246" i="21"/>
  <c r="I244" i="21"/>
  <c r="H244" i="21" s="1"/>
  <c r="N244" i="21" s="1"/>
  <c r="S242" i="21"/>
  <c r="O244" i="21" l="1"/>
  <c r="Q242" i="21"/>
  <c r="P244" i="21"/>
  <c r="S243" i="20"/>
  <c r="P243" i="20"/>
  <c r="Q242" i="20" s="1"/>
  <c r="E246" i="20"/>
  <c r="G246" i="20" s="1"/>
  <c r="B247" i="20"/>
  <c r="I245" i="20"/>
  <c r="H245" i="20" s="1"/>
  <c r="O243" i="20"/>
  <c r="N244" i="20"/>
  <c r="M244" i="20"/>
  <c r="M244" i="21"/>
  <c r="S243" i="21"/>
  <c r="E246" i="21"/>
  <c r="G246" i="21" s="1"/>
  <c r="B247" i="21"/>
  <c r="I245" i="21"/>
  <c r="H245" i="21" s="1"/>
  <c r="N245" i="21" s="1"/>
  <c r="P245" i="21" l="1"/>
  <c r="O246" i="21"/>
  <c r="Q244" i="21"/>
  <c r="O245" i="21"/>
  <c r="Q243" i="21"/>
  <c r="I246" i="21"/>
  <c r="H246" i="21" s="1"/>
  <c r="N246" i="21" s="1"/>
  <c r="O244" i="20"/>
  <c r="S244" i="20"/>
  <c r="P244" i="20"/>
  <c r="Q243" i="20" s="1"/>
  <c r="N245" i="20"/>
  <c r="M245" i="20"/>
  <c r="E247" i="20"/>
  <c r="G247" i="20" s="1"/>
  <c r="B248" i="20"/>
  <c r="P245" i="20"/>
  <c r="I246" i="20"/>
  <c r="H246" i="20" s="1"/>
  <c r="M245" i="21"/>
  <c r="S244" i="21"/>
  <c r="B248" i="21"/>
  <c r="E247" i="21"/>
  <c r="G247" i="21" s="1"/>
  <c r="P246" i="21" l="1"/>
  <c r="O247" i="21" s="1"/>
  <c r="M246" i="21"/>
  <c r="N246" i="20"/>
  <c r="P246" i="20" s="1"/>
  <c r="M246" i="20"/>
  <c r="I247" i="20"/>
  <c r="H247" i="20" s="1"/>
  <c r="O246" i="20"/>
  <c r="S245" i="20"/>
  <c r="E248" i="20"/>
  <c r="G248" i="20" s="1"/>
  <c r="B249" i="20"/>
  <c r="Q244" i="20"/>
  <c r="O245" i="20"/>
  <c r="I247" i="21"/>
  <c r="H247" i="21" s="1"/>
  <c r="N247" i="21" s="1"/>
  <c r="S245" i="21"/>
  <c r="S246" i="21"/>
  <c r="E248" i="21"/>
  <c r="G248" i="21" s="1"/>
  <c r="B249" i="21"/>
  <c r="Q245" i="21" l="1"/>
  <c r="P247" i="21"/>
  <c r="O247" i="20"/>
  <c r="S246" i="20"/>
  <c r="N247" i="20"/>
  <c r="P247" i="20" s="1"/>
  <c r="M247" i="20"/>
  <c r="E249" i="20"/>
  <c r="G249" i="20" s="1"/>
  <c r="B250" i="20"/>
  <c r="Q245" i="20"/>
  <c r="I248" i="20"/>
  <c r="H248" i="20" s="1"/>
  <c r="M247" i="21"/>
  <c r="E249" i="21"/>
  <c r="G249" i="21" s="1"/>
  <c r="B250" i="21"/>
  <c r="I248" i="21"/>
  <c r="H248" i="21" s="1"/>
  <c r="N248" i="21" s="1"/>
  <c r="P248" i="21" l="1"/>
  <c r="Q247" i="21" s="1"/>
  <c r="O248" i="21"/>
  <c r="Q246" i="21"/>
  <c r="O248" i="20"/>
  <c r="S247" i="20"/>
  <c r="N248" i="20"/>
  <c r="P248" i="20" s="1"/>
  <c r="Q247" i="20" s="1"/>
  <c r="M248" i="20"/>
  <c r="E250" i="20"/>
  <c r="G250" i="20" s="1"/>
  <c r="B251" i="20"/>
  <c r="I249" i="20"/>
  <c r="H249" i="20" s="1"/>
  <c r="Q246" i="20"/>
  <c r="M248" i="21"/>
  <c r="E250" i="21"/>
  <c r="G250" i="21" s="1"/>
  <c r="B251" i="21"/>
  <c r="S247" i="21"/>
  <c r="I249" i="21"/>
  <c r="H249" i="21" s="1"/>
  <c r="N249" i="21" s="1"/>
  <c r="O249" i="21" l="1"/>
  <c r="P249" i="21"/>
  <c r="E251" i="20"/>
  <c r="G251" i="20" s="1"/>
  <c r="B252" i="20"/>
  <c r="O249" i="20"/>
  <c r="I250" i="20"/>
  <c r="H250" i="20" s="1"/>
  <c r="N249" i="20"/>
  <c r="M249" i="20"/>
  <c r="S248" i="20"/>
  <c r="M249" i="21"/>
  <c r="B252" i="21"/>
  <c r="E251" i="21"/>
  <c r="G251" i="21" s="1"/>
  <c r="S248" i="21"/>
  <c r="I250" i="21"/>
  <c r="H250" i="21" s="1"/>
  <c r="N250" i="21" s="1"/>
  <c r="P250" i="21" l="1"/>
  <c r="Q249" i="21" s="1"/>
  <c r="O251" i="21"/>
  <c r="O250" i="21"/>
  <c r="Q248" i="21"/>
  <c r="I251" i="20"/>
  <c r="H251" i="20" s="1"/>
  <c r="S249" i="20"/>
  <c r="P249" i="20"/>
  <c r="N250" i="20"/>
  <c r="M250" i="20"/>
  <c r="E252" i="20"/>
  <c r="G252" i="20" s="1"/>
  <c r="B253" i="20"/>
  <c r="M250" i="21"/>
  <c r="S249" i="21"/>
  <c r="I251" i="21"/>
  <c r="H251" i="21" s="1"/>
  <c r="N251" i="21" s="1"/>
  <c r="E252" i="21"/>
  <c r="G252" i="21" s="1"/>
  <c r="B253" i="21"/>
  <c r="P251" i="21" l="1"/>
  <c r="I252" i="20"/>
  <c r="H252" i="20" s="1"/>
  <c r="S250" i="20"/>
  <c r="P250" i="20"/>
  <c r="Q249" i="20" s="1"/>
  <c r="E253" i="20"/>
  <c r="G253" i="20" s="1"/>
  <c r="B254" i="20"/>
  <c r="O250" i="20"/>
  <c r="Q248" i="20"/>
  <c r="N251" i="20"/>
  <c r="M251" i="20"/>
  <c r="M251" i="21"/>
  <c r="E253" i="21"/>
  <c r="G253" i="21" s="1"/>
  <c r="B254" i="21"/>
  <c r="S250" i="21"/>
  <c r="I252" i="21"/>
  <c r="H252" i="21" s="1"/>
  <c r="N252" i="21" s="1"/>
  <c r="P252" i="21" l="1"/>
  <c r="O253" i="21" s="1"/>
  <c r="O252" i="21"/>
  <c r="Q250" i="21"/>
  <c r="S251" i="20"/>
  <c r="P251" i="20"/>
  <c r="E254" i="20"/>
  <c r="G254" i="20" s="1"/>
  <c r="B255" i="20"/>
  <c r="I253" i="20"/>
  <c r="H253" i="20" s="1"/>
  <c r="O251" i="20"/>
  <c r="N252" i="20"/>
  <c r="M252" i="20"/>
  <c r="M252" i="21"/>
  <c r="S251" i="21"/>
  <c r="E254" i="21"/>
  <c r="G254" i="21" s="1"/>
  <c r="B255" i="21"/>
  <c r="I253" i="21"/>
  <c r="H253" i="21" s="1"/>
  <c r="N253" i="21" s="1"/>
  <c r="Q251" i="21" l="1"/>
  <c r="I254" i="21"/>
  <c r="H254" i="21" s="1"/>
  <c r="N254" i="21" s="1"/>
  <c r="P254" i="21" s="1"/>
  <c r="P253" i="21"/>
  <c r="N253" i="20"/>
  <c r="P253" i="20" s="1"/>
  <c r="M253" i="20"/>
  <c r="E255" i="20"/>
  <c r="G255" i="20" s="1"/>
  <c r="B256" i="20"/>
  <c r="S252" i="20"/>
  <c r="P252" i="20"/>
  <c r="Q251" i="20" s="1"/>
  <c r="I254" i="20"/>
  <c r="H254" i="20" s="1"/>
  <c r="O252" i="20"/>
  <c r="Q250" i="20"/>
  <c r="M253" i="21"/>
  <c r="M254" i="21"/>
  <c r="S252" i="21"/>
  <c r="E255" i="21"/>
  <c r="G255" i="21" s="1"/>
  <c r="B256" i="21"/>
  <c r="Q253" i="21" l="1"/>
  <c r="O254" i="21"/>
  <c r="Q252" i="21"/>
  <c r="O255" i="21"/>
  <c r="O254" i="20"/>
  <c r="S253" i="20"/>
  <c r="E256" i="20"/>
  <c r="G256" i="20" s="1"/>
  <c r="B257" i="20"/>
  <c r="N254" i="20"/>
  <c r="P254" i="20" s="1"/>
  <c r="M254" i="20"/>
  <c r="Q252" i="20"/>
  <c r="O253" i="20"/>
  <c r="I255" i="20"/>
  <c r="H255" i="20" s="1"/>
  <c r="S254" i="21"/>
  <c r="E256" i="21"/>
  <c r="G256" i="21" s="1"/>
  <c r="B257" i="21"/>
  <c r="S253" i="21"/>
  <c r="I255" i="21"/>
  <c r="H255" i="21" s="1"/>
  <c r="N255" i="21" s="1"/>
  <c r="I256" i="21" l="1"/>
  <c r="H256" i="21" s="1"/>
  <c r="N256" i="21" s="1"/>
  <c r="P255" i="21"/>
  <c r="E257" i="20"/>
  <c r="G257" i="20" s="1"/>
  <c r="B258" i="20"/>
  <c r="O255" i="20"/>
  <c r="I256" i="20"/>
  <c r="H256" i="20" s="1"/>
  <c r="N255" i="20"/>
  <c r="P255" i="20" s="1"/>
  <c r="M255" i="20"/>
  <c r="S254" i="20"/>
  <c r="Q253" i="20"/>
  <c r="M255" i="21"/>
  <c r="M256" i="21"/>
  <c r="E257" i="21"/>
  <c r="G257" i="21" s="1"/>
  <c r="B258" i="21"/>
  <c r="P256" i="21" l="1"/>
  <c r="Q255" i="21" s="1"/>
  <c r="O256" i="21"/>
  <c r="Q254" i="21"/>
  <c r="O257" i="21"/>
  <c r="O256" i="20"/>
  <c r="I257" i="20"/>
  <c r="H257" i="20" s="1"/>
  <c r="Q254" i="20"/>
  <c r="S255" i="20"/>
  <c r="N256" i="20"/>
  <c r="M256" i="20"/>
  <c r="E258" i="20"/>
  <c r="G258" i="20" s="1"/>
  <c r="B259" i="20"/>
  <c r="I257" i="21"/>
  <c r="H257" i="21" s="1"/>
  <c r="N257" i="21" s="1"/>
  <c r="S255" i="21"/>
  <c r="S256" i="21"/>
  <c r="E258" i="21"/>
  <c r="G258" i="21" s="1"/>
  <c r="B259" i="21"/>
  <c r="P257" i="21" l="1"/>
  <c r="I258" i="20"/>
  <c r="H258" i="20" s="1"/>
  <c r="N257" i="20"/>
  <c r="P257" i="20" s="1"/>
  <c r="M257" i="20"/>
  <c r="S256" i="20"/>
  <c r="P256" i="20"/>
  <c r="E259" i="20"/>
  <c r="G259" i="20" s="1"/>
  <c r="B260" i="20"/>
  <c r="M257" i="21"/>
  <c r="E259" i="21"/>
  <c r="G259" i="21" s="1"/>
  <c r="B260" i="21"/>
  <c r="I258" i="21"/>
  <c r="H258" i="21" s="1"/>
  <c r="N258" i="21" s="1"/>
  <c r="O258" i="21" l="1"/>
  <c r="Q256" i="21"/>
  <c r="P258" i="21"/>
  <c r="Q256" i="20"/>
  <c r="O258" i="20"/>
  <c r="E260" i="20"/>
  <c r="G260" i="20" s="1"/>
  <c r="B261" i="20"/>
  <c r="O257" i="20"/>
  <c r="Q255" i="20"/>
  <c r="S257" i="20"/>
  <c r="I259" i="20"/>
  <c r="H259" i="20" s="1"/>
  <c r="N258" i="20"/>
  <c r="M258" i="20"/>
  <c r="M258" i="21"/>
  <c r="S257" i="21"/>
  <c r="E260" i="21"/>
  <c r="G260" i="21" s="1"/>
  <c r="B261" i="21"/>
  <c r="I259" i="21"/>
  <c r="H259" i="21" s="1"/>
  <c r="N259" i="21" s="1"/>
  <c r="O259" i="21" l="1"/>
  <c r="I260" i="21"/>
  <c r="H260" i="21" s="1"/>
  <c r="N260" i="21" s="1"/>
  <c r="P260" i="21" s="1"/>
  <c r="Q257" i="21"/>
  <c r="P259" i="21"/>
  <c r="S258" i="20"/>
  <c r="P258" i="20"/>
  <c r="E261" i="20"/>
  <c r="G261" i="20" s="1"/>
  <c r="B262" i="20"/>
  <c r="I260" i="20"/>
  <c r="H260" i="20" s="1"/>
  <c r="N259" i="20"/>
  <c r="S259" i="20" s="1"/>
  <c r="M259" i="20"/>
  <c r="M259" i="21"/>
  <c r="E261" i="21"/>
  <c r="G261" i="21" s="1"/>
  <c r="B262" i="21"/>
  <c r="S258" i="21"/>
  <c r="Q259" i="21" l="1"/>
  <c r="O260" i="21"/>
  <c r="O261" i="21"/>
  <c r="Q258" i="21"/>
  <c r="I261" i="21"/>
  <c r="H261" i="21" s="1"/>
  <c r="N261" i="21" s="1"/>
  <c r="M260" i="21"/>
  <c r="P259" i="20"/>
  <c r="O260" i="20" s="1"/>
  <c r="O259" i="20"/>
  <c r="Q257" i="20"/>
  <c r="E262" i="20"/>
  <c r="G262" i="20" s="1"/>
  <c r="B263" i="20"/>
  <c r="N260" i="20"/>
  <c r="M260" i="20"/>
  <c r="I261" i="20"/>
  <c r="H261" i="20" s="1"/>
  <c r="S259" i="21"/>
  <c r="S260" i="21"/>
  <c r="E262" i="21"/>
  <c r="G262" i="21" s="1"/>
  <c r="B263" i="21"/>
  <c r="P261" i="21" l="1"/>
  <c r="O262" i="21" s="1"/>
  <c r="I262" i="21"/>
  <c r="H262" i="21" s="1"/>
  <c r="N262" i="21" s="1"/>
  <c r="M261" i="21"/>
  <c r="Q258" i="20"/>
  <c r="S260" i="20"/>
  <c r="P260" i="20"/>
  <c r="N261" i="20"/>
  <c r="S261" i="20" s="1"/>
  <c r="M261" i="20"/>
  <c r="E263" i="20"/>
  <c r="G263" i="20" s="1"/>
  <c r="B264" i="20"/>
  <c r="I262" i="20"/>
  <c r="H262" i="20" s="1"/>
  <c r="S261" i="21"/>
  <c r="E263" i="21"/>
  <c r="G263" i="21" s="1"/>
  <c r="B264" i="21"/>
  <c r="Q260" i="21" l="1"/>
  <c r="M262" i="21"/>
  <c r="P262" i="21"/>
  <c r="O263" i="21" s="1"/>
  <c r="Q261" i="21"/>
  <c r="P261" i="20"/>
  <c r="O262" i="20" s="1"/>
  <c r="N262" i="20"/>
  <c r="S262" i="20" s="1"/>
  <c r="M262" i="20"/>
  <c r="E264" i="20"/>
  <c r="G264" i="20" s="1"/>
  <c r="B265" i="20"/>
  <c r="E265" i="20" s="1"/>
  <c r="G265" i="20" s="1"/>
  <c r="I263" i="20"/>
  <c r="H263" i="20" s="1"/>
  <c r="O261" i="20"/>
  <c r="Q259" i="20"/>
  <c r="E264" i="21"/>
  <c r="G264" i="21" s="1"/>
  <c r="B265" i="21"/>
  <c r="E265" i="21" s="1"/>
  <c r="G265" i="21" s="1"/>
  <c r="I263" i="21"/>
  <c r="H263" i="21" s="1"/>
  <c r="N263" i="21" s="1"/>
  <c r="S262" i="21"/>
  <c r="P263" i="21" l="1"/>
  <c r="O264" i="21" s="1"/>
  <c r="Q262" i="21"/>
  <c r="Q260" i="20"/>
  <c r="P262" i="20"/>
  <c r="O263" i="20" s="1"/>
  <c r="N263" i="20"/>
  <c r="S263" i="20" s="1"/>
  <c r="M263" i="20"/>
  <c r="I265" i="20"/>
  <c r="H265" i="20" s="1"/>
  <c r="I264" i="20"/>
  <c r="H264" i="20" s="1"/>
  <c r="M263" i="21"/>
  <c r="S263" i="21"/>
  <c r="I265" i="21"/>
  <c r="H265" i="21" s="1"/>
  <c r="N265" i="21" s="1"/>
  <c r="I264" i="21"/>
  <c r="H264" i="21" s="1"/>
  <c r="N264" i="21" s="1"/>
  <c r="P264" i="21" l="1"/>
  <c r="P265" i="21"/>
  <c r="Q261" i="20"/>
  <c r="P263" i="20"/>
  <c r="Q262" i="20" s="1"/>
  <c r="O264" i="20"/>
  <c r="N265" i="20"/>
  <c r="M265" i="20"/>
  <c r="N264" i="20"/>
  <c r="M264" i="20"/>
  <c r="M264" i="21"/>
  <c r="S264" i="21"/>
  <c r="M265" i="21"/>
  <c r="Q265" i="21" l="1"/>
  <c r="O266" i="21"/>
  <c r="Q264" i="21"/>
  <c r="O265" i="21"/>
  <c r="Q263" i="21"/>
  <c r="S264" i="20"/>
  <c r="P264" i="20"/>
  <c r="S265" i="20"/>
  <c r="P265" i="20"/>
  <c r="S265" i="21"/>
  <c r="Q265" i="20" l="1"/>
  <c r="O266" i="20"/>
  <c r="O265" i="20"/>
  <c r="Q264" i="20"/>
  <c r="Q263" i="20"/>
  <c r="C12" i="1"/>
  <c r="C114" i="1"/>
  <c r="C104" i="1"/>
  <c r="C96" i="1"/>
  <c r="C117" i="1"/>
  <c r="C90" i="1"/>
  <c r="C105" i="1"/>
  <c r="C92" i="1"/>
  <c r="C98" i="1"/>
  <c r="C107" i="1"/>
  <c r="C102" i="1"/>
  <c r="C111" i="1"/>
  <c r="C99" i="1"/>
  <c r="C93" i="1"/>
  <c r="C101" i="1"/>
  <c r="C110" i="1"/>
  <c r="C116" i="1"/>
  <c r="C89" i="1"/>
  <c r="C108" i="1"/>
  <c r="C113" i="1"/>
  <c r="C95" i="1"/>
  <c r="D13" i="1"/>
  <c r="E13" i="1" s="1"/>
  <c r="D111" i="1" l="1"/>
  <c r="E101" i="1"/>
  <c r="E104" i="1"/>
  <c r="E96" i="1"/>
  <c r="E116" i="1"/>
  <c r="E92" i="1"/>
  <c r="E89" i="1"/>
  <c r="E107" i="1"/>
  <c r="E12" i="1"/>
  <c r="E93" i="1"/>
  <c r="E117" i="1"/>
  <c r="E111" i="1"/>
  <c r="E98" i="1"/>
  <c r="E95" i="1"/>
  <c r="E114" i="1"/>
  <c r="E90" i="1"/>
  <c r="E108" i="1"/>
  <c r="E113" i="1"/>
  <c r="E102" i="1"/>
  <c r="E110" i="1"/>
  <c r="E105" i="1"/>
  <c r="F13" i="1"/>
  <c r="E99" i="1"/>
  <c r="D95" i="1"/>
  <c r="D92" i="1"/>
  <c r="D93" i="1"/>
  <c r="D104" i="1"/>
  <c r="D89" i="1"/>
  <c r="D114" i="1"/>
  <c r="D116" i="1"/>
  <c r="D108" i="1"/>
  <c r="D99" i="1"/>
  <c r="D102" i="1"/>
  <c r="D98" i="1"/>
  <c r="D110" i="1"/>
  <c r="D117" i="1"/>
  <c r="D113" i="1"/>
  <c r="D12" i="1"/>
  <c r="D96" i="1"/>
  <c r="D107" i="1"/>
  <c r="D90" i="1"/>
  <c r="D101" i="1"/>
  <c r="D105" i="1"/>
  <c r="F104" i="1" l="1"/>
  <c r="F90" i="1"/>
  <c r="F110" i="1"/>
  <c r="F102" i="1"/>
  <c r="F89" i="1"/>
  <c r="F96" i="1"/>
  <c r="F98" i="1"/>
  <c r="F12" i="1"/>
  <c r="F111" i="1"/>
  <c r="F117" i="1"/>
  <c r="F113" i="1"/>
  <c r="F108" i="1"/>
  <c r="F95" i="1"/>
  <c r="F99" i="1"/>
  <c r="F92" i="1"/>
  <c r="F114" i="1"/>
  <c r="F101" i="1"/>
  <c r="F93" i="1"/>
  <c r="F105" i="1"/>
  <c r="G13" i="1"/>
  <c r="F107" i="1"/>
  <c r="F116" i="1"/>
  <c r="G102" i="1" l="1"/>
  <c r="G89" i="1"/>
  <c r="G101" i="1"/>
  <c r="G113" i="1"/>
  <c r="G107" i="1"/>
  <c r="G95" i="1"/>
  <c r="G114" i="1"/>
  <c r="G93" i="1"/>
  <c r="G96" i="1"/>
  <c r="G117" i="1"/>
  <c r="G12" i="1"/>
  <c r="G98" i="1"/>
  <c r="G116" i="1"/>
  <c r="G92" i="1"/>
  <c r="G105" i="1"/>
  <c r="G110" i="1"/>
  <c r="G99" i="1"/>
  <c r="G111" i="1"/>
  <c r="G108" i="1"/>
  <c r="G90" i="1"/>
  <c r="H13" i="1"/>
  <c r="G104" i="1"/>
  <c r="H111" i="1" l="1"/>
  <c r="H99" i="1"/>
  <c r="H105" i="1"/>
  <c r="H98" i="1"/>
  <c r="H114" i="1"/>
  <c r="H116" i="1"/>
  <c r="H12" i="1"/>
  <c r="H104" i="1"/>
  <c r="H93" i="1"/>
  <c r="H92" i="1"/>
  <c r="H117" i="1"/>
  <c r="H90" i="1"/>
  <c r="H95" i="1"/>
  <c r="H107" i="1"/>
  <c r="H101" i="1"/>
  <c r="H89" i="1"/>
  <c r="H113" i="1"/>
  <c r="H102" i="1"/>
  <c r="H110" i="1"/>
  <c r="H108" i="1"/>
  <c r="H96" i="1"/>
  <c r="I13" i="1"/>
  <c r="I116" i="1" l="1"/>
  <c r="I101" i="1"/>
  <c r="I102" i="1"/>
  <c r="I104" i="1"/>
  <c r="I113" i="1"/>
  <c r="I96" i="1"/>
  <c r="I105" i="1"/>
  <c r="I12" i="1"/>
  <c r="I93" i="1"/>
  <c r="I110" i="1"/>
  <c r="I114" i="1"/>
  <c r="I89" i="1"/>
  <c r="I90" i="1"/>
  <c r="I117" i="1"/>
  <c r="I95" i="1"/>
  <c r="I111" i="1"/>
  <c r="I98" i="1"/>
  <c r="I92" i="1"/>
  <c r="I99" i="1"/>
  <c r="J13" i="1"/>
  <c r="I108" i="1"/>
  <c r="I107" i="1"/>
  <c r="J102" i="1" l="1"/>
  <c r="J99" i="1"/>
  <c r="J111" i="1"/>
  <c r="J117" i="1"/>
  <c r="J107" i="1"/>
  <c r="J113" i="1"/>
  <c r="J101" i="1"/>
  <c r="J116" i="1"/>
  <c r="J90" i="1"/>
  <c r="J12" i="1"/>
  <c r="J110" i="1"/>
  <c r="J105" i="1"/>
  <c r="J89" i="1"/>
  <c r="J92" i="1"/>
  <c r="J95" i="1"/>
  <c r="J96" i="1"/>
  <c r="J93" i="1"/>
  <c r="J104" i="1"/>
  <c r="J98" i="1"/>
  <c r="J114" i="1"/>
  <c r="J108" i="1"/>
  <c r="K13" i="1"/>
  <c r="K12" i="1" l="1"/>
  <c r="K104" i="1"/>
  <c r="K96" i="1"/>
  <c r="K89" i="1"/>
  <c r="K99" i="1"/>
  <c r="K92" i="1"/>
  <c r="K108" i="1"/>
  <c r="K111" i="1"/>
  <c r="K90" i="1"/>
  <c r="K93" i="1"/>
  <c r="K117" i="1"/>
  <c r="K105" i="1"/>
  <c r="K101" i="1"/>
  <c r="K116" i="1"/>
  <c r="K107" i="1"/>
  <c r="K113" i="1"/>
  <c r="K95" i="1"/>
  <c r="K114" i="1"/>
  <c r="K102" i="1"/>
  <c r="K110" i="1"/>
  <c r="L13" i="1"/>
  <c r="K98" i="1"/>
  <c r="L96" i="1" l="1"/>
  <c r="L98" i="1"/>
  <c r="L110" i="1"/>
  <c r="L102" i="1"/>
  <c r="L92" i="1"/>
  <c r="L105" i="1"/>
  <c r="L101" i="1"/>
  <c r="L89" i="1"/>
  <c r="L114" i="1"/>
  <c r="L108" i="1"/>
  <c r="L113" i="1"/>
  <c r="L12" i="1"/>
  <c r="L99" i="1"/>
  <c r="L104" i="1"/>
  <c r="L116" i="1"/>
  <c r="L90" i="1"/>
  <c r="L117" i="1"/>
  <c r="L107" i="1"/>
  <c r="L111" i="1"/>
  <c r="L93" i="1"/>
  <c r="L95" i="1"/>
  <c r="M13" i="1"/>
  <c r="M111" i="1" l="1"/>
  <c r="M12" i="1"/>
  <c r="M107" i="1"/>
  <c r="M114" i="1"/>
  <c r="M98" i="1"/>
  <c r="M90" i="1"/>
  <c r="M105" i="1"/>
  <c r="M104" i="1"/>
  <c r="M93" i="1"/>
  <c r="M113" i="1"/>
  <c r="M92" i="1"/>
  <c r="M110" i="1"/>
  <c r="M89" i="1"/>
  <c r="M102" i="1"/>
  <c r="M116" i="1"/>
  <c r="M95" i="1"/>
  <c r="M117" i="1"/>
  <c r="M99" i="1"/>
  <c r="M96" i="1"/>
  <c r="M108" i="1"/>
  <c r="N13" i="1"/>
  <c r="C13" i="249" s="1"/>
  <c r="D13" i="249" s="1"/>
  <c r="E13" i="249" s="1"/>
  <c r="F13" i="249" s="1"/>
  <c r="G13" i="249" s="1"/>
  <c r="H13" i="249" s="1"/>
  <c r="I13" i="249" s="1"/>
  <c r="J13" i="249" s="1"/>
  <c r="K13" i="249" s="1"/>
  <c r="L13" i="249" s="1"/>
  <c r="M13" i="249" s="1"/>
  <c r="N13" i="249" s="1"/>
  <c r="M101" i="1"/>
  <c r="J13" i="3" l="1"/>
  <c r="C13" i="252"/>
  <c r="D13" i="252" s="1"/>
  <c r="E13" i="252" s="1"/>
  <c r="F13" i="252" s="1"/>
  <c r="G13" i="252" s="1"/>
  <c r="H13" i="252" s="1"/>
  <c r="I13" i="252" s="1"/>
  <c r="J13" i="252" s="1"/>
  <c r="K13" i="252" s="1"/>
  <c r="L13" i="252" s="1"/>
  <c r="M13" i="252" s="1"/>
  <c r="N13" i="252" s="1"/>
  <c r="N117" i="1"/>
  <c r="O117" i="1" s="1"/>
  <c r="N105" i="1"/>
  <c r="O105" i="1" s="1"/>
  <c r="N110" i="1"/>
  <c r="O110" i="1" s="1"/>
  <c r="N104" i="1"/>
  <c r="O104" i="1" s="1"/>
  <c r="N102" i="1"/>
  <c r="O102" i="1" s="1"/>
  <c r="N111" i="1"/>
  <c r="O111" i="1" s="1"/>
  <c r="N108" i="1"/>
  <c r="O108" i="1" s="1"/>
  <c r="N98" i="1"/>
  <c r="O98" i="1" s="1"/>
  <c r="F15" i="221"/>
  <c r="N114" i="1"/>
  <c r="O114" i="1" s="1"/>
  <c r="N96" i="1"/>
  <c r="O96" i="1" s="1"/>
  <c r="N101" i="1"/>
  <c r="O101" i="1" s="1"/>
  <c r="F16" i="8"/>
  <c r="N95" i="1"/>
  <c r="O95" i="1" s="1"/>
  <c r="N107" i="1"/>
  <c r="O107" i="1" s="1"/>
  <c r="O109" i="1" s="1"/>
  <c r="N12" i="1"/>
  <c r="J14" i="32"/>
  <c r="J64" i="32"/>
  <c r="N90" i="1"/>
  <c r="O90" i="1" s="1"/>
  <c r="N116" i="1"/>
  <c r="O116" i="1" s="1"/>
  <c r="N92" i="1"/>
  <c r="O92" i="1" s="1"/>
  <c r="N99" i="1"/>
  <c r="O99" i="1" s="1"/>
  <c r="H13" i="3"/>
  <c r="N89" i="1"/>
  <c r="O89" i="1" s="1"/>
  <c r="H16" i="8"/>
  <c r="J16" i="8" s="1"/>
  <c r="L16" i="8" s="1"/>
  <c r="N113" i="1"/>
  <c r="O113" i="1" s="1"/>
  <c r="O115" i="1" s="1"/>
  <c r="N93" i="1"/>
  <c r="O93" i="1" s="1"/>
  <c r="O94" i="1" l="1"/>
  <c r="O91" i="1"/>
  <c r="O97" i="1"/>
  <c r="O103" i="1"/>
  <c r="O106" i="1"/>
  <c r="O118" i="1"/>
  <c r="O100" i="1"/>
  <c r="O112" i="1"/>
  <c r="L13" i="3"/>
  <c r="C13" i="253"/>
  <c r="J54" i="3"/>
  <c r="J57" i="3"/>
  <c r="J58" i="3"/>
  <c r="J59" i="3"/>
  <c r="J48" i="3"/>
  <c r="J47" i="3"/>
  <c r="J55" i="3"/>
  <c r="J56" i="3"/>
  <c r="J53" i="3"/>
  <c r="J60" i="3"/>
  <c r="H47" i="3"/>
  <c r="H60" i="3"/>
  <c r="H48" i="3"/>
  <c r="H59" i="3"/>
  <c r="H57" i="3"/>
  <c r="H56" i="3"/>
  <c r="H55" i="3"/>
  <c r="H54" i="3"/>
  <c r="H58" i="3"/>
  <c r="H53" i="3"/>
  <c r="F49" i="3"/>
  <c r="C110" i="249"/>
  <c r="C99" i="249"/>
  <c r="C114" i="249"/>
  <c r="C89" i="249"/>
  <c r="C101" i="249"/>
  <c r="C108" i="249"/>
  <c r="C105" i="249"/>
  <c r="C107" i="249"/>
  <c r="C12" i="249"/>
  <c r="C95" i="249"/>
  <c r="C90" i="249"/>
  <c r="C92" i="249"/>
  <c r="C116" i="249"/>
  <c r="C113" i="249"/>
  <c r="C111" i="249"/>
  <c r="C102" i="249"/>
  <c r="C98" i="249"/>
  <c r="C96" i="249"/>
  <c r="C93" i="249"/>
  <c r="C117" i="249"/>
  <c r="C104" i="249"/>
  <c r="D13" i="253" l="1"/>
  <c r="C107" i="253"/>
  <c r="C108" i="253"/>
  <c r="L57" i="3"/>
  <c r="L48" i="3"/>
  <c r="L54" i="3"/>
  <c r="L58" i="3"/>
  <c r="L55" i="3"/>
  <c r="L60" i="3"/>
  <c r="L59" i="3"/>
  <c r="L56" i="3"/>
  <c r="L47" i="3"/>
  <c r="L53" i="3"/>
  <c r="J64" i="3"/>
  <c r="D90" i="249"/>
  <c r="D99" i="249"/>
  <c r="D98" i="249"/>
  <c r="D107" i="249"/>
  <c r="D105" i="249"/>
  <c r="D114" i="249"/>
  <c r="D96" i="249"/>
  <c r="D95" i="249"/>
  <c r="D104" i="249"/>
  <c r="D12" i="249"/>
  <c r="D89" i="249"/>
  <c r="D108" i="249"/>
  <c r="D116" i="249"/>
  <c r="D102" i="249"/>
  <c r="D117" i="249"/>
  <c r="D101" i="249"/>
  <c r="D110" i="249"/>
  <c r="D93" i="249"/>
  <c r="D111" i="249"/>
  <c r="D113" i="249"/>
  <c r="D92" i="249"/>
  <c r="F62" i="3"/>
  <c r="F64" i="3" s="1"/>
  <c r="H64" i="3"/>
  <c r="E13" i="253" l="1"/>
  <c r="D107" i="253"/>
  <c r="D108" i="253"/>
  <c r="E110" i="249"/>
  <c r="E111" i="249"/>
  <c r="E89" i="249"/>
  <c r="E104" i="249"/>
  <c r="E96" i="249"/>
  <c r="E107" i="249"/>
  <c r="E95" i="249"/>
  <c r="E105" i="249"/>
  <c r="E117" i="249"/>
  <c r="E93" i="249"/>
  <c r="E113" i="249"/>
  <c r="E12" i="249"/>
  <c r="E102" i="249"/>
  <c r="E101" i="249"/>
  <c r="E108" i="249"/>
  <c r="E116" i="249"/>
  <c r="E90" i="249"/>
  <c r="E98" i="249"/>
  <c r="E99" i="249"/>
  <c r="E92" i="249"/>
  <c r="E114" i="249"/>
  <c r="L64" i="3"/>
  <c r="F13" i="253" l="1"/>
  <c r="E107" i="253"/>
  <c r="E108" i="253"/>
  <c r="F116" i="249"/>
  <c r="F90" i="249"/>
  <c r="F99" i="249"/>
  <c r="F108" i="249"/>
  <c r="F110" i="249"/>
  <c r="F12" i="249"/>
  <c r="F95" i="249"/>
  <c r="F96" i="249"/>
  <c r="F105" i="249"/>
  <c r="F92" i="249"/>
  <c r="F98" i="249"/>
  <c r="F101" i="249"/>
  <c r="F89" i="249"/>
  <c r="F117" i="249"/>
  <c r="F107" i="249"/>
  <c r="F114" i="249"/>
  <c r="F93" i="249"/>
  <c r="F102" i="249"/>
  <c r="F113" i="249"/>
  <c r="F104" i="249"/>
  <c r="F111" i="249"/>
  <c r="G13" i="253" l="1"/>
  <c r="F107" i="253"/>
  <c r="F108" i="253"/>
  <c r="G12" i="249"/>
  <c r="G95" i="249"/>
  <c r="G102" i="249"/>
  <c r="G105" i="249"/>
  <c r="G113" i="249"/>
  <c r="G111" i="249"/>
  <c r="G117" i="249"/>
  <c r="G114" i="249"/>
  <c r="G104" i="249"/>
  <c r="G108" i="249"/>
  <c r="G96" i="249"/>
  <c r="G99" i="249"/>
  <c r="G116" i="249"/>
  <c r="G101" i="249"/>
  <c r="G110" i="249"/>
  <c r="G92" i="249"/>
  <c r="G98" i="249"/>
  <c r="G93" i="249"/>
  <c r="G90" i="249"/>
  <c r="G107" i="249"/>
  <c r="G89" i="249"/>
  <c r="H13" i="253" l="1"/>
  <c r="G107" i="253"/>
  <c r="G108" i="253"/>
  <c r="H116" i="249"/>
  <c r="H102" i="249"/>
  <c r="H114" i="249"/>
  <c r="H117" i="249"/>
  <c r="H107" i="249"/>
  <c r="H101" i="249"/>
  <c r="H98" i="249"/>
  <c r="H96" i="249"/>
  <c r="H93" i="249"/>
  <c r="H104" i="249"/>
  <c r="H12" i="249"/>
  <c r="H89" i="249"/>
  <c r="H95" i="249"/>
  <c r="H99" i="249"/>
  <c r="H110" i="249"/>
  <c r="H113" i="249"/>
  <c r="H105" i="249"/>
  <c r="H108" i="249"/>
  <c r="H90" i="249"/>
  <c r="H92" i="249"/>
  <c r="H111" i="249"/>
  <c r="I13" i="253" l="1"/>
  <c r="H107" i="253"/>
  <c r="H108" i="253"/>
  <c r="I93" i="249"/>
  <c r="I102" i="249"/>
  <c r="I89" i="249"/>
  <c r="I113" i="249"/>
  <c r="I101" i="249"/>
  <c r="I114" i="249"/>
  <c r="I105" i="249"/>
  <c r="I116" i="249"/>
  <c r="I96" i="249"/>
  <c r="I95" i="249"/>
  <c r="I117" i="249"/>
  <c r="I92" i="249"/>
  <c r="I104" i="249"/>
  <c r="I90" i="249"/>
  <c r="I107" i="249"/>
  <c r="I12" i="249"/>
  <c r="I99" i="249"/>
  <c r="I108" i="249"/>
  <c r="I111" i="249"/>
  <c r="I110" i="249"/>
  <c r="I98" i="249"/>
  <c r="J13" i="253" l="1"/>
  <c r="I107" i="253"/>
  <c r="I108" i="253"/>
  <c r="J90" i="249"/>
  <c r="J92" i="249"/>
  <c r="J116" i="249"/>
  <c r="J107" i="249"/>
  <c r="J95" i="249"/>
  <c r="J99" i="249"/>
  <c r="J114" i="249"/>
  <c r="J117" i="249"/>
  <c r="J96" i="249"/>
  <c r="J105" i="249"/>
  <c r="J110" i="249"/>
  <c r="J102" i="249"/>
  <c r="J93" i="249"/>
  <c r="J111" i="249"/>
  <c r="J113" i="249"/>
  <c r="J104" i="249"/>
  <c r="J98" i="249"/>
  <c r="J108" i="249"/>
  <c r="J12" i="249"/>
  <c r="J101" i="249"/>
  <c r="J89" i="249"/>
  <c r="K13" i="253" l="1"/>
  <c r="J107" i="253"/>
  <c r="J108" i="253"/>
  <c r="K90" i="249"/>
  <c r="K110" i="249"/>
  <c r="K117" i="249"/>
  <c r="K92" i="249"/>
  <c r="K113" i="249"/>
  <c r="K105" i="249"/>
  <c r="K108" i="249"/>
  <c r="K99" i="249"/>
  <c r="K111" i="249"/>
  <c r="K116" i="249"/>
  <c r="K101" i="249"/>
  <c r="K96" i="249"/>
  <c r="K89" i="249"/>
  <c r="K12" i="249"/>
  <c r="K102" i="249"/>
  <c r="K114" i="249"/>
  <c r="K95" i="249"/>
  <c r="K98" i="249"/>
  <c r="K104" i="249"/>
  <c r="K93" i="249"/>
  <c r="K107" i="249"/>
  <c r="L13" i="253" l="1"/>
  <c r="K107" i="253"/>
  <c r="K108" i="253"/>
  <c r="L12" i="249"/>
  <c r="L116" i="249"/>
  <c r="L107" i="249"/>
  <c r="L96" i="249"/>
  <c r="L90" i="249"/>
  <c r="L113" i="249"/>
  <c r="L104" i="249"/>
  <c r="L101" i="249"/>
  <c r="L92" i="249"/>
  <c r="L93" i="249"/>
  <c r="L99" i="249"/>
  <c r="L114" i="249"/>
  <c r="L98" i="249"/>
  <c r="L105" i="249"/>
  <c r="L110" i="249"/>
  <c r="L117" i="249"/>
  <c r="L102" i="249"/>
  <c r="L89" i="249"/>
  <c r="L111" i="249"/>
  <c r="L95" i="249"/>
  <c r="L108" i="249"/>
  <c r="M13" i="253" l="1"/>
  <c r="L107" i="253"/>
  <c r="L108" i="253"/>
  <c r="M89" i="249"/>
  <c r="M92" i="249"/>
  <c r="M116" i="249"/>
  <c r="M99" i="249"/>
  <c r="M102" i="249"/>
  <c r="M105" i="249"/>
  <c r="M95" i="249"/>
  <c r="M96" i="249"/>
  <c r="M93" i="249"/>
  <c r="M108" i="249"/>
  <c r="M104" i="249"/>
  <c r="M12" i="249"/>
  <c r="M111" i="249"/>
  <c r="M110" i="249"/>
  <c r="M98" i="249"/>
  <c r="M114" i="249"/>
  <c r="M101" i="249"/>
  <c r="M90" i="249"/>
  <c r="M117" i="249"/>
  <c r="M113" i="249"/>
  <c r="M107" i="249"/>
  <c r="N13" i="253" l="1"/>
  <c r="M107" i="253"/>
  <c r="M108" i="253"/>
  <c r="N116" i="249"/>
  <c r="O116" i="249" s="1"/>
  <c r="N102" i="249"/>
  <c r="O102" i="249" s="1"/>
  <c r="N95" i="249"/>
  <c r="O95" i="249" s="1"/>
  <c r="N92" i="249"/>
  <c r="O92" i="249" s="1"/>
  <c r="N104" i="249"/>
  <c r="O104" i="249" s="1"/>
  <c r="N114" i="249"/>
  <c r="O114" i="249" s="1"/>
  <c r="N99" i="249"/>
  <c r="O99" i="249" s="1"/>
  <c r="N101" i="249"/>
  <c r="O101" i="249" s="1"/>
  <c r="N98" i="249"/>
  <c r="O98" i="249" s="1"/>
  <c r="L64" i="32"/>
  <c r="L14" i="32"/>
  <c r="N93" i="249"/>
  <c r="O93" i="249" s="1"/>
  <c r="N96" i="249"/>
  <c r="O96" i="249" s="1"/>
  <c r="N113" i="249"/>
  <c r="O113" i="249" s="1"/>
  <c r="O115" i="249" s="1"/>
  <c r="N12" i="249"/>
  <c r="N117" i="249"/>
  <c r="O117" i="249" s="1"/>
  <c r="N108" i="249"/>
  <c r="O108" i="249" s="1"/>
  <c r="N90" i="249"/>
  <c r="O90" i="249" s="1"/>
  <c r="H15" i="221"/>
  <c r="N110" i="249"/>
  <c r="O110" i="249" s="1"/>
  <c r="N89" i="249"/>
  <c r="O89" i="249" s="1"/>
  <c r="N107" i="249"/>
  <c r="O107" i="249" s="1"/>
  <c r="N105" i="249"/>
  <c r="O105" i="249" s="1"/>
  <c r="N111" i="249"/>
  <c r="O111" i="249" s="1"/>
  <c r="O112" i="249" l="1"/>
  <c r="O100" i="249"/>
  <c r="O97" i="249"/>
  <c r="O118" i="249"/>
  <c r="O94" i="249"/>
  <c r="O103" i="249"/>
  <c r="O109" i="249"/>
  <c r="O91" i="249"/>
  <c r="O106" i="249"/>
  <c r="N13" i="3"/>
  <c r="N107" i="253"/>
  <c r="N108" i="253"/>
  <c r="C93" i="252"/>
  <c r="C108" i="252"/>
  <c r="C107" i="252"/>
  <c r="C92" i="252"/>
  <c r="C101" i="252"/>
  <c r="C116" i="252"/>
  <c r="C111" i="252"/>
  <c r="C89" i="252"/>
  <c r="C99" i="252"/>
  <c r="C114" i="252"/>
  <c r="C90" i="252"/>
  <c r="C102" i="252"/>
  <c r="C113" i="252"/>
  <c r="C12" i="252"/>
  <c r="C110" i="252"/>
  <c r="C104" i="252"/>
  <c r="C98" i="252"/>
  <c r="C105" i="252"/>
  <c r="C117" i="252"/>
  <c r="C96" i="252"/>
  <c r="C95" i="252"/>
  <c r="N58" i="3" l="1"/>
  <c r="N48" i="3"/>
  <c r="N47" i="3"/>
  <c r="N56" i="3"/>
  <c r="N59" i="3"/>
  <c r="N55" i="3"/>
  <c r="N53" i="3"/>
  <c r="N54" i="3"/>
  <c r="N57" i="3"/>
  <c r="N60" i="3"/>
  <c r="D110" i="252"/>
  <c r="D101" i="252"/>
  <c r="D108" i="252"/>
  <c r="D117" i="252"/>
  <c r="D111" i="252"/>
  <c r="D99" i="252"/>
  <c r="D92" i="252"/>
  <c r="D113" i="252"/>
  <c r="D102" i="252"/>
  <c r="D93" i="252"/>
  <c r="D96" i="252"/>
  <c r="D95" i="252"/>
  <c r="D114" i="252"/>
  <c r="D107" i="252"/>
  <c r="D105" i="252"/>
  <c r="D89" i="252"/>
  <c r="D98" i="252"/>
  <c r="D90" i="252"/>
  <c r="D104" i="252"/>
  <c r="D12" i="252"/>
  <c r="D116" i="252"/>
  <c r="N64" i="3" l="1"/>
  <c r="E12" i="252"/>
  <c r="E92" i="252"/>
  <c r="E110" i="252"/>
  <c r="E108" i="252"/>
  <c r="E117" i="252"/>
  <c r="E95" i="252"/>
  <c r="E116" i="252"/>
  <c r="E107" i="252"/>
  <c r="E111" i="252"/>
  <c r="E114" i="252"/>
  <c r="E89" i="252"/>
  <c r="E113" i="252"/>
  <c r="E105" i="252"/>
  <c r="E93" i="252"/>
  <c r="E90" i="252"/>
  <c r="E102" i="252"/>
  <c r="E99" i="252"/>
  <c r="E96" i="252"/>
  <c r="E104" i="252"/>
  <c r="E101" i="252"/>
  <c r="E98" i="252"/>
  <c r="F102" i="252" l="1"/>
  <c r="F116" i="252"/>
  <c r="F96" i="252"/>
  <c r="F101" i="252"/>
  <c r="F99" i="252"/>
  <c r="F89" i="252"/>
  <c r="F93" i="252"/>
  <c r="F90" i="252"/>
  <c r="F117" i="252"/>
  <c r="F95" i="252"/>
  <c r="F104" i="252"/>
  <c r="F98" i="252"/>
  <c r="F110" i="252"/>
  <c r="F105" i="252"/>
  <c r="F92" i="252"/>
  <c r="F114" i="252"/>
  <c r="F107" i="252"/>
  <c r="F111" i="252"/>
  <c r="F12" i="252"/>
  <c r="F108" i="252"/>
  <c r="F113" i="252"/>
  <c r="G108" i="252" l="1"/>
  <c r="G92" i="252"/>
  <c r="G117" i="252"/>
  <c r="G95" i="252"/>
  <c r="G111" i="252"/>
  <c r="G12" i="252"/>
  <c r="G104" i="252"/>
  <c r="G114" i="252"/>
  <c r="G89" i="252"/>
  <c r="G107" i="252"/>
  <c r="G96" i="252"/>
  <c r="G99" i="252"/>
  <c r="G102" i="252"/>
  <c r="G93" i="252"/>
  <c r="G116" i="252"/>
  <c r="G90" i="252"/>
  <c r="G105" i="252"/>
  <c r="G113" i="252"/>
  <c r="G101" i="252"/>
  <c r="G110" i="252"/>
  <c r="G98" i="252"/>
  <c r="H95" i="252" l="1"/>
  <c r="H107" i="252"/>
  <c r="H111" i="252"/>
  <c r="H89" i="252"/>
  <c r="H116" i="252"/>
  <c r="H110" i="252"/>
  <c r="H105" i="252"/>
  <c r="H101" i="252"/>
  <c r="H99" i="252"/>
  <c r="H117" i="252"/>
  <c r="H104" i="252"/>
  <c r="H12" i="252"/>
  <c r="H113" i="252"/>
  <c r="H93" i="252"/>
  <c r="H108" i="252"/>
  <c r="H92" i="252"/>
  <c r="H90" i="252"/>
  <c r="H114" i="252"/>
  <c r="H98" i="252"/>
  <c r="H96" i="252"/>
  <c r="H102" i="252"/>
  <c r="I110" i="252" l="1"/>
  <c r="I12" i="252"/>
  <c r="I105" i="252"/>
  <c r="I117" i="252"/>
  <c r="I108" i="252"/>
  <c r="I111" i="252"/>
  <c r="I95" i="252"/>
  <c r="I89" i="252"/>
  <c r="I102" i="252"/>
  <c r="I98" i="252"/>
  <c r="I114" i="252"/>
  <c r="I99" i="252"/>
  <c r="I92" i="252"/>
  <c r="I90" i="252"/>
  <c r="I93" i="252"/>
  <c r="I104" i="252"/>
  <c r="I116" i="252"/>
  <c r="I107" i="252"/>
  <c r="I113" i="252"/>
  <c r="I96" i="252"/>
  <c r="I101" i="252"/>
  <c r="J114" i="252" l="1"/>
  <c r="J92" i="252"/>
  <c r="J99" i="252"/>
  <c r="J95" i="252"/>
  <c r="J102" i="252"/>
  <c r="J113" i="252"/>
  <c r="J107" i="252"/>
  <c r="J110" i="252"/>
  <c r="J108" i="252"/>
  <c r="J96" i="252"/>
  <c r="J111" i="252"/>
  <c r="J98" i="252"/>
  <c r="J89" i="252"/>
  <c r="J105" i="252"/>
  <c r="J101" i="252"/>
  <c r="J117" i="252"/>
  <c r="J116" i="252"/>
  <c r="J90" i="252"/>
  <c r="J93" i="252"/>
  <c r="J12" i="252"/>
  <c r="J104" i="252"/>
  <c r="K114" i="252" l="1"/>
  <c r="K93" i="252"/>
  <c r="K96" i="252"/>
  <c r="K89" i="252"/>
  <c r="K113" i="252"/>
  <c r="K92" i="252"/>
  <c r="K102" i="252"/>
  <c r="K105" i="252"/>
  <c r="K99" i="252"/>
  <c r="K90" i="252"/>
  <c r="K117" i="252"/>
  <c r="K107" i="252"/>
  <c r="K108" i="252"/>
  <c r="K12" i="252"/>
  <c r="K110" i="252"/>
  <c r="K104" i="252"/>
  <c r="K111" i="252"/>
  <c r="K98" i="252"/>
  <c r="K116" i="252"/>
  <c r="K101" i="252"/>
  <c r="K95" i="252"/>
  <c r="L95" i="252" l="1"/>
  <c r="L116" i="252"/>
  <c r="L101" i="252"/>
  <c r="L105" i="252"/>
  <c r="L90" i="252"/>
  <c r="L99" i="252"/>
  <c r="L110" i="252"/>
  <c r="L104" i="252"/>
  <c r="L117" i="252"/>
  <c r="L93" i="252"/>
  <c r="L98" i="252"/>
  <c r="L96" i="252"/>
  <c r="L92" i="252"/>
  <c r="L114" i="252"/>
  <c r="L102" i="252"/>
  <c r="L107" i="252"/>
  <c r="L111" i="252"/>
  <c r="L113" i="252"/>
  <c r="L108" i="252"/>
  <c r="L12" i="252"/>
  <c r="L89" i="252"/>
  <c r="M93" i="252" l="1"/>
  <c r="M114" i="252"/>
  <c r="M104" i="252"/>
  <c r="M98" i="252"/>
  <c r="M90" i="252"/>
  <c r="M116" i="252"/>
  <c r="M117" i="252"/>
  <c r="M89" i="252"/>
  <c r="M102" i="252"/>
  <c r="M101" i="252"/>
  <c r="M107" i="252"/>
  <c r="M110" i="252"/>
  <c r="M12" i="252"/>
  <c r="M113" i="252"/>
  <c r="M111" i="252"/>
  <c r="M108" i="252"/>
  <c r="M105" i="252"/>
  <c r="M99" i="252"/>
  <c r="M92" i="252"/>
  <c r="M96" i="252"/>
  <c r="M95" i="252"/>
  <c r="N116" i="252" l="1"/>
  <c r="O116" i="252" s="1"/>
  <c r="N64" i="32"/>
  <c r="N107" i="252"/>
  <c r="O107" i="252" s="1"/>
  <c r="N12" i="252"/>
  <c r="N98" i="252"/>
  <c r="O98" i="252" s="1"/>
  <c r="N110" i="252"/>
  <c r="O110" i="252" s="1"/>
  <c r="N14" i="32"/>
  <c r="N96" i="252"/>
  <c r="O96" i="252" s="1"/>
  <c r="N114" i="252"/>
  <c r="O114" i="252" s="1"/>
  <c r="N92" i="252"/>
  <c r="O92" i="252" s="1"/>
  <c r="N117" i="252"/>
  <c r="O117" i="252" s="1"/>
  <c r="N89" i="252"/>
  <c r="O89" i="252" s="1"/>
  <c r="N101" i="252"/>
  <c r="O101" i="252" s="1"/>
  <c r="N95" i="252"/>
  <c r="O95" i="252" s="1"/>
  <c r="N105" i="252"/>
  <c r="O105" i="252" s="1"/>
  <c r="N102" i="252"/>
  <c r="O102" i="252" s="1"/>
  <c r="N90" i="252"/>
  <c r="O90" i="252" s="1"/>
  <c r="N93" i="252"/>
  <c r="O93" i="252" s="1"/>
  <c r="N111" i="252"/>
  <c r="O111" i="252" s="1"/>
  <c r="N108" i="252"/>
  <c r="O108" i="252" s="1"/>
  <c r="N104" i="252"/>
  <c r="O104" i="252" s="1"/>
  <c r="N113" i="252"/>
  <c r="O113" i="252" s="1"/>
  <c r="N99" i="252"/>
  <c r="O99" i="252" s="1"/>
  <c r="C12" i="253" l="1"/>
  <c r="C117" i="253"/>
  <c r="C113" i="253"/>
  <c r="C101" i="253"/>
  <c r="C96" i="253"/>
  <c r="C102" i="253"/>
  <c r="C99" i="253"/>
  <c r="C105" i="253"/>
  <c r="C89" i="253"/>
  <c r="C110" i="253"/>
  <c r="C98" i="253"/>
  <c r="C116" i="253"/>
  <c r="C92" i="253"/>
  <c r="C111" i="253"/>
  <c r="C114" i="253"/>
  <c r="C95" i="253"/>
  <c r="C90" i="253"/>
  <c r="C104" i="253"/>
  <c r="C93" i="253"/>
  <c r="D114" i="253" l="1"/>
  <c r="D117" i="253"/>
  <c r="D102" i="253"/>
  <c r="D95" i="253"/>
  <c r="D110" i="253"/>
  <c r="D111" i="253"/>
  <c r="D93" i="253"/>
  <c r="D12" i="253"/>
  <c r="D113" i="253"/>
  <c r="D104" i="253"/>
  <c r="D99" i="253"/>
  <c r="D101" i="253"/>
  <c r="D96" i="253"/>
  <c r="D116" i="253"/>
  <c r="D92" i="253"/>
  <c r="D90" i="253"/>
  <c r="D89" i="253"/>
  <c r="D105" i="253"/>
  <c r="D98" i="253"/>
  <c r="E116" i="253" l="1"/>
  <c r="E98" i="253"/>
  <c r="E99" i="253"/>
  <c r="E117" i="253"/>
  <c r="E111" i="253"/>
  <c r="E114" i="253"/>
  <c r="E113" i="253"/>
  <c r="E101" i="253"/>
  <c r="E96" i="253"/>
  <c r="E95" i="253"/>
  <c r="E12" i="253"/>
  <c r="E104" i="253"/>
  <c r="E89" i="253"/>
  <c r="E110" i="253"/>
  <c r="E90" i="253"/>
  <c r="E105" i="253"/>
  <c r="E102" i="253"/>
  <c r="E93" i="253"/>
  <c r="E92" i="253"/>
  <c r="F116" i="253" l="1"/>
  <c r="F96" i="253"/>
  <c r="F12" i="253"/>
  <c r="F90" i="253"/>
  <c r="F93" i="253"/>
  <c r="F101" i="253"/>
  <c r="F92" i="253"/>
  <c r="F104" i="253"/>
  <c r="F111" i="253"/>
  <c r="F98" i="253"/>
  <c r="F99" i="253"/>
  <c r="F95" i="253"/>
  <c r="F89" i="253"/>
  <c r="F102" i="253"/>
  <c r="F113" i="253"/>
  <c r="F117" i="253"/>
  <c r="F105" i="253"/>
  <c r="F110" i="253"/>
  <c r="F114" i="253"/>
  <c r="G90" i="253" l="1"/>
  <c r="G98" i="253"/>
  <c r="G111" i="253"/>
  <c r="G99" i="253"/>
  <c r="G116" i="253"/>
  <c r="G110" i="253"/>
  <c r="G113" i="253"/>
  <c r="G12" i="253"/>
  <c r="G104" i="253"/>
  <c r="G92" i="253"/>
  <c r="G105" i="253"/>
  <c r="G89" i="253"/>
  <c r="G95" i="253"/>
  <c r="G93" i="253"/>
  <c r="G102" i="253"/>
  <c r="G101" i="253"/>
  <c r="G117" i="253"/>
  <c r="G96" i="253"/>
  <c r="G114" i="253"/>
  <c r="H93" i="253" l="1"/>
  <c r="H104" i="253"/>
  <c r="H96" i="253"/>
  <c r="H99" i="253"/>
  <c r="H101" i="253"/>
  <c r="H113" i="253"/>
  <c r="H110" i="253"/>
  <c r="H111" i="253"/>
  <c r="H114" i="253"/>
  <c r="H92" i="253"/>
  <c r="H90" i="253"/>
  <c r="H98" i="253"/>
  <c r="H105" i="253"/>
  <c r="H12" i="253"/>
  <c r="H117" i="253"/>
  <c r="H89" i="253"/>
  <c r="H116" i="253"/>
  <c r="H95" i="253"/>
  <c r="H102" i="253"/>
  <c r="I99" i="253" l="1"/>
  <c r="I116" i="253"/>
  <c r="I12" i="253"/>
  <c r="I92" i="253"/>
  <c r="I110" i="253"/>
  <c r="I95" i="253"/>
  <c r="I105" i="253"/>
  <c r="I98" i="253"/>
  <c r="I90" i="253"/>
  <c r="I96" i="253"/>
  <c r="I114" i="253"/>
  <c r="I89" i="253"/>
  <c r="I113" i="253"/>
  <c r="I93" i="253"/>
  <c r="I101" i="253"/>
  <c r="I111" i="253"/>
  <c r="I104" i="253"/>
  <c r="I102" i="253"/>
  <c r="I117" i="253"/>
  <c r="J102" i="253" l="1"/>
  <c r="J104" i="253"/>
  <c r="J116" i="253"/>
  <c r="J92" i="253"/>
  <c r="J101" i="253"/>
  <c r="J105" i="253"/>
  <c r="J99" i="253"/>
  <c r="J114" i="253"/>
  <c r="J12" i="253"/>
  <c r="J90" i="253"/>
  <c r="J96" i="253"/>
  <c r="J89" i="253"/>
  <c r="J111" i="253"/>
  <c r="J95" i="253"/>
  <c r="J98" i="253"/>
  <c r="J113" i="253"/>
  <c r="J93" i="253"/>
  <c r="J110" i="253"/>
  <c r="J117" i="253"/>
  <c r="K111" i="253" l="1"/>
  <c r="K99" i="253"/>
  <c r="K89" i="253"/>
  <c r="K95" i="253"/>
  <c r="K98" i="253"/>
  <c r="K96" i="253"/>
  <c r="K92" i="253"/>
  <c r="K116" i="253"/>
  <c r="K114" i="253"/>
  <c r="K113" i="253"/>
  <c r="K93" i="253"/>
  <c r="K104" i="253"/>
  <c r="K117" i="253"/>
  <c r="K101" i="253"/>
  <c r="K105" i="253"/>
  <c r="K102" i="253"/>
  <c r="K110" i="253"/>
  <c r="K12" i="253"/>
  <c r="K90" i="253"/>
  <c r="L110" i="253" l="1"/>
  <c r="L101" i="253"/>
  <c r="L92" i="253"/>
  <c r="L90" i="253"/>
  <c r="L117" i="253"/>
  <c r="L111" i="253"/>
  <c r="L105" i="253"/>
  <c r="L114" i="253"/>
  <c r="L98" i="253"/>
  <c r="L116" i="253"/>
  <c r="L99" i="253"/>
  <c r="L12" i="253"/>
  <c r="L93" i="253"/>
  <c r="L95" i="253"/>
  <c r="L96" i="253"/>
  <c r="L104" i="253"/>
  <c r="L113" i="253"/>
  <c r="L89" i="253"/>
  <c r="L102" i="253"/>
  <c r="M12" i="253" l="1"/>
  <c r="M98" i="253"/>
  <c r="M99" i="253"/>
  <c r="M113" i="253"/>
  <c r="M111" i="253"/>
  <c r="M92" i="253"/>
  <c r="M114" i="253"/>
  <c r="M116" i="253"/>
  <c r="M89" i="253"/>
  <c r="M110" i="253"/>
  <c r="M117" i="253"/>
  <c r="M101" i="253"/>
  <c r="M90" i="253"/>
  <c r="M104" i="253"/>
  <c r="M95" i="253"/>
  <c r="M93" i="253"/>
  <c r="M102" i="253"/>
  <c r="M96" i="253"/>
  <c r="M105" i="253"/>
  <c r="N111" i="253" l="1"/>
  <c r="O111" i="253" s="1"/>
  <c r="N110" i="253"/>
  <c r="O110" i="253" s="1"/>
  <c r="N98" i="253"/>
  <c r="O98" i="253" s="1"/>
  <c r="N102" i="253"/>
  <c r="O102" i="253" s="1"/>
  <c r="N89" i="253"/>
  <c r="O89" i="253" s="1"/>
  <c r="P64" i="32"/>
  <c r="N93" i="253"/>
  <c r="O93" i="253" s="1"/>
  <c r="N101" i="253"/>
  <c r="O101" i="253" s="1"/>
  <c r="O108" i="253"/>
  <c r="N12" i="253"/>
  <c r="N104" i="253"/>
  <c r="O104" i="253" s="1"/>
  <c r="N90" i="253"/>
  <c r="O90" i="253" s="1"/>
  <c r="P14" i="32"/>
  <c r="N99" i="253"/>
  <c r="O99" i="253" s="1"/>
  <c r="N92" i="253"/>
  <c r="O92" i="253" s="1"/>
  <c r="N105" i="253"/>
  <c r="O105" i="253" s="1"/>
  <c r="N117" i="253"/>
  <c r="O117" i="253" s="1"/>
  <c r="N96" i="253"/>
  <c r="O96" i="253" s="1"/>
  <c r="O107" i="253"/>
  <c r="N95" i="253"/>
  <c r="O95" i="253" s="1"/>
  <c r="N116" i="253"/>
  <c r="O116" i="253" s="1"/>
  <c r="N113" i="253"/>
  <c r="O113" i="253" s="1"/>
  <c r="N114" i="253"/>
  <c r="O114" i="253" s="1"/>
  <c r="F89" i="14" l="1"/>
  <c r="N87" i="1"/>
  <c r="H87" i="252"/>
  <c r="D87" i="1"/>
  <c r="J87" i="249"/>
  <c r="D87" i="253"/>
  <c r="G87" i="1"/>
  <c r="L87" i="1"/>
  <c r="K87" i="253"/>
  <c r="K87" i="1"/>
  <c r="E87" i="249"/>
  <c r="J87" i="1"/>
  <c r="N89" i="14"/>
  <c r="F87" i="249"/>
  <c r="L89" i="14"/>
  <c r="I87" i="252"/>
  <c r="E87" i="1"/>
  <c r="M87" i="252"/>
  <c r="J87" i="252"/>
  <c r="F87" i="1"/>
  <c r="M87" i="1"/>
  <c r="L87" i="253"/>
  <c r="I89" i="14"/>
  <c r="H87" i="1"/>
  <c r="M89" i="14"/>
  <c r="K89" i="14"/>
  <c r="I87" i="1"/>
  <c r="H87" i="253"/>
  <c r="N87" i="253"/>
  <c r="G89" i="14"/>
  <c r="K87" i="249"/>
  <c r="G87" i="252"/>
  <c r="H89" i="14"/>
  <c r="J86" i="1"/>
  <c r="G87" i="249"/>
  <c r="E87" i="252"/>
  <c r="H88" i="14"/>
  <c r="E88" i="14"/>
  <c r="J89" i="14"/>
  <c r="H87" i="249"/>
  <c r="G86" i="1"/>
  <c r="M86" i="249"/>
  <c r="F86" i="1"/>
  <c r="E86" i="1"/>
  <c r="K86" i="1"/>
  <c r="N86" i="1"/>
  <c r="L86" i="249"/>
  <c r="L86" i="252"/>
  <c r="M86" i="253"/>
  <c r="D86" i="253"/>
  <c r="I86" i="1"/>
  <c r="E89" i="14"/>
  <c r="O89" i="14"/>
  <c r="K88" i="14"/>
  <c r="M88" i="14"/>
  <c r="D86" i="1"/>
  <c r="F86" i="252"/>
  <c r="N86" i="253"/>
  <c r="L88" i="14"/>
  <c r="C87" i="249"/>
  <c r="C87" i="1"/>
  <c r="F86" i="253"/>
  <c r="L87" i="249"/>
  <c r="L86" i="1"/>
  <c r="G88" i="14"/>
  <c r="N86" i="249"/>
  <c r="H86" i="252"/>
  <c r="C86" i="1"/>
  <c r="C86" i="252"/>
  <c r="C86" i="253"/>
  <c r="I86" i="252"/>
  <c r="G86" i="253"/>
  <c r="D87" i="249"/>
  <c r="I88" i="14"/>
  <c r="J88" i="14"/>
  <c r="D86" i="249"/>
  <c r="I86" i="249"/>
  <c r="F88" i="14"/>
  <c r="H86" i="1"/>
  <c r="M86" i="252"/>
  <c r="D86" i="252"/>
  <c r="C87" i="252"/>
  <c r="J86" i="249"/>
  <c r="J86" i="252"/>
  <c r="L86" i="253"/>
  <c r="H86" i="249"/>
  <c r="H86" i="253"/>
  <c r="G86" i="249"/>
  <c r="E86" i="249"/>
  <c r="D88" i="14"/>
  <c r="N88" i="14"/>
  <c r="O88" i="14"/>
  <c r="C87" i="253"/>
  <c r="F86" i="249"/>
  <c r="G86" i="252"/>
  <c r="C86" i="249"/>
  <c r="E86" i="253"/>
  <c r="D89" i="14"/>
  <c r="M86" i="1"/>
  <c r="P89" i="14" l="1"/>
  <c r="P88" i="14"/>
  <c r="P90" i="14" s="1"/>
  <c r="O86" i="1"/>
  <c r="O87" i="1"/>
  <c r="K86" i="249"/>
  <c r="E45" i="232"/>
  <c r="F45" i="232" s="1"/>
  <c r="G45" i="232" s="1"/>
  <c r="H45" i="232" s="1"/>
  <c r="I45" i="232" s="1"/>
  <c r="J45" i="232" s="1"/>
  <c r="K45" i="232" s="1"/>
  <c r="L45" i="232" s="1"/>
  <c r="M45" i="232" s="1"/>
  <c r="N45" i="232" s="1"/>
  <c r="O45" i="232" s="1"/>
  <c r="P45" i="232" s="1"/>
  <c r="D87" i="14"/>
  <c r="I86" i="253"/>
  <c r="N86" i="252"/>
  <c r="K86" i="252"/>
  <c r="K86" i="253"/>
  <c r="J86" i="253"/>
  <c r="E86" i="252"/>
  <c r="N87" i="249"/>
  <c r="F87" i="252"/>
  <c r="L87" i="252"/>
  <c r="N87" i="252"/>
  <c r="K87" i="252"/>
  <c r="D87" i="252"/>
  <c r="G87" i="253"/>
  <c r="M87" i="253"/>
  <c r="I87" i="249"/>
  <c r="J87" i="253"/>
  <c r="E87" i="253"/>
  <c r="M87" i="249"/>
  <c r="I87" i="253"/>
  <c r="F87" i="253"/>
  <c r="O88" i="1" l="1"/>
  <c r="O86" i="252"/>
  <c r="O87" i="252"/>
  <c r="D132" i="14"/>
  <c r="D134" i="14" s="1"/>
  <c r="D141" i="14" s="1"/>
  <c r="O87" i="249"/>
  <c r="O87" i="253"/>
  <c r="O86" i="253"/>
  <c r="O86" i="249"/>
  <c r="O88" i="249" l="1"/>
  <c r="D100" i="38"/>
  <c r="D98" i="38"/>
  <c r="D105" i="38"/>
  <c r="D103" i="38"/>
  <c r="D95" i="38"/>
  <c r="D145" i="14" s="1"/>
  <c r="D93" i="38"/>
  <c r="D144" i="14" s="1"/>
  <c r="D148" i="14" l="1"/>
  <c r="E18" i="232" s="1"/>
  <c r="E22" i="232" s="1"/>
  <c r="E37" i="232" s="1"/>
  <c r="D146" i="14"/>
  <c r="E143" i="14"/>
  <c r="E15" i="14" l="1"/>
  <c r="E42" i="232"/>
  <c r="E48" i="232" s="1"/>
  <c r="E60" i="232" s="1"/>
  <c r="E71" i="232" s="1"/>
  <c r="E121" i="14"/>
  <c r="G75" i="231" l="1"/>
  <c r="E87" i="14"/>
  <c r="E132" i="14" l="1"/>
  <c r="E134" i="14" s="1"/>
  <c r="E141" i="14" s="1"/>
  <c r="G78" i="231"/>
  <c r="I75" i="231"/>
  <c r="J75" i="231" s="1"/>
  <c r="E98" i="38" l="1"/>
  <c r="E103" i="38"/>
  <c r="E105" i="38"/>
  <c r="E93" i="38"/>
  <c r="E144" i="14" s="1"/>
  <c r="E100" i="38"/>
  <c r="E95" i="38"/>
  <c r="E145" i="14" s="1"/>
  <c r="I78" i="231"/>
  <c r="J78" i="231" s="1"/>
  <c r="G90" i="231"/>
  <c r="E148" i="14" l="1"/>
  <c r="F18" i="232" s="1"/>
  <c r="F22" i="232" s="1"/>
  <c r="F37" i="232" s="1"/>
  <c r="I90" i="231"/>
  <c r="J90" i="231" s="1"/>
  <c r="F68" i="232"/>
  <c r="F69" i="232" s="1"/>
  <c r="F42" i="232"/>
  <c r="F48" i="232" s="1"/>
  <c r="F60" i="232" s="1"/>
  <c r="E146" i="14"/>
  <c r="F121" i="14" s="1"/>
  <c r="F143" i="14"/>
  <c r="F15" i="14" l="1"/>
  <c r="F71" i="232"/>
  <c r="G63" i="232"/>
  <c r="K75" i="231"/>
  <c r="F87" i="14"/>
  <c r="M75" i="231" l="1"/>
  <c r="N75" i="231" s="1"/>
  <c r="K78" i="231"/>
  <c r="F132" i="14"/>
  <c r="F134" i="14" s="1"/>
  <c r="F141" i="14" s="1"/>
  <c r="K90" i="231" l="1"/>
  <c r="M78" i="231"/>
  <c r="N78" i="231" s="1"/>
  <c r="F105" i="38"/>
  <c r="F93" i="38"/>
  <c r="F144" i="14" s="1"/>
  <c r="F100" i="38"/>
  <c r="F98" i="38"/>
  <c r="F95" i="38"/>
  <c r="F145" i="14" s="1"/>
  <c r="F103" i="38"/>
  <c r="F146" i="14" l="1"/>
  <c r="G121" i="14" s="1"/>
  <c r="G42" i="232"/>
  <c r="G48" i="232" s="1"/>
  <c r="G60" i="232" s="1"/>
  <c r="G143" i="14"/>
  <c r="F148" i="14"/>
  <c r="G68" i="232"/>
  <c r="G69" i="232" s="1"/>
  <c r="M90" i="231"/>
  <c r="N90" i="231" s="1"/>
  <c r="O75" i="231" l="1"/>
  <c r="G87" i="14"/>
  <c r="G71" i="232"/>
  <c r="H63" i="232"/>
  <c r="G18" i="232"/>
  <c r="G22" i="232" s="1"/>
  <c r="G37" i="232" s="1"/>
  <c r="G15" i="14"/>
  <c r="G132" i="14" l="1"/>
  <c r="G134" i="14" s="1"/>
  <c r="G141" i="14" s="1"/>
  <c r="Q75" i="231"/>
  <c r="R75" i="231" s="1"/>
  <c r="O78" i="231"/>
  <c r="G98" i="38" l="1"/>
  <c r="G95" i="38"/>
  <c r="G145" i="14" s="1"/>
  <c r="G103" i="38"/>
  <c r="G93" i="38"/>
  <c r="G144" i="14" s="1"/>
  <c r="G100" i="38"/>
  <c r="G105" i="38"/>
  <c r="O90" i="231"/>
  <c r="Q78" i="231"/>
  <c r="R78" i="231" s="1"/>
  <c r="G148" i="14" l="1"/>
  <c r="H18" i="232" s="1"/>
  <c r="H22" i="232" s="1"/>
  <c r="H37" i="232" s="1"/>
  <c r="Q90" i="231"/>
  <c r="R90" i="231" s="1"/>
  <c r="H68" i="232"/>
  <c r="H69" i="232" s="1"/>
  <c r="H42" i="232"/>
  <c r="H48" i="232" s="1"/>
  <c r="H60" i="232" s="1"/>
  <c r="H143" i="14"/>
  <c r="G146" i="14"/>
  <c r="H121" i="14" s="1"/>
  <c r="H15" i="14" l="1"/>
  <c r="S75" i="231"/>
  <c r="H87" i="14"/>
  <c r="H71" i="232"/>
  <c r="I63" i="232"/>
  <c r="H132" i="14" l="1"/>
  <c r="H134" i="14" s="1"/>
  <c r="H141" i="14" s="1"/>
  <c r="U75" i="231"/>
  <c r="V75" i="231" s="1"/>
  <c r="S78" i="231"/>
  <c r="S90" i="231" l="1"/>
  <c r="U78" i="231"/>
  <c r="V78" i="231" s="1"/>
  <c r="H103" i="38"/>
  <c r="H105" i="38"/>
  <c r="H93" i="38"/>
  <c r="H144" i="14" s="1"/>
  <c r="H95" i="38"/>
  <c r="H145" i="14" s="1"/>
  <c r="H100" i="38"/>
  <c r="H98" i="38"/>
  <c r="H148" i="14" l="1"/>
  <c r="I18" i="232" s="1"/>
  <c r="I22" i="232" s="1"/>
  <c r="I37" i="232" s="1"/>
  <c r="H146" i="14"/>
  <c r="I121" i="14" s="1"/>
  <c r="I42" i="232"/>
  <c r="I48" i="232" s="1"/>
  <c r="I60" i="232" s="1"/>
  <c r="I143" i="14"/>
  <c r="I68" i="232"/>
  <c r="I69" i="232" s="1"/>
  <c r="U90" i="231"/>
  <c r="V90" i="231" s="1"/>
  <c r="I15" i="14" l="1"/>
  <c r="W75" i="231"/>
  <c r="I87" i="14"/>
  <c r="I132" i="14" s="1"/>
  <c r="I134" i="14" s="1"/>
  <c r="I71" i="232"/>
  <c r="J63" i="232"/>
  <c r="I141" i="14" l="1"/>
  <c r="I100" i="38" s="1"/>
  <c r="W78" i="231"/>
  <c r="Y75" i="231"/>
  <c r="Z75" i="231" s="1"/>
  <c r="I103" i="38" l="1"/>
  <c r="I105" i="38"/>
  <c r="I93" i="38"/>
  <c r="I144" i="14" s="1"/>
  <c r="I95" i="38"/>
  <c r="I145" i="14" s="1"/>
  <c r="I98" i="38"/>
  <c r="Y78" i="231"/>
  <c r="Z78" i="231" s="1"/>
  <c r="W90" i="231"/>
  <c r="J42" i="232" l="1"/>
  <c r="J48" i="232" s="1"/>
  <c r="J60" i="232" s="1"/>
  <c r="I148" i="14"/>
  <c r="J18" i="232" s="1"/>
  <c r="J22" i="232" s="1"/>
  <c r="J37" i="232" s="1"/>
  <c r="J143" i="14"/>
  <c r="I146" i="14"/>
  <c r="J121" i="14" s="1"/>
  <c r="AA75" i="231" s="1"/>
  <c r="J68" i="232"/>
  <c r="J69" i="232" s="1"/>
  <c r="Y90" i="231"/>
  <c r="Z90" i="231" s="1"/>
  <c r="J15" i="14" l="1"/>
  <c r="J87" i="14"/>
  <c r="J132" i="14" s="1"/>
  <c r="J134" i="14" s="1"/>
  <c r="J71" i="232"/>
  <c r="K63" i="232"/>
  <c r="AC75" i="231"/>
  <c r="AD75" i="231" s="1"/>
  <c r="AA78" i="231"/>
  <c r="J141" i="14" l="1"/>
  <c r="J103" i="38" s="1"/>
  <c r="AA90" i="231"/>
  <c r="AC78" i="231"/>
  <c r="AD78" i="231" s="1"/>
  <c r="J93" i="38" l="1"/>
  <c r="J144" i="14" s="1"/>
  <c r="J100" i="38"/>
  <c r="J95" i="38"/>
  <c r="J145" i="14" s="1"/>
  <c r="J98" i="38"/>
  <c r="J105" i="38"/>
  <c r="AC90" i="231"/>
  <c r="AD90" i="231" s="1"/>
  <c r="K68" i="232"/>
  <c r="K69" i="232" s="1"/>
  <c r="K143" i="14" l="1"/>
  <c r="K42" i="232"/>
  <c r="K48" i="232" s="1"/>
  <c r="K60" i="232" s="1"/>
  <c r="K71" i="232" s="1"/>
  <c r="J148" i="14"/>
  <c r="K15" i="14" s="1"/>
  <c r="J146" i="14"/>
  <c r="K121" i="14" s="1"/>
  <c r="AE75" i="231" s="1"/>
  <c r="AG75" i="231" s="1"/>
  <c r="L63" i="232"/>
  <c r="K18" i="232" l="1"/>
  <c r="K22" i="232" s="1"/>
  <c r="K37" i="232" s="1"/>
  <c r="AE78" i="231"/>
  <c r="AG78" i="231" s="1"/>
  <c r="AH78" i="231" s="1"/>
  <c r="AH75" i="231"/>
  <c r="K87" i="14"/>
  <c r="K132" i="14" s="1"/>
  <c r="K134" i="14" s="1"/>
  <c r="K141" i="14" s="1"/>
  <c r="K105" i="38" s="1"/>
  <c r="AE90" i="231" l="1"/>
  <c r="L68" i="232" s="1"/>
  <c r="L69" i="232" s="1"/>
  <c r="K103" i="38"/>
  <c r="K98" i="38"/>
  <c r="K100" i="38"/>
  <c r="K93" i="38"/>
  <c r="K144" i="14" s="1"/>
  <c r="K95" i="38"/>
  <c r="K145" i="14" s="1"/>
  <c r="AG90" i="231" l="1"/>
  <c r="AH90" i="231" s="1"/>
  <c r="K146" i="14"/>
  <c r="L121" i="14" s="1"/>
  <c r="L87" i="14" s="1"/>
  <c r="L132" i="14" s="1"/>
  <c r="L134" i="14" s="1"/>
  <c r="L42" i="232"/>
  <c r="L48" i="232" s="1"/>
  <c r="L60" i="232" s="1"/>
  <c r="L71" i="232" s="1"/>
  <c r="K148" i="14"/>
  <c r="L143" i="14"/>
  <c r="M63" i="232"/>
  <c r="AI75" i="231" l="1"/>
  <c r="L18" i="232"/>
  <c r="L22" i="232" s="1"/>
  <c r="L37" i="232" s="1"/>
  <c r="L15" i="14"/>
  <c r="L141" i="14" s="1"/>
  <c r="L103" i="38" s="1"/>
  <c r="AI78" i="231" l="1"/>
  <c r="AK75" i="231"/>
  <c r="AL75" i="231" s="1"/>
  <c r="L100" i="38"/>
  <c r="L98" i="38"/>
  <c r="L95" i="38"/>
  <c r="L145" i="14" s="1"/>
  <c r="L93" i="38"/>
  <c r="L144" i="14" s="1"/>
  <c r="L105" i="38"/>
  <c r="AK78" i="231" l="1"/>
  <c r="AL78" i="231" s="1"/>
  <c r="AI90" i="231"/>
  <c r="M143" i="14"/>
  <c r="L146" i="14"/>
  <c r="M121" i="14" s="1"/>
  <c r="M42" i="232"/>
  <c r="M48" i="232" s="1"/>
  <c r="M60" i="232" s="1"/>
  <c r="L148" i="14"/>
  <c r="M18" i="232" s="1"/>
  <c r="M22" i="232" s="1"/>
  <c r="M37" i="232" s="1"/>
  <c r="AK90" i="231" l="1"/>
  <c r="AL90" i="231" s="1"/>
  <c r="M68" i="232"/>
  <c r="M69" i="232" s="1"/>
  <c r="N63" i="232" s="1"/>
  <c r="M15" i="14"/>
  <c r="AM75" i="231"/>
  <c r="M87" i="14"/>
  <c r="M132" i="14" s="1"/>
  <c r="M134" i="14" s="1"/>
  <c r="M71" i="232" l="1"/>
  <c r="AO75" i="231"/>
  <c r="AP75" i="231" s="1"/>
  <c r="AM78" i="231"/>
  <c r="M141" i="14"/>
  <c r="AM90" i="231" l="1"/>
  <c r="AO78" i="231"/>
  <c r="AP78" i="231" s="1"/>
  <c r="M105" i="38"/>
  <c r="M95" i="38"/>
  <c r="M145" i="14" s="1"/>
  <c r="M93" i="38"/>
  <c r="M144" i="14" s="1"/>
  <c r="M98" i="38"/>
  <c r="M103" i="38"/>
  <c r="M100" i="38"/>
  <c r="M148" i="14" l="1"/>
  <c r="N15" i="14" s="1"/>
  <c r="N42" i="232"/>
  <c r="N48" i="232" s="1"/>
  <c r="N60" i="232" s="1"/>
  <c r="M146" i="14"/>
  <c r="N121" i="14" s="1"/>
  <c r="N143" i="14"/>
  <c r="AO90" i="231"/>
  <c r="AP90" i="231" s="1"/>
  <c r="N68" i="232"/>
  <c r="N69" i="232" s="1"/>
  <c r="N18" i="232" l="1"/>
  <c r="N22" i="232" s="1"/>
  <c r="N37" i="232" s="1"/>
  <c r="O63" i="232"/>
  <c r="N71" i="232"/>
  <c r="AQ75" i="231"/>
  <c r="N87" i="14"/>
  <c r="N132" i="14" s="1"/>
  <c r="N134" i="14" s="1"/>
  <c r="N141" i="14" s="1"/>
  <c r="N103" i="38" l="1"/>
  <c r="N100" i="38"/>
  <c r="N95" i="38"/>
  <c r="N145" i="14" s="1"/>
  <c r="N93" i="38"/>
  <c r="N144" i="14" s="1"/>
  <c r="N98" i="38"/>
  <c r="N105" i="38"/>
  <c r="AQ78" i="231"/>
  <c r="AS75" i="231"/>
  <c r="AT75" i="231" s="1"/>
  <c r="N148" i="14" l="1"/>
  <c r="O15" i="14" s="1"/>
  <c r="AQ90" i="231"/>
  <c r="AS78" i="231"/>
  <c r="AT78" i="231" s="1"/>
  <c r="O143" i="14"/>
  <c r="B65" i="24" s="1"/>
  <c r="N146" i="14"/>
  <c r="O121" i="14" s="1"/>
  <c r="P121" i="14" s="1"/>
  <c r="O42" i="232"/>
  <c r="O48" i="232" s="1"/>
  <c r="O60" i="232" s="1"/>
  <c r="O18" i="232" l="1"/>
  <c r="O22" i="232" s="1"/>
  <c r="O37" i="232" s="1"/>
  <c r="AU75" i="231"/>
  <c r="Q87" i="14"/>
  <c r="C74" i="2" s="1"/>
  <c r="O87" i="14"/>
  <c r="P87" i="14" s="1"/>
  <c r="P132" i="14" s="1"/>
  <c r="P134" i="14" s="1"/>
  <c r="P141" i="14" s="1"/>
  <c r="AS90" i="231"/>
  <c r="AT90" i="231" s="1"/>
  <c r="O68" i="232"/>
  <c r="O69" i="232" s="1"/>
  <c r="O132" i="14" l="1"/>
  <c r="O134" i="14" s="1"/>
  <c r="O141" i="14" s="1"/>
  <c r="D74" i="2"/>
  <c r="C77" i="2"/>
  <c r="O71" i="232"/>
  <c r="P63" i="232"/>
  <c r="AW75" i="231"/>
  <c r="AX75" i="231" s="1"/>
  <c r="AU78" i="231"/>
  <c r="AY75" i="231"/>
  <c r="AY78" i="231" l="1"/>
  <c r="BA75" i="231"/>
  <c r="BB75" i="231" s="1"/>
  <c r="R87" i="14"/>
  <c r="AW78" i="231"/>
  <c r="AX78" i="231" s="1"/>
  <c r="AU90" i="231"/>
  <c r="O103" i="38"/>
  <c r="O105" i="38"/>
  <c r="O95" i="38"/>
  <c r="O145" i="14" s="1"/>
  <c r="P145" i="14" s="1"/>
  <c r="O98" i="38"/>
  <c r="O93" i="38"/>
  <c r="O144" i="14" s="1"/>
  <c r="P144" i="14" s="1"/>
  <c r="O100" i="38"/>
  <c r="H87" i="32"/>
  <c r="H81" i="32"/>
  <c r="C89" i="2"/>
  <c r="H84" i="32"/>
  <c r="D77" i="2"/>
  <c r="C5" i="38" s="1"/>
  <c r="P146" i="14" l="1"/>
  <c r="P142" i="14" s="1"/>
  <c r="P148" i="14"/>
  <c r="BA78" i="231"/>
  <c r="BB78" i="231" s="1"/>
  <c r="AY90" i="231"/>
  <c r="BA90" i="231" s="1"/>
  <c r="BB90" i="231" s="1"/>
  <c r="D89" i="2"/>
  <c r="C95" i="2"/>
  <c r="P42" i="232"/>
  <c r="P48" i="232" s="1"/>
  <c r="P60" i="232" s="1"/>
  <c r="O146" i="14"/>
  <c r="AW90" i="231"/>
  <c r="AX90" i="231" s="1"/>
  <c r="P68" i="232"/>
  <c r="P69" i="232" s="1"/>
  <c r="O148" i="14"/>
  <c r="P71" i="232" l="1"/>
  <c r="P18" i="232"/>
  <c r="P22" i="232" s="1"/>
  <c r="P37" i="232" s="1"/>
  <c r="C15" i="1"/>
  <c r="O15" i="1" s="1"/>
  <c r="C119" i="1"/>
  <c r="C85" i="1" s="1"/>
  <c r="C128" i="1" s="1"/>
  <c r="C130" i="1" s="1"/>
  <c r="C139" i="1"/>
  <c r="O139" i="1" s="1"/>
  <c r="F43" i="3"/>
  <c r="H78" i="32"/>
  <c r="B35" i="38"/>
  <c r="C98" i="2" s="1"/>
  <c r="H72" i="32"/>
  <c r="D95" i="2"/>
  <c r="E5" i="38" s="1"/>
  <c r="F5" i="38" s="1"/>
  <c r="E126" i="1" l="1"/>
  <c r="N126" i="1"/>
  <c r="D126" i="1"/>
  <c r="K126" i="1"/>
  <c r="H126" i="1"/>
  <c r="C100" i="2"/>
  <c r="H75" i="32" s="1"/>
  <c r="C137" i="1"/>
  <c r="C109" i="38" s="1"/>
  <c r="C140" i="1" s="1"/>
  <c r="F44" i="3"/>
  <c r="D98" i="2"/>
  <c r="O126" i="1" l="1"/>
  <c r="F50" i="3"/>
  <c r="H31" i="32" s="1"/>
  <c r="D31" i="8"/>
  <c r="D32" i="8" s="1"/>
  <c r="C116" i="38"/>
  <c r="C114" i="38"/>
  <c r="C119" i="38"/>
  <c r="C121" i="38"/>
  <c r="C111" i="38"/>
  <c r="C141" i="1" s="1"/>
  <c r="D139" i="1" s="1"/>
  <c r="D100" i="2"/>
  <c r="F73" i="3"/>
  <c r="D20" i="8"/>
  <c r="D24" i="8" s="1"/>
  <c r="H21" i="3"/>
  <c r="F74" i="3" l="1"/>
  <c r="H71" i="3"/>
  <c r="F65" i="3"/>
  <c r="F29" i="8"/>
  <c r="C144" i="1"/>
  <c r="D15" i="1" s="1"/>
  <c r="C142" i="1"/>
  <c r="D119" i="1" s="1"/>
  <c r="D85" i="1" s="1"/>
  <c r="D128" i="1" s="1"/>
  <c r="D130" i="1" s="1"/>
  <c r="D33" i="8"/>
  <c r="D45" i="8" s="1"/>
  <c r="D50" i="8" s="1"/>
  <c r="H68" i="3"/>
  <c r="F76" i="3" l="1"/>
  <c r="F17" i="3" s="1"/>
  <c r="F22" i="3" s="1"/>
  <c r="F38" i="3" s="1"/>
  <c r="H20" i="32"/>
  <c r="D137" i="1"/>
  <c r="D109" i="38" s="1"/>
  <c r="D140" i="1" s="1"/>
  <c r="H34" i="32"/>
  <c r="F48" i="8"/>
  <c r="H25" i="32" l="1"/>
  <c r="H28" i="32"/>
  <c r="D111" i="38"/>
  <c r="D141" i="1" s="1"/>
  <c r="D114" i="38"/>
  <c r="D116" i="38"/>
  <c r="D119" i="38"/>
  <c r="D121" i="38"/>
  <c r="J52" i="32"/>
  <c r="H17" i="32"/>
  <c r="D144" i="1" l="1"/>
  <c r="E15" i="1" s="1"/>
  <c r="E139" i="1"/>
  <c r="D142" i="1"/>
  <c r="E119" i="1" s="1"/>
  <c r="E85" i="1" l="1"/>
  <c r="E128" i="1" l="1"/>
  <c r="E130" i="1" s="1"/>
  <c r="E137" i="1" s="1"/>
  <c r="E109" i="38" s="1"/>
  <c r="E140" i="1" s="1"/>
  <c r="E114" i="38" l="1"/>
  <c r="E111" i="38"/>
  <c r="E141" i="1" s="1"/>
  <c r="E142" i="1" s="1"/>
  <c r="F119" i="1" s="1"/>
  <c r="E116" i="38"/>
  <c r="E121" i="38"/>
  <c r="E119" i="38"/>
  <c r="E144" i="1" l="1"/>
  <c r="F15" i="1" s="1"/>
  <c r="F139" i="1"/>
  <c r="F85" i="1"/>
  <c r="F128" i="1" l="1"/>
  <c r="F130" i="1" s="1"/>
  <c r="F137" i="1" s="1"/>
  <c r="F116" i="38" l="1"/>
  <c r="F114" i="38"/>
  <c r="F119" i="38"/>
  <c r="F111" i="38"/>
  <c r="F141" i="1" s="1"/>
  <c r="F121" i="38"/>
  <c r="F109" i="38"/>
  <c r="F140" i="1" s="1"/>
  <c r="F144" i="1" l="1"/>
  <c r="G15" i="1" s="1"/>
  <c r="G139" i="1"/>
  <c r="F142" i="1"/>
  <c r="G119" i="1" s="1"/>
  <c r="G85" i="1" l="1"/>
  <c r="G128" i="1" l="1"/>
  <c r="G130" i="1" s="1"/>
  <c r="G137" i="1" s="1"/>
  <c r="G119" i="38" l="1"/>
  <c r="G121" i="38"/>
  <c r="G114" i="38"/>
  <c r="G109" i="38"/>
  <c r="G140" i="1" s="1"/>
  <c r="G111" i="38"/>
  <c r="G141" i="1" s="1"/>
  <c r="G116" i="38"/>
  <c r="G144" i="1" l="1"/>
  <c r="H15" i="1" s="1"/>
  <c r="H139" i="1"/>
  <c r="G142" i="1"/>
  <c r="H119" i="1" s="1"/>
  <c r="H85" i="1" s="1"/>
  <c r="H128" i="1" s="1"/>
  <c r="H130" i="1" s="1"/>
  <c r="H137" i="1" l="1"/>
  <c r="H114" i="38" s="1"/>
  <c r="H116" i="38" l="1"/>
  <c r="H119" i="38"/>
  <c r="H109" i="38"/>
  <c r="H140" i="1" s="1"/>
  <c r="H111" i="38"/>
  <c r="H141" i="1" s="1"/>
  <c r="H121" i="38"/>
  <c r="H142" i="1" l="1"/>
  <c r="I119" i="1" s="1"/>
  <c r="I85" i="1" s="1"/>
  <c r="I128" i="1" s="1"/>
  <c r="I130" i="1" s="1"/>
  <c r="I139" i="1"/>
  <c r="H144" i="1"/>
  <c r="I15" i="1" s="1"/>
  <c r="I137" i="1" l="1"/>
  <c r="I109" i="38" s="1"/>
  <c r="I140" i="1" s="1"/>
  <c r="I116" i="38" l="1"/>
  <c r="I119" i="38"/>
  <c r="I111" i="38"/>
  <c r="I141" i="1" s="1"/>
  <c r="J139" i="1" s="1"/>
  <c r="I121" i="38"/>
  <c r="I114" i="38"/>
  <c r="I142" i="1" l="1"/>
  <c r="J119" i="1" s="1"/>
  <c r="J85" i="1" s="1"/>
  <c r="J128" i="1" s="1"/>
  <c r="J130" i="1" s="1"/>
  <c r="I144" i="1"/>
  <c r="J15" i="1" s="1"/>
  <c r="J137" i="1" l="1"/>
  <c r="J121" i="38" s="1"/>
  <c r="J111" i="38" l="1"/>
  <c r="J141" i="1" s="1"/>
  <c r="J119" i="38"/>
  <c r="J114" i="38"/>
  <c r="J109" i="38"/>
  <c r="J140" i="1" s="1"/>
  <c r="J116" i="38"/>
  <c r="J142" i="1" l="1"/>
  <c r="K119" i="1" s="1"/>
  <c r="K85" i="1" s="1"/>
  <c r="K128" i="1" s="1"/>
  <c r="K130" i="1" s="1"/>
  <c r="K139" i="1"/>
  <c r="J144" i="1"/>
  <c r="K15" i="1" s="1"/>
  <c r="K137" i="1" l="1"/>
  <c r="K119" i="38" s="1"/>
  <c r="K109" i="38" l="1"/>
  <c r="K140" i="1" s="1"/>
  <c r="K116" i="38"/>
  <c r="K114" i="38"/>
  <c r="K111" i="38"/>
  <c r="K141" i="1" s="1"/>
  <c r="K121" i="38"/>
  <c r="L139" i="1" l="1"/>
  <c r="K142" i="1"/>
  <c r="L119" i="1" s="1"/>
  <c r="L85" i="1" s="1"/>
  <c r="L128" i="1" s="1"/>
  <c r="L130" i="1" s="1"/>
  <c r="K144" i="1"/>
  <c r="L15" i="1" s="1"/>
  <c r="L137" i="1" l="1"/>
  <c r="L109" i="38" s="1"/>
  <c r="L140" i="1" s="1"/>
  <c r="L119" i="38" l="1"/>
  <c r="L111" i="38"/>
  <c r="L141" i="1" s="1"/>
  <c r="L142" i="1" s="1"/>
  <c r="M119" i="1" s="1"/>
  <c r="M85" i="1" s="1"/>
  <c r="M128" i="1" s="1"/>
  <c r="M130" i="1" s="1"/>
  <c r="L121" i="38"/>
  <c r="L116" i="38"/>
  <c r="L114" i="38"/>
  <c r="L144" i="1" l="1"/>
  <c r="M15" i="1" s="1"/>
  <c r="M137" i="1" s="1"/>
  <c r="M109" i="38" s="1"/>
  <c r="M140" i="1" s="1"/>
  <c r="M139" i="1"/>
  <c r="M111" i="38" l="1"/>
  <c r="M141" i="1" s="1"/>
  <c r="M144" i="1" s="1"/>
  <c r="N15" i="1" s="1"/>
  <c r="M121" i="38"/>
  <c r="M119" i="38"/>
  <c r="M116" i="38"/>
  <c r="M114" i="38"/>
  <c r="M142" i="1" l="1"/>
  <c r="N119" i="1" s="1"/>
  <c r="O119" i="1" s="1"/>
  <c r="N139" i="1"/>
  <c r="B66" i="24" s="1"/>
  <c r="N85" i="1" l="1"/>
  <c r="P85" i="1"/>
  <c r="E74" i="2" s="1"/>
  <c r="O85" i="1" l="1"/>
  <c r="O128" i="1" s="1"/>
  <c r="F74" i="2"/>
  <c r="N128" i="1"/>
  <c r="N130" i="1" s="1"/>
  <c r="N137" i="1" s="1"/>
  <c r="E77" i="2"/>
  <c r="E89" i="2" s="1"/>
  <c r="O130" i="1" l="1"/>
  <c r="O123" i="1"/>
  <c r="N87" i="32"/>
  <c r="J81" i="32"/>
  <c r="J87" i="32"/>
  <c r="N84" i="32"/>
  <c r="J84" i="32"/>
  <c r="N81" i="32"/>
  <c r="N114" i="38"/>
  <c r="N119" i="38"/>
  <c r="N111" i="38"/>
  <c r="N141" i="1" s="1"/>
  <c r="O141" i="1" s="1"/>
  <c r="N109" i="38"/>
  <c r="N140" i="1" s="1"/>
  <c r="O140" i="1" s="1"/>
  <c r="N116" i="38"/>
  <c r="N121" i="38"/>
  <c r="F77" i="2"/>
  <c r="C6" i="38" s="1"/>
  <c r="F89" i="2"/>
  <c r="E95" i="2"/>
  <c r="O137" i="1" l="1"/>
  <c r="O144" i="1" s="1"/>
  <c r="O125" i="1"/>
  <c r="O142" i="1"/>
  <c r="O138" i="1" s="1"/>
  <c r="N142" i="1"/>
  <c r="N144" i="1"/>
  <c r="C35" i="38"/>
  <c r="E98" i="2" s="1"/>
  <c r="D126" i="249" s="1"/>
  <c r="J78" i="32"/>
  <c r="J72" i="32"/>
  <c r="F95" i="2"/>
  <c r="E6" i="38" s="1"/>
  <c r="F6" i="38" s="1"/>
  <c r="E100" i="2" l="1"/>
  <c r="J75" i="32" s="1"/>
  <c r="E126" i="249"/>
  <c r="N126" i="249"/>
  <c r="K126" i="249"/>
  <c r="H126" i="249"/>
  <c r="C15" i="249"/>
  <c r="O15" i="249" s="1"/>
  <c r="C119" i="249" l="1"/>
  <c r="C85" i="249" s="1"/>
  <c r="C139" i="249"/>
  <c r="O139" i="249" s="1"/>
  <c r="H43" i="3"/>
  <c r="C128" i="249" l="1"/>
  <c r="C130" i="249" s="1"/>
  <c r="C137" i="249" s="1"/>
  <c r="C291" i="38" s="1"/>
  <c r="C294" i="38" l="1"/>
  <c r="C289" i="38"/>
  <c r="C284" i="38"/>
  <c r="C140" i="249" s="1"/>
  <c r="C296" i="38"/>
  <c r="C286" i="38"/>
  <c r="C141" i="249" s="1"/>
  <c r="C144" i="249" l="1"/>
  <c r="D15" i="249" s="1"/>
  <c r="C142" i="249"/>
  <c r="D119" i="249" s="1"/>
  <c r="D85" i="249" s="1"/>
  <c r="D139" i="249"/>
  <c r="F98" i="2"/>
  <c r="H44" i="3"/>
  <c r="H50" i="3" s="1"/>
  <c r="J31" i="32" s="1"/>
  <c r="J21" i="3"/>
  <c r="H29" i="8" s="1"/>
  <c r="O126" i="249" l="1"/>
  <c r="F100" i="2"/>
  <c r="F20" i="8"/>
  <c r="F24" i="8" s="1"/>
  <c r="H73" i="3"/>
  <c r="D128" i="249"/>
  <c r="D130" i="249" s="1"/>
  <c r="D137" i="249" s="1"/>
  <c r="F31" i="8"/>
  <c r="F32" i="8" s="1"/>
  <c r="J34" i="32"/>
  <c r="H65" i="3"/>
  <c r="H74" i="3" l="1"/>
  <c r="H76" i="3" s="1"/>
  <c r="H17" i="3" s="1"/>
  <c r="J71" i="3"/>
  <c r="J68" i="3"/>
  <c r="D296" i="38"/>
  <c r="D294" i="38"/>
  <c r="D289" i="38"/>
  <c r="D291" i="38"/>
  <c r="D286" i="38"/>
  <c r="D141" i="249" s="1"/>
  <c r="D284" i="38"/>
  <c r="D140" i="249" s="1"/>
  <c r="F33" i="8"/>
  <c r="F45" i="8" s="1"/>
  <c r="F50" i="8" s="1"/>
  <c r="J20" i="32" l="1"/>
  <c r="H48" i="8"/>
  <c r="J25" i="32"/>
  <c r="J28" i="32"/>
  <c r="D142" i="249"/>
  <c r="E119" i="249" s="1"/>
  <c r="E139" i="249"/>
  <c r="P144" i="1"/>
  <c r="Q144" i="1" s="1"/>
  <c r="H22" i="3"/>
  <c r="H38" i="3" s="1"/>
  <c r="D144" i="249"/>
  <c r="E15" i="249" s="1"/>
  <c r="L52" i="32" l="1"/>
  <c r="J17" i="32"/>
  <c r="E85" i="249"/>
  <c r="E128" i="249" l="1"/>
  <c r="E130" i="249" s="1"/>
  <c r="E137" i="249" s="1"/>
  <c r="E296" i="38" l="1"/>
  <c r="E291" i="38"/>
  <c r="E294" i="38"/>
  <c r="E286" i="38"/>
  <c r="E141" i="249" s="1"/>
  <c r="E284" i="38"/>
  <c r="E140" i="249" s="1"/>
  <c r="E289" i="38"/>
  <c r="E144" i="249" l="1"/>
  <c r="F15" i="249" s="1"/>
  <c r="E142" i="249"/>
  <c r="F119" i="249" s="1"/>
  <c r="F139" i="249"/>
  <c r="F85" i="249" l="1"/>
  <c r="F128" i="249" l="1"/>
  <c r="F130" i="249" s="1"/>
  <c r="F137" i="249" s="1"/>
  <c r="F291" i="38" l="1"/>
  <c r="F284" i="38"/>
  <c r="F140" i="249" s="1"/>
  <c r="F294" i="38"/>
  <c r="F286" i="38"/>
  <c r="F141" i="249" s="1"/>
  <c r="F289" i="38"/>
  <c r="F296" i="38"/>
  <c r="F144" i="249" l="1"/>
  <c r="G15" i="249" s="1"/>
  <c r="G139" i="249"/>
  <c r="F142" i="249"/>
  <c r="G119" i="249" s="1"/>
  <c r="G85" i="249" l="1"/>
  <c r="G128" i="249" l="1"/>
  <c r="G130" i="249" s="1"/>
  <c r="G137" i="249" s="1"/>
  <c r="G296" i="38" l="1"/>
  <c r="G294" i="38"/>
  <c r="G289" i="38"/>
  <c r="G284" i="38"/>
  <c r="G140" i="249" s="1"/>
  <c r="G291" i="38"/>
  <c r="G286" i="38"/>
  <c r="G141" i="249" s="1"/>
  <c r="G142" i="249" l="1"/>
  <c r="H119" i="249" s="1"/>
  <c r="H139" i="249"/>
  <c r="G144" i="249"/>
  <c r="H15" i="249" s="1"/>
  <c r="H85" i="249" l="1"/>
  <c r="H128" i="249" l="1"/>
  <c r="H130" i="249" s="1"/>
  <c r="H137" i="249" s="1"/>
  <c r="H291" i="38" l="1"/>
  <c r="H294" i="38"/>
  <c r="H286" i="38"/>
  <c r="H141" i="249" s="1"/>
  <c r="H289" i="38"/>
  <c r="H284" i="38"/>
  <c r="H140" i="249" s="1"/>
  <c r="H296" i="38"/>
  <c r="H142" i="249" l="1"/>
  <c r="I119" i="249" s="1"/>
  <c r="I139" i="249"/>
  <c r="H144" i="249"/>
  <c r="I15" i="249" s="1"/>
  <c r="I85" i="249" l="1"/>
  <c r="I128" i="249" l="1"/>
  <c r="I130" i="249" s="1"/>
  <c r="I137" i="249" s="1"/>
  <c r="I289" i="38" l="1"/>
  <c r="I291" i="38"/>
  <c r="I296" i="38"/>
  <c r="I286" i="38"/>
  <c r="I141" i="249" s="1"/>
  <c r="I284" i="38"/>
  <c r="I140" i="249" s="1"/>
  <c r="I294" i="38"/>
  <c r="I142" i="249" l="1"/>
  <c r="J119" i="249" s="1"/>
  <c r="J85" i="249" s="1"/>
  <c r="J128" i="249" s="1"/>
  <c r="J130" i="249" s="1"/>
  <c r="J139" i="249"/>
  <c r="I144" i="249"/>
  <c r="J15" i="249" s="1"/>
  <c r="J137" i="249" l="1"/>
  <c r="J291" i="38" l="1"/>
  <c r="J294" i="38"/>
  <c r="J286" i="38"/>
  <c r="J141" i="249" s="1"/>
  <c r="J296" i="38"/>
  <c r="J284" i="38"/>
  <c r="J140" i="249" s="1"/>
  <c r="J289" i="38"/>
  <c r="J144" i="249" l="1"/>
  <c r="K15" i="249" s="1"/>
  <c r="K139" i="249"/>
  <c r="J142" i="249"/>
  <c r="K119" i="249" s="1"/>
  <c r="K85" i="249" s="1"/>
  <c r="K128" i="249" s="1"/>
  <c r="K130" i="249" s="1"/>
  <c r="K137" i="249" l="1"/>
  <c r="K289" i="38" s="1"/>
  <c r="K296" i="38" l="1"/>
  <c r="K294" i="38"/>
  <c r="K284" i="38"/>
  <c r="K140" i="249" s="1"/>
  <c r="K286" i="38"/>
  <c r="K141" i="249" s="1"/>
  <c r="K291" i="38"/>
  <c r="L139" i="249" l="1"/>
  <c r="K144" i="249"/>
  <c r="L15" i="249" s="1"/>
  <c r="K142" i="249"/>
  <c r="L119" i="249" s="1"/>
  <c r="L85" i="249" s="1"/>
  <c r="L128" i="249" s="1"/>
  <c r="L130" i="249" s="1"/>
  <c r="L137" i="249" l="1"/>
  <c r="L284" i="38" s="1"/>
  <c r="L140" i="249" s="1"/>
  <c r="L289" i="38" l="1"/>
  <c r="L286" i="38"/>
  <c r="L141" i="249" s="1"/>
  <c r="M139" i="249" s="1"/>
  <c r="L296" i="38"/>
  <c r="L291" i="38"/>
  <c r="L294" i="38"/>
  <c r="L142" i="249" l="1"/>
  <c r="M119" i="249" s="1"/>
  <c r="M85" i="249" s="1"/>
  <c r="M128" i="249" s="1"/>
  <c r="M130" i="249" s="1"/>
  <c r="L144" i="249"/>
  <c r="M15" i="249" s="1"/>
  <c r="M137" i="249" l="1"/>
  <c r="M289" i="38" s="1"/>
  <c r="M294" i="38" l="1"/>
  <c r="M286" i="38"/>
  <c r="M141" i="249" s="1"/>
  <c r="M284" i="38"/>
  <c r="M140" i="249" s="1"/>
  <c r="M291" i="38"/>
  <c r="M296" i="38"/>
  <c r="M144" i="249" l="1"/>
  <c r="N15" i="249" s="1"/>
  <c r="M142" i="249"/>
  <c r="N119" i="249" s="1"/>
  <c r="O119" i="249" s="1"/>
  <c r="P85" i="249" s="1"/>
  <c r="G74" i="2" s="1"/>
  <c r="N139" i="249"/>
  <c r="B67" i="24" s="1"/>
  <c r="C65" i="24" l="1"/>
  <c r="N85" i="249"/>
  <c r="G77" i="2"/>
  <c r="H74" i="2"/>
  <c r="N128" i="249" l="1"/>
  <c r="N130" i="249" s="1"/>
  <c r="N137" i="249" s="1"/>
  <c r="N289" i="38" s="1"/>
  <c r="O85" i="249"/>
  <c r="O128" i="249" s="1"/>
  <c r="L87" i="32"/>
  <c r="P87" i="32"/>
  <c r="L84" i="32"/>
  <c r="P81" i="32"/>
  <c r="L81" i="32"/>
  <c r="P84" i="32"/>
  <c r="F93" i="24"/>
  <c r="F89" i="24"/>
  <c r="F81" i="24"/>
  <c r="F69" i="24"/>
  <c r="F96" i="24"/>
  <c r="F92" i="24"/>
  <c r="F88" i="24"/>
  <c r="F84" i="24"/>
  <c r="F80" i="24"/>
  <c r="F76" i="24"/>
  <c r="F72" i="24"/>
  <c r="F68" i="24"/>
  <c r="F95" i="24"/>
  <c r="F91" i="24"/>
  <c r="F87" i="24"/>
  <c r="F83" i="24"/>
  <c r="F79" i="24"/>
  <c r="F75" i="24"/>
  <c r="F71" i="24"/>
  <c r="F67" i="24"/>
  <c r="F94" i="24"/>
  <c r="F90" i="24"/>
  <c r="F86" i="24"/>
  <c r="F82" i="24"/>
  <c r="F78" i="24"/>
  <c r="F74" i="24"/>
  <c r="F70" i="24"/>
  <c r="F66" i="24"/>
  <c r="F85" i="24"/>
  <c r="F77" i="24"/>
  <c r="F73" i="24"/>
  <c r="F65" i="24"/>
  <c r="H77" i="2"/>
  <c r="C7" i="38" s="1"/>
  <c r="G89" i="2"/>
  <c r="N284" i="38" l="1"/>
  <c r="N140" i="249" s="1"/>
  <c r="O140" i="249" s="1"/>
  <c r="N286" i="38"/>
  <c r="N141" i="249" s="1"/>
  <c r="O141" i="249" s="1"/>
  <c r="N291" i="38"/>
  <c r="O130" i="249"/>
  <c r="O123" i="249"/>
  <c r="N296" i="38"/>
  <c r="N294" i="38"/>
  <c r="H89" i="2"/>
  <c r="G95" i="2"/>
  <c r="N144" i="249" l="1"/>
  <c r="N142" i="249"/>
  <c r="C139" i="252" s="1"/>
  <c r="O139" i="252" s="1"/>
  <c r="O137" i="249"/>
  <c r="O144" i="249" s="1"/>
  <c r="C15" i="252" s="1"/>
  <c r="O15" i="252" s="1"/>
  <c r="O125" i="249"/>
  <c r="D35" i="38"/>
  <c r="G98" i="2" s="1"/>
  <c r="D126" i="252" s="1"/>
  <c r="H95" i="2"/>
  <c r="E7" i="38" s="1"/>
  <c r="F7" i="38" s="1"/>
  <c r="L78" i="32"/>
  <c r="L72" i="32"/>
  <c r="O142" i="249"/>
  <c r="O138" i="249" s="1"/>
  <c r="G100" i="2" l="1"/>
  <c r="L75" i="32" s="1"/>
  <c r="K126" i="252"/>
  <c r="H126" i="252"/>
  <c r="E126" i="252"/>
  <c r="N126" i="252"/>
  <c r="L21" i="3"/>
  <c r="J29" i="8" s="1"/>
  <c r="H98" i="2"/>
  <c r="J44" i="3"/>
  <c r="C119" i="252"/>
  <c r="C85" i="252" s="1"/>
  <c r="C128" i="252" s="1"/>
  <c r="C130" i="252" s="1"/>
  <c r="C137" i="252" s="1"/>
  <c r="J43" i="3"/>
  <c r="J73" i="3" l="1"/>
  <c r="H100" i="2"/>
  <c r="H20" i="8"/>
  <c r="H24" i="8" s="1"/>
  <c r="J50" i="3"/>
  <c r="L31" i="32" s="1"/>
  <c r="H31" i="8"/>
  <c r="H32" i="8" s="1"/>
  <c r="C308" i="38"/>
  <c r="C301" i="38"/>
  <c r="C140" i="252" s="1"/>
  <c r="C303" i="38"/>
  <c r="C141" i="252" s="1"/>
  <c r="C313" i="38"/>
  <c r="C311" i="38"/>
  <c r="C306" i="38"/>
  <c r="O126" i="252"/>
  <c r="J74" i="3" l="1"/>
  <c r="L71" i="3"/>
  <c r="L68" i="3"/>
  <c r="J65" i="3"/>
  <c r="L34" i="32"/>
  <c r="D139" i="252"/>
  <c r="C144" i="252"/>
  <c r="D15" i="252" s="1"/>
  <c r="C142" i="252"/>
  <c r="D119" i="252" s="1"/>
  <c r="D85" i="252" s="1"/>
  <c r="H33" i="8"/>
  <c r="H45" i="8" s="1"/>
  <c r="H50" i="8" s="1"/>
  <c r="J76" i="3" l="1"/>
  <c r="J17" i="3" s="1"/>
  <c r="L25" i="32" s="1"/>
  <c r="D128" i="252"/>
  <c r="D130" i="252" s="1"/>
  <c r="D137" i="252" s="1"/>
  <c r="D301" i="38" s="1"/>
  <c r="D140" i="252" s="1"/>
  <c r="J48" i="8"/>
  <c r="L20" i="32"/>
  <c r="J22" i="3" l="1"/>
  <c r="J38" i="3" s="1"/>
  <c r="N52" i="32" s="1"/>
  <c r="P144" i="249"/>
  <c r="Q144" i="249" s="1"/>
  <c r="L28" i="32"/>
  <c r="D303" i="38"/>
  <c r="D141" i="252" s="1"/>
  <c r="D144" i="252" s="1"/>
  <c r="E15" i="252" s="1"/>
  <c r="D306" i="38"/>
  <c r="D308" i="38"/>
  <c r="D313" i="38"/>
  <c r="D311" i="38"/>
  <c r="L17" i="32" l="1"/>
  <c r="D142" i="252"/>
  <c r="E119" i="252" s="1"/>
  <c r="E85" i="252" s="1"/>
  <c r="E139" i="252"/>
  <c r="E128" i="252" l="1"/>
  <c r="E130" i="252" s="1"/>
  <c r="E137" i="252" s="1"/>
  <c r="E308" i="38" l="1"/>
  <c r="E311" i="38"/>
  <c r="E301" i="38"/>
  <c r="E140" i="252" s="1"/>
  <c r="E303" i="38"/>
  <c r="E141" i="252" s="1"/>
  <c r="E306" i="38"/>
  <c r="E313" i="38"/>
  <c r="E144" i="252" l="1"/>
  <c r="F15" i="252" s="1"/>
  <c r="E142" i="252"/>
  <c r="F119" i="252" s="1"/>
  <c r="F139" i="252"/>
  <c r="F85" i="252" l="1"/>
  <c r="F128" i="252" l="1"/>
  <c r="F130" i="252" s="1"/>
  <c r="F137" i="252" s="1"/>
  <c r="F308" i="38" l="1"/>
  <c r="F306" i="38"/>
  <c r="F311" i="38"/>
  <c r="F301" i="38"/>
  <c r="F140" i="252" s="1"/>
  <c r="F303" i="38"/>
  <c r="F141" i="252" s="1"/>
  <c r="F313" i="38"/>
  <c r="F142" i="252" l="1"/>
  <c r="G119" i="252" s="1"/>
  <c r="G139" i="252"/>
  <c r="F144" i="252"/>
  <c r="G15" i="252" s="1"/>
  <c r="G85" i="252" l="1"/>
  <c r="G128" i="252" l="1"/>
  <c r="G130" i="252" s="1"/>
  <c r="G137" i="252" s="1"/>
  <c r="G308" i="38" l="1"/>
  <c r="G301" i="38"/>
  <c r="G140" i="252" s="1"/>
  <c r="G306" i="38"/>
  <c r="G313" i="38"/>
  <c r="G303" i="38"/>
  <c r="G141" i="252" s="1"/>
  <c r="G311" i="38"/>
  <c r="G144" i="252" l="1"/>
  <c r="H15" i="252" s="1"/>
  <c r="G142" i="252"/>
  <c r="H119" i="252" s="1"/>
  <c r="H85" i="252" s="1"/>
  <c r="H128" i="252" s="1"/>
  <c r="H130" i="252" s="1"/>
  <c r="H139" i="252"/>
  <c r="H137" i="252" l="1"/>
  <c r="H306" i="38" s="1"/>
  <c r="H313" i="38" l="1"/>
  <c r="H308" i="38"/>
  <c r="H303" i="38"/>
  <c r="H141" i="252" s="1"/>
  <c r="H311" i="38"/>
  <c r="H301" i="38"/>
  <c r="H140" i="252" s="1"/>
  <c r="H144" i="252" l="1"/>
  <c r="I15" i="252" s="1"/>
  <c r="H142" i="252"/>
  <c r="I119" i="252" s="1"/>
  <c r="I85" i="252" s="1"/>
  <c r="I128" i="252" s="1"/>
  <c r="I130" i="252" s="1"/>
  <c r="I139" i="252"/>
  <c r="I137" i="252" l="1"/>
  <c r="I313" i="38" s="1"/>
  <c r="I311" i="38" l="1"/>
  <c r="I303" i="38"/>
  <c r="I141" i="252" s="1"/>
  <c r="I308" i="38"/>
  <c r="I301" i="38"/>
  <c r="I140" i="252" s="1"/>
  <c r="I306" i="38"/>
  <c r="J139" i="252" l="1"/>
  <c r="I142" i="252"/>
  <c r="J119" i="252" s="1"/>
  <c r="J85" i="252" s="1"/>
  <c r="J128" i="252" s="1"/>
  <c r="J130" i="252" s="1"/>
  <c r="I144" i="252"/>
  <c r="J15" i="252" s="1"/>
  <c r="J137" i="252" l="1"/>
  <c r="J306" i="38" s="1"/>
  <c r="J301" i="38" l="1"/>
  <c r="J140" i="252" s="1"/>
  <c r="J313" i="38"/>
  <c r="J311" i="38"/>
  <c r="J308" i="38"/>
  <c r="J303" i="38"/>
  <c r="J141" i="252" s="1"/>
  <c r="K139" i="252" l="1"/>
  <c r="J142" i="252"/>
  <c r="K119" i="252" s="1"/>
  <c r="K85" i="252" s="1"/>
  <c r="K128" i="252" s="1"/>
  <c r="K130" i="252" s="1"/>
  <c r="J144" i="252"/>
  <c r="K15" i="252" s="1"/>
  <c r="K137" i="252" l="1"/>
  <c r="K308" i="38" s="1"/>
  <c r="K306" i="38" l="1"/>
  <c r="K303" i="38"/>
  <c r="K141" i="252" s="1"/>
  <c r="K311" i="38"/>
  <c r="K313" i="38"/>
  <c r="K301" i="38"/>
  <c r="K140" i="252" s="1"/>
  <c r="K142" i="252" l="1"/>
  <c r="L119" i="252" s="1"/>
  <c r="L85" i="252" s="1"/>
  <c r="L128" i="252" s="1"/>
  <c r="L130" i="252" s="1"/>
  <c r="K144" i="252"/>
  <c r="L15" i="252" s="1"/>
  <c r="L139" i="252"/>
  <c r="L137" i="252" l="1"/>
  <c r="L303" i="38" s="1"/>
  <c r="L141" i="252" s="1"/>
  <c r="L311" i="38" l="1"/>
  <c r="L313" i="38"/>
  <c r="L306" i="38"/>
  <c r="L308" i="38"/>
  <c r="L301" i="38"/>
  <c r="L140" i="252" s="1"/>
  <c r="M139" i="252" s="1"/>
  <c r="L142" i="252" l="1"/>
  <c r="M119" i="252" s="1"/>
  <c r="M85" i="252" s="1"/>
  <c r="M128" i="252" s="1"/>
  <c r="M130" i="252" s="1"/>
  <c r="L144" i="252"/>
  <c r="M15" i="252" s="1"/>
  <c r="M137" i="252" l="1"/>
  <c r="M311" i="38" l="1"/>
  <c r="M303" i="38"/>
  <c r="M141" i="252" s="1"/>
  <c r="M301" i="38"/>
  <c r="M140" i="252" s="1"/>
  <c r="M308" i="38"/>
  <c r="M313" i="38"/>
  <c r="M306" i="38"/>
  <c r="M144" i="252" l="1"/>
  <c r="N15" i="252" s="1"/>
  <c r="M142" i="252"/>
  <c r="N119" i="252" s="1"/>
  <c r="N139" i="252"/>
  <c r="B68" i="24" s="1"/>
  <c r="O119" i="252" l="1"/>
  <c r="P85" i="252" s="1"/>
  <c r="I74" i="2" s="1"/>
  <c r="N85" i="252"/>
  <c r="O85" i="252" s="1"/>
  <c r="I77" i="2" l="1"/>
  <c r="J74" i="2"/>
  <c r="N128" i="252"/>
  <c r="N130" i="252" s="1"/>
  <c r="N137" i="252" s="1"/>
  <c r="O128" i="252"/>
  <c r="O130" i="252" s="1"/>
  <c r="O137" i="252" s="1"/>
  <c r="N311" i="38" l="1"/>
  <c r="N306" i="38"/>
  <c r="N303" i="38"/>
  <c r="N141" i="252" s="1"/>
  <c r="O141" i="252" s="1"/>
  <c r="N308" i="38"/>
  <c r="N313" i="38"/>
  <c r="N301" i="38"/>
  <c r="N140" i="252" s="1"/>
  <c r="J77" i="2"/>
  <c r="C8" i="38" s="1"/>
  <c r="I89" i="2"/>
  <c r="N144" i="252" l="1"/>
  <c r="O140" i="252"/>
  <c r="N142" i="252"/>
  <c r="C139" i="253" s="1"/>
  <c r="J89" i="2"/>
  <c r="I95" i="2"/>
  <c r="O142" i="252" l="1"/>
  <c r="O144" i="252"/>
  <c r="C15" i="253" s="1"/>
  <c r="O15" i="253" s="1"/>
  <c r="E35" i="38"/>
  <c r="I98" i="2" s="1"/>
  <c r="D126" i="253" s="1"/>
  <c r="N78" i="32"/>
  <c r="N72" i="32"/>
  <c r="J95" i="2"/>
  <c r="E8" i="38" s="1"/>
  <c r="F8" i="38" s="1"/>
  <c r="O139" i="253"/>
  <c r="I100" i="2" l="1"/>
  <c r="K126" i="253"/>
  <c r="H126" i="253"/>
  <c r="E126" i="253"/>
  <c r="N126" i="253"/>
  <c r="L43" i="3"/>
  <c r="C119" i="253"/>
  <c r="C85" i="253" s="1"/>
  <c r="J98" i="2"/>
  <c r="N21" i="3"/>
  <c r="L29" i="8" s="1"/>
  <c r="L44" i="3"/>
  <c r="L73" i="3" l="1"/>
  <c r="L74" i="3" s="1"/>
  <c r="N75" i="32"/>
  <c r="C128" i="253"/>
  <c r="C130" i="253" s="1"/>
  <c r="C137" i="253" s="1"/>
  <c r="C318" i="38" s="1"/>
  <c r="C140" i="253" s="1"/>
  <c r="J100" i="2"/>
  <c r="J20" i="8"/>
  <c r="J24" i="8" s="1"/>
  <c r="L50" i="3"/>
  <c r="N31" i="32" s="1"/>
  <c r="N68" i="3"/>
  <c r="O126" i="253"/>
  <c r="J31" i="8"/>
  <c r="J32" i="8" s="1"/>
  <c r="N71" i="3" l="1"/>
  <c r="C323" i="38"/>
  <c r="C320" i="38"/>
  <c r="C141" i="253" s="1"/>
  <c r="C142" i="253" s="1"/>
  <c r="D119" i="253" s="1"/>
  <c r="D85" i="253" s="1"/>
  <c r="C325" i="38"/>
  <c r="C328" i="38"/>
  <c r="C330" i="38"/>
  <c r="J33" i="8"/>
  <c r="J45" i="8" s="1"/>
  <c r="J50" i="8" s="1"/>
  <c r="L48" i="8" s="1"/>
  <c r="N34" i="32"/>
  <c r="L65" i="3"/>
  <c r="L76" i="3" s="1"/>
  <c r="L17" i="3" s="1"/>
  <c r="P144" i="252" s="1"/>
  <c r="Q144" i="252" s="1"/>
  <c r="D139" i="253" l="1"/>
  <c r="C144" i="253"/>
  <c r="D15" i="253" s="1"/>
  <c r="D128" i="253"/>
  <c r="D130" i="253" s="1"/>
  <c r="D137" i="253" s="1"/>
  <c r="D325" i="38" s="1"/>
  <c r="N25" i="32"/>
  <c r="N28" i="32"/>
  <c r="L22" i="3"/>
  <c r="L38" i="3" s="1"/>
  <c r="P52" i="32" s="1"/>
  <c r="N20" i="32"/>
  <c r="N17" i="32" l="1"/>
  <c r="D323" i="38"/>
  <c r="D328" i="38"/>
  <c r="D320" i="38"/>
  <c r="D141" i="253" s="1"/>
  <c r="D318" i="38"/>
  <c r="D140" i="253" s="1"/>
  <c r="D330" i="38"/>
  <c r="E139" i="253" l="1"/>
  <c r="D142" i="253"/>
  <c r="E119" i="253" s="1"/>
  <c r="E85" i="253" s="1"/>
  <c r="D144" i="253"/>
  <c r="E15" i="253" s="1"/>
  <c r="E128" i="253" l="1"/>
  <c r="E130" i="253" s="1"/>
  <c r="E137" i="253" s="1"/>
  <c r="E328" i="38" s="1"/>
  <c r="E330" i="38" l="1"/>
  <c r="E318" i="38"/>
  <c r="E140" i="253" s="1"/>
  <c r="E325" i="38"/>
  <c r="E320" i="38"/>
  <c r="E141" i="253" s="1"/>
  <c r="E323" i="38"/>
  <c r="E142" i="253" l="1"/>
  <c r="F119" i="253" s="1"/>
  <c r="F85" i="253" s="1"/>
  <c r="F139" i="253"/>
  <c r="E144" i="253"/>
  <c r="F15" i="253" s="1"/>
  <c r="F128" i="253" l="1"/>
  <c r="F130" i="253" s="1"/>
  <c r="F137" i="253" s="1"/>
  <c r="F323" i="38" s="1"/>
  <c r="F325" i="38" l="1"/>
  <c r="F328" i="38"/>
  <c r="F318" i="38"/>
  <c r="F140" i="253" s="1"/>
  <c r="F330" i="38"/>
  <c r="F320" i="38"/>
  <c r="F141" i="253" s="1"/>
  <c r="F144" i="253" l="1"/>
  <c r="G15" i="253" s="1"/>
  <c r="F142" i="253"/>
  <c r="G119" i="253" s="1"/>
  <c r="G85" i="253" s="1"/>
  <c r="G139" i="253"/>
  <c r="G128" i="253" l="1"/>
  <c r="G130" i="253" s="1"/>
  <c r="G137" i="253" s="1"/>
  <c r="G323" i="38" s="1"/>
  <c r="G318" i="38" l="1"/>
  <c r="G140" i="253" s="1"/>
  <c r="G328" i="38"/>
  <c r="G320" i="38"/>
  <c r="G141" i="253" s="1"/>
  <c r="G330" i="38"/>
  <c r="G325" i="38"/>
  <c r="H139" i="253" l="1"/>
  <c r="G144" i="253"/>
  <c r="H15" i="253" s="1"/>
  <c r="G142" i="253"/>
  <c r="H119" i="253" s="1"/>
  <c r="H85" i="253" s="1"/>
  <c r="H128" i="253" s="1"/>
  <c r="H130" i="253" s="1"/>
  <c r="H137" i="253" l="1"/>
  <c r="H328" i="38" s="1"/>
  <c r="H323" i="38" l="1"/>
  <c r="H320" i="38"/>
  <c r="H141" i="253" s="1"/>
  <c r="H330" i="38"/>
  <c r="H325" i="38"/>
  <c r="H318" i="38"/>
  <c r="H140" i="253" s="1"/>
  <c r="H144" i="253" l="1"/>
  <c r="I15" i="253" s="1"/>
  <c r="I139" i="253"/>
  <c r="H142" i="253"/>
  <c r="I119" i="253" s="1"/>
  <c r="I85" i="253" s="1"/>
  <c r="I128" i="253" s="1"/>
  <c r="I130" i="253" s="1"/>
  <c r="I137" i="253" l="1"/>
  <c r="I320" i="38" s="1"/>
  <c r="I141" i="253" s="1"/>
  <c r="I318" i="38" l="1"/>
  <c r="I140" i="253" s="1"/>
  <c r="J139" i="253" s="1"/>
  <c r="I325" i="38"/>
  <c r="I328" i="38"/>
  <c r="I323" i="38"/>
  <c r="I330" i="38"/>
  <c r="I142" i="253" l="1"/>
  <c r="J119" i="253" s="1"/>
  <c r="J85" i="253" s="1"/>
  <c r="J128" i="253" s="1"/>
  <c r="J130" i="253" s="1"/>
  <c r="I144" i="253"/>
  <c r="J15" i="253" s="1"/>
  <c r="J137" i="253" l="1"/>
  <c r="J325" i="38" s="1"/>
  <c r="J330" i="38" l="1"/>
  <c r="J320" i="38"/>
  <c r="J141" i="253" s="1"/>
  <c r="J323" i="38"/>
  <c r="J328" i="38"/>
  <c r="J318" i="38"/>
  <c r="J140" i="253" s="1"/>
  <c r="K139" i="253" l="1"/>
  <c r="J142" i="253"/>
  <c r="K119" i="253" s="1"/>
  <c r="K85" i="253" s="1"/>
  <c r="K128" i="253" s="1"/>
  <c r="K130" i="253" s="1"/>
  <c r="J144" i="253"/>
  <c r="K15" i="253" s="1"/>
  <c r="K137" i="253" l="1"/>
  <c r="K323" i="38" s="1"/>
  <c r="K318" i="38" l="1"/>
  <c r="K140" i="253" s="1"/>
  <c r="K325" i="38"/>
  <c r="K320" i="38"/>
  <c r="K141" i="253" s="1"/>
  <c r="K330" i="38"/>
  <c r="K328" i="38"/>
  <c r="K142" i="253" l="1"/>
  <c r="L119" i="253" s="1"/>
  <c r="L85" i="253" s="1"/>
  <c r="L128" i="253" s="1"/>
  <c r="L130" i="253" s="1"/>
  <c r="K144" i="253"/>
  <c r="L15" i="253" s="1"/>
  <c r="L139" i="253"/>
  <c r="L137" i="253" l="1"/>
  <c r="L323" i="38" s="1"/>
  <c r="L318" i="38" l="1"/>
  <c r="L140" i="253" s="1"/>
  <c r="L325" i="38"/>
  <c r="L320" i="38"/>
  <c r="L141" i="253" s="1"/>
  <c r="L330" i="38"/>
  <c r="L328" i="38"/>
  <c r="L144" i="253" l="1"/>
  <c r="M15" i="253" s="1"/>
  <c r="M139" i="253"/>
  <c r="L142" i="253"/>
  <c r="M119" i="253" s="1"/>
  <c r="M85" i="253" s="1"/>
  <c r="M128" i="253" s="1"/>
  <c r="M130" i="253" s="1"/>
  <c r="M137" i="253" l="1"/>
  <c r="M320" i="38" s="1"/>
  <c r="M141" i="253" s="1"/>
  <c r="M328" i="38" l="1"/>
  <c r="M325" i="38"/>
  <c r="M318" i="38"/>
  <c r="M140" i="253" s="1"/>
  <c r="N139" i="253" s="1"/>
  <c r="B69" i="24" s="1"/>
  <c r="M330" i="38"/>
  <c r="M323" i="38"/>
  <c r="C66" i="24" l="1"/>
  <c r="D65" i="24" s="1"/>
  <c r="M144" i="253"/>
  <c r="N15" i="253" s="1"/>
  <c r="M142" i="253"/>
  <c r="N119" i="253" s="1"/>
  <c r="O119" i="253" s="1"/>
  <c r="P85" i="253" s="1"/>
  <c r="K74" i="2" s="1"/>
  <c r="D82" i="24" l="1"/>
  <c r="D84" i="24"/>
  <c r="D95" i="24"/>
  <c r="D66" i="24"/>
  <c r="D92" i="24"/>
  <c r="D75" i="24"/>
  <c r="D94" i="24"/>
  <c r="D76" i="24"/>
  <c r="D85" i="24"/>
  <c r="D68" i="24"/>
  <c r="D70" i="24"/>
  <c r="D83" i="24"/>
  <c r="D78" i="24"/>
  <c r="D87" i="24"/>
  <c r="D86" i="24"/>
  <c r="D88" i="24"/>
  <c r="D69" i="24"/>
  <c r="D89" i="24"/>
  <c r="D71" i="24"/>
  <c r="D90" i="24"/>
  <c r="D77" i="24"/>
  <c r="D81" i="24"/>
  <c r="D79" i="24"/>
  <c r="D73" i="24"/>
  <c r="D91" i="24"/>
  <c r="D80" i="24"/>
  <c r="D96" i="24"/>
  <c r="D72" i="24"/>
  <c r="D67" i="24"/>
  <c r="D74" i="24"/>
  <c r="D93" i="24"/>
  <c r="K77" i="2"/>
  <c r="L77" i="2" s="1"/>
  <c r="C9" i="38" s="1"/>
  <c r="L74" i="2"/>
  <c r="P128" i="253"/>
  <c r="N85" i="253"/>
  <c r="J54" i="24" l="1"/>
  <c r="J58" i="24" s="1"/>
  <c r="J57" i="24" s="1"/>
  <c r="D17" i="24" s="1"/>
  <c r="C26" i="24" s="1"/>
  <c r="C58" i="24" s="1"/>
  <c r="D30" i="38" s="1"/>
  <c r="N128" i="253"/>
  <c r="N130" i="253" s="1"/>
  <c r="N137" i="253" s="1"/>
  <c r="N328" i="38" s="1"/>
  <c r="O85" i="253"/>
  <c r="O128" i="253" s="1"/>
  <c r="O130" i="253" s="1"/>
  <c r="O137" i="253" s="1"/>
  <c r="K89" i="2"/>
  <c r="L89" i="2" s="1"/>
  <c r="N330" i="38" l="1"/>
  <c r="D31" i="38"/>
  <c r="N320" i="38"/>
  <c r="N141" i="253" s="1"/>
  <c r="O141" i="253" s="1"/>
  <c r="N318" i="38"/>
  <c r="N140" i="253" s="1"/>
  <c r="N325" i="38"/>
  <c r="N323" i="38"/>
  <c r="K95" i="2"/>
  <c r="N142" i="253" l="1"/>
  <c r="O140" i="253"/>
  <c r="O144" i="253" s="1"/>
  <c r="N144" i="253"/>
  <c r="L95" i="2"/>
  <c r="E9" i="38" s="1"/>
  <c r="F9" i="38" s="1"/>
  <c r="P72" i="32"/>
  <c r="F35" i="38"/>
  <c r="K98" i="2" s="1"/>
  <c r="K100" i="2" s="1"/>
  <c r="P75" i="32" s="1"/>
  <c r="P78" i="32"/>
  <c r="O142" i="253" l="1"/>
  <c r="N43" i="3" s="1"/>
  <c r="L98" i="2"/>
  <c r="N44" i="3"/>
  <c r="L20" i="8"/>
  <c r="L24" i="8" s="1"/>
  <c r="L100" i="2"/>
  <c r="N73" i="3"/>
  <c r="N74" i="3" s="1"/>
  <c r="N50" i="3" l="1"/>
  <c r="P31" i="32" s="1"/>
  <c r="L31" i="8"/>
  <c r="L32" i="8" s="1"/>
  <c r="L33" i="8" s="1"/>
  <c r="L45" i="8" s="1"/>
  <c r="L50" i="8" s="1"/>
  <c r="P34" i="32" l="1"/>
  <c r="N65" i="3"/>
  <c r="N76" i="3" s="1"/>
  <c r="N17" i="3" s="1"/>
  <c r="P25" i="32" s="1"/>
  <c r="P20" i="32" l="1"/>
  <c r="P28" i="32"/>
  <c r="N22" i="3"/>
  <c r="N38" i="3" s="1"/>
  <c r="P17" i="32" s="1"/>
  <c r="P144" i="253"/>
  <c r="Q144" i="25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7" authorId="0" shapeId="0" xr:uid="{00000000-0006-0000-0E00-000001000000}">
      <text>
        <r>
          <rPr>
            <b/>
            <sz val="12"/>
            <color indexed="81"/>
            <rFont val="Times New Roman CYR"/>
            <family val="1"/>
          </rPr>
          <t xml:space="preserve">Michel Ross : </t>
        </r>
        <r>
          <rPr>
            <sz val="12"/>
            <color indexed="81"/>
            <rFont val="Times New Roman CYR"/>
            <family val="1"/>
          </rPr>
          <t xml:space="preserve">Ce ratio mesure l'importance des capitaux empruntés dans le financement de l'entreprise. 
</t>
        </r>
      </text>
    </comment>
    <comment ref="C20" authorId="0" shapeId="0" xr:uid="{00000000-0006-0000-0E00-000002000000}">
      <text>
        <r>
          <rPr>
            <b/>
            <sz val="12"/>
            <color indexed="81"/>
            <rFont val="Times New Roman CYR"/>
            <family val="1"/>
          </rPr>
          <t xml:space="preserve">Michel Ross : </t>
        </r>
        <r>
          <rPr>
            <sz val="12"/>
            <color indexed="81"/>
            <rFont val="Times New Roman CYR"/>
            <family val="1"/>
          </rPr>
          <t>Indique dans quelle mesure l'entreprise dépend du financement par emprunt et montre la part de l'endettement de l'entreprise en comparaison aux sommes investies par les propriétaires. Ce ratio indique le nombre de dollars empruntés pour chaque dollar de capitaux propres. Parce que ce ratio est un bon indicateur de la capacité de l'entreprise de rembourser ses créanciers, la plupart des prêteurs y accordent une grande importance.</t>
        </r>
        <r>
          <rPr>
            <b/>
            <sz val="12"/>
            <color indexed="81"/>
            <rFont val="Times New Roman CYR"/>
            <family val="1"/>
          </rPr>
          <t xml:space="preserve"> </t>
        </r>
        <r>
          <rPr>
            <sz val="12"/>
            <color indexed="81"/>
            <rFont val="Times New Roman CYR"/>
            <family val="1"/>
          </rPr>
          <t xml:space="preserve">
</t>
        </r>
      </text>
    </comment>
    <comment ref="B25" authorId="0" shapeId="0" xr:uid="{00000000-0006-0000-0E00-000003000000}">
      <text>
        <r>
          <rPr>
            <b/>
            <sz val="12"/>
            <color indexed="81"/>
            <rFont val="Times New Roman CYR"/>
            <family val="1"/>
          </rPr>
          <t xml:space="preserve">Michel Ross : </t>
        </r>
        <r>
          <rPr>
            <sz val="12"/>
            <color indexed="81"/>
            <rFont val="Times New Roman CYR"/>
            <family val="1"/>
          </rPr>
          <t xml:space="preserve">Aussi appelé ratio du fonds de roulement, ce ratio mesure la capacité de l'entreprise de régler ses dettes et obligations à court terme (échéant au cours des 12 prochains mois). Le ratio de liquidité générale permet de savoir si l'entreprise a un fonds de roulement suffisant (l'excédent de l'actif à court terme sur le passif à court terme) pour payer ses dettes à court terme, saisir les occasions qui s'offrent à elle et obtenir des conditions de crédit favorables. 
</t>
        </r>
      </text>
    </comment>
    <comment ref="B28" authorId="0" shapeId="0" xr:uid="{00000000-0006-0000-0E00-000004000000}">
      <text>
        <r>
          <rPr>
            <b/>
            <sz val="12"/>
            <color indexed="81"/>
            <rFont val="Times New Roman CYR"/>
            <family val="1"/>
          </rPr>
          <t xml:space="preserve">Michel Ross : </t>
        </r>
        <r>
          <rPr>
            <sz val="12"/>
            <color indexed="81"/>
            <rFont val="Times New Roman CYR"/>
            <family val="1"/>
          </rPr>
          <t xml:space="preserve">Ce ratio, qui en anglais porte le nom très imagé de Acid Test Ratio, indique la capacité de l'entreprise de faire face aux exigences immédiates de ses créanciers en mettant à profit ses disponibilités, c'est-à-dire ses éléments d'actif les plus facilement réalisables (encaisse, investissements temporaires et titres rapidement négociables). Le ratio de liquidité relative est une mesure plus réaliste de la capacité de l'entreprise de faire face à ses obligations à court terme que le ratio de liquidité générale car il exclut les stocks et les éléments payés d'avance qui ne peuvent être immédiatement réalisés. Le ratio de liquidité relative est généralement utilisé en complément du ratio de liquidité générale. 
</t>
        </r>
      </text>
    </comment>
    <comment ref="C34" authorId="0" shapeId="0" xr:uid="{00000000-0006-0000-0E00-000005000000}">
      <text>
        <r>
          <rPr>
            <b/>
            <sz val="12"/>
            <color indexed="81"/>
            <rFont val="Times New Roman CYR"/>
            <family val="1"/>
          </rPr>
          <t xml:space="preserve">Michel Ross : </t>
        </r>
        <r>
          <rPr>
            <sz val="12"/>
            <color indexed="81"/>
            <rFont val="Times New Roman CYR"/>
            <family val="1"/>
          </rPr>
          <t xml:space="preserve">Permet de savoir si une trop forte proportion du fonds de roulement se trouve investie dans les stocks. Parce que les stocks ont moins de liquidité que l'encaisse, une trop grande quantité de marchandises en stock peut faire craindre que l'entreprise n'ait pas les disponibilités nécessaires pour faire face à ses obligations à court terme. 
</t>
        </r>
      </text>
    </comment>
    <comment ref="D42" authorId="0" shapeId="0" xr:uid="{00000000-0006-0000-0E00-000006000000}">
      <text>
        <r>
          <rPr>
            <b/>
            <sz val="12"/>
            <color indexed="81"/>
            <rFont val="Times New Roman CYR"/>
            <family val="1"/>
          </rPr>
          <t xml:space="preserve">Michel Ross : </t>
        </r>
        <r>
          <rPr>
            <sz val="12"/>
            <color indexed="81"/>
            <rFont val="Times New Roman CYR"/>
            <family val="1"/>
          </rPr>
          <t xml:space="preserve">Mesure le nombre moyen de jours qu'il faut aux clients pour payer leurs comptes et donne une indication de l'efficacité des politiques de crédit et de recouvrement en vigueur dans l'entreprise. Le résultat permet aussi de déterminer si les modalités de crédit dont se sert l'entreprise sont réalistes. Le nombre de jours dans l'exercice correspond au nombre de jours de la période à mesurer, et s'établit le plus souvent à 365. Le solde moyen des comptes clients est la moyenne du solde d'ouverture et du solde de clôture des comptes clients pour la période à mesurer.
</t>
        </r>
      </text>
    </comment>
    <comment ref="D45" authorId="0" shapeId="0" xr:uid="{00000000-0006-0000-0E00-000007000000}">
      <text>
        <r>
          <rPr>
            <b/>
            <sz val="12"/>
            <color indexed="81"/>
            <rFont val="Times New Roman CYR"/>
            <family val="1"/>
          </rPr>
          <t xml:space="preserve">Michel Ross : </t>
        </r>
        <r>
          <rPr>
            <sz val="12"/>
            <color indexed="81"/>
            <rFont val="Times New Roman CYR"/>
            <family val="1"/>
          </rPr>
          <t xml:space="preserve">Mesure le nombre moyen de jours qu'il faut à l'entreprise pour payer ses fournisseurs. Le nombre de jours dans l'exercice correspond au nombre de jours dans la période à mesurer, et s'établit le plus souvent à 365. Le solde moyen des comptes fournisseurs est la moyenne du solde d'ouverture et du solde de clôture des comptes fournisseurs pour l'ensemble de la période à mesurer.
</t>
        </r>
      </text>
    </comment>
    <comment ref="B48" authorId="0" shapeId="0" xr:uid="{00000000-0006-0000-0E00-000008000000}">
      <text>
        <r>
          <rPr>
            <b/>
            <sz val="12"/>
            <color indexed="81"/>
            <rFont val="Times New Roman CYR"/>
            <family val="1"/>
          </rPr>
          <t xml:space="preserve">Michel Ross : </t>
        </r>
        <r>
          <rPr>
            <sz val="12"/>
            <color indexed="81"/>
            <rFont val="Times New Roman CYR"/>
            <family val="1"/>
          </rPr>
          <t xml:space="preserve">Mesure le chiffre d'affaires que dégage chaque dollar d'actif investi. </t>
        </r>
      </text>
    </comment>
    <comment ref="C51" authorId="0" shapeId="0" xr:uid="{00000000-0006-0000-0E00-000009000000}">
      <text>
        <r>
          <rPr>
            <b/>
            <sz val="12"/>
            <color indexed="81"/>
            <rFont val="Times New Roman CYR"/>
            <family val="1"/>
          </rPr>
          <t xml:space="preserve">Michel Ross : </t>
        </r>
        <r>
          <rPr>
            <sz val="12"/>
            <color indexed="81"/>
            <rFont val="Times New Roman CYR"/>
            <family val="1"/>
          </rPr>
          <t xml:space="preserve">Ce ratio mesure le chiffre d'affaires dégagé par chaque dollar investi en immobilisations. On l'utilise le plus souvent en rapport avec le ratio d'exploitation de l'actif. La moyenne des immobilisations nettes correspond à la moyenne du solde d'ouverture et du solde de clôture des immobilisations. 
</t>
        </r>
      </text>
    </comment>
    <comment ref="C54" authorId="0" shapeId="0" xr:uid="{00000000-0006-0000-0E00-00000A000000}">
      <text>
        <r>
          <rPr>
            <b/>
            <sz val="12"/>
            <color indexed="81"/>
            <rFont val="Times New Roman CYR"/>
            <family val="1"/>
          </rPr>
          <t xml:space="preserve">Michel Ross : </t>
        </r>
        <r>
          <rPr>
            <sz val="12"/>
            <color indexed="81"/>
            <rFont val="Times New Roman CYR"/>
            <family val="1"/>
          </rPr>
          <t xml:space="preserve">Mesure le degré de liquidité des comptes clients sur l'ensemble de l'année. Le solde moyen des comptes clients correspond à la moyenne du solde d'ouverture et du solde de clôture des comptes clients. 
</t>
        </r>
      </text>
    </comment>
    <comment ref="C61" authorId="0" shapeId="0" xr:uid="{00000000-0006-0000-0E00-00000B000000}">
      <text>
        <r>
          <rPr>
            <b/>
            <sz val="12"/>
            <color indexed="81"/>
            <rFont val="Times New Roman CYR"/>
            <family val="1"/>
          </rPr>
          <t xml:space="preserve">Michel Ross : </t>
        </r>
        <r>
          <rPr>
            <sz val="12"/>
            <color indexed="81"/>
            <rFont val="Times New Roman CYR"/>
            <family val="1"/>
          </rPr>
          <t xml:space="preserve">Ce ratio calcule le montant des ventes nécessaires pour couvrir toutes les dépenses de l'entreprises à l'exception de la DPA.(dépense pour amortissement)
</t>
        </r>
      </text>
    </comment>
    <comment ref="C64" authorId="0" shapeId="0" xr:uid="{00000000-0006-0000-0E00-00000C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y compris la DPA.(dépense pour amortissement)</t>
        </r>
        <r>
          <rPr>
            <b/>
            <sz val="12"/>
            <color indexed="81"/>
            <rFont val="Times New Roman CYR"/>
            <family val="1"/>
          </rPr>
          <t xml:space="preserve">
</t>
        </r>
      </text>
    </comment>
    <comment ref="E67" authorId="0" shapeId="0" xr:uid="{00000000-0006-0000-0E00-00000D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DPA incluse, ainsi que  les prélèvements du promoteur qui ne sont pas compris dans les dépenses de l'entreprise.</t>
        </r>
        <r>
          <rPr>
            <b/>
            <sz val="12"/>
            <color indexed="81"/>
            <rFont val="Times New Roman CYR"/>
            <family val="1"/>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D27" authorId="0" shapeId="0" xr:uid="{00000000-0006-0000-1200-000001000000}">
      <text>
        <r>
          <rPr>
            <b/>
            <sz val="8"/>
            <color indexed="81"/>
            <rFont val="Tahoma"/>
            <family val="2"/>
          </rPr>
          <t xml:space="preserve">Michel Ross : </t>
        </r>
        <r>
          <rPr>
            <sz val="8"/>
            <color indexed="81"/>
            <rFont val="Tahoma"/>
            <family val="2"/>
          </rPr>
          <t>Vous devez toujours inscrire le premier du mois de démarrage prévu. Ex:  Si vous prévoyez démarrer le 09 octobre 2004, vous devez inscrire 2004-10-01 comme date de démarrage.</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CSDLR</author>
    <author>Michel Ross</author>
  </authors>
  <commentList>
    <comment ref="B25" authorId="0" shapeId="0" xr:uid="{00000000-0006-0000-1600-000001000000}">
      <text>
        <r>
          <rPr>
            <b/>
            <sz val="8"/>
            <color indexed="81"/>
            <rFont val="Tahoma"/>
            <family val="2"/>
          </rPr>
          <t xml:space="preserve">Michel Ross : </t>
        </r>
        <r>
          <rPr>
            <sz val="8"/>
            <color indexed="81"/>
            <rFont val="Tahoma"/>
            <family val="2"/>
          </rPr>
          <t>Inscrire le nom du programme de subvention dans la cellule bleue D22 ci-contre( ex: Jeunes promoteurs)</t>
        </r>
        <r>
          <rPr>
            <sz val="8"/>
            <color indexed="81"/>
            <rFont val="Tahoma"/>
            <family val="2"/>
          </rPr>
          <t xml:space="preserve">
Vous pouvez inscrire 3 subventions différentes (plus bas).  </t>
        </r>
      </text>
    </comment>
    <comment ref="A27" authorId="1" shapeId="0" xr:uid="{00000000-0006-0000-1600-000002000000}">
      <text>
        <r>
          <rPr>
            <b/>
            <sz val="8"/>
            <color indexed="81"/>
            <rFont val="Tahoma"/>
            <family val="2"/>
          </rPr>
          <t xml:space="preserve">Michel Ross : </t>
        </r>
        <r>
          <rPr>
            <sz val="8"/>
            <color indexed="81"/>
            <rFont val="Tahoma"/>
            <family val="2"/>
          </rPr>
          <t>Inscrire le montant global de la subvention .</t>
        </r>
        <r>
          <rPr>
            <b/>
            <sz val="8"/>
            <color indexed="81"/>
            <rFont val="Tahoma"/>
            <family val="2"/>
          </rPr>
          <t xml:space="preserve">
</t>
        </r>
      </text>
    </comment>
    <comment ref="A29" authorId="1" shapeId="0" xr:uid="{00000000-0006-0000-1600-000003000000}">
      <text>
        <r>
          <rPr>
            <b/>
            <sz val="8"/>
            <color indexed="81"/>
            <rFont val="Tahoma"/>
            <family val="2"/>
          </rPr>
          <t xml:space="preserve">Michel Ross : </t>
        </r>
        <r>
          <rPr>
            <sz val="8"/>
            <color indexed="81"/>
            <rFont val="Tahoma"/>
            <family val="2"/>
          </rPr>
          <t>Veuillez inscrire la portion de la subvention qui sera versée au démarrage(Année 1).  Les portions qui seront versées plus tard devront être inscrites dans les années 2 et 3(Cellules F16 et H16)</t>
        </r>
        <r>
          <rPr>
            <b/>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rossmi</author>
  </authors>
  <commentList>
    <comment ref="K9" authorId="0" shapeId="0" xr:uid="{00000000-0006-0000-3100-000001000000}">
      <text>
        <r>
          <rPr>
            <b/>
            <sz val="9"/>
            <color indexed="81"/>
            <rFont val="Tahoma"/>
            <family val="2"/>
          </rPr>
          <t>Michel Ross:</t>
        </r>
        <r>
          <rPr>
            <sz val="9"/>
            <color indexed="81"/>
            <rFont val="Tahoma"/>
            <family val="2"/>
          </rPr>
          <t xml:space="preserve">
Actionnaire détenant 40% ou plus des actions.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CSDLR</author>
    <author>Ross Michel</author>
  </authors>
  <commentList>
    <comment ref="C17" authorId="0" shapeId="0" xr:uid="{00000000-0006-0000-32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 ref="W18" authorId="1" shapeId="0" xr:uid="{00000000-0006-0000-3200-000002000000}">
      <text>
        <r>
          <rPr>
            <b/>
            <sz val="9"/>
            <color indexed="81"/>
            <rFont val="Tahoma"/>
            <family val="2"/>
          </rPr>
          <t>Ross Michel:</t>
        </r>
        <r>
          <rPr>
            <sz val="9"/>
            <color indexed="81"/>
            <rFont val="Tahoma"/>
            <family val="2"/>
          </rPr>
          <t xml:space="preserve">
Pour ajuster les charges salariales de la CCQ, mettre le % de majjoration voulu. La moyenne si situe autour de 35%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3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4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5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6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Votre nom d'utilisateur</author>
  </authors>
  <commentList>
    <comment ref="C61" authorId="0" shapeId="0" xr:uid="{00000000-0006-0000-3D00-000001000000}">
      <text>
        <r>
          <rPr>
            <b/>
            <sz val="8"/>
            <color indexed="81"/>
            <rFont val="Tahoma"/>
            <family val="2"/>
          </rPr>
          <t xml:space="preserve">Michel Ross : </t>
        </r>
        <r>
          <rPr>
            <sz val="8"/>
            <color indexed="81"/>
            <rFont val="Tahoma"/>
            <family val="2"/>
          </rPr>
          <t xml:space="preserve">Apports reportés afférents aux immobilisations.  Poste où figurent les sommes reçues qui sont affectées (dédiées) à l'acquisition d'immobilisations. Ce poste de passif sera passé en revenus à l'état des résultats au même rythme que l'amortissement de l'immobilisation concernée.  Ce poste regroupe les subventions affectées aux immobilisations pour les immobilisations qui n’ont pas été passées en charges à l’état des résultats. L’organisme qui fait financer l’achat de ses immobilisations par des subventions doit constater la portion de la subvention comme revenu à l’état des résultats au moment où il inscrit l’immobilisation comme charge ou l’amortissement de celle-ci.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29" authorId="0" shapeId="0" xr:uid="{00000000-0006-0000-4900-000001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1" authorId="0" shapeId="0" xr:uid="{00000000-0006-0000-4900-000002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3" authorId="0" shapeId="0" xr:uid="{00000000-0006-0000-4900-000003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 ref="B135" authorId="0" shapeId="0" xr:uid="{00000000-0006-0000-4900-000004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List>
</comments>
</file>

<file path=xl/sharedStrings.xml><?xml version="1.0" encoding="utf-8"?>
<sst xmlns="http://schemas.openxmlformats.org/spreadsheetml/2006/main" count="2743" uniqueCount="939">
  <si>
    <t xml:space="preserve">élaboré dans le cadre de </t>
  </si>
  <si>
    <t>ASP Lancement d'une entreprise</t>
  </si>
  <si>
    <t>Pour information contactez Entrepreneuriat Québec</t>
  </si>
  <si>
    <t>Année 4</t>
  </si>
  <si>
    <t>Année 5</t>
  </si>
  <si>
    <t>CHARGES SALARIALES 3</t>
  </si>
  <si>
    <t>CHARGES SALARIALES 4</t>
  </si>
  <si>
    <t>CHARGES SALARIALES 5</t>
  </si>
  <si>
    <t>Déboursés achats 3,4,5</t>
  </si>
  <si>
    <t>AN 4</t>
  </si>
  <si>
    <t>AN 5</t>
  </si>
  <si>
    <t>A</t>
  </si>
  <si>
    <t>Ratio de liquidité immédiate</t>
  </si>
  <si>
    <t>NOM, PRÉNOM</t>
  </si>
  <si>
    <t xml:space="preserve">Augmentation de l'inventaire </t>
  </si>
  <si>
    <t>PLAN DES RESSOURCES FINANCIÈRES</t>
  </si>
  <si>
    <t>TABLE DES MATIÈRES</t>
  </si>
  <si>
    <t>(aaaa-mm-jj)</t>
  </si>
  <si>
    <t>Ressources humaines an4</t>
  </si>
  <si>
    <t>Ressources humaines an5</t>
  </si>
  <si>
    <t>Hypothèses des frais généraux pour la troisième année</t>
  </si>
  <si>
    <t>Dépenses R&amp;D</t>
  </si>
  <si>
    <t>NOTE 5 :</t>
  </si>
  <si>
    <t>Inventaire au début</t>
  </si>
  <si>
    <t>Régime d'assurance parentale du Québec (RQAP)</t>
  </si>
  <si>
    <t>Hypothèses des frais généraux pour la cinquième année</t>
  </si>
  <si>
    <t>Hypothèses de ventes de la cinquième année</t>
  </si>
  <si>
    <t>Hypothèses de ventes de la quatrième année</t>
  </si>
  <si>
    <t>Hypothèses de ventes de la troisième année</t>
  </si>
  <si>
    <t>Acquisition 4</t>
  </si>
  <si>
    <t>PRF - 3</t>
  </si>
  <si>
    <t>PRF - 4</t>
  </si>
  <si>
    <t>PRF - 5</t>
  </si>
  <si>
    <t>PRF - 6</t>
  </si>
  <si>
    <t>PRF - 7</t>
  </si>
  <si>
    <t>Budget de caisse la première année</t>
  </si>
  <si>
    <t>Acquisition 5</t>
  </si>
  <si>
    <t>Quatrième année</t>
  </si>
  <si>
    <t>Cinquième année</t>
  </si>
  <si>
    <t>4e</t>
  </si>
  <si>
    <t>5e</t>
  </si>
  <si>
    <t>3e année</t>
  </si>
  <si>
    <t>4e année</t>
  </si>
  <si>
    <t>5e année</t>
  </si>
  <si>
    <t>Hypothèses d'achats de la troisième année</t>
  </si>
  <si>
    <t>Maind'œuvre en R&amp;D</t>
  </si>
  <si>
    <t>Dépenses en R&amp;D</t>
  </si>
  <si>
    <t>F</t>
  </si>
  <si>
    <t>Hypothèses d'achats de la cinquième année</t>
  </si>
  <si>
    <t>Encaisse</t>
  </si>
  <si>
    <t>le montant qui sera financé à même le fonds de roulement :</t>
  </si>
  <si>
    <t>Si vous prévoyez des investissements en immobilisations autres qu'au démarrage, inscrire</t>
  </si>
  <si>
    <t>C.C.</t>
  </si>
  <si>
    <t>M.E.</t>
  </si>
  <si>
    <t>M.E./C.C.</t>
  </si>
  <si>
    <t>Mise de fonds sur futures acquistions</t>
  </si>
  <si>
    <t>Marge de crédit et garantie bancaire</t>
  </si>
  <si>
    <t>au démarrage</t>
  </si>
  <si>
    <t>phase future</t>
  </si>
  <si>
    <t>Haute technologie</t>
  </si>
  <si>
    <t>Taux des particulier pour l'année</t>
  </si>
  <si>
    <t>Emprunt à long terme 1</t>
  </si>
  <si>
    <t>o</t>
  </si>
  <si>
    <t>(</t>
  </si>
  <si>
    <t>Dividendes déclarés</t>
  </si>
  <si>
    <t>Ajustement de la durée des prévisionnels</t>
  </si>
  <si>
    <t>Augmentation annuelle des frais généraux</t>
  </si>
  <si>
    <t>=====&gt;&gt;&gt;</t>
  </si>
  <si>
    <t>Crédits d'impôt :</t>
  </si>
  <si>
    <t>Délai de règlement des comptes fournisseurs</t>
  </si>
  <si>
    <t>+ Achats de l'exercice</t>
  </si>
  <si>
    <t>= Marchandises disponibles</t>
  </si>
  <si>
    <t>- Inventaire à la fin</t>
  </si>
  <si>
    <t>Ratio de capacité de remboursement</t>
  </si>
  <si>
    <t>(Fonds disponibles/Service de la dette)</t>
  </si>
  <si>
    <t>s/o</t>
  </si>
  <si>
    <t>COOP</t>
  </si>
  <si>
    <t>Faire paraître au budget de caisse</t>
  </si>
  <si>
    <t>Ne pas faire paraître au budget de caisse</t>
  </si>
  <si>
    <t xml:space="preserve">Taxes de vente </t>
  </si>
  <si>
    <t>ACTIF À LONG TERME (à leur valeur nette)</t>
  </si>
  <si>
    <t>Crédit d'impôt du Québec</t>
  </si>
  <si>
    <t>B</t>
  </si>
  <si>
    <t>Crédit d'impôt fédéral</t>
  </si>
  <si>
    <t>C</t>
  </si>
  <si>
    <t>Réduction d'impôt entraînée par</t>
  </si>
  <si>
    <t xml:space="preserve">Ce crochet vous permet de visualiser les étapes complétées. </t>
  </si>
  <si>
    <t>Capital-actions</t>
  </si>
  <si>
    <t>Émissions d'actions</t>
  </si>
  <si>
    <t>la déduction liée aux dépenses de R&amp;D :</t>
  </si>
  <si>
    <t>Économie d'impôt fédéral</t>
  </si>
  <si>
    <t>D</t>
  </si>
  <si>
    <t>Économie d'impôt provincial</t>
  </si>
  <si>
    <t>E</t>
  </si>
  <si>
    <t>VENTILATION AN 4</t>
  </si>
  <si>
    <t>VENTILATION AN 5</t>
  </si>
  <si>
    <t>Encaissement des ventes 3,4,5</t>
  </si>
  <si>
    <t>Cédule de remboursement</t>
  </si>
  <si>
    <t>Adresse :</t>
  </si>
  <si>
    <t>Budget de caisse la deuxième année</t>
  </si>
  <si>
    <t>PRF - 8</t>
  </si>
  <si>
    <t>Capital anticipé</t>
  </si>
  <si>
    <t>Emprunt à court terme 1</t>
  </si>
  <si>
    <t>Emprunt à long terme 4</t>
  </si>
  <si>
    <t>Emprunt à long terme 2</t>
  </si>
  <si>
    <t>Emprunt à long terme 3</t>
  </si>
  <si>
    <t>Emprunt à court terme 2</t>
  </si>
  <si>
    <t>Congé capital :</t>
  </si>
  <si>
    <t>Congé capital</t>
  </si>
  <si>
    <t>3 mois</t>
  </si>
  <si>
    <t>6 mois</t>
  </si>
  <si>
    <t>9mois</t>
  </si>
  <si>
    <t>12 mois</t>
  </si>
  <si>
    <t>15 mois</t>
  </si>
  <si>
    <t>18 mois</t>
  </si>
  <si>
    <t>Sans congé</t>
  </si>
  <si>
    <t>27 mois</t>
  </si>
  <si>
    <t>30 mois</t>
  </si>
  <si>
    <t>33 mois</t>
  </si>
  <si>
    <t>36 mois</t>
  </si>
  <si>
    <t>39 mois</t>
  </si>
  <si>
    <t>42 mois</t>
  </si>
  <si>
    <t>45 mois</t>
  </si>
  <si>
    <t>48 mois</t>
  </si>
  <si>
    <t>Subventions au démarrage</t>
  </si>
  <si>
    <t>Garantie bancaire</t>
  </si>
  <si>
    <t xml:space="preserve">Marge de crédit </t>
  </si>
  <si>
    <t>Emprunt hypothécaire</t>
  </si>
  <si>
    <t>Exercice terminant</t>
  </si>
  <si>
    <t>le dernier jour de</t>
  </si>
  <si>
    <t>À la fin de</t>
  </si>
  <si>
    <t>% subv</t>
  </si>
  <si>
    <t>SUBVENTION SUR IMMOBILISATIONS</t>
  </si>
  <si>
    <t>Subvention sur immobilisations</t>
  </si>
  <si>
    <t>Taux TPS :</t>
  </si>
  <si>
    <t>Taux TVQ :</t>
  </si>
  <si>
    <t>( (Jours dans l'exercice X solde moyen des comptes fournisseurs) / achats de l'exercice)</t>
  </si>
  <si>
    <t>Délai de recouvrement des comptes clients</t>
  </si>
  <si>
    <t>Logiciel</t>
  </si>
  <si>
    <t>Services sanitaires</t>
  </si>
  <si>
    <t>Allocation hebdom. :</t>
  </si>
  <si>
    <t>Marge de crédit 5000</t>
  </si>
  <si>
    <t>Autres déboursés</t>
  </si>
  <si>
    <t>Hypothèses d'achats de la quatrième année</t>
  </si>
  <si>
    <t>Total des autres déboursés</t>
  </si>
  <si>
    <t>ÉTAT PRÉVISIONNEL DES RÉSULTATS</t>
  </si>
  <si>
    <t>Hypothèses des frais généraux pour la quatrième année</t>
  </si>
  <si>
    <t>Emprunt à long terme 5</t>
  </si>
  <si>
    <t>Emprunt à long terme 6</t>
  </si>
  <si>
    <t>Emprunt à long terme 7</t>
  </si>
  <si>
    <t>BILAN prévisionnel mensuel</t>
  </si>
  <si>
    <t>de la première année</t>
  </si>
  <si>
    <t>ÉTAT PRÉVISIONNEL MENSUEL DES RÉSULTATS</t>
  </si>
  <si>
    <t>D.A.S. à payer</t>
  </si>
  <si>
    <t>à capital :</t>
  </si>
  <si>
    <t>Fixe</t>
  </si>
  <si>
    <t>variable</t>
  </si>
  <si>
    <t>Estimation des frais directs pour les deux premières années</t>
  </si>
  <si>
    <t>Estimation des frais généraux pour la première année</t>
  </si>
  <si>
    <t>Lorqu'une étape a été visitée, vous remarquerez qu'un crochet rouge l'indiquera à la gauche de cette dernière.</t>
  </si>
  <si>
    <t>Détails des subventions à recevoir</t>
  </si>
  <si>
    <t>TABLEAU DES TAUX D'IMPOSITION</t>
  </si>
  <si>
    <t xml:space="preserve">DPA pour l'exercice se terminant le       </t>
  </si>
  <si>
    <t>Total des ventes</t>
  </si>
  <si>
    <t>Taux des corporations pour l'année</t>
  </si>
  <si>
    <t>Mois de l'emprunt</t>
  </si>
  <si>
    <t>Tableau des dépenses pour amortissements (DPA)</t>
  </si>
  <si>
    <t>Bénéfices non répartis</t>
  </si>
  <si>
    <t>BÉNÉFICE NET DE L'EXERCICE</t>
  </si>
  <si>
    <t>Situation du projet d'affaires</t>
  </si>
  <si>
    <t>Acquisition</t>
  </si>
  <si>
    <t>Expansion</t>
  </si>
  <si>
    <t xml:space="preserve">Au </t>
  </si>
  <si>
    <t>Pour l'exercice</t>
  </si>
  <si>
    <t>se terminant le</t>
  </si>
  <si>
    <t>BÉNÉFICE NET (PERTE NETTE) DE L'EXERCICE</t>
  </si>
  <si>
    <t>BÉNÉFICE NET (PERTE NETTE) AVANT IMPÔT</t>
  </si>
  <si>
    <t>BÉNÉFICE NET (PERTE NETTE) AVANT AMORTISSEMENT</t>
  </si>
  <si>
    <t xml:space="preserve">COÛT DES MARCHANDISES VENDUES </t>
  </si>
  <si>
    <t>24e mois</t>
  </si>
  <si>
    <t>Total année</t>
  </si>
  <si>
    <t>Toutes les autres cellules de ce fichier sont protégées et donc inaccessibles.</t>
  </si>
  <si>
    <t>départ</t>
  </si>
  <si>
    <t>Date du prêt si déjà existant</t>
  </si>
  <si>
    <t>Historique</t>
  </si>
  <si>
    <t xml:space="preserve">Les avances et remboursements de la marge de crédit se feront par tranche de </t>
  </si>
  <si>
    <t>employés</t>
  </si>
  <si>
    <t>actionnaires</t>
  </si>
  <si>
    <t>Taxes perçues sur les ventes</t>
  </si>
  <si>
    <t>Taxes payées sur intrants</t>
  </si>
  <si>
    <t>Taxes de ventes à payer</t>
  </si>
  <si>
    <t>Frais de représentation</t>
  </si>
  <si>
    <t>Paiement des intérêts mensuellement ?(O/N)</t>
  </si>
  <si>
    <t>Ville :</t>
  </si>
  <si>
    <t>Province :</t>
  </si>
  <si>
    <t>Code Postal :</t>
  </si>
  <si>
    <t>Téléphone :</t>
  </si>
  <si>
    <t>Salaires directs - actionnaires</t>
  </si>
  <si>
    <t>Salaires administratifs - actionnaires</t>
  </si>
  <si>
    <t>Pour les cinq premières années d'exploitation</t>
  </si>
  <si>
    <t>Gestion des taxes de ventes</t>
  </si>
  <si>
    <t>Taxes nettes à payer ou (remboursement)</t>
  </si>
  <si>
    <t>Au</t>
  </si>
  <si>
    <t>CHARGES SALARIALES 1</t>
  </si>
  <si>
    <t>Coût et financement du projet</t>
  </si>
  <si>
    <t>PRF - 1</t>
  </si>
  <si>
    <t>PRF - 2</t>
  </si>
  <si>
    <t>Télécopieur :</t>
  </si>
  <si>
    <t>Site Web :</t>
  </si>
  <si>
    <t>Courrier électronique :</t>
  </si>
  <si>
    <t>Hypothèses de ventes de la première année</t>
  </si>
  <si>
    <t>Hypothèses de ventes de la deuxième année</t>
  </si>
  <si>
    <t>Part de marché</t>
  </si>
  <si>
    <t>Hypothèses d'achats de la deuxième année</t>
  </si>
  <si>
    <t>Hypothèses des frais généraux pour la première année</t>
  </si>
  <si>
    <t>Hypothèses des frais généraux pour la deuxième année</t>
  </si>
  <si>
    <t>INV. PRODUITS FINIS AU DÉBUT</t>
  </si>
  <si>
    <t>Pour les deux premières années d'exploitation</t>
  </si>
  <si>
    <t>ÉTAT PRÉVISIONNEL MENSUEL DES FGF</t>
  </si>
  <si>
    <t>S/O</t>
  </si>
  <si>
    <t>Le bouton de remise à zéro au haut des crochets</t>
  </si>
  <si>
    <t>N.B. Cette fonction ne remettra pas les données du fichier à zéro mais seulement vos indicateurs d'étapes franchies.</t>
  </si>
  <si>
    <t>Si vous prévoyez une lettre de garantie bancaire pour vos dépôts de sécurité, inscrire le montant :</t>
  </si>
  <si>
    <t>Les différentes étapes à suivre pour l'entrée de vos données sont énumérées dans la colonne de gauche du menu principal.</t>
  </si>
  <si>
    <t>Hypothèses des autres encaissements pour les deux premières années</t>
  </si>
  <si>
    <t>Estimation des achats pour la première année</t>
  </si>
  <si>
    <t>Estimation des achats pour la deuxième année</t>
  </si>
  <si>
    <t>Remboursement marge de crédit</t>
  </si>
  <si>
    <t>CMV</t>
  </si>
  <si>
    <t>Marché potentiel</t>
  </si>
  <si>
    <t xml:space="preserve">   avantages</t>
  </si>
  <si>
    <t>AUTRES REVENUS</t>
  </si>
  <si>
    <t>Emprunts</t>
  </si>
  <si>
    <t>vous permet de remettre le processus des étapes à zéro.</t>
  </si>
  <si>
    <t>Estimation des frais généraux pour la deuxième année</t>
  </si>
  <si>
    <t>Rentabilité</t>
  </si>
  <si>
    <t>Frais fixes</t>
  </si>
  <si>
    <t>Chiffres d'affaires</t>
  </si>
  <si>
    <t>Concurrence</t>
  </si>
  <si>
    <t>SYNTHÈSE</t>
  </si>
  <si>
    <t>PART DE MARCHÉ</t>
  </si>
  <si>
    <t>DÉTAIL DES VENTES</t>
  </si>
  <si>
    <t>Total</t>
  </si>
  <si>
    <t>CONSIGNES D'UTILISATION</t>
  </si>
  <si>
    <t>Lorsque vous faites imprimer votre plan financier, tous les documents qui font partie intégrante du plan financier</t>
  </si>
  <si>
    <t>Tableau Coûts vs Financement</t>
  </si>
  <si>
    <t>Budget de caisse de l'année 1</t>
  </si>
  <si>
    <t>Budget de caisse de l'année 2</t>
  </si>
  <si>
    <t>État prévisionnel des résultats</t>
  </si>
  <si>
    <t>Bilan prévisionnel</t>
  </si>
  <si>
    <t>État prévisionnel de l'évolution de la situation financière</t>
  </si>
  <si>
    <t>Analyse par ratios</t>
  </si>
  <si>
    <t>Total des achats</t>
  </si>
  <si>
    <t>Tableau de planification des ressources humaines</t>
  </si>
  <si>
    <t>Mois de l'emprunt :</t>
  </si>
  <si>
    <t>Démarrage</t>
  </si>
  <si>
    <t>3e</t>
  </si>
  <si>
    <t>FDD</t>
  </si>
  <si>
    <t>Type de frais ou dépôt</t>
  </si>
  <si>
    <t>Montant à prévoir</t>
  </si>
  <si>
    <t>ACQUISITIONS</t>
  </si>
  <si>
    <t>IMMOBILISATIONS</t>
  </si>
  <si>
    <t>3e mois</t>
  </si>
  <si>
    <t>6e mois</t>
  </si>
  <si>
    <t>9e mois</t>
  </si>
  <si>
    <t>12e mois</t>
  </si>
  <si>
    <t>15e mois</t>
  </si>
  <si>
    <t>18e mois</t>
  </si>
  <si>
    <t>21e mois</t>
  </si>
  <si>
    <t>24 mois</t>
  </si>
  <si>
    <t>Emprunts BC1 et BC2</t>
  </si>
  <si>
    <t>CHARGES SOCIALES FÉDÉRALES</t>
  </si>
  <si>
    <t>CHARGES SOCIALES PROVINCIALES</t>
  </si>
  <si>
    <t>AUTRES CHARGES SOCIALES</t>
  </si>
  <si>
    <t>Toutes les écritures bleues et soulignées sont liées à une fonction automatisée.</t>
  </si>
  <si>
    <t>Évaluation des charges sociales</t>
  </si>
  <si>
    <t>Total des charges sociales</t>
  </si>
  <si>
    <t>a</t>
  </si>
  <si>
    <t>Matériel roulant</t>
  </si>
  <si>
    <t>Solde de la marge au début</t>
  </si>
  <si>
    <t>Avance provenant de la marge</t>
  </si>
  <si>
    <t>Aucun</t>
  </si>
  <si>
    <t>Frais de déplacement</t>
  </si>
  <si>
    <t>1 AN</t>
  </si>
  <si>
    <t>2 ANS</t>
  </si>
  <si>
    <t>5 ANS</t>
  </si>
  <si>
    <t>10 ANS</t>
  </si>
  <si>
    <t>Propriétaire</t>
  </si>
  <si>
    <t>Type d'emprunt :</t>
  </si>
  <si>
    <t>( Frais fixes + amortissements / (1 - frais variables) )</t>
  </si>
  <si>
    <t>Délai moyen d'écoulement des stocks</t>
  </si>
  <si>
    <t>Délai moyen de recouvrement des comptes clients</t>
  </si>
  <si>
    <t>Délai moyen de règlement des comptes fournisseurs</t>
  </si>
  <si>
    <t>CHARGES SALARIALES 2</t>
  </si>
  <si>
    <t>( (Frais fixes + amortissements + Prélèvements) / (1 - frais variables) )</t>
  </si>
  <si>
    <t>Billet à payer</t>
  </si>
  <si>
    <t>Bâtiment</t>
  </si>
  <si>
    <t>NOTES AUX ÉTATS FINANCIERS</t>
  </si>
  <si>
    <t>Seuil de rentabilité avant amortissements</t>
  </si>
  <si>
    <t>( Frais fixes / (1 - frais variables) )</t>
  </si>
  <si>
    <t>Seuil de rentabilité après amortissements</t>
  </si>
  <si>
    <t>NOTE 1 :</t>
  </si>
  <si>
    <t>Entrez le nom du créancier ici</t>
  </si>
  <si>
    <t>NOTE 2 :</t>
  </si>
  <si>
    <t>NOTE 3 :</t>
  </si>
  <si>
    <t xml:space="preserve">FRAIS DE DÉMARRAGE ET DÉPÔTS </t>
  </si>
  <si>
    <t>jrs</t>
  </si>
  <si>
    <t>Dépôt Téléphone</t>
  </si>
  <si>
    <t>Dépôt Électricité</t>
  </si>
  <si>
    <t>INV. PRODUITS EN COURS AU DÉBUT</t>
  </si>
  <si>
    <t>S.E.N.C.</t>
  </si>
  <si>
    <t>OBNL</t>
  </si>
  <si>
    <t>VENTILATION AN 1</t>
  </si>
  <si>
    <t>Hypothèses d'achats de la première année</t>
  </si>
  <si>
    <t>TABLEAU DES DÉPENSES POUR AMORTISSEMENTS (DPA)</t>
  </si>
  <si>
    <t>Augmentation des ventes en %</t>
  </si>
  <si>
    <t>Acquisition d'immobilisations</t>
  </si>
  <si>
    <t>Par tranche de :</t>
  </si>
  <si>
    <t>avance</t>
  </si>
  <si>
    <t>remb.</t>
  </si>
  <si>
    <t>Marge de crédit 500</t>
  </si>
  <si>
    <t>Marge de crédit 1000</t>
  </si>
  <si>
    <t xml:space="preserve">Tableau coûts vs financement </t>
  </si>
  <si>
    <t>Solde à verser à la fin de l'année :</t>
  </si>
  <si>
    <t>SUBVENTION #1</t>
  </si>
  <si>
    <t>SUBVENTION #2</t>
  </si>
  <si>
    <t>SUBVENTION #3</t>
  </si>
  <si>
    <t>Nombre de semaine :</t>
  </si>
  <si>
    <t>COMPTANT</t>
  </si>
  <si>
    <t>30 JOURS</t>
  </si>
  <si>
    <t>90 JOURS</t>
  </si>
  <si>
    <t>Ce fichier a été conçu de façon à vous faciliter la tâche pour vos entrées de données financières.</t>
  </si>
  <si>
    <t>TOTAL DES FRAIS GÉNÉRAUX D'ADMINISTRATION</t>
  </si>
  <si>
    <t>NOTE 4 :</t>
  </si>
  <si>
    <t xml:space="preserve">Le taux d'intérêt estimé pour la marge de crédit d'exploitation est de </t>
  </si>
  <si>
    <t>LIQUIDITÉS(DÉFICIT DE CAISSE) AU DÉBUT</t>
  </si>
  <si>
    <t>LIQUIDITÉS(DÉFICIT DE CAISSE) À LA FIN</t>
  </si>
  <si>
    <t>Intérêt sur marge de crédit</t>
  </si>
  <si>
    <t>Mobilier et équipement</t>
  </si>
  <si>
    <t>Logiciels informatique</t>
  </si>
  <si>
    <t>Équip. et mobilier de bureau</t>
  </si>
  <si>
    <t>( Achats de l'exercice / Moyenne des stocks )</t>
  </si>
  <si>
    <t>( Chiffre d'affaires net / solde moyen des comptes clients )</t>
  </si>
  <si>
    <t>Subventions</t>
  </si>
  <si>
    <t>Frais bancaires</t>
  </si>
  <si>
    <t>AN 1</t>
  </si>
  <si>
    <t>Autres revenus</t>
  </si>
  <si>
    <t>TOTAL DU PASSIF ET DES CAPITAUX PROPRES</t>
  </si>
  <si>
    <t>Impôts à payer et D.A.S. à payer</t>
  </si>
  <si>
    <t>Dépôts de sécurité</t>
  </si>
  <si>
    <t>Constantes</t>
  </si>
  <si>
    <t>Semaines par mois</t>
  </si>
  <si>
    <t>Ressources humaines an1</t>
  </si>
  <si>
    <t>ANNEXE 8</t>
  </si>
  <si>
    <t>Grille de saisie</t>
  </si>
  <si>
    <t>Employés</t>
  </si>
  <si>
    <t xml:space="preserve">an1 </t>
  </si>
  <si>
    <t>Nom du poste</t>
  </si>
  <si>
    <t>Taux hor.</t>
  </si>
  <si>
    <t># emp.</t>
  </si>
  <si>
    <t>hrs</t>
  </si>
  <si>
    <t>Hrs. Mens.:</t>
  </si>
  <si>
    <t>Sal. Mens.:</t>
  </si>
  <si>
    <t>Ressources humaines an2</t>
  </si>
  <si>
    <t>ANNEXE 8.1</t>
  </si>
  <si>
    <t>Ressources humaines an3</t>
  </si>
  <si>
    <t>ANNEXE 8.2</t>
  </si>
  <si>
    <t>à partir de la page principale.  En voici la liste :</t>
  </si>
  <si>
    <t>Notes aux états financiers</t>
  </si>
  <si>
    <t xml:space="preserve">Les différents documents financiers suivants doivent être fournis en annexe au plan d'affaires et peuvent être imprimés </t>
  </si>
  <si>
    <t>Plusieurs composantes de votre plan financier peuvent être consultées à l'écran à l'aide de boutons poussoirs</t>
  </si>
  <si>
    <t xml:space="preserve">        Total matières premières disponibles</t>
  </si>
  <si>
    <t xml:space="preserve">        Inventaire matières premières à la fin(-)</t>
  </si>
  <si>
    <t>Vacances</t>
  </si>
  <si>
    <t>Régime des rentes du Québec (RRQ)</t>
  </si>
  <si>
    <t>Fonds du services de santé du Québec (FSSQ)</t>
  </si>
  <si>
    <t>Commission des normes du travail (CNT)</t>
  </si>
  <si>
    <t>Assurance-emploi</t>
  </si>
  <si>
    <t>ACTIF À COURT TERME</t>
  </si>
  <si>
    <t>ACTIF À LONG TERME</t>
  </si>
  <si>
    <t>FRAIS GENERAUX FABRICATION</t>
  </si>
  <si>
    <t>TOTAL DES CHARGES SOCIALES</t>
  </si>
  <si>
    <t>Commission de la santé et de la sécurité au travail (CSST)</t>
  </si>
  <si>
    <t xml:space="preserve">      . Autres</t>
  </si>
  <si>
    <t>TOTAL F.G.F.</t>
  </si>
  <si>
    <t>INV. PROD. EN COURS FIN(-)</t>
  </si>
  <si>
    <t>COÛT PRODUITS TRAITÉS:</t>
  </si>
  <si>
    <t>INV. PROD. FINIS À LA FIN</t>
  </si>
  <si>
    <t>COÛT DES PRODUITS VENDUS:</t>
  </si>
  <si>
    <t>Quantité</t>
  </si>
  <si>
    <t>Taux provincial :</t>
  </si>
  <si>
    <t>À la fin de chaque année</t>
  </si>
  <si>
    <t>Commerce</t>
  </si>
  <si>
    <t>Oui</t>
  </si>
  <si>
    <t>Non</t>
  </si>
  <si>
    <t>Société par actions</t>
  </si>
  <si>
    <t>Fonds de roulement</t>
  </si>
  <si>
    <t>Interne</t>
  </si>
  <si>
    <t>Exploitation de l'actif</t>
  </si>
  <si>
    <t>Exploitation des immobilisations</t>
  </si>
  <si>
    <t>Rotation des comptes clients</t>
  </si>
  <si>
    <t>Rotation des stocks</t>
  </si>
  <si>
    <t>RATIOS DE RENTABILITÉ</t>
  </si>
  <si>
    <t>( (Actif court terme - Stocks - Frais payés d'avance) / Passif court terme )</t>
  </si>
  <si>
    <t>( Stocks / (Actif court terme - Passif court terme) )</t>
  </si>
  <si>
    <t>( Actif court terme / Passif court terme )</t>
  </si>
  <si>
    <t>( (Jours dans l'exercice X stock moyen) / coûts des marchandises vendues )</t>
  </si>
  <si>
    <t>PASSIF</t>
  </si>
  <si>
    <t>CAPITAUX PROPRES</t>
  </si>
  <si>
    <t xml:space="preserve">REVENUS D'EXPLOITATION </t>
  </si>
  <si>
    <t>Fournitures de bureau</t>
  </si>
  <si>
    <t>Télécommunications</t>
  </si>
  <si>
    <t>ACTIF</t>
  </si>
  <si>
    <t>Frais de démarrage et dépôts</t>
  </si>
  <si>
    <t>Portion versée au démarrage :</t>
  </si>
  <si>
    <t>Subvention à recevoir</t>
  </si>
  <si>
    <t>Autres actifs intangibles</t>
  </si>
  <si>
    <t>Actifs intangibles</t>
  </si>
  <si>
    <t xml:space="preserve"> horaire</t>
  </si>
  <si>
    <t>Nombre</t>
  </si>
  <si>
    <t>d'emplois</t>
  </si>
  <si>
    <t>semaines</t>
  </si>
  <si>
    <t>Heures</t>
  </si>
  <si>
    <t>Taux d'aug</t>
  </si>
  <si>
    <t>annuel</t>
  </si>
  <si>
    <t>N/P</t>
  </si>
  <si>
    <t>Catégorie</t>
  </si>
  <si>
    <t>d'immobilisation</t>
  </si>
  <si>
    <t>Transfert</t>
  </si>
  <si>
    <t>d'actifs</t>
  </si>
  <si>
    <t>Coût</t>
  </si>
  <si>
    <t>d'acquisition</t>
  </si>
  <si>
    <t>Dépôt Loyer</t>
  </si>
  <si>
    <t>Dépôt Gaz</t>
  </si>
  <si>
    <t>Autres dépôts de sécurité</t>
  </si>
  <si>
    <t>Au démarrage</t>
  </si>
  <si>
    <t>Troisième année</t>
  </si>
  <si>
    <t>Moment de</t>
  </si>
  <si>
    <t>l'acquisition</t>
  </si>
  <si>
    <t>Terrain</t>
  </si>
  <si>
    <t>Aménagement de terrain</t>
  </si>
  <si>
    <t>Améliorations locatives</t>
  </si>
  <si>
    <t>Système informatique</t>
  </si>
  <si>
    <t>Solde début</t>
  </si>
  <si>
    <t>Le ou les promoteur(s) bénéficiera(ont) du programme STA selon les modalités suivantes :</t>
  </si>
  <si>
    <t>Nom du promoteur :</t>
  </si>
  <si>
    <t>Écart de caisse</t>
  </si>
  <si>
    <t>Solde avant marge de crédit</t>
  </si>
  <si>
    <t>60 JOURS</t>
  </si>
  <si>
    <t>Achats prévus</t>
  </si>
  <si>
    <t>Ventes estimées</t>
  </si>
  <si>
    <t>Période</t>
  </si>
  <si>
    <t>Montant</t>
  </si>
  <si>
    <t>Amort</t>
  </si>
  <si>
    <t>Taux</t>
  </si>
  <si>
    <t>Versement</t>
  </si>
  <si>
    <t>Capital</t>
  </si>
  <si>
    <t>Intérêt</t>
  </si>
  <si>
    <t>Solde</t>
  </si>
  <si>
    <t>TOTAL ACTIF À COURT TERME</t>
  </si>
  <si>
    <t>TOTAL ACTIF À LONG TERME</t>
  </si>
  <si>
    <t>TOTAL DE L'ACTIF</t>
  </si>
  <si>
    <t>TOTAL PASSIF À COURT TERME</t>
  </si>
  <si>
    <t>TOTAL PASSIF À LONG TERME</t>
  </si>
  <si>
    <t>TOTAL DU PASSIF</t>
  </si>
  <si>
    <t>TOTAL DES CAPITAUX PROPRES</t>
  </si>
  <si>
    <t>Acquisition 1</t>
  </si>
  <si>
    <t>Acquisition 2</t>
  </si>
  <si>
    <t>OUV</t>
  </si>
  <si>
    <t>RECETTES</t>
  </si>
  <si>
    <t>BUDGET DE CAISSE</t>
  </si>
  <si>
    <t>Pour la première année d'exploitation</t>
  </si>
  <si>
    <t>Pour la deuxième année d'exploitation</t>
  </si>
  <si>
    <t>ANALYSE PAR RATIOS</t>
  </si>
  <si>
    <t>Ratio de liquidité générale</t>
  </si>
  <si>
    <t>VENTILATION AN 2</t>
  </si>
  <si>
    <t>Inventaire</t>
  </si>
  <si>
    <t>Transfert d'actifs</t>
  </si>
  <si>
    <t>Taxes de vente</t>
  </si>
  <si>
    <t>Total du financement interne</t>
  </si>
  <si>
    <t>Total fonds de roulement</t>
  </si>
  <si>
    <t>Externe</t>
  </si>
  <si>
    <t>CT</t>
  </si>
  <si>
    <t>Immobilisations</t>
  </si>
  <si>
    <t>LT</t>
  </si>
  <si>
    <t>Total immobilisations</t>
  </si>
  <si>
    <t>Total du financement externe</t>
  </si>
  <si>
    <t>Coût total du Projet</t>
  </si>
  <si>
    <t>Financement total du projet</t>
  </si>
  <si>
    <t>Année</t>
  </si>
  <si>
    <t>Prix moyen</t>
  </si>
  <si>
    <t>Total vendu</t>
  </si>
  <si>
    <t>AN 2</t>
  </si>
  <si>
    <t>AN 3</t>
  </si>
  <si>
    <t>Revenus imposable</t>
  </si>
  <si>
    <t>Taux effectif combiné</t>
  </si>
  <si>
    <t>Taux combiné :</t>
  </si>
  <si>
    <t>Taux fédéral :</t>
  </si>
  <si>
    <t>TOTAL</t>
  </si>
  <si>
    <t>Encaisse au début</t>
  </si>
  <si>
    <t>ENCAISSEMENTS</t>
  </si>
  <si>
    <t>Total encaissements</t>
  </si>
  <si>
    <t xml:space="preserve">Achats </t>
  </si>
  <si>
    <t>Salaires administratifs</t>
  </si>
  <si>
    <t>Loyer</t>
  </si>
  <si>
    <t>capital</t>
  </si>
  <si>
    <t>intérêts</t>
  </si>
  <si>
    <t>Total déboursés</t>
  </si>
  <si>
    <t>Ratio stocks / fonds de roulement</t>
  </si>
  <si>
    <t>RATIOS DE LIQUIDITÉ</t>
  </si>
  <si>
    <t>Solde à verser en cours d'opération :</t>
  </si>
  <si>
    <t>Salaires directs</t>
  </si>
  <si>
    <t>INV. PRODUITS FINIS</t>
  </si>
  <si>
    <t>INV. PRODUITS EN COURS</t>
  </si>
  <si>
    <t>ÉTAT PRÉVISIONNEL DES FRAIS GÉNÉRAUX DE FABRICATION</t>
  </si>
  <si>
    <t>ANNÉE 2</t>
  </si>
  <si>
    <t>ANNÉE 3</t>
  </si>
  <si>
    <t xml:space="preserve">        Inventaires matières premières au début</t>
  </si>
  <si>
    <t xml:space="preserve">        Achats de matières premières(+)</t>
  </si>
  <si>
    <t>Pour les trois premières années d'exploitation</t>
  </si>
  <si>
    <t>Nom de l'entreprise :</t>
  </si>
  <si>
    <t>Date de démarrage :</t>
  </si>
  <si>
    <t>Fabrication</t>
  </si>
  <si>
    <t>Service</t>
  </si>
  <si>
    <t xml:space="preserve">        Matières premières utilisées</t>
  </si>
  <si>
    <t>MAIN D`OEUVRE DIRECTE:</t>
  </si>
  <si>
    <t xml:space="preserve">      . Salaires</t>
  </si>
  <si>
    <t xml:space="preserve">      . Avantages sociaux</t>
  </si>
  <si>
    <t>TOTAL M.O.D.</t>
  </si>
  <si>
    <t xml:space="preserve">      . Loyer</t>
  </si>
  <si>
    <t xml:space="preserve">      . Entretien et réparation</t>
  </si>
  <si>
    <t xml:space="preserve">      . Assurances</t>
  </si>
  <si>
    <t xml:space="preserve">      . Fournitures industrielles</t>
  </si>
  <si>
    <t xml:space="preserve">      . Amortissement</t>
  </si>
  <si>
    <t xml:space="preserve">      . Électricité</t>
  </si>
  <si>
    <t>RATIOS DE LEVIER FINANCIER</t>
  </si>
  <si>
    <t>Ratio d'endettement</t>
  </si>
  <si>
    <t>Ratio capitaux propres / emprunts</t>
  </si>
  <si>
    <t>RATIOS D'EXPLOITATION</t>
  </si>
  <si>
    <t>( (Jours dans l'exercice X solde moyen des comptes fournisseurs) / achats à crédit )</t>
  </si>
  <si>
    <t>Acquisition 3</t>
  </si>
  <si>
    <t>Portion à court terme de la dette à long terme</t>
  </si>
  <si>
    <t>Surplus de l'exercice</t>
  </si>
  <si>
    <t>ACTIVITÉS D'INVESTISSEMENT</t>
  </si>
  <si>
    <t>ACTIVITÉ DE FINANCEMENT</t>
  </si>
  <si>
    <t>( Moyenne des immobilisations nettes / Chiffre d'affaires net )</t>
  </si>
  <si>
    <t xml:space="preserve">ÉTAT PRÉVISIONNEL DE L'ÉVOLUTION DE LA SITUATION FINANCIÈRE </t>
  </si>
  <si>
    <t>Nom du programme subventionnaire :</t>
  </si>
  <si>
    <t>Montant total de la subvention :</t>
  </si>
  <si>
    <t>( (Jours dans l'exercice X solde moyen des comptes clients) / chiffre d'affaires net )</t>
  </si>
  <si>
    <t>( Chiffre d'affaires de l'exercice / Nombre moyen d'employés )</t>
  </si>
  <si>
    <t>Chiffre d'affaires par employé</t>
  </si>
  <si>
    <t>CATÉGORIE</t>
  </si>
  <si>
    <t>COÛT</t>
  </si>
  <si>
    <t>TAUX</t>
  </si>
  <si>
    <t>Année 1</t>
  </si>
  <si>
    <t>Solde 1</t>
  </si>
  <si>
    <t>Année 2</t>
  </si>
  <si>
    <t>Solde 2</t>
  </si>
  <si>
    <t>Année 3</t>
  </si>
  <si>
    <t>Solde 3</t>
  </si>
  <si>
    <t>CD</t>
  </si>
  <si>
    <t>EF</t>
  </si>
  <si>
    <t>((A+B-CD) X 13,12%)</t>
  </si>
  <si>
    <t>((A-CD) X 8%)</t>
  </si>
  <si>
    <t>Coût net des activités de R&amp;D après impôt (A+B-CD-EF)</t>
  </si>
  <si>
    <t>MARGE BÉNÉFICIAIRE BRUTE</t>
  </si>
  <si>
    <t>Taxes et permis</t>
  </si>
  <si>
    <t>AMORTISSEMENT</t>
  </si>
  <si>
    <t>Poste MOD 6</t>
  </si>
  <si>
    <t>Poste MOD 7</t>
  </si>
  <si>
    <t>Poste administratif 4</t>
  </si>
  <si>
    <t>Fournisseurs</t>
  </si>
  <si>
    <t>Marge de crédit</t>
  </si>
  <si>
    <t>PASSIF À LONG TERME</t>
  </si>
  <si>
    <t>PASSIF À COURT TERME</t>
  </si>
  <si>
    <t>ACTIVITÉS D'EXPLOITATION</t>
  </si>
  <si>
    <t>Élément n'impliquant aucun mouvement des liquidités</t>
  </si>
  <si>
    <t>Variation des autres postes du fond de roulement</t>
  </si>
  <si>
    <t>Augmentation ou (diminution) des liquidités</t>
  </si>
  <si>
    <t>Débiteurs</t>
  </si>
  <si>
    <t>Créditeurs et frais courus</t>
  </si>
  <si>
    <t>Honoraires professionnels</t>
  </si>
  <si>
    <t>IMPÔT SUR LE REVENU</t>
  </si>
  <si>
    <t>OUVERTURE</t>
  </si>
  <si>
    <t>Comptes à recevoir</t>
  </si>
  <si>
    <t>Inventaires</t>
  </si>
  <si>
    <t>Amortissements</t>
  </si>
  <si>
    <t>BILAN prévisionnel</t>
  </si>
  <si>
    <t>Assurances</t>
  </si>
  <si>
    <t>VENTILATION AN 3</t>
  </si>
  <si>
    <t>Encaisse à la fin</t>
  </si>
  <si>
    <t>AUGMENTATION(DIMINUTION) DES LIQUIDITÉS DE L'EXERCICE</t>
  </si>
  <si>
    <t>Prêteur  :</t>
  </si>
  <si>
    <t xml:space="preserve">Montant </t>
  </si>
  <si>
    <t>Taux d'intérêt</t>
  </si>
  <si>
    <t>Amortissement</t>
  </si>
  <si>
    <t>mois</t>
  </si>
  <si>
    <t>Charge</t>
  </si>
  <si>
    <t>employeur</t>
  </si>
  <si>
    <t>Actionnaires</t>
  </si>
  <si>
    <t>Travailleur</t>
  </si>
  <si>
    <t>autonome</t>
  </si>
  <si>
    <t>Relatives aux</t>
  </si>
  <si>
    <t>Poste MOD 4</t>
  </si>
  <si>
    <t>Poste MOD 5</t>
  </si>
  <si>
    <t>Poste administratif 3</t>
  </si>
  <si>
    <t>Poste MOD 3</t>
  </si>
  <si>
    <t>Site internet</t>
  </si>
  <si>
    <t>ÉVALUATION DES CHARGES SOCIALES (TAUX 2015)</t>
  </si>
  <si>
    <t>Mobilier de bureau</t>
  </si>
  <si>
    <t>Liquidité disponible (incluant marge de crédit)</t>
  </si>
  <si>
    <t>FRAIS DE PRODUCTION (NOTE 1)</t>
  </si>
  <si>
    <t>Salaires de production</t>
  </si>
  <si>
    <t>Salaires de production - actionnaires</t>
  </si>
  <si>
    <t>Ratio de la marge bénéficiaire brute</t>
  </si>
  <si>
    <t>Ratio de la marge bénéficiaire nette</t>
  </si>
  <si>
    <t>((Bénéfice brut/chiffre d'affaires) X 100)</t>
  </si>
  <si>
    <t>((Bénéfice net avant impôt/chiffre d'affaires) X 100)</t>
  </si>
  <si>
    <t>Ratio de couverture des frais fixes</t>
  </si>
  <si>
    <t>fois</t>
  </si>
  <si>
    <t>(Bénéfice net + frais fixes) / frais fixes</t>
  </si>
  <si>
    <t>Ratio du rendement des capitaux propres</t>
  </si>
  <si>
    <t>((Bénéfice net / capitaux propres) X 100)</t>
  </si>
  <si>
    <t>Frais de production</t>
  </si>
  <si>
    <t>Entreprise individuelle</t>
  </si>
  <si>
    <t>Agriculture</t>
  </si>
  <si>
    <t>Construction</t>
  </si>
  <si>
    <t>ACTIF COURT TERME</t>
  </si>
  <si>
    <t>ACTIF LONG TERME</t>
  </si>
  <si>
    <t>PASSIF COURT TERME</t>
  </si>
  <si>
    <t>PASSIF LONG TERME</t>
  </si>
  <si>
    <t>Comptes clients</t>
  </si>
  <si>
    <t>Effet à recevoir</t>
  </si>
  <si>
    <t>Frais payés d'avance</t>
  </si>
  <si>
    <t>Équipement et outillage</t>
  </si>
  <si>
    <t>Équipement informatique</t>
  </si>
  <si>
    <t>Équipement de bureau</t>
  </si>
  <si>
    <t>Achalandage</t>
  </si>
  <si>
    <t>Site web</t>
  </si>
  <si>
    <t>Quotas</t>
  </si>
  <si>
    <t>Brevet</t>
  </si>
  <si>
    <t>Comptes fournisseurs</t>
  </si>
  <si>
    <t>Carte de crédit</t>
  </si>
  <si>
    <t>DAS à payer</t>
  </si>
  <si>
    <t>CCQ à payer</t>
  </si>
  <si>
    <t>Impôt des sociétés à payer</t>
  </si>
  <si>
    <t>Emprunt CT 1</t>
  </si>
  <si>
    <t>Emprunt CT 2</t>
  </si>
  <si>
    <t xml:space="preserve">Emprunt hypothécaire </t>
  </si>
  <si>
    <t>Emprunt PPE</t>
  </si>
  <si>
    <t>FRAIS D'EXPLOITATION</t>
  </si>
  <si>
    <t>FRAIS D'ADMINISTRATION</t>
  </si>
  <si>
    <t>FRAIS DE VENTE</t>
  </si>
  <si>
    <t>FRAIS FINANCIERS</t>
  </si>
  <si>
    <t>RRQ</t>
  </si>
  <si>
    <t>RQAP</t>
  </si>
  <si>
    <t>FSS</t>
  </si>
  <si>
    <t>CSST</t>
  </si>
  <si>
    <t>A-E</t>
  </si>
  <si>
    <t>VACANCES</t>
  </si>
  <si>
    <t>CNT</t>
  </si>
  <si>
    <t>VENTES</t>
  </si>
  <si>
    <t>RENTABILITÉ</t>
  </si>
  <si>
    <t>Hypothèses de frais variables                                  Première année</t>
  </si>
  <si>
    <t>Hypothèses de frais variables                                  Deuxième année</t>
  </si>
  <si>
    <t>Hypothèses de frais variables                                  Troisième année</t>
  </si>
  <si>
    <t>Hypothèses de frais variables                                  Quatrième année</t>
  </si>
  <si>
    <t>Hypothèses de frais variables                                  Cinquième année</t>
  </si>
  <si>
    <t>Postes de frais variable</t>
  </si>
  <si>
    <t>FRAIS VARIABLES (NOTE 1)</t>
  </si>
  <si>
    <t>FRAIS VARIABLES</t>
  </si>
  <si>
    <t>Les frais variables sont constitués des différents coûts d'opérations suivants :</t>
  </si>
  <si>
    <t>TOTAL DES FRAIS VARIABLES</t>
  </si>
  <si>
    <t>CHIFFRE D'AFFAIRES</t>
  </si>
  <si>
    <t>Taux marginal combiné</t>
  </si>
  <si>
    <t>Emprunt LT 1</t>
  </si>
  <si>
    <t>Emprunt LT 2</t>
  </si>
  <si>
    <t>Emprunt LT 3</t>
  </si>
  <si>
    <t>Emprunt LT 4</t>
  </si>
  <si>
    <t>Emprunt LT 5</t>
  </si>
  <si>
    <t>Emprunt LT 6</t>
  </si>
  <si>
    <t>Emprunt LT 7</t>
  </si>
  <si>
    <t>Taxes foncières</t>
  </si>
  <si>
    <t>Électricité</t>
  </si>
  <si>
    <t>Chauffage</t>
  </si>
  <si>
    <t>Frais de matériel roulant</t>
  </si>
  <si>
    <t>Entretien/réparation-Matériel roulant</t>
  </si>
  <si>
    <t>Entretien/réparation-Équipement et outillage</t>
  </si>
  <si>
    <t>Entretien/réparation</t>
  </si>
  <si>
    <t>Agricole</t>
  </si>
  <si>
    <t>Frais de bureau</t>
  </si>
  <si>
    <t>Mauvaises créances</t>
  </si>
  <si>
    <t>Assurance des administrateurs</t>
  </si>
  <si>
    <t>Publicité et promotion</t>
  </si>
  <si>
    <t>Commissions sur vente</t>
  </si>
  <si>
    <t>Intérêts sur dette CT</t>
  </si>
  <si>
    <t>Intérêts sur dette LT</t>
  </si>
  <si>
    <t>Frais de cartes de crédits</t>
  </si>
  <si>
    <t>TPS/TVQ nettes à payer</t>
  </si>
  <si>
    <t>Entretien/réparation-équipement de bureau</t>
  </si>
  <si>
    <t>COÛTS DES CONTRATS</t>
  </si>
  <si>
    <t>Inventaire à la fin</t>
  </si>
  <si>
    <t>Achats de matériaux</t>
  </si>
  <si>
    <t>Sous-contrats</t>
  </si>
  <si>
    <t>COÛTS DES MARCHANDISES VENDUES</t>
  </si>
  <si>
    <t>Achats de marchandises</t>
  </si>
  <si>
    <t>Salaires et avantages</t>
  </si>
  <si>
    <t>COÛTS DES SERVICES RENDUS</t>
  </si>
  <si>
    <t>Achats de fournitures</t>
  </si>
  <si>
    <t>COÛTS DE FABRICATION</t>
  </si>
  <si>
    <t>Achats de matières premières</t>
  </si>
  <si>
    <t>Frais généraux de fabrication</t>
  </si>
  <si>
    <t>TOTAL DES VENTES AN 1</t>
  </si>
  <si>
    <t>TOTAL DES VENTES AN 2</t>
  </si>
  <si>
    <t>Autres frais d'exploitation</t>
  </si>
  <si>
    <t>Frais de carte de crédit</t>
  </si>
  <si>
    <t>AUTRES DÉBOURSÉS</t>
  </si>
  <si>
    <t>DÉBOURSÉS</t>
  </si>
  <si>
    <t>TOTAL ENCAISSEMENTS</t>
  </si>
  <si>
    <t>TOTAL DÉBOURSÉS</t>
  </si>
  <si>
    <t>Acquisitions d'immobilisations</t>
  </si>
  <si>
    <t>SERVICE DE LA DETTE</t>
  </si>
  <si>
    <t>Solde de la marge à la fin</t>
  </si>
  <si>
    <t>Association patronale</t>
  </si>
  <si>
    <t>Autre frais d'administration</t>
  </si>
  <si>
    <t>Autre frais de vente</t>
  </si>
  <si>
    <t>Autre frais financiers</t>
  </si>
  <si>
    <t>COÛTS DE TRANSFORMATION</t>
  </si>
  <si>
    <t>FRAIS GÉNÉRAUX</t>
  </si>
  <si>
    <t>Frais d'intérêts</t>
  </si>
  <si>
    <t>TOTAL DES FRAIS GÉNÉRAUX</t>
  </si>
  <si>
    <t>Amortissements cumulés</t>
  </si>
  <si>
    <t>BILANS HISTORIQUES COMPARATIFS</t>
  </si>
  <si>
    <t>ÉTATS  DES RÉSULTATS HISTORIQUES COMPARATIFS</t>
  </si>
  <si>
    <t>Frais de poste</t>
  </si>
  <si>
    <t>Coût d'énergie</t>
  </si>
  <si>
    <t>Acomptes provisionnels</t>
  </si>
  <si>
    <t>Hypothèses d'embauche des ressources humaines de la cinquième année</t>
  </si>
  <si>
    <t>Hypothèses d'embauche des ressources humaines de la quatrième année</t>
  </si>
  <si>
    <t>Hypothèses d'embauche des ressources humaines de la troisième année</t>
  </si>
  <si>
    <t>Hypothèses d'embauche des ressources humaines de la deuxième année</t>
  </si>
  <si>
    <t>Hypothèses d'embauche des ressources humaines de la première année</t>
  </si>
  <si>
    <t>MÉES - 5264</t>
  </si>
  <si>
    <t>Autres hypothèses d'encaissement pour la cinquième année</t>
  </si>
  <si>
    <t>Autres hypothèses d'encaissement pour la première année</t>
  </si>
  <si>
    <t>Total des autres encaissements année 5</t>
  </si>
  <si>
    <t>Total des autres encaissements année 4</t>
  </si>
  <si>
    <t>Autres hypothèses d'encaissement pour la quatrième année</t>
  </si>
  <si>
    <t>Total des autres encaissements année 3</t>
  </si>
  <si>
    <t>Autres hypothèses d'encaissement pour la troisième année</t>
  </si>
  <si>
    <t>Total des autres encaissements année 2</t>
  </si>
  <si>
    <t>Autres hypothèses d'encaissement pour la deuxième année</t>
  </si>
  <si>
    <t>Total des autres encaissements année 1</t>
  </si>
  <si>
    <t>Total des frais variables année 5</t>
  </si>
  <si>
    <t>Total des frais variables année 4</t>
  </si>
  <si>
    <t>Total des frais variables année 3</t>
  </si>
  <si>
    <t>Total des frais variables année 2</t>
  </si>
  <si>
    <t>Total des frais variables année 1</t>
  </si>
  <si>
    <t>Charges locatives (équipements)</t>
  </si>
  <si>
    <t>Frais de disposition de matériaux</t>
  </si>
  <si>
    <t>CHARGES CCQ</t>
  </si>
  <si>
    <t>ACCUEIL</t>
  </si>
  <si>
    <t>COUTDUPROJET</t>
  </si>
  <si>
    <t>OUTILSDEGESTION</t>
  </si>
  <si>
    <t>MESDÉPENSES</t>
  </si>
  <si>
    <t>PLANFINANCIER</t>
  </si>
  <si>
    <t>FINANCEMENT</t>
  </si>
  <si>
    <t>GRAPHIQUES</t>
  </si>
  <si>
    <t>TABLE</t>
  </si>
  <si>
    <t>MENU</t>
  </si>
  <si>
    <t>HISTO BILAN</t>
  </si>
  <si>
    <t>HISTO RESULTATS</t>
  </si>
  <si>
    <t>HISTO RF</t>
  </si>
  <si>
    <t>BILAN MENSUEL</t>
  </si>
  <si>
    <t>RESULTAT MENSUEL</t>
  </si>
  <si>
    <t>CON</t>
  </si>
  <si>
    <t>RG</t>
  </si>
  <si>
    <t>IMMO</t>
  </si>
  <si>
    <t>DG</t>
  </si>
  <si>
    <t>SUBV</t>
  </si>
  <si>
    <t>CF</t>
  </si>
  <si>
    <t>V1</t>
  </si>
  <si>
    <t>V2</t>
  </si>
  <si>
    <t>V3</t>
  </si>
  <si>
    <t>V4</t>
  </si>
  <si>
    <t>V5</t>
  </si>
  <si>
    <t>AE1</t>
  </si>
  <si>
    <t>AE2</t>
  </si>
  <si>
    <t>AE3</t>
  </si>
  <si>
    <t>AE4</t>
  </si>
  <si>
    <t>AE5</t>
  </si>
  <si>
    <t>A1</t>
  </si>
  <si>
    <t>A2</t>
  </si>
  <si>
    <t>A3</t>
  </si>
  <si>
    <t>A4</t>
  </si>
  <si>
    <t>A5</t>
  </si>
  <si>
    <t>FD1</t>
  </si>
  <si>
    <t>FD2</t>
  </si>
  <si>
    <t>FD3</t>
  </si>
  <si>
    <t>FD4</t>
  </si>
  <si>
    <t>FD5</t>
  </si>
  <si>
    <t>FG1</t>
  </si>
  <si>
    <t>FG2</t>
  </si>
  <si>
    <t>FG3</t>
  </si>
  <si>
    <t>FG4</t>
  </si>
  <si>
    <t>FG5</t>
  </si>
  <si>
    <t>RH1</t>
  </si>
  <si>
    <t>CS</t>
  </si>
  <si>
    <t>RH2</t>
  </si>
  <si>
    <t>RH3</t>
  </si>
  <si>
    <t>RH4</t>
  </si>
  <si>
    <t>RH5</t>
  </si>
  <si>
    <t>BC1</t>
  </si>
  <si>
    <t>BC2</t>
  </si>
  <si>
    <t>BC3</t>
  </si>
  <si>
    <t>BC4</t>
  </si>
  <si>
    <t>BC5</t>
  </si>
  <si>
    <t>ER</t>
  </si>
  <si>
    <t>BILAN</t>
  </si>
  <si>
    <t>EE</t>
  </si>
  <si>
    <t>NE</t>
  </si>
  <si>
    <t>RF</t>
  </si>
  <si>
    <t>FGFM1</t>
  </si>
  <si>
    <t>FGFM2</t>
  </si>
  <si>
    <t>FGF1,2</t>
  </si>
  <si>
    <t>GR</t>
  </si>
  <si>
    <t>GPM</t>
  </si>
  <si>
    <t>GV</t>
  </si>
  <si>
    <t>TE</t>
  </si>
  <si>
    <t>TI</t>
  </si>
  <si>
    <t>R&amp;D</t>
  </si>
  <si>
    <t>BP</t>
  </si>
  <si>
    <t>ECT1</t>
  </si>
  <si>
    <t>ECT2</t>
  </si>
  <si>
    <t>EH</t>
  </si>
  <si>
    <t>ELT1</t>
  </si>
  <si>
    <t>ELT2</t>
  </si>
  <si>
    <t>ELT3</t>
  </si>
  <si>
    <t>ELT4</t>
  </si>
  <si>
    <t>ELT5</t>
  </si>
  <si>
    <t>ELT6</t>
  </si>
  <si>
    <t>ELT7</t>
  </si>
  <si>
    <t>liste feuille</t>
  </si>
  <si>
    <t>Fondation</t>
  </si>
  <si>
    <t>Exacavation</t>
  </si>
  <si>
    <t xml:space="preserve">Plomberie </t>
  </si>
  <si>
    <t>Brique</t>
  </si>
  <si>
    <t>Autres spécialités</t>
  </si>
  <si>
    <t>Crédit impôt à l'investissement</t>
  </si>
  <si>
    <t>Inventaire-animaux</t>
  </si>
  <si>
    <t>Inventaire-récoltes</t>
  </si>
  <si>
    <t>Inventaire-approvisionnements</t>
  </si>
  <si>
    <t>Animaux</t>
  </si>
  <si>
    <t>Machinerie et équipements</t>
  </si>
  <si>
    <t>Terre</t>
  </si>
  <si>
    <t>=        Retour à la page d'accueil principale</t>
  </si>
  <si>
    <t>=        Retour à la page précédente</t>
  </si>
  <si>
    <t>=        Imprimer cette page</t>
  </si>
  <si>
    <r>
      <t xml:space="preserve">Les cellules au remplissage bleu et au cadre </t>
    </r>
    <r>
      <rPr>
        <u/>
        <sz val="12"/>
        <rFont val="Times New Roman CYR"/>
        <family val="1"/>
      </rPr>
      <t>gras</t>
    </r>
    <r>
      <rPr>
        <sz val="12"/>
        <rFont val="Times New Roman CYR"/>
        <family val="1"/>
      </rPr>
      <t xml:space="preserve"> et </t>
    </r>
    <r>
      <rPr>
        <u/>
        <sz val="12"/>
        <rFont val="Times New Roman CYR"/>
        <family val="1"/>
      </rPr>
      <t>bleu</t>
    </r>
    <r>
      <rPr>
        <sz val="12"/>
        <rFont val="Times New Roman CYR"/>
        <family val="1"/>
      </rPr>
      <t xml:space="preserve"> sont vos cellules de travail.  </t>
    </r>
  </si>
  <si>
    <r>
      <t xml:space="preserve">Par contre, celles au cadre </t>
    </r>
    <r>
      <rPr>
        <u/>
        <sz val="12"/>
        <rFont val="Times New Roman CYR"/>
        <family val="1"/>
      </rPr>
      <t>fin</t>
    </r>
    <r>
      <rPr>
        <sz val="12"/>
        <rFont val="Times New Roman CYR"/>
        <family val="1"/>
      </rPr>
      <t xml:space="preserve"> et </t>
    </r>
    <r>
      <rPr>
        <u/>
        <sz val="12"/>
        <rFont val="Times New Roman CYR"/>
        <family val="1"/>
      </rPr>
      <t>bleu</t>
    </r>
    <r>
      <rPr>
        <sz val="12"/>
        <rFont val="Times New Roman CYR"/>
        <family val="1"/>
      </rPr>
      <t xml:space="preserve"> sont déjà programmées mais sont tout de même accessibles pour des changements.</t>
    </r>
  </si>
  <si>
    <r>
      <t xml:space="preserve">Il n'y a qu'une seule feuille de travail disponible à la fois.  Il est donc </t>
    </r>
    <r>
      <rPr>
        <u/>
        <sz val="12"/>
        <rFont val="Times New Roman CYR"/>
        <family val="1"/>
      </rPr>
      <t>primordial</t>
    </r>
    <r>
      <rPr>
        <sz val="12"/>
        <rFont val="Times New Roman CYR"/>
        <family val="1"/>
      </rPr>
      <t xml:space="preserve"> d'utiliser les boutons de retour</t>
    </r>
  </si>
  <si>
    <r>
      <t xml:space="preserve">qui vous permettront de retourner au </t>
    </r>
    <r>
      <rPr>
        <b/>
        <sz val="12"/>
        <rFont val="Times New Roman CYR"/>
        <family val="1"/>
      </rPr>
      <t>menu</t>
    </r>
    <r>
      <rPr>
        <sz val="12"/>
        <rFont val="Times New Roman CYR"/>
        <family val="1"/>
      </rPr>
      <t xml:space="preserve"> </t>
    </r>
    <r>
      <rPr>
        <b/>
        <sz val="12"/>
        <rFont val="Times New Roman CYR"/>
        <family val="1"/>
      </rPr>
      <t>principal</t>
    </r>
    <r>
      <rPr>
        <sz val="12"/>
        <rFont val="Times New Roman CYR"/>
        <family val="1"/>
      </rPr>
      <t xml:space="preserve"> ou à la page précédente afin de poursuivre le travail.</t>
    </r>
  </si>
  <si>
    <r>
      <t xml:space="preserve">sous la rubrique </t>
    </r>
    <r>
      <rPr>
        <b/>
        <sz val="12"/>
        <rFont val="Times New Roman CYR"/>
        <family val="1"/>
      </rPr>
      <t>"Composantes du plan financier"</t>
    </r>
    <r>
      <rPr>
        <sz val="12"/>
        <rFont val="Times New Roman CYR"/>
        <family val="1"/>
      </rPr>
      <t>.</t>
    </r>
  </si>
  <si>
    <t>Autres entrées d'argent</t>
  </si>
  <si>
    <t>MESREVENUS</t>
  </si>
  <si>
    <t>BUDGET</t>
  </si>
  <si>
    <t>RÉEL</t>
  </si>
  <si>
    <t>ÉCART</t>
  </si>
  <si>
    <t>Immatriculation et permis</t>
  </si>
  <si>
    <t>Téléphonie et internet</t>
  </si>
  <si>
    <t>Pour la troisième année d'exploitation</t>
  </si>
  <si>
    <t>FABRICATION</t>
  </si>
  <si>
    <t>FGFM3</t>
  </si>
  <si>
    <t>(A x 15%)</t>
  </si>
  <si>
    <t>((A+B-C) x 49%)</t>
  </si>
  <si>
    <t>Versement mensuel</t>
  </si>
  <si>
    <t>Pour la cinquième année d'exploitation</t>
  </si>
  <si>
    <t>Pour la quatrième année d'exploitation</t>
  </si>
  <si>
    <t>Charges supplémentaires CCQ</t>
  </si>
  <si>
    <t>Est-ce que les actionnaires prévoient cotiser au RQAP?</t>
  </si>
  <si>
    <t>Est-ce que les actionnaires seront couverts par la CSST?</t>
  </si>
  <si>
    <t>Est-ce que les actionnaires prévoient cotiser à l'A-E?</t>
  </si>
  <si>
    <t>Oui/non</t>
  </si>
  <si>
    <t>Frais de démarrage et dépôts (Note 2)</t>
  </si>
  <si>
    <t xml:space="preserve">Exemple: Jeunes promoteurs </t>
  </si>
  <si>
    <t>Exemple: Programme d'appui financier à la relève agricole</t>
  </si>
  <si>
    <t>( Passif total / Actif total )</t>
  </si>
  <si>
    <t>( Passif total / Capitaux propres )</t>
  </si>
  <si>
    <t>( Chiffre d'affaires net / Actif total)</t>
  </si>
  <si>
    <t>( Passif total/ Actif total )</t>
  </si>
  <si>
    <t>( Passif total/ Capitaux propres )</t>
  </si>
  <si>
    <t>ANALYSE PAR RATIOS (SUITE)</t>
  </si>
  <si>
    <t>=       Masquer les détails</t>
  </si>
  <si>
    <t>=       Visualiser les détails</t>
  </si>
  <si>
    <t>Autre frais d'exploitation 3</t>
  </si>
  <si>
    <t>Autre frais d'exploitation 4</t>
  </si>
  <si>
    <t>Autre frais d'exploitation 5</t>
  </si>
  <si>
    <t>Autre frais d'exploitation 6</t>
  </si>
  <si>
    <t>Autre frais d'exploitation 7</t>
  </si>
  <si>
    <t>Autre frais d'exploitation 8</t>
  </si>
  <si>
    <t>Autres frais de vente 1</t>
  </si>
  <si>
    <t>Autres frais de vente 2</t>
  </si>
  <si>
    <t>Autres frais de vente 3</t>
  </si>
  <si>
    <t>Autres frais de vente 4</t>
  </si>
  <si>
    <t>Autres frais de vente 5</t>
  </si>
  <si>
    <t>Autres frais d'administration 2</t>
  </si>
  <si>
    <t>Autres frais d'administration 3</t>
  </si>
  <si>
    <t>Autres frais d'administration 4</t>
  </si>
  <si>
    <t>Autres frais d'administration 5</t>
  </si>
  <si>
    <t>Autres frais d'administration 6</t>
  </si>
  <si>
    <t>Autres frais financiers 1</t>
  </si>
  <si>
    <t>Autres frais financiers 2</t>
  </si>
  <si>
    <t>Autres frais financiers 3</t>
  </si>
  <si>
    <t>Autres frais financiers 4</t>
  </si>
  <si>
    <t>=       Remettre la formule initiale en place</t>
  </si>
  <si>
    <t>oui</t>
  </si>
  <si>
    <t>Poste en recherche et développement</t>
  </si>
  <si>
    <t>Postes administratifs</t>
  </si>
  <si>
    <t>Postes de production</t>
  </si>
  <si>
    <t>Postes occupés par les actionnaires</t>
  </si>
  <si>
    <t>seront filtrés et imprimés.  Voici son contenu :</t>
  </si>
  <si>
    <t>*Veuillez prendre note que l'impression unitaire des documents à partir de l'icône d'impression                                  ne génère aucun filtre.</t>
  </si>
  <si>
    <t>Impôts et acomptes provisionnels</t>
  </si>
  <si>
    <t>( Frais fixes / (1 - % frais variables) )</t>
  </si>
  <si>
    <t>( Frais fixes + amortissements / (1 - % frais variables) )</t>
  </si>
  <si>
    <t>( (Frais fixes + amortissements + Prélèvements) / (1 - % frais variables) )</t>
  </si>
  <si>
    <t>En cours</t>
  </si>
  <si>
    <t>A venir</t>
  </si>
  <si>
    <t>Subvention perçue d'avance</t>
  </si>
  <si>
    <t>Si votre inventaire de départ provient d'un transfert d'actif, inscrire la valeur du transfert :</t>
  </si>
  <si>
    <t xml:space="preserve">Ratio du service de la dette </t>
  </si>
  <si>
    <t>((BAIIA/Servie de la dette))</t>
  </si>
  <si>
    <t>Budget de caisse la troisième année</t>
  </si>
  <si>
    <t>PRF - 9</t>
  </si>
  <si>
    <t>Jhon Wesly inc.</t>
  </si>
  <si>
    <t>Emprunt bancaire - Logiciel &amp; Site Web</t>
  </si>
  <si>
    <t>BMO</t>
  </si>
  <si>
    <t>Fais d'hébèrgement de site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</si>
</sst>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0_);\(&quot;$&quot;#,##0\)"/>
    <numFmt numFmtId="165" formatCode="&quot;$&quot;#,##0.00_);[Red]\(&quot;$&quot;#,##0.0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_-* #,##0\ _$_-;_-* #,##0\ _$\-;_-* &quot;-&quot;\ _$_-;_-@_-"/>
    <numFmt numFmtId="171" formatCode="_-* #,##0.00\ _$_-;_-* #,##0.00\ _$\-;_-* &quot;-&quot;??\ _$_-;_-@_-"/>
    <numFmt numFmtId="172" formatCode="d\ mmmm\ yyyy"/>
    <numFmt numFmtId="173" formatCode="#,##0\ &quot;$&quot;;[Red]\-#,##0\ &quot;$&quot;"/>
    <numFmt numFmtId="174" formatCode="_-* #,##0.00\ &quot;$&quot;_-;\-* #,##0.00\ &quot;$&quot;_-;_-* &quot;-&quot;??\ &quot;$&quot;_-;_-@_-"/>
    <numFmt numFmtId="175" formatCode="_-* #,##0.00\ _$_-;\-* #,##0.00\ _$_-;_-* &quot;-&quot;??\ _$_-;_-@_-"/>
    <numFmt numFmtId="176" formatCode="0.0%"/>
    <numFmt numFmtId="177" formatCode="_-* #,##0\ &quot;$&quot;_-;\-* #,##0\ &quot;$&quot;_-;_-* &quot;-&quot;??\ &quot;$&quot;_-;_-@_-"/>
    <numFmt numFmtId="178" formatCode="#,##0.00\ &quot;$&quot;"/>
    <numFmt numFmtId="179" formatCode="#,##0\ &quot;$&quot;"/>
    <numFmt numFmtId="180" formatCode="mmmm/yy"/>
    <numFmt numFmtId="181" formatCode="_ * #,##0.00_)\ _$_ ;_ * \(#,##0.00\)\ _$_ ;_ * &quot;-&quot;_)\ _$_ ;_ @_ "/>
    <numFmt numFmtId="182" formatCode="0_);\(0\)"/>
    <numFmt numFmtId="183" formatCode="0.0"/>
    <numFmt numFmtId="184" formatCode="#,##0.00&quot; $&quot;_);\(#,##0.00&quot; $&quot;\)"/>
    <numFmt numFmtId="185" formatCode="_ * #,##0_)\ &quot;$&quot;_ ;_ * \(#,##0\)\ &quot;$&quot;_ ;_ * &quot;-&quot;??_)\ &quot;$&quot;_ ;_ @_ "/>
    <numFmt numFmtId="186" formatCode="_ * #,##0_)\ _$_ ;_ * \(#,##0\)\ _$_ ;_ * &quot;0&quot;_)\ _$_ ;_ @_ "/>
    <numFmt numFmtId="187" formatCode="d/mmm/yy"/>
    <numFmt numFmtId="188" formatCode="0.0000000%"/>
    <numFmt numFmtId="189" formatCode="[$-F800]dddd\,\ mmmm\ dd\,\ yyyy"/>
    <numFmt numFmtId="190" formatCode="0.000%"/>
  </numFmts>
  <fonts count="137">
    <font>
      <sz val="10"/>
      <name val="Arial"/>
    </font>
    <font>
      <sz val="11"/>
      <color theme="1"/>
      <name val="Calibri"/>
      <family val="2"/>
      <scheme val="minor"/>
    </font>
    <font>
      <sz val="10"/>
      <name val="Arial"/>
      <family val="2"/>
    </font>
    <font>
      <b/>
      <sz val="12"/>
      <name val="Arial"/>
      <family val="2"/>
    </font>
    <font>
      <b/>
      <sz val="10"/>
      <name val="Arial"/>
      <family val="2"/>
    </font>
    <font>
      <sz val="10"/>
      <name val="Arial"/>
      <family val="2"/>
    </font>
    <font>
      <u/>
      <sz val="7.5"/>
      <color indexed="12"/>
      <name val="Arial"/>
      <family val="2"/>
    </font>
    <font>
      <sz val="8"/>
      <name val="Arial"/>
      <family val="2"/>
    </font>
    <font>
      <b/>
      <sz val="10"/>
      <name val="Arial"/>
      <family val="2"/>
    </font>
    <font>
      <sz val="8"/>
      <color indexed="81"/>
      <name val="Tahoma"/>
      <family val="2"/>
    </font>
    <font>
      <b/>
      <sz val="8"/>
      <color indexed="81"/>
      <name val="Tahoma"/>
      <family val="2"/>
    </font>
    <font>
      <sz val="12"/>
      <name val="Arial Narrow"/>
      <family val="2"/>
    </font>
    <font>
      <sz val="12"/>
      <name val="SWISS"/>
    </font>
    <font>
      <b/>
      <sz val="14"/>
      <color indexed="16"/>
      <name val="Arial Narrow"/>
      <family val="2"/>
    </font>
    <font>
      <b/>
      <u/>
      <sz val="14"/>
      <color indexed="10"/>
      <name val="Arial Narrow"/>
      <family val="2"/>
    </font>
    <font>
      <sz val="12"/>
      <color indexed="10"/>
      <name val="Arial Narrow"/>
      <family val="2"/>
    </font>
    <font>
      <b/>
      <sz val="18"/>
      <color indexed="8"/>
      <name val="Arial Narrow"/>
      <family val="2"/>
    </font>
    <font>
      <b/>
      <sz val="12"/>
      <color indexed="8"/>
      <name val="Arial Narrow"/>
      <family val="2"/>
    </font>
    <font>
      <b/>
      <sz val="14"/>
      <color indexed="8"/>
      <name val="Arial Narrow"/>
      <family val="2"/>
    </font>
    <font>
      <sz val="12"/>
      <color indexed="8"/>
      <name val="Arial Narrow"/>
      <family val="2"/>
    </font>
    <font>
      <b/>
      <sz val="12"/>
      <color indexed="10"/>
      <name val="Arial Narrow"/>
      <family val="2"/>
    </font>
    <font>
      <b/>
      <sz val="10"/>
      <color indexed="10"/>
      <name val="Webdings"/>
      <family val="1"/>
    </font>
    <font>
      <b/>
      <sz val="10"/>
      <color indexed="9"/>
      <name val="Times New Roman CYR"/>
      <family val="1"/>
    </font>
    <font>
      <b/>
      <sz val="8"/>
      <color indexed="9"/>
      <name val="Times New Roman CYR"/>
      <family val="1"/>
    </font>
    <font>
      <sz val="20"/>
      <name val="Times New Roman CYR"/>
      <family val="1"/>
    </font>
    <font>
      <sz val="10"/>
      <name val="Times New Roman CYR"/>
      <family val="1"/>
    </font>
    <font>
      <sz val="8"/>
      <name val="Times New Roman CYR"/>
      <family val="1"/>
    </font>
    <font>
      <b/>
      <sz val="12"/>
      <name val="Times New Roman CYR"/>
      <family val="1"/>
    </font>
    <font>
      <b/>
      <sz val="10"/>
      <name val="Times New Roman CYR"/>
      <family val="1"/>
    </font>
    <font>
      <sz val="8"/>
      <color indexed="9"/>
      <name val="Times New Roman CYR"/>
      <family val="1"/>
    </font>
    <font>
      <sz val="10"/>
      <color indexed="9"/>
      <name val="Times New Roman CYR"/>
      <family val="1"/>
    </font>
    <font>
      <b/>
      <u/>
      <sz val="12"/>
      <name val="Times New Roman CYR"/>
      <family val="1"/>
    </font>
    <font>
      <b/>
      <sz val="20"/>
      <name val="Times New Roman CYR"/>
      <family val="1"/>
    </font>
    <font>
      <sz val="12"/>
      <name val="Times New Roman CYR"/>
      <family val="1"/>
    </font>
    <font>
      <b/>
      <u/>
      <sz val="16"/>
      <name val="Times New Roman CYR"/>
      <family val="1"/>
    </font>
    <font>
      <b/>
      <sz val="16"/>
      <name val="Times New Roman CYR"/>
      <family val="1"/>
    </font>
    <font>
      <sz val="10"/>
      <color indexed="10"/>
      <name val="Times New Roman CYR"/>
      <family val="1"/>
    </font>
    <font>
      <b/>
      <u/>
      <sz val="10"/>
      <name val="Times New Roman CYR"/>
      <family val="1"/>
    </font>
    <font>
      <sz val="22"/>
      <name val="Times New Roman CYR"/>
      <family val="1"/>
    </font>
    <font>
      <sz val="6"/>
      <name val="Times New Roman CYR"/>
      <family val="1"/>
    </font>
    <font>
      <b/>
      <sz val="6"/>
      <name val="Times New Roman CYR"/>
      <family val="1"/>
    </font>
    <font>
      <sz val="10"/>
      <name val="Arial"/>
      <family val="2"/>
    </font>
    <font>
      <b/>
      <sz val="8"/>
      <name val="Times New Roman CYR"/>
      <family val="1"/>
    </font>
    <font>
      <b/>
      <sz val="14"/>
      <name val="Times New Roman CYR"/>
      <family val="1"/>
    </font>
    <font>
      <b/>
      <sz val="6"/>
      <color indexed="9"/>
      <name val="Times New Roman CYR"/>
      <family val="1"/>
    </font>
    <font>
      <b/>
      <sz val="22"/>
      <name val="Times New Roman CYR"/>
      <family val="1"/>
    </font>
    <font>
      <b/>
      <sz val="20"/>
      <name val="Times New Roman"/>
      <family val="1"/>
    </font>
    <font>
      <sz val="26"/>
      <name val="Times New Roman CYR"/>
      <family val="1"/>
    </font>
    <font>
      <sz val="1"/>
      <color indexed="9"/>
      <name val="Times New Roman CYR"/>
      <family val="1"/>
    </font>
    <font>
      <b/>
      <sz val="1"/>
      <color indexed="9"/>
      <name val="Times New Roman CYR"/>
      <family val="1"/>
    </font>
    <font>
      <b/>
      <sz val="1"/>
      <name val="Times New Roman CYR"/>
      <family val="1"/>
    </font>
    <font>
      <b/>
      <sz val="9"/>
      <name val="Times New Roman CYR"/>
      <family val="1"/>
    </font>
    <font>
      <b/>
      <u val="singleAccounting"/>
      <sz val="12"/>
      <name val="Times New Roman CYR"/>
      <family val="1"/>
    </font>
    <font>
      <sz val="12"/>
      <color indexed="17"/>
      <name val="Times New Roman CYR"/>
      <family val="1"/>
    </font>
    <font>
      <sz val="12"/>
      <color indexed="12"/>
      <name val="Times New Roman CYR"/>
      <family val="1"/>
    </font>
    <font>
      <b/>
      <u/>
      <sz val="8"/>
      <name val="Times New Roman CYR"/>
      <family val="1"/>
    </font>
    <font>
      <sz val="5"/>
      <name val="Times New Roman CYR"/>
      <family val="1"/>
    </font>
    <font>
      <sz val="10"/>
      <name val="Arial"/>
      <family val="2"/>
    </font>
    <font>
      <b/>
      <sz val="18"/>
      <name val="Times New Roman CYR"/>
      <family val="1"/>
    </font>
    <font>
      <sz val="16"/>
      <color indexed="9"/>
      <name val="Times New Roman CYR"/>
      <family val="1"/>
    </font>
    <font>
      <b/>
      <sz val="10"/>
      <color indexed="12"/>
      <name val="Times New Roman CYR"/>
      <family val="1"/>
    </font>
    <font>
      <u val="double"/>
      <sz val="10"/>
      <name val="Times New Roman CYR"/>
      <family val="1"/>
    </font>
    <font>
      <sz val="10"/>
      <color indexed="12"/>
      <name val="Arial"/>
      <family val="2"/>
    </font>
    <font>
      <u/>
      <sz val="12"/>
      <name val="Times New Roman CYR"/>
      <family val="1"/>
    </font>
    <font>
      <u/>
      <sz val="10"/>
      <name val="Times New Roman CYR"/>
      <family val="1"/>
    </font>
    <font>
      <u/>
      <sz val="11"/>
      <name val="Times New Roman CYR"/>
      <family val="1"/>
    </font>
    <font>
      <sz val="12"/>
      <name val="Arial"/>
      <family val="2"/>
    </font>
    <font>
      <b/>
      <u/>
      <sz val="9"/>
      <name val="Times New Roman CYR"/>
      <family val="1"/>
    </font>
    <font>
      <b/>
      <u val="singleAccounting"/>
      <sz val="9"/>
      <name val="Times New Roman CYR"/>
      <family val="1"/>
    </font>
    <font>
      <u/>
      <sz val="10"/>
      <color indexed="12"/>
      <name val="Arial"/>
      <family val="2"/>
    </font>
    <font>
      <b/>
      <i/>
      <u/>
      <sz val="16"/>
      <name val="Times New Roman CYR"/>
      <family val="1"/>
    </font>
    <font>
      <sz val="10"/>
      <color indexed="10"/>
      <name val="Arial"/>
      <family val="2"/>
    </font>
    <font>
      <b/>
      <u val="double"/>
      <sz val="10"/>
      <name val="Times New Roman CYR"/>
      <family val="1"/>
    </font>
    <font>
      <u val="double"/>
      <sz val="12"/>
      <name val="Times New Roman CYR"/>
      <family val="1"/>
    </font>
    <font>
      <b/>
      <sz val="12"/>
      <color indexed="81"/>
      <name val="Times New Roman CYR"/>
      <family val="1"/>
    </font>
    <font>
      <sz val="12"/>
      <color indexed="81"/>
      <name val="Times New Roman CYR"/>
      <family val="1"/>
    </font>
    <font>
      <b/>
      <u/>
      <sz val="10"/>
      <color indexed="12"/>
      <name val="Times New Roman CYR"/>
      <family val="1"/>
    </font>
    <font>
      <b/>
      <u/>
      <sz val="20"/>
      <name val="Times New Roman CYR"/>
    </font>
    <font>
      <sz val="12"/>
      <name val="Times New Roman"/>
      <family val="1"/>
    </font>
    <font>
      <sz val="14"/>
      <name val="Times New Roman"/>
      <family val="1"/>
    </font>
    <font>
      <sz val="10"/>
      <name val="Arial Unicode MS"/>
      <family val="2"/>
    </font>
    <font>
      <sz val="10"/>
      <name val="Times New Roman CYR"/>
      <family val="1"/>
    </font>
    <font>
      <b/>
      <sz val="10"/>
      <color indexed="9"/>
      <name val="Times New Roman CYR"/>
      <family val="1"/>
    </font>
    <font>
      <b/>
      <u/>
      <sz val="10"/>
      <name val="Arial"/>
      <family val="2"/>
    </font>
    <font>
      <b/>
      <u val="doubleAccounting"/>
      <sz val="10"/>
      <name val="Arial"/>
      <family val="2"/>
    </font>
    <font>
      <sz val="10"/>
      <name val="Arial"/>
      <family val="2"/>
    </font>
    <font>
      <b/>
      <sz val="10"/>
      <name val="Times New Roman CYR"/>
      <family val="1"/>
    </font>
    <font>
      <b/>
      <sz val="11"/>
      <name val="Arial"/>
      <family val="2"/>
    </font>
    <font>
      <b/>
      <sz val="10"/>
      <name val="Times New Roman CYR"/>
      <family val="1"/>
    </font>
    <font>
      <sz val="10"/>
      <color indexed="10"/>
      <name val="Times New Roman CYR"/>
      <family val="1"/>
    </font>
    <font>
      <b/>
      <sz val="10"/>
      <color indexed="10"/>
      <name val="Times New Roman CYR"/>
      <family val="1"/>
    </font>
    <font>
      <sz val="12"/>
      <color indexed="9"/>
      <name val="Times New Roman CYR"/>
      <family val="1"/>
    </font>
    <font>
      <sz val="6"/>
      <color indexed="10"/>
      <name val="Times New Roman CYR"/>
      <family val="1"/>
    </font>
    <font>
      <b/>
      <sz val="6"/>
      <color indexed="10"/>
      <name val="Times New Roman CYR"/>
      <family val="1"/>
    </font>
    <font>
      <b/>
      <sz val="12"/>
      <color indexed="10"/>
      <name val="Arial Narrow"/>
      <family val="2"/>
    </font>
    <font>
      <u/>
      <sz val="10"/>
      <color indexed="12"/>
      <name val="Times New Roman CYR"/>
    </font>
    <font>
      <sz val="9"/>
      <color indexed="81"/>
      <name val="Tahoma"/>
      <family val="2"/>
    </font>
    <font>
      <b/>
      <sz val="9"/>
      <color indexed="81"/>
      <name val="Tahoma"/>
      <family val="2"/>
    </font>
    <font>
      <b/>
      <sz val="10"/>
      <name val="Times New Roman CYR"/>
      <family val="1"/>
    </font>
    <font>
      <sz val="10"/>
      <name val="Arial"/>
      <family val="2"/>
    </font>
    <font>
      <u/>
      <sz val="11"/>
      <color rgb="FFFF0000"/>
      <name val="Times New Roman CYR"/>
      <family val="1"/>
    </font>
    <font>
      <u/>
      <sz val="10"/>
      <color rgb="FFFF0000"/>
      <name val="Times New Roman CYR"/>
      <family val="1"/>
    </font>
    <font>
      <sz val="10"/>
      <color rgb="FFFF0000"/>
      <name val="Times New Roman CYR"/>
      <family val="1"/>
    </font>
    <font>
      <b/>
      <sz val="10"/>
      <color rgb="FFFF0000"/>
      <name val="Times New Roman CYR"/>
      <family val="1"/>
    </font>
    <font>
      <sz val="10"/>
      <color theme="0"/>
      <name val="Arial"/>
      <family val="2"/>
    </font>
    <font>
      <b/>
      <sz val="10"/>
      <color theme="0"/>
      <name val="Arial"/>
      <family val="2"/>
    </font>
    <font>
      <sz val="8"/>
      <color theme="0"/>
      <name val="Times New Roman CYR"/>
      <family val="1"/>
    </font>
    <font>
      <sz val="6"/>
      <color theme="0"/>
      <name val="Times New Roman CYR"/>
      <family val="1"/>
    </font>
    <font>
      <b/>
      <u val="doubleAccounting"/>
      <sz val="10"/>
      <name val="Times New Roman CYR"/>
    </font>
    <font>
      <sz val="12"/>
      <name val="Times New Roman CYR"/>
    </font>
    <font>
      <sz val="10"/>
      <color theme="0"/>
      <name val="Times New Roman CYR"/>
      <family val="1"/>
    </font>
    <font>
      <sz val="10"/>
      <color rgb="FFFF0000"/>
      <name val="Arial"/>
      <family val="2"/>
    </font>
    <font>
      <b/>
      <sz val="18"/>
      <color rgb="FFFF0000"/>
      <name val="Times New Roman CYR"/>
      <family val="1"/>
    </font>
    <font>
      <b/>
      <sz val="14"/>
      <color rgb="FFFF0000"/>
      <name val="Arial"/>
      <family val="2"/>
    </font>
    <font>
      <b/>
      <sz val="14"/>
      <color rgb="FFFF0000"/>
      <name val="Times New Roman CYR"/>
    </font>
    <font>
      <b/>
      <sz val="10"/>
      <name val="Times New Roman CYR"/>
    </font>
    <font>
      <b/>
      <sz val="14"/>
      <name val="Times New Roman CYR"/>
    </font>
    <font>
      <sz val="10"/>
      <name val="Times New Roman CYR"/>
    </font>
    <font>
      <sz val="8"/>
      <color rgb="FFFF0000"/>
      <name val="Times New Roman CYR"/>
      <family val="1"/>
    </font>
    <font>
      <b/>
      <sz val="10"/>
      <color rgb="FFFF0000"/>
      <name val="Times New Roman CYR"/>
    </font>
    <font>
      <sz val="8"/>
      <name val="Times New Roman CYR"/>
    </font>
    <font>
      <b/>
      <u/>
      <sz val="10"/>
      <color rgb="FFFF0000"/>
      <name val="Arial"/>
      <family val="2"/>
    </font>
    <font>
      <sz val="14"/>
      <name val="Times New Roman CYR"/>
    </font>
    <font>
      <b/>
      <u/>
      <sz val="18"/>
      <color rgb="FFFF0000"/>
      <name val="Times New Roman CYR"/>
      <family val="1"/>
    </font>
    <font>
      <b/>
      <sz val="12"/>
      <color theme="0"/>
      <name val="Times New Roman CYR"/>
      <family val="1"/>
    </font>
    <font>
      <b/>
      <sz val="8"/>
      <name val="Times New Roman CYR"/>
    </font>
    <font>
      <sz val="10"/>
      <name val="Arial"/>
      <family val="2"/>
    </font>
    <font>
      <sz val="8"/>
      <color rgb="FFFF0000"/>
      <name val="Arial"/>
      <family val="2"/>
    </font>
    <font>
      <u/>
      <sz val="10"/>
      <color rgb="FFFF0000"/>
      <name val="Times New Roman CYR"/>
    </font>
    <font>
      <b/>
      <sz val="6"/>
      <color theme="0"/>
      <name val="Times New Roman CYR"/>
      <family val="1"/>
    </font>
    <font>
      <sz val="12"/>
      <color rgb="FFFF0000"/>
      <name val="Times New Roman CYR"/>
      <family val="1"/>
    </font>
    <font>
      <b/>
      <sz val="10"/>
      <name val="Cambria"/>
      <family val="1"/>
    </font>
    <font>
      <sz val="10"/>
      <name val="Cambria"/>
      <family val="1"/>
    </font>
    <font>
      <b/>
      <sz val="10"/>
      <name val="Times New Roman"/>
      <family val="1"/>
    </font>
    <font>
      <b/>
      <sz val="8"/>
      <color theme="0"/>
      <name val="Times New Roman CYR"/>
      <family val="1"/>
    </font>
    <font>
      <b/>
      <sz val="10"/>
      <color theme="0"/>
      <name val="Times New Roman CYR"/>
      <family val="1"/>
    </font>
    <font>
      <sz val="10"/>
      <color rgb="FF0000D4"/>
      <name val="Times New Roman CYR"/>
      <family val="1"/>
    </font>
  </fonts>
  <fills count="31">
    <fill>
      <patternFill patternType="none"/>
    </fill>
    <fill>
      <patternFill patternType="gray125"/>
    </fill>
    <fill>
      <patternFill patternType="solid">
        <fgColor indexed="9"/>
      </patternFill>
    </fill>
    <fill>
      <patternFill patternType="solid">
        <fgColor indexed="22"/>
      </patternFill>
    </fill>
    <fill>
      <patternFill patternType="solid">
        <fgColor indexed="9"/>
        <bgColor indexed="64"/>
      </patternFill>
    </fill>
    <fill>
      <patternFill patternType="solid">
        <fgColor indexed="42"/>
        <bgColor indexed="64"/>
      </patternFill>
    </fill>
    <fill>
      <patternFill patternType="solid">
        <fgColor indexed="46"/>
        <bgColor indexed="64"/>
      </patternFill>
    </fill>
    <fill>
      <patternFill patternType="solid">
        <fgColor indexed="11"/>
        <bgColor indexed="64"/>
      </patternFill>
    </fill>
    <fill>
      <patternFill patternType="solid">
        <fgColor indexed="51"/>
        <bgColor indexed="64"/>
      </patternFill>
    </fill>
    <fill>
      <patternFill patternType="solid">
        <fgColor indexed="53"/>
        <bgColor indexed="64"/>
      </patternFill>
    </fill>
    <fill>
      <patternFill patternType="solid">
        <fgColor indexed="30"/>
        <bgColor indexed="64"/>
      </patternFill>
    </fill>
    <fill>
      <patternFill patternType="solid">
        <fgColor indexed="19"/>
        <bgColor indexed="64"/>
      </patternFill>
    </fill>
    <fill>
      <patternFill patternType="solid">
        <fgColor indexed="55"/>
        <bgColor indexed="64"/>
      </patternFill>
    </fill>
    <fill>
      <patternFill patternType="solid">
        <fgColor indexed="29"/>
        <bgColor indexed="64"/>
      </patternFill>
    </fill>
    <fill>
      <patternFill patternType="solid">
        <fgColor indexed="13"/>
        <bgColor indexed="64"/>
      </patternFill>
    </fill>
    <fill>
      <patternFill patternType="solid">
        <fgColor indexed="31"/>
        <bgColor indexed="64"/>
      </patternFill>
    </fill>
    <fill>
      <patternFill patternType="solid">
        <fgColor rgb="FFFFFF0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00D4"/>
        <bgColor indexed="64"/>
      </patternFill>
    </fill>
    <fill>
      <patternFill patternType="solid">
        <fgColor rgb="FF7030A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bgColor indexed="64"/>
      </patternFill>
    </fill>
  </fills>
  <borders count="82">
    <border>
      <left/>
      <right/>
      <top/>
      <bottom/>
      <diagonal/>
    </border>
    <border>
      <left style="thin">
        <color indexed="8"/>
      </left>
      <right style="thin">
        <color indexed="8"/>
      </right>
      <top style="thin">
        <color indexed="8"/>
      </top>
      <bottom style="thin">
        <color indexed="8"/>
      </bottom>
      <diagonal/>
    </border>
    <border>
      <left/>
      <right style="thick">
        <color indexed="12"/>
      </right>
      <top/>
      <bottom/>
      <diagonal/>
    </border>
    <border>
      <left/>
      <right style="thick">
        <color indexed="12"/>
      </right>
      <top/>
      <bottom style="thick">
        <color indexed="12"/>
      </bottom>
      <diagonal/>
    </border>
    <border>
      <left/>
      <right/>
      <top/>
      <bottom style="thick">
        <color indexed="12"/>
      </bottom>
      <diagonal/>
    </border>
    <border>
      <left style="thin">
        <color indexed="8"/>
      </left>
      <right/>
      <top style="thin">
        <color indexed="8"/>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8"/>
      </right>
      <top/>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12"/>
      </left>
      <right style="thin">
        <color indexed="12"/>
      </right>
      <top style="thin">
        <color indexed="12"/>
      </top>
      <bottom style="thin">
        <color indexed="12"/>
      </bottom>
      <diagonal/>
    </border>
    <border>
      <left style="thin">
        <color indexed="12"/>
      </left>
      <right/>
      <top style="thin">
        <color indexed="12"/>
      </top>
      <bottom style="thin">
        <color indexed="12"/>
      </bottom>
      <diagonal/>
    </border>
    <border>
      <left/>
      <right style="thin">
        <color indexed="12"/>
      </right>
      <top style="thin">
        <color indexed="12"/>
      </top>
      <bottom style="thin">
        <color indexed="12"/>
      </bottom>
      <diagonal/>
    </border>
    <border>
      <left/>
      <right style="thin">
        <color indexed="12"/>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style="thin">
        <color indexed="12"/>
      </top>
      <bottom style="medium">
        <color indexed="64"/>
      </bottom>
      <diagonal/>
    </border>
    <border>
      <left/>
      <right style="thin">
        <color indexed="12"/>
      </right>
      <top style="thin">
        <color indexed="12"/>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12"/>
      </left>
      <right style="thick">
        <color indexed="12"/>
      </right>
      <top style="thick">
        <color indexed="12"/>
      </top>
      <bottom style="thick">
        <color indexed="12"/>
      </bottom>
      <diagonal/>
    </border>
    <border>
      <left style="medium">
        <color indexed="64"/>
      </left>
      <right style="medium">
        <color indexed="64"/>
      </right>
      <top style="medium">
        <color indexed="64"/>
      </top>
      <bottom/>
      <diagonal/>
    </border>
    <border>
      <left style="thin">
        <color indexed="12"/>
      </left>
      <right style="thin">
        <color indexed="12"/>
      </right>
      <top/>
      <bottom style="thin">
        <color indexed="12"/>
      </bottom>
      <diagonal/>
    </border>
    <border>
      <left/>
      <right/>
      <top/>
      <bottom style="dotted">
        <color indexed="64"/>
      </bottom>
      <diagonal/>
    </border>
    <border>
      <left style="medium">
        <color indexed="12"/>
      </left>
      <right/>
      <top style="medium">
        <color indexed="12"/>
      </top>
      <bottom style="medium">
        <color indexed="12"/>
      </bottom>
      <diagonal/>
    </border>
    <border>
      <left style="thin">
        <color indexed="12"/>
      </left>
      <right style="thin">
        <color indexed="12"/>
      </right>
      <top/>
      <bottom/>
      <diagonal/>
    </border>
    <border>
      <left style="thin">
        <color indexed="12"/>
      </left>
      <right/>
      <top/>
      <bottom/>
      <diagonal/>
    </border>
    <border>
      <left style="medium">
        <color indexed="30"/>
      </left>
      <right style="medium">
        <color indexed="30"/>
      </right>
      <top style="medium">
        <color indexed="30"/>
      </top>
      <bottom style="medium">
        <color indexed="30"/>
      </bottom>
      <diagonal/>
    </border>
    <border>
      <left/>
      <right/>
      <top style="medium">
        <color indexed="12"/>
      </top>
      <bottom style="medium">
        <color indexed="12"/>
      </bottom>
      <diagonal/>
    </border>
    <border>
      <left/>
      <right style="medium">
        <color indexed="12"/>
      </right>
      <top style="medium">
        <color indexed="12"/>
      </top>
      <bottom style="medium">
        <color indexed="12"/>
      </bottom>
      <diagonal/>
    </border>
    <border>
      <left/>
      <right/>
      <top/>
      <bottom style="thin">
        <color indexed="12"/>
      </bottom>
      <diagonal/>
    </border>
    <border>
      <left style="medium">
        <color indexed="12"/>
      </left>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12"/>
      </right>
      <top/>
      <bottom/>
      <diagonal/>
    </border>
    <border>
      <left style="medium">
        <color rgb="FF0000D4"/>
      </left>
      <right style="medium">
        <color rgb="FF0000D4"/>
      </right>
      <top style="medium">
        <color rgb="FF0000D4"/>
      </top>
      <bottom style="medium">
        <color rgb="FF0000D4"/>
      </bottom>
      <diagonal/>
    </border>
    <border>
      <left style="thin">
        <color indexed="12"/>
      </left>
      <right style="medium">
        <color indexed="64"/>
      </right>
      <top style="thin">
        <color indexed="12"/>
      </top>
      <bottom style="thin">
        <color indexed="12"/>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right style="thin">
        <color indexed="12"/>
      </right>
      <top/>
      <bottom/>
      <diagonal/>
    </border>
    <border>
      <left/>
      <right style="thin">
        <color indexed="12"/>
      </right>
      <top/>
      <bottom style="thin">
        <color indexed="12"/>
      </bottom>
      <diagonal/>
    </border>
    <border>
      <left style="thin">
        <color rgb="FF0000D4"/>
      </left>
      <right style="thin">
        <color rgb="FF0000D4"/>
      </right>
      <top style="thin">
        <color rgb="FF0000D4"/>
      </top>
      <bottom style="thin">
        <color rgb="FF0000D4"/>
      </bottom>
      <diagonal/>
    </border>
    <border>
      <left/>
      <right/>
      <top style="medium">
        <color indexed="12"/>
      </top>
      <bottom/>
      <diagonal/>
    </border>
  </borders>
  <cellStyleXfs count="9">
    <xf numFmtId="0" fontId="0" fillId="0" borderId="0"/>
    <xf numFmtId="0" fontId="6" fillId="0" borderId="0" applyNumberFormat="0" applyFill="0" applyBorder="0" applyAlignment="0" applyProtection="0">
      <alignment vertical="top"/>
      <protection locked="0"/>
    </xf>
    <xf numFmtId="169" fontId="2" fillId="0" borderId="0" applyFont="0" applyFill="0" applyBorder="0" applyAlignment="0" applyProtection="0"/>
    <xf numFmtId="168"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0" fontId="12" fillId="2" borderId="0"/>
    <xf numFmtId="9" fontId="2" fillId="0" borderId="0" applyFont="0" applyFill="0" applyBorder="0" applyAlignment="0" applyProtection="0"/>
    <xf numFmtId="0" fontId="1" fillId="0" borderId="0"/>
  </cellStyleXfs>
  <cellXfs count="1232">
    <xf numFmtId="0" fontId="0" fillId="0" borderId="0" xfId="0"/>
    <xf numFmtId="0" fontId="0" fillId="0" borderId="0" xfId="0" applyProtection="1">
      <protection hidden="1"/>
    </xf>
    <xf numFmtId="173" fontId="5" fillId="0" borderId="0" xfId="0" applyNumberFormat="1" applyFont="1" applyAlignment="1" applyProtection="1">
      <alignment horizontal="left"/>
      <protection hidden="1"/>
    </xf>
    <xf numFmtId="0" fontId="4" fillId="0" borderId="0" xfId="0" applyFont="1" applyAlignment="1" applyProtection="1">
      <alignment horizontal="center"/>
      <protection hidden="1"/>
    </xf>
    <xf numFmtId="0" fontId="15" fillId="2" borderId="1" xfId="6" applyFont="1" applyBorder="1" applyProtection="1">
      <protection hidden="1"/>
    </xf>
    <xf numFmtId="183" fontId="20" fillId="2" borderId="1" xfId="6" applyNumberFormat="1" applyFont="1" applyBorder="1" applyAlignment="1" applyProtection="1">
      <alignment horizontal="center"/>
      <protection hidden="1"/>
    </xf>
    <xf numFmtId="0" fontId="11" fillId="2" borderId="2" xfId="6" applyFont="1" applyBorder="1" applyProtection="1">
      <protection hidden="1"/>
    </xf>
    <xf numFmtId="2" fontId="13" fillId="2" borderId="0" xfId="6" applyNumberFormat="1" applyFont="1" applyAlignment="1" applyProtection="1">
      <alignment horizontal="left"/>
      <protection hidden="1"/>
    </xf>
    <xf numFmtId="0" fontId="11" fillId="2" borderId="0" xfId="6" applyFont="1" applyProtection="1">
      <protection hidden="1"/>
    </xf>
    <xf numFmtId="0" fontId="14" fillId="2" borderId="0" xfId="6" applyFont="1" applyProtection="1">
      <protection hidden="1"/>
    </xf>
    <xf numFmtId="0" fontId="15" fillId="2" borderId="0" xfId="6" applyFont="1" applyProtection="1">
      <protection hidden="1"/>
    </xf>
    <xf numFmtId="0" fontId="11" fillId="2" borderId="3" xfId="6" applyFont="1" applyBorder="1" applyProtection="1">
      <protection hidden="1"/>
    </xf>
    <xf numFmtId="0" fontId="11" fillId="2" borderId="4" xfId="6" applyFont="1" applyBorder="1" applyProtection="1">
      <protection hidden="1"/>
    </xf>
    <xf numFmtId="0" fontId="11" fillId="3" borderId="2" xfId="6" applyFont="1" applyFill="1" applyBorder="1" applyProtection="1">
      <protection hidden="1"/>
    </xf>
    <xf numFmtId="0" fontId="16" fillId="2" borderId="0" xfId="6" applyFont="1" applyProtection="1">
      <protection hidden="1"/>
    </xf>
    <xf numFmtId="0" fontId="17" fillId="2" borderId="0" xfId="6" applyFont="1" applyProtection="1">
      <protection hidden="1"/>
    </xf>
    <xf numFmtId="0" fontId="18" fillId="2" borderId="0" xfId="6" applyFont="1" applyProtection="1">
      <protection hidden="1"/>
    </xf>
    <xf numFmtId="0" fontId="17" fillId="2" borderId="0" xfId="6" applyFont="1" applyAlignment="1" applyProtection="1">
      <alignment horizontal="center"/>
      <protection hidden="1"/>
    </xf>
    <xf numFmtId="17" fontId="19" fillId="2" borderId="5" xfId="6" applyNumberFormat="1" applyFont="1" applyBorder="1" applyAlignment="1" applyProtection="1">
      <alignment horizontal="center"/>
      <protection hidden="1"/>
    </xf>
    <xf numFmtId="17" fontId="19" fillId="2" borderId="6" xfId="6" applyNumberFormat="1" applyFont="1" applyBorder="1" applyAlignment="1" applyProtection="1">
      <alignment horizontal="center"/>
      <protection hidden="1"/>
    </xf>
    <xf numFmtId="0" fontId="17" fillId="2" borderId="7" xfId="6" applyFont="1" applyBorder="1" applyAlignment="1" applyProtection="1">
      <alignment horizontal="center"/>
      <protection hidden="1"/>
    </xf>
    <xf numFmtId="0" fontId="17" fillId="2" borderId="1" xfId="6" applyFont="1" applyBorder="1" applyAlignment="1" applyProtection="1">
      <alignment horizontal="center"/>
      <protection hidden="1"/>
    </xf>
    <xf numFmtId="0" fontId="17" fillId="2" borderId="8" xfId="6" applyFont="1" applyBorder="1" applyAlignment="1" applyProtection="1">
      <alignment horizontal="center"/>
      <protection hidden="1"/>
    </xf>
    <xf numFmtId="0" fontId="20" fillId="2" borderId="1" xfId="6" applyFont="1" applyBorder="1" applyProtection="1">
      <protection hidden="1"/>
    </xf>
    <xf numFmtId="39" fontId="20" fillId="2" borderId="1" xfId="6" applyNumberFormat="1" applyFont="1" applyBorder="1" applyAlignment="1" applyProtection="1">
      <alignment horizontal="center"/>
      <protection hidden="1"/>
    </xf>
    <xf numFmtId="0" fontId="17" fillId="2" borderId="1" xfId="6" applyFont="1" applyBorder="1" applyProtection="1">
      <protection hidden="1"/>
    </xf>
    <xf numFmtId="37" fontId="17" fillId="2" borderId="1" xfId="6" applyNumberFormat="1" applyFont="1" applyBorder="1" applyProtection="1">
      <protection hidden="1"/>
    </xf>
    <xf numFmtId="0" fontId="20" fillId="2" borderId="0" xfId="6" applyFont="1" applyProtection="1">
      <protection hidden="1"/>
    </xf>
    <xf numFmtId="0" fontId="20" fillId="2" borderId="9" xfId="6" applyFont="1" applyBorder="1" applyProtection="1">
      <protection hidden="1"/>
    </xf>
    <xf numFmtId="0" fontId="20" fillId="2" borderId="10" xfId="6" applyFont="1" applyBorder="1" applyProtection="1">
      <protection hidden="1"/>
    </xf>
    <xf numFmtId="0" fontId="19" fillId="2" borderId="10" xfId="6" applyFont="1" applyBorder="1" applyProtection="1">
      <protection hidden="1"/>
    </xf>
    <xf numFmtId="0" fontId="17" fillId="2" borderId="10" xfId="6" applyFont="1" applyBorder="1" applyProtection="1">
      <protection hidden="1"/>
    </xf>
    <xf numFmtId="0" fontId="20" fillId="2" borderId="8" xfId="6" applyFont="1" applyBorder="1" applyProtection="1">
      <protection hidden="1"/>
    </xf>
    <xf numFmtId="0" fontId="20" fillId="2" borderId="11" xfId="6" applyFont="1" applyBorder="1" applyProtection="1">
      <protection hidden="1"/>
    </xf>
    <xf numFmtId="37" fontId="17" fillId="2" borderId="11" xfId="6" applyNumberFormat="1" applyFont="1" applyBorder="1" applyProtection="1">
      <protection hidden="1"/>
    </xf>
    <xf numFmtId="0" fontId="17" fillId="2" borderId="12" xfId="6" applyFont="1" applyBorder="1" applyAlignment="1" applyProtection="1">
      <alignment horizontal="center"/>
      <protection hidden="1"/>
    </xf>
    <xf numFmtId="39" fontId="20" fillId="2" borderId="1" xfId="6" applyNumberFormat="1" applyFont="1" applyBorder="1" applyProtection="1">
      <protection hidden="1"/>
    </xf>
    <xf numFmtId="37" fontId="20" fillId="2" borderId="1" xfId="6" applyNumberFormat="1" applyFont="1" applyBorder="1" applyProtection="1">
      <protection hidden="1"/>
    </xf>
    <xf numFmtId="0" fontId="17" fillId="2" borderId="9" xfId="6" applyFont="1" applyBorder="1" applyProtection="1">
      <protection hidden="1"/>
    </xf>
    <xf numFmtId="0" fontId="17" fillId="2" borderId="8" xfId="6" applyFont="1" applyBorder="1" applyProtection="1">
      <protection hidden="1"/>
    </xf>
    <xf numFmtId="0" fontId="17" fillId="2" borderId="11" xfId="6" applyFont="1" applyBorder="1" applyProtection="1">
      <protection hidden="1"/>
    </xf>
    <xf numFmtId="37" fontId="0" fillId="0" borderId="0" xfId="0" applyNumberFormat="1" applyProtection="1">
      <protection hidden="1"/>
    </xf>
    <xf numFmtId="167" fontId="24" fillId="0" borderId="0" xfId="0" applyNumberFormat="1" applyFont="1" applyProtection="1">
      <protection hidden="1"/>
    </xf>
    <xf numFmtId="0" fontId="25" fillId="0" borderId="0" xfId="0" applyFont="1" applyProtection="1">
      <protection hidden="1"/>
    </xf>
    <xf numFmtId="167" fontId="25" fillId="0" borderId="0" xfId="0" applyNumberFormat="1" applyFont="1" applyProtection="1">
      <protection hidden="1"/>
    </xf>
    <xf numFmtId="167" fontId="27" fillId="0" borderId="0" xfId="0" applyNumberFormat="1" applyFont="1" applyProtection="1">
      <protection hidden="1"/>
    </xf>
    <xf numFmtId="167" fontId="28" fillId="0" borderId="0" xfId="0" applyNumberFormat="1" applyFont="1" applyProtection="1">
      <protection hidden="1"/>
    </xf>
    <xf numFmtId="178" fontId="25" fillId="0" borderId="0" xfId="0" applyNumberFormat="1" applyFont="1" applyProtection="1">
      <protection hidden="1"/>
    </xf>
    <xf numFmtId="0" fontId="28" fillId="0" borderId="0" xfId="0" applyFont="1" applyProtection="1">
      <protection hidden="1"/>
    </xf>
    <xf numFmtId="185" fontId="25" fillId="0" borderId="13" xfId="3" applyNumberFormat="1" applyFont="1" applyFill="1" applyBorder="1" applyProtection="1">
      <protection hidden="1"/>
    </xf>
    <xf numFmtId="179" fontId="25" fillId="0" borderId="0" xfId="0" applyNumberFormat="1" applyFont="1" applyProtection="1">
      <protection hidden="1"/>
    </xf>
    <xf numFmtId="173" fontId="25" fillId="0" borderId="0" xfId="0" applyNumberFormat="1" applyFont="1" applyProtection="1">
      <protection hidden="1"/>
    </xf>
    <xf numFmtId="179" fontId="28" fillId="0" borderId="0" xfId="0" applyNumberFormat="1" applyFont="1" applyProtection="1">
      <protection hidden="1"/>
    </xf>
    <xf numFmtId="173" fontId="25" fillId="0" borderId="0" xfId="0" applyNumberFormat="1" applyFont="1" applyAlignment="1" applyProtection="1">
      <alignment horizontal="left"/>
      <protection hidden="1"/>
    </xf>
    <xf numFmtId="185" fontId="25" fillId="0" borderId="0" xfId="3" applyNumberFormat="1" applyFont="1" applyFill="1" applyBorder="1" applyProtection="1">
      <protection hidden="1"/>
    </xf>
    <xf numFmtId="173" fontId="25" fillId="0" borderId="0" xfId="0" quotePrefix="1" applyNumberFormat="1" applyFont="1" applyAlignment="1" applyProtection="1">
      <alignment horizontal="left"/>
      <protection hidden="1"/>
    </xf>
    <xf numFmtId="185" fontId="28" fillId="0" borderId="14" xfId="3" applyNumberFormat="1" applyFont="1" applyFill="1" applyBorder="1" applyProtection="1">
      <protection hidden="1"/>
    </xf>
    <xf numFmtId="178" fontId="30" fillId="0" borderId="0" xfId="0" applyNumberFormat="1" applyFont="1" applyProtection="1">
      <protection hidden="1"/>
    </xf>
    <xf numFmtId="0" fontId="33" fillId="0" borderId="0" xfId="0" applyFont="1" applyProtection="1">
      <protection hidden="1"/>
    </xf>
    <xf numFmtId="0" fontId="27" fillId="0" borderId="0" xfId="0" applyFont="1" applyProtection="1">
      <protection hidden="1"/>
    </xf>
    <xf numFmtId="0" fontId="27" fillId="0" borderId="0" xfId="0" applyFont="1" applyAlignment="1" applyProtection="1">
      <alignment horizontal="center"/>
      <protection hidden="1"/>
    </xf>
    <xf numFmtId="176" fontId="25" fillId="0" borderId="0" xfId="7" applyNumberFormat="1" applyFont="1" applyFill="1" applyBorder="1" applyProtection="1">
      <protection hidden="1"/>
    </xf>
    <xf numFmtId="9" fontId="25" fillId="0" borderId="0" xfId="7" applyFont="1" applyFill="1" applyBorder="1" applyProtection="1">
      <protection hidden="1"/>
    </xf>
    <xf numFmtId="0" fontId="36" fillId="0" borderId="0" xfId="0" applyFont="1" applyProtection="1">
      <protection hidden="1"/>
    </xf>
    <xf numFmtId="10" fontId="25" fillId="0" borderId="0" xfId="7"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10" fontId="37" fillId="0" borderId="0" xfId="7" applyNumberFormat="1" applyFont="1" applyFill="1" applyBorder="1" applyAlignment="1" applyProtection="1">
      <alignment horizontal="center"/>
      <protection hidden="1"/>
    </xf>
    <xf numFmtId="0" fontId="37" fillId="0" borderId="0" xfId="0" applyFont="1" applyAlignment="1" applyProtection="1">
      <alignment horizontal="center"/>
      <protection hidden="1"/>
    </xf>
    <xf numFmtId="10" fontId="25" fillId="0" borderId="0" xfId="7" applyNumberFormat="1" applyFont="1" applyFill="1" applyAlignment="1" applyProtection="1">
      <alignment horizontal="center"/>
      <protection hidden="1"/>
    </xf>
    <xf numFmtId="0" fontId="30" fillId="0" borderId="0" xfId="0" applyFont="1" applyAlignment="1" applyProtection="1">
      <alignment horizontal="center"/>
      <protection hidden="1"/>
    </xf>
    <xf numFmtId="9" fontId="25" fillId="0" borderId="0" xfId="7" applyFont="1" applyFill="1" applyBorder="1" applyAlignment="1" applyProtection="1">
      <alignment horizontal="center"/>
      <protection hidden="1"/>
    </xf>
    <xf numFmtId="0" fontId="30" fillId="0" borderId="0" xfId="0" applyFont="1" applyProtection="1">
      <protection hidden="1"/>
    </xf>
    <xf numFmtId="0" fontId="31" fillId="0" borderId="0" xfId="0" applyFont="1" applyProtection="1">
      <protection hidden="1"/>
    </xf>
    <xf numFmtId="167" fontId="26" fillId="0" borderId="15" xfId="0" applyNumberFormat="1" applyFont="1" applyBorder="1" applyAlignment="1" applyProtection="1">
      <alignment horizontal="center"/>
      <protection hidden="1"/>
    </xf>
    <xf numFmtId="17" fontId="28" fillId="0" borderId="15" xfId="0" applyNumberFormat="1" applyFont="1" applyBorder="1" applyAlignment="1" applyProtection="1">
      <alignment horizontal="center"/>
      <protection hidden="1"/>
    </xf>
    <xf numFmtId="0" fontId="28" fillId="0" borderId="15" xfId="0" applyFont="1" applyBorder="1" applyAlignment="1" applyProtection="1">
      <alignment horizontal="center"/>
      <protection hidden="1"/>
    </xf>
    <xf numFmtId="167" fontId="42" fillId="0" borderId="15" xfId="0" applyNumberFormat="1" applyFont="1" applyBorder="1" applyAlignment="1" applyProtection="1">
      <alignment horizontal="center"/>
      <protection hidden="1"/>
    </xf>
    <xf numFmtId="167" fontId="42" fillId="0" borderId="0" xfId="0" applyNumberFormat="1" applyFont="1" applyAlignment="1" applyProtection="1">
      <alignment horizontal="center"/>
      <protection hidden="1"/>
    </xf>
    <xf numFmtId="0" fontId="28" fillId="0" borderId="0" xfId="0" applyFont="1" applyAlignment="1" applyProtection="1">
      <alignment horizontal="left"/>
      <protection hidden="1"/>
    </xf>
    <xf numFmtId="0" fontId="28" fillId="0" borderId="0" xfId="0" applyFont="1" applyAlignment="1" applyProtection="1">
      <alignment horizontal="left"/>
      <protection locked="0"/>
    </xf>
    <xf numFmtId="167" fontId="36" fillId="0" borderId="0" xfId="0" applyNumberFormat="1" applyFont="1" applyProtection="1">
      <protection hidden="1"/>
    </xf>
    <xf numFmtId="9" fontId="39" fillId="0" borderId="0" xfId="7" applyFont="1" applyFill="1" applyAlignment="1" applyProtection="1">
      <alignment horizontal="center"/>
      <protection hidden="1"/>
    </xf>
    <xf numFmtId="9" fontId="39" fillId="0" borderId="0" xfId="7" applyFont="1" applyAlignment="1" applyProtection="1">
      <alignment horizontal="center"/>
      <protection hidden="1"/>
    </xf>
    <xf numFmtId="167" fontId="25" fillId="0" borderId="13" xfId="0" applyNumberFormat="1" applyFont="1" applyBorder="1" applyProtection="1">
      <protection hidden="1"/>
    </xf>
    <xf numFmtId="9" fontId="39" fillId="0" borderId="13" xfId="7" applyFont="1" applyFill="1" applyBorder="1" applyAlignment="1" applyProtection="1">
      <alignment horizontal="center"/>
      <protection hidden="1"/>
    </xf>
    <xf numFmtId="9" fontId="40" fillId="0" borderId="13" xfId="7" applyFont="1" applyFill="1" applyBorder="1" applyAlignment="1" applyProtection="1">
      <alignment horizontal="center"/>
      <protection hidden="1"/>
    </xf>
    <xf numFmtId="9" fontId="39" fillId="0" borderId="13" xfId="7" applyFont="1" applyBorder="1" applyAlignment="1" applyProtection="1">
      <alignment horizontal="center"/>
      <protection hidden="1"/>
    </xf>
    <xf numFmtId="167" fontId="28" fillId="0" borderId="13" xfId="0" applyNumberFormat="1" applyFont="1" applyBorder="1" applyProtection="1">
      <protection hidden="1"/>
    </xf>
    <xf numFmtId="9" fontId="40" fillId="0" borderId="0" xfId="7" applyFont="1" applyFill="1" applyBorder="1" applyAlignment="1" applyProtection="1">
      <alignment horizontal="center"/>
      <protection hidden="1"/>
    </xf>
    <xf numFmtId="9" fontId="39" fillId="0" borderId="0" xfId="7" applyFont="1" applyFill="1" applyBorder="1" applyAlignment="1" applyProtection="1">
      <alignment horizontal="center"/>
      <protection hidden="1"/>
    </xf>
    <xf numFmtId="167" fontId="25" fillId="0" borderId="16" xfId="0" applyNumberFormat="1" applyFont="1" applyBorder="1" applyProtection="1">
      <protection hidden="1"/>
    </xf>
    <xf numFmtId="9" fontId="39" fillId="0" borderId="16" xfId="7" applyFont="1" applyFill="1" applyBorder="1" applyAlignment="1" applyProtection="1">
      <alignment horizontal="center"/>
      <protection hidden="1"/>
    </xf>
    <xf numFmtId="176" fontId="39" fillId="0" borderId="0" xfId="7" applyNumberFormat="1" applyFont="1" applyFill="1" applyAlignment="1" applyProtection="1">
      <alignment horizontal="center"/>
      <protection hidden="1"/>
    </xf>
    <xf numFmtId="176" fontId="39" fillId="0" borderId="0" xfId="7" applyNumberFormat="1" applyFont="1" applyFill="1" applyBorder="1" applyAlignment="1" applyProtection="1">
      <alignment horizontal="center"/>
      <protection hidden="1"/>
    </xf>
    <xf numFmtId="9" fontId="39" fillId="0" borderId="0" xfId="7" applyFont="1" applyFill="1" applyBorder="1" applyAlignment="1" applyProtection="1">
      <alignment horizontal="center" vertical="center"/>
      <protection hidden="1"/>
    </xf>
    <xf numFmtId="9" fontId="40" fillId="0" borderId="13" xfId="7" applyFont="1" applyFill="1" applyBorder="1" applyAlignment="1" applyProtection="1">
      <alignment horizontal="center" vertical="center"/>
      <protection hidden="1"/>
    </xf>
    <xf numFmtId="185" fontId="25" fillId="0" borderId="0" xfId="0" applyNumberFormat="1" applyFont="1" applyAlignment="1" applyProtection="1">
      <alignment horizontal="center" vertical="center"/>
      <protection hidden="1"/>
    </xf>
    <xf numFmtId="185" fontId="28" fillId="0" borderId="0" xfId="0" applyNumberFormat="1" applyFont="1" applyAlignment="1" applyProtection="1">
      <alignment horizontal="center" vertical="center"/>
      <protection hidden="1"/>
    </xf>
    <xf numFmtId="9" fontId="40" fillId="0" borderId="0" xfId="7" applyFont="1" applyFill="1" applyBorder="1" applyAlignment="1" applyProtection="1">
      <alignment horizontal="center" vertical="center"/>
      <protection hidden="1"/>
    </xf>
    <xf numFmtId="176" fontId="39" fillId="0" borderId="13" xfId="7" applyNumberFormat="1" applyFont="1" applyFill="1" applyBorder="1" applyAlignment="1" applyProtection="1">
      <alignment horizontal="center"/>
      <protection hidden="1"/>
    </xf>
    <xf numFmtId="167" fontId="25" fillId="0" borderId="14" xfId="0" applyNumberFormat="1" applyFont="1" applyBorder="1" applyProtection="1">
      <protection hidden="1"/>
    </xf>
    <xf numFmtId="9" fontId="39" fillId="0" borderId="17" xfId="7" applyFont="1" applyFill="1" applyBorder="1" applyAlignment="1" applyProtection="1">
      <alignment horizontal="center"/>
      <protection hidden="1"/>
    </xf>
    <xf numFmtId="176" fontId="39" fillId="0" borderId="17" xfId="7" applyNumberFormat="1" applyFont="1" applyFill="1" applyBorder="1" applyAlignment="1" applyProtection="1">
      <alignment horizontal="center"/>
      <protection hidden="1"/>
    </xf>
    <xf numFmtId="0" fontId="25" fillId="0" borderId="0" xfId="0" applyFont="1" applyAlignment="1" applyProtection="1">
      <alignment vertical="center"/>
      <protection hidden="1"/>
    </xf>
    <xf numFmtId="167" fontId="30" fillId="0" borderId="0" xfId="0" applyNumberFormat="1" applyFont="1" applyProtection="1">
      <protection hidden="1"/>
    </xf>
    <xf numFmtId="0" fontId="32" fillId="0" borderId="0" xfId="0" applyFont="1" applyAlignment="1" applyProtection="1">
      <alignment horizontal="left" vertical="center"/>
      <protection hidden="1"/>
    </xf>
    <xf numFmtId="168" fontId="40" fillId="0" borderId="0" xfId="3" applyFont="1" applyFill="1" applyProtection="1">
      <protection hidden="1"/>
    </xf>
    <xf numFmtId="0" fontId="28" fillId="0" borderId="0" xfId="0" applyFont="1" applyAlignment="1" applyProtection="1">
      <alignment horizontal="center"/>
      <protection hidden="1"/>
    </xf>
    <xf numFmtId="0" fontId="28" fillId="0" borderId="0" xfId="0" applyFont="1"/>
    <xf numFmtId="0" fontId="42" fillId="0" borderId="0" xfId="0" applyFont="1" applyAlignment="1" applyProtection="1">
      <alignment horizontal="center"/>
      <protection locked="0"/>
    </xf>
    <xf numFmtId="167" fontId="42" fillId="0" borderId="0" xfId="0" applyNumberFormat="1" applyFont="1" applyAlignment="1" applyProtection="1">
      <alignment horizontal="center"/>
      <protection locked="0"/>
    </xf>
    <xf numFmtId="0" fontId="3" fillId="0" borderId="0" xfId="0" applyFont="1"/>
    <xf numFmtId="164" fontId="25" fillId="0" borderId="0" xfId="0" applyNumberFormat="1" applyFont="1" applyProtection="1">
      <protection hidden="1"/>
    </xf>
    <xf numFmtId="164" fontId="25" fillId="0" borderId="18" xfId="0" applyNumberFormat="1" applyFont="1" applyBorder="1" applyProtection="1">
      <protection hidden="1"/>
    </xf>
    <xf numFmtId="164" fontId="28" fillId="0" borderId="14" xfId="0" applyNumberFormat="1" applyFont="1" applyBorder="1" applyAlignment="1" applyProtection="1">
      <alignment horizontal="center" vertical="center"/>
      <protection hidden="1"/>
    </xf>
    <xf numFmtId="167" fontId="25" fillId="0" borderId="0" xfId="0" applyNumberFormat="1" applyFont="1" applyAlignment="1" applyProtection="1">
      <alignment horizontal="right"/>
      <protection hidden="1"/>
    </xf>
    <xf numFmtId="0" fontId="26" fillId="0" borderId="0" xfId="0" applyFont="1" applyProtection="1">
      <protection hidden="1"/>
    </xf>
    <xf numFmtId="167" fontId="26" fillId="0" borderId="0" xfId="0" applyNumberFormat="1" applyFont="1" applyProtection="1">
      <protection hidden="1"/>
    </xf>
    <xf numFmtId="176" fontId="26" fillId="0" borderId="0" xfId="7" applyNumberFormat="1" applyFont="1" applyBorder="1" applyProtection="1">
      <protection hidden="1"/>
    </xf>
    <xf numFmtId="9" fontId="26" fillId="0" borderId="0" xfId="7" applyFont="1" applyBorder="1" applyProtection="1">
      <protection hidden="1"/>
    </xf>
    <xf numFmtId="167" fontId="47" fillId="0" borderId="0" xfId="0" applyNumberFormat="1" applyFont="1" applyProtection="1">
      <protection hidden="1"/>
    </xf>
    <xf numFmtId="167" fontId="26" fillId="0" borderId="0" xfId="7" applyNumberFormat="1" applyFont="1" applyFill="1" applyBorder="1" applyProtection="1">
      <protection hidden="1"/>
    </xf>
    <xf numFmtId="182" fontId="26" fillId="0" borderId="15" xfId="0" applyNumberFormat="1" applyFont="1" applyBorder="1" applyAlignment="1" applyProtection="1">
      <alignment horizontal="center"/>
      <protection hidden="1"/>
    </xf>
    <xf numFmtId="182" fontId="26" fillId="0" borderId="15" xfId="3" applyNumberFormat="1" applyFont="1" applyFill="1" applyBorder="1" applyAlignment="1" applyProtection="1">
      <alignment horizontal="center"/>
      <protection hidden="1"/>
    </xf>
    <xf numFmtId="0" fontId="28" fillId="0" borderId="0" xfId="0" quotePrefix="1" applyFont="1" applyAlignment="1" applyProtection="1">
      <alignment horizontal="right"/>
      <protection hidden="1"/>
    </xf>
    <xf numFmtId="182" fontId="26" fillId="0" borderId="0" xfId="7" applyNumberFormat="1" applyFont="1" applyFill="1" applyBorder="1" applyAlignment="1" applyProtection="1">
      <alignment horizontal="center"/>
      <protection hidden="1"/>
    </xf>
    <xf numFmtId="182" fontId="29" fillId="0" borderId="0" xfId="0" applyNumberFormat="1" applyFont="1" applyAlignment="1" applyProtection="1">
      <alignment horizontal="center"/>
      <protection hidden="1"/>
    </xf>
    <xf numFmtId="173" fontId="28" fillId="0" borderId="0" xfId="0" applyNumberFormat="1" applyFont="1" applyProtection="1">
      <protection hidden="1"/>
    </xf>
    <xf numFmtId="182" fontId="26" fillId="0" borderId="0" xfId="3" applyNumberFormat="1" applyFont="1" applyFill="1" applyBorder="1" applyAlignment="1" applyProtection="1">
      <alignment horizontal="center"/>
      <protection hidden="1"/>
    </xf>
    <xf numFmtId="182" fontId="23" fillId="0" borderId="0" xfId="3" applyNumberFormat="1" applyFont="1" applyFill="1" applyBorder="1" applyAlignment="1" applyProtection="1">
      <alignment horizontal="center"/>
      <protection hidden="1"/>
    </xf>
    <xf numFmtId="182" fontId="26" fillId="0" borderId="19" xfId="3" applyNumberFormat="1" applyFont="1" applyFill="1" applyBorder="1" applyAlignment="1" applyProtection="1">
      <alignment horizontal="center"/>
      <protection hidden="1"/>
    </xf>
    <xf numFmtId="182" fontId="26" fillId="0" borderId="20" xfId="3" applyNumberFormat="1" applyFont="1" applyFill="1" applyBorder="1" applyAlignment="1" applyProtection="1">
      <alignment horizontal="center"/>
      <protection hidden="1"/>
    </xf>
    <xf numFmtId="182" fontId="42" fillId="0" borderId="15" xfId="3" applyNumberFormat="1" applyFont="1" applyFill="1" applyBorder="1" applyAlignment="1" applyProtection="1">
      <alignment horizontal="center"/>
      <protection hidden="1"/>
    </xf>
    <xf numFmtId="182" fontId="26" fillId="0" borderId="19" xfId="0" applyNumberFormat="1" applyFont="1" applyBorder="1" applyAlignment="1" applyProtection="1">
      <alignment horizontal="center"/>
      <protection hidden="1"/>
    </xf>
    <xf numFmtId="182" fontId="26" fillId="0" borderId="20" xfId="0" applyNumberFormat="1" applyFont="1" applyBorder="1" applyAlignment="1" applyProtection="1">
      <alignment horizontal="center"/>
      <protection hidden="1"/>
    </xf>
    <xf numFmtId="182" fontId="26" fillId="0" borderId="19" xfId="3" quotePrefix="1" applyNumberFormat="1" applyFont="1" applyFill="1" applyBorder="1" applyAlignment="1" applyProtection="1">
      <alignment horizontal="center"/>
      <protection hidden="1"/>
    </xf>
    <xf numFmtId="182" fontId="42" fillId="0" borderId="15" xfId="0" applyNumberFormat="1" applyFont="1" applyBorder="1" applyAlignment="1" applyProtection="1">
      <alignment horizontal="center"/>
      <protection hidden="1"/>
    </xf>
    <xf numFmtId="182" fontId="26" fillId="0" borderId="0" xfId="0" applyNumberFormat="1" applyFont="1" applyProtection="1">
      <protection hidden="1"/>
    </xf>
    <xf numFmtId="182" fontId="42" fillId="0" borderId="0" xfId="0" applyNumberFormat="1" applyFont="1" applyAlignment="1" applyProtection="1">
      <alignment horizontal="center"/>
      <protection hidden="1"/>
    </xf>
    <xf numFmtId="182" fontId="42" fillId="0" borderId="0" xfId="7" applyNumberFormat="1" applyFont="1" applyFill="1" applyBorder="1" applyAlignment="1" applyProtection="1">
      <alignment horizontal="center"/>
      <protection hidden="1"/>
    </xf>
    <xf numFmtId="1" fontId="26" fillId="0" borderId="19" xfId="0" applyNumberFormat="1" applyFont="1" applyBorder="1" applyAlignment="1" applyProtection="1">
      <alignment horizontal="center"/>
      <protection hidden="1"/>
    </xf>
    <xf numFmtId="1" fontId="26" fillId="0" borderId="20" xfId="0" applyNumberFormat="1" applyFont="1" applyBorder="1" applyAlignment="1" applyProtection="1">
      <alignment horizontal="center"/>
      <protection hidden="1"/>
    </xf>
    <xf numFmtId="167" fontId="42" fillId="0" borderId="0" xfId="0" applyNumberFormat="1" applyFont="1" applyProtection="1">
      <protection hidden="1"/>
    </xf>
    <xf numFmtId="0" fontId="42" fillId="0" borderId="0" xfId="0" applyFont="1" applyProtection="1">
      <protection hidden="1"/>
    </xf>
    <xf numFmtId="1" fontId="26" fillId="0" borderId="19" xfId="3" applyNumberFormat="1" applyFont="1" applyFill="1" applyBorder="1" applyAlignment="1" applyProtection="1">
      <alignment horizontal="center"/>
      <protection hidden="1"/>
    </xf>
    <xf numFmtId="182" fontId="42" fillId="0" borderId="0" xfId="0" applyNumberFormat="1" applyFont="1" applyProtection="1">
      <protection hidden="1"/>
    </xf>
    <xf numFmtId="1" fontId="26" fillId="0" borderId="21" xfId="3" applyNumberFormat="1" applyFont="1" applyFill="1" applyBorder="1" applyAlignment="1" applyProtection="1">
      <alignment horizontal="center"/>
      <protection hidden="1"/>
    </xf>
    <xf numFmtId="182" fontId="42" fillId="0" borderId="22" xfId="0" applyNumberFormat="1" applyFont="1" applyBorder="1" applyAlignment="1" applyProtection="1">
      <alignment horizontal="center"/>
      <protection hidden="1"/>
    </xf>
    <xf numFmtId="182" fontId="26" fillId="0" borderId="0" xfId="0" applyNumberFormat="1" applyFont="1" applyAlignment="1" applyProtection="1">
      <alignment horizontal="center"/>
      <protection hidden="1"/>
    </xf>
    <xf numFmtId="1" fontId="25" fillId="0" borderId="0" xfId="0" applyNumberFormat="1" applyFont="1" applyAlignment="1" applyProtection="1">
      <alignment horizontal="center"/>
      <protection hidden="1"/>
    </xf>
    <xf numFmtId="182" fontId="26" fillId="0" borderId="16" xfId="0" applyNumberFormat="1" applyFont="1" applyBorder="1" applyAlignment="1" applyProtection="1">
      <alignment horizontal="center"/>
      <protection hidden="1"/>
    </xf>
    <xf numFmtId="1" fontId="23" fillId="0" borderId="0" xfId="0" applyNumberFormat="1" applyFont="1" applyAlignment="1" applyProtection="1">
      <alignment horizontal="center"/>
      <protection hidden="1"/>
    </xf>
    <xf numFmtId="177" fontId="26" fillId="0" borderId="0" xfId="3" applyNumberFormat="1" applyFont="1" applyBorder="1" applyProtection="1">
      <protection hidden="1"/>
    </xf>
    <xf numFmtId="0" fontId="29" fillId="0" borderId="0" xfId="0" applyFont="1" applyProtection="1">
      <protection hidden="1"/>
    </xf>
    <xf numFmtId="169" fontId="26" fillId="0" borderId="0" xfId="2" applyFont="1" applyBorder="1" applyProtection="1">
      <protection hidden="1"/>
    </xf>
    <xf numFmtId="175" fontId="26" fillId="0" borderId="0" xfId="7" applyNumberFormat="1" applyFont="1" applyBorder="1" applyProtection="1">
      <protection hidden="1"/>
    </xf>
    <xf numFmtId="167" fontId="26" fillId="0" borderId="0" xfId="7" applyNumberFormat="1" applyFont="1" applyBorder="1" applyProtection="1">
      <protection hidden="1"/>
    </xf>
    <xf numFmtId="13" fontId="26" fillId="0" borderId="0" xfId="7" applyNumberFormat="1" applyFont="1" applyBorder="1" applyProtection="1">
      <protection hidden="1"/>
    </xf>
    <xf numFmtId="1" fontId="48" fillId="0" borderId="0" xfId="7" applyNumberFormat="1" applyFont="1" applyBorder="1" applyProtection="1">
      <protection hidden="1"/>
    </xf>
    <xf numFmtId="182" fontId="49" fillId="0" borderId="0" xfId="0" applyNumberFormat="1" applyFont="1" applyAlignment="1" applyProtection="1">
      <alignment horizontal="center"/>
      <protection hidden="1"/>
    </xf>
    <xf numFmtId="167" fontId="33" fillId="0" borderId="0" xfId="0" applyNumberFormat="1" applyFont="1" applyAlignment="1" applyProtection="1">
      <alignment horizontal="center"/>
      <protection locked="0"/>
    </xf>
    <xf numFmtId="167" fontId="27" fillId="0" borderId="0" xfId="0" applyNumberFormat="1" applyFont="1" applyAlignment="1" applyProtection="1">
      <alignment horizontal="center"/>
      <protection locked="0"/>
    </xf>
    <xf numFmtId="0" fontId="25" fillId="0" borderId="0" xfId="0" applyFont="1" applyAlignment="1" applyProtection="1">
      <alignment horizontal="left"/>
      <protection hidden="1"/>
    </xf>
    <xf numFmtId="167" fontId="42" fillId="0" borderId="0" xfId="7" applyNumberFormat="1" applyFont="1" applyFill="1" applyBorder="1" applyAlignment="1" applyProtection="1">
      <alignment horizontal="center"/>
      <protection locked="0"/>
    </xf>
    <xf numFmtId="167" fontId="42" fillId="0" borderId="0" xfId="0" applyNumberFormat="1" applyFont="1" applyAlignment="1" applyProtection="1">
      <alignment horizontal="center" vertical="center"/>
      <protection locked="0"/>
    </xf>
    <xf numFmtId="167" fontId="26" fillId="0" borderId="0" xfId="0" applyNumberFormat="1" applyFont="1" applyAlignment="1" applyProtection="1">
      <alignment horizontal="center"/>
      <protection locked="0"/>
    </xf>
    <xf numFmtId="167" fontId="28" fillId="0" borderId="0" xfId="0" applyNumberFormat="1" applyFont="1" applyAlignment="1" applyProtection="1">
      <alignment horizontal="center"/>
      <protection locked="0"/>
    </xf>
    <xf numFmtId="0" fontId="25" fillId="0" borderId="0" xfId="0" applyFont="1"/>
    <xf numFmtId="0" fontId="28" fillId="0" borderId="0" xfId="0" applyFont="1" applyAlignment="1">
      <alignment horizontal="center"/>
    </xf>
    <xf numFmtId="180" fontId="28" fillId="0" borderId="23" xfId="0" applyNumberFormat="1" applyFont="1" applyBorder="1" applyAlignment="1" applyProtection="1">
      <alignment horizontal="center"/>
      <protection hidden="1"/>
    </xf>
    <xf numFmtId="9" fontId="39" fillId="0" borderId="0" xfId="7" applyFont="1" applyBorder="1" applyAlignment="1" applyProtection="1">
      <alignment horizontal="center"/>
      <protection hidden="1"/>
    </xf>
    <xf numFmtId="167" fontId="25" fillId="0" borderId="0" xfId="0" applyNumberFormat="1" applyFont="1" applyAlignment="1" applyProtection="1">
      <alignment horizontal="center"/>
      <protection hidden="1"/>
    </xf>
    <xf numFmtId="185" fontId="28" fillId="0" borderId="0" xfId="0" applyNumberFormat="1" applyFont="1" applyAlignment="1" applyProtection="1">
      <alignment horizontal="center"/>
      <protection hidden="1"/>
    </xf>
    <xf numFmtId="185" fontId="25" fillId="0" borderId="0" xfId="0" applyNumberFormat="1" applyFont="1" applyAlignment="1" applyProtection="1">
      <alignment horizontal="center"/>
      <protection hidden="1"/>
    </xf>
    <xf numFmtId="185" fontId="25" fillId="0" borderId="13" xfId="0" applyNumberFormat="1" applyFont="1" applyBorder="1" applyAlignment="1" applyProtection="1">
      <alignment horizontal="center"/>
      <protection hidden="1"/>
    </xf>
    <xf numFmtId="185" fontId="25" fillId="0" borderId="16" xfId="0" applyNumberFormat="1" applyFont="1" applyBorder="1" applyAlignment="1" applyProtection="1">
      <alignment horizontal="center"/>
      <protection hidden="1"/>
    </xf>
    <xf numFmtId="185" fontId="28" fillId="0" borderId="17" xfId="0" applyNumberFormat="1" applyFont="1" applyBorder="1" applyAlignment="1" applyProtection="1">
      <alignment horizontal="center"/>
      <protection hidden="1"/>
    </xf>
    <xf numFmtId="167" fontId="28" fillId="0" borderId="0" xfId="0" applyNumberFormat="1" applyFont="1" applyAlignment="1" applyProtection="1">
      <alignment horizontal="center"/>
      <protection hidden="1"/>
    </xf>
    <xf numFmtId="2" fontId="25" fillId="0" borderId="0" xfId="0" applyNumberFormat="1" applyFont="1" applyProtection="1">
      <protection hidden="1"/>
    </xf>
    <xf numFmtId="167" fontId="28" fillId="0" borderId="18" xfId="0" applyNumberFormat="1" applyFont="1" applyBorder="1" applyProtection="1">
      <protection hidden="1"/>
    </xf>
    <xf numFmtId="167" fontId="25" fillId="0" borderId="18" xfId="0" applyNumberFormat="1" applyFont="1" applyBorder="1" applyProtection="1">
      <protection hidden="1"/>
    </xf>
    <xf numFmtId="0" fontId="28" fillId="0" borderId="16" xfId="0" applyFont="1" applyBorder="1" applyProtection="1">
      <protection hidden="1"/>
    </xf>
    <xf numFmtId="0" fontId="28" fillId="0" borderId="23" xfId="0" applyFont="1" applyBorder="1" applyProtection="1">
      <protection hidden="1"/>
    </xf>
    <xf numFmtId="0" fontId="25" fillId="0" borderId="13" xfId="0" applyFont="1" applyBorder="1" applyAlignment="1" applyProtection="1">
      <alignment vertical="center"/>
      <protection hidden="1"/>
    </xf>
    <xf numFmtId="166" fontId="28" fillId="0" borderId="0" xfId="0" applyNumberFormat="1" applyFont="1" applyProtection="1">
      <protection hidden="1"/>
    </xf>
    <xf numFmtId="167" fontId="51" fillId="0" borderId="0" xfId="0" applyNumberFormat="1" applyFont="1" applyAlignment="1" applyProtection="1">
      <alignment horizontal="center"/>
      <protection hidden="1"/>
    </xf>
    <xf numFmtId="181" fontId="25" fillId="0" borderId="0" xfId="0" applyNumberFormat="1" applyFont="1" applyProtection="1">
      <protection hidden="1"/>
    </xf>
    <xf numFmtId="181" fontId="28" fillId="0" borderId="0" xfId="0" applyNumberFormat="1" applyFont="1" applyAlignment="1" applyProtection="1">
      <alignment horizontal="center"/>
      <protection hidden="1"/>
    </xf>
    <xf numFmtId="181" fontId="52" fillId="0" borderId="0" xfId="0" applyNumberFormat="1" applyFont="1" applyAlignment="1" applyProtection="1">
      <alignment horizontal="center"/>
      <protection hidden="1"/>
    </xf>
    <xf numFmtId="181" fontId="33" fillId="0" borderId="0" xfId="0" applyNumberFormat="1" applyFont="1" applyProtection="1">
      <protection hidden="1"/>
    </xf>
    <xf numFmtId="181" fontId="27" fillId="0" borderId="0" xfId="0" applyNumberFormat="1" applyFont="1" applyAlignment="1" applyProtection="1">
      <alignment horizontal="center"/>
      <protection hidden="1"/>
    </xf>
    <xf numFmtId="185" fontId="27" fillId="0" borderId="0" xfId="3" applyNumberFormat="1" applyFont="1" applyFill="1" applyProtection="1">
      <protection hidden="1"/>
    </xf>
    <xf numFmtId="181" fontId="27" fillId="0" borderId="0" xfId="0" applyNumberFormat="1" applyFont="1" applyProtection="1">
      <protection hidden="1"/>
    </xf>
    <xf numFmtId="181" fontId="28" fillId="0" borderId="0" xfId="0" applyNumberFormat="1" applyFont="1" applyProtection="1">
      <protection hidden="1"/>
    </xf>
    <xf numFmtId="0" fontId="32" fillId="0" borderId="0" xfId="0" applyFont="1" applyProtection="1">
      <protection hidden="1"/>
    </xf>
    <xf numFmtId="0" fontId="27" fillId="0" borderId="0" xfId="0" applyFont="1" applyAlignment="1" applyProtection="1">
      <alignment horizontal="left"/>
      <protection hidden="1"/>
    </xf>
    <xf numFmtId="0" fontId="33" fillId="0" borderId="0" xfId="0" applyFont="1" applyAlignment="1" applyProtection="1">
      <alignment horizontal="left"/>
      <protection hidden="1"/>
    </xf>
    <xf numFmtId="0" fontId="47" fillId="0" borderId="0" xfId="0" applyFont="1" applyAlignment="1" applyProtection="1">
      <alignment horizontal="left"/>
      <protection hidden="1"/>
    </xf>
    <xf numFmtId="0" fontId="25" fillId="0" borderId="0" xfId="0" applyFont="1" applyAlignment="1" applyProtection="1">
      <alignment horizontal="center"/>
      <protection locked="0"/>
    </xf>
    <xf numFmtId="174" fontId="28" fillId="0" borderId="0" xfId="5" applyFont="1" applyFill="1" applyBorder="1" applyProtection="1">
      <protection hidden="1"/>
    </xf>
    <xf numFmtId="10" fontId="28" fillId="0" borderId="0" xfId="7" applyNumberFormat="1" applyFont="1" applyFill="1" applyBorder="1" applyProtection="1">
      <protection hidden="1"/>
    </xf>
    <xf numFmtId="0" fontId="25" fillId="0" borderId="17" xfId="0" applyFont="1" applyBorder="1" applyAlignment="1" applyProtection="1">
      <alignment horizontal="center"/>
      <protection hidden="1"/>
    </xf>
    <xf numFmtId="180" fontId="25" fillId="0" borderId="0" xfId="0" applyNumberFormat="1" applyFont="1" applyAlignment="1" applyProtection="1">
      <alignment horizontal="center"/>
      <protection hidden="1"/>
    </xf>
    <xf numFmtId="168" fontId="25" fillId="0" borderId="0" xfId="3" applyFont="1" applyFill="1" applyBorder="1" applyAlignment="1" applyProtection="1">
      <alignment horizontal="center"/>
      <protection hidden="1"/>
    </xf>
    <xf numFmtId="165" fontId="25" fillId="0" borderId="0" xfId="0" applyNumberFormat="1" applyFont="1" applyAlignment="1" applyProtection="1">
      <alignment horizontal="center"/>
      <protection hidden="1"/>
    </xf>
    <xf numFmtId="165" fontId="30" fillId="0" borderId="0" xfId="0" applyNumberFormat="1" applyFont="1" applyProtection="1">
      <protection hidden="1"/>
    </xf>
    <xf numFmtId="0" fontId="22" fillId="0" borderId="0" xfId="0" applyFont="1" applyProtection="1">
      <protection hidden="1"/>
    </xf>
    <xf numFmtId="17" fontId="26" fillId="0" borderId="15" xfId="0" applyNumberFormat="1" applyFont="1" applyBorder="1" applyAlignment="1" applyProtection="1">
      <alignment horizontal="center"/>
      <protection hidden="1"/>
    </xf>
    <xf numFmtId="0" fontId="26" fillId="0" borderId="15" xfId="0" applyFont="1" applyBorder="1" applyAlignment="1" applyProtection="1">
      <alignment horizontal="center"/>
      <protection hidden="1"/>
    </xf>
    <xf numFmtId="1" fontId="26" fillId="0" borderId="15" xfId="0" applyNumberFormat="1" applyFont="1" applyBorder="1" applyAlignment="1" applyProtection="1">
      <alignment horizontal="center"/>
      <protection hidden="1"/>
    </xf>
    <xf numFmtId="1" fontId="26" fillId="0" borderId="15" xfId="3" applyNumberFormat="1" applyFont="1" applyFill="1" applyBorder="1" applyAlignment="1" applyProtection="1">
      <alignment horizontal="center"/>
      <protection hidden="1"/>
    </xf>
    <xf numFmtId="1" fontId="26" fillId="0" borderId="0" xfId="0" applyNumberFormat="1" applyFont="1" applyAlignment="1" applyProtection="1">
      <alignment horizontal="center"/>
      <protection hidden="1"/>
    </xf>
    <xf numFmtId="1" fontId="26" fillId="0" borderId="0" xfId="7" applyNumberFormat="1" applyFont="1" applyFill="1" applyBorder="1" applyAlignment="1" applyProtection="1">
      <alignment horizontal="center"/>
      <protection hidden="1"/>
    </xf>
    <xf numFmtId="1" fontId="29" fillId="0" borderId="0" xfId="0" applyNumberFormat="1" applyFont="1" applyAlignment="1" applyProtection="1">
      <alignment horizontal="center"/>
      <protection hidden="1"/>
    </xf>
    <xf numFmtId="1" fontId="26" fillId="0" borderId="0" xfId="3" applyNumberFormat="1" applyFont="1" applyFill="1" applyBorder="1" applyAlignment="1" applyProtection="1">
      <alignment horizontal="center"/>
      <protection hidden="1"/>
    </xf>
    <xf numFmtId="1" fontId="23" fillId="0" borderId="0" xfId="3" applyNumberFormat="1" applyFont="1" applyFill="1" applyBorder="1" applyAlignment="1" applyProtection="1">
      <alignment horizontal="center"/>
      <protection hidden="1"/>
    </xf>
    <xf numFmtId="1" fontId="42" fillId="0" borderId="15" xfId="3" applyNumberFormat="1" applyFont="1" applyFill="1" applyBorder="1" applyAlignment="1" applyProtection="1">
      <alignment horizontal="center"/>
      <protection hidden="1"/>
    </xf>
    <xf numFmtId="1" fontId="42" fillId="0" borderId="15" xfId="0" applyNumberFormat="1" applyFont="1" applyBorder="1" applyAlignment="1" applyProtection="1">
      <alignment horizontal="center"/>
      <protection hidden="1"/>
    </xf>
    <xf numFmtId="1" fontId="42" fillId="0" borderId="0" xfId="0" applyNumberFormat="1" applyFont="1" applyAlignment="1" applyProtection="1">
      <alignment horizontal="center"/>
      <protection hidden="1"/>
    </xf>
    <xf numFmtId="1" fontId="42" fillId="0" borderId="0" xfId="7" applyNumberFormat="1" applyFont="1" applyFill="1" applyBorder="1" applyAlignment="1" applyProtection="1">
      <alignment horizontal="center"/>
      <protection hidden="1"/>
    </xf>
    <xf numFmtId="170" fontId="29" fillId="0" borderId="0" xfId="7" applyNumberFormat="1" applyFont="1" applyBorder="1" applyProtection="1">
      <protection hidden="1"/>
    </xf>
    <xf numFmtId="173" fontId="28" fillId="0" borderId="0" xfId="0" applyNumberFormat="1" applyFont="1" applyAlignment="1" applyProtection="1">
      <alignment horizontal="left"/>
      <protection hidden="1"/>
    </xf>
    <xf numFmtId="182" fontId="48" fillId="0" borderId="0" xfId="0" applyNumberFormat="1" applyFont="1" applyAlignment="1" applyProtection="1">
      <alignment horizontal="center"/>
      <protection hidden="1"/>
    </xf>
    <xf numFmtId="185" fontId="28" fillId="0" borderId="0" xfId="3" applyNumberFormat="1" applyFont="1" applyFill="1" applyBorder="1" applyProtection="1">
      <protection hidden="1"/>
    </xf>
    <xf numFmtId="9" fontId="56" fillId="0" borderId="0" xfId="7" applyFont="1" applyBorder="1" applyProtection="1">
      <protection hidden="1"/>
    </xf>
    <xf numFmtId="0" fontId="27" fillId="0" borderId="0" xfId="0" applyFont="1" applyAlignment="1" applyProtection="1">
      <alignment horizontal="right"/>
      <protection hidden="1"/>
    </xf>
    <xf numFmtId="0" fontId="33" fillId="0" borderId="0" xfId="0" applyFont="1" applyAlignment="1" applyProtection="1">
      <alignment horizontal="right"/>
      <protection hidden="1"/>
    </xf>
    <xf numFmtId="0" fontId="27" fillId="0" borderId="0" xfId="0" applyFont="1" applyAlignment="1" applyProtection="1">
      <alignment horizontal="left"/>
      <protection locked="0"/>
    </xf>
    <xf numFmtId="0" fontId="27" fillId="0" borderId="0" xfId="3" applyNumberFormat="1" applyFont="1" applyFill="1" applyBorder="1" applyProtection="1">
      <protection locked="0"/>
    </xf>
    <xf numFmtId="0" fontId="35" fillId="0" borderId="0" xfId="0" applyFont="1" applyAlignment="1" applyProtection="1">
      <alignment horizontal="center" vertical="center"/>
      <protection hidden="1"/>
    </xf>
    <xf numFmtId="168" fontId="33" fillId="0" borderId="0" xfId="3" applyFont="1" applyFill="1" applyBorder="1" applyProtection="1">
      <protection hidden="1"/>
    </xf>
    <xf numFmtId="0" fontId="31" fillId="0" borderId="0" xfId="0" applyFont="1" applyAlignment="1" applyProtection="1">
      <alignment horizontal="center"/>
      <protection hidden="1"/>
    </xf>
    <xf numFmtId="174" fontId="27" fillId="0" borderId="0" xfId="5" applyFont="1" applyFill="1" applyBorder="1" applyProtection="1">
      <protection hidden="1"/>
    </xf>
    <xf numFmtId="168" fontId="27" fillId="0" borderId="0" xfId="3" applyFont="1" applyFill="1" applyBorder="1" applyProtection="1">
      <protection hidden="1"/>
    </xf>
    <xf numFmtId="0" fontId="2" fillId="0" borderId="0" xfId="0" applyFont="1"/>
    <xf numFmtId="167" fontId="32" fillId="0" borderId="0" xfId="0" applyNumberFormat="1" applyFont="1" applyProtection="1">
      <protection hidden="1"/>
    </xf>
    <xf numFmtId="0" fontId="38" fillId="0" borderId="0" xfId="0" applyFont="1" applyAlignment="1" applyProtection="1">
      <alignment horizontal="center" vertical="center"/>
      <protection hidden="1"/>
    </xf>
    <xf numFmtId="168" fontId="39" fillId="0" borderId="0" xfId="3" applyFont="1" applyFill="1" applyProtection="1">
      <protection hidden="1"/>
    </xf>
    <xf numFmtId="0" fontId="39" fillId="0" borderId="0" xfId="0" applyFont="1" applyAlignment="1" applyProtection="1">
      <alignment horizontal="center"/>
      <protection hidden="1"/>
    </xf>
    <xf numFmtId="168" fontId="40" fillId="0" borderId="0" xfId="3" applyFont="1" applyFill="1"/>
    <xf numFmtId="17" fontId="39" fillId="0" borderId="0" xfId="0" applyNumberFormat="1" applyFont="1" applyAlignment="1" applyProtection="1">
      <alignment horizontal="center"/>
      <protection hidden="1"/>
    </xf>
    <xf numFmtId="0" fontId="28" fillId="0" borderId="0" xfId="0" applyFont="1" applyProtection="1">
      <protection locked="0"/>
    </xf>
    <xf numFmtId="168" fontId="39" fillId="0" borderId="0" xfId="3" applyFont="1" applyFill="1" applyBorder="1" applyAlignment="1" applyProtection="1">
      <alignment horizontal="center"/>
      <protection hidden="1"/>
    </xf>
    <xf numFmtId="0" fontId="40" fillId="0" borderId="0" xfId="3" applyNumberFormat="1" applyFont="1" applyFill="1" applyProtection="1">
      <protection locked="0" hidden="1"/>
    </xf>
    <xf numFmtId="168" fontId="39" fillId="0" borderId="0" xfId="3" applyFont="1" applyFill="1" applyAlignment="1" applyProtection="1">
      <alignment horizontal="center"/>
      <protection hidden="1"/>
    </xf>
    <xf numFmtId="168" fontId="26" fillId="0" borderId="0" xfId="3" applyFont="1" applyFill="1" applyBorder="1" applyProtection="1">
      <protection locked="0"/>
    </xf>
    <xf numFmtId="168" fontId="26" fillId="0" borderId="0" xfId="3" applyFont="1" applyFill="1" applyProtection="1">
      <protection hidden="1"/>
    </xf>
    <xf numFmtId="167" fontId="26" fillId="0" borderId="21" xfId="0" applyNumberFormat="1" applyFont="1" applyBorder="1" applyAlignment="1" applyProtection="1">
      <alignment horizontal="center"/>
      <protection hidden="1"/>
    </xf>
    <xf numFmtId="167" fontId="26" fillId="0" borderId="24" xfId="0" applyNumberFormat="1" applyFont="1" applyBorder="1" applyAlignment="1" applyProtection="1">
      <alignment horizontal="center"/>
      <protection hidden="1"/>
    </xf>
    <xf numFmtId="167" fontId="26" fillId="0" borderId="0" xfId="0" applyNumberFormat="1" applyFont="1" applyAlignment="1" applyProtection="1">
      <alignment horizontal="center"/>
      <protection hidden="1"/>
    </xf>
    <xf numFmtId="167" fontId="26" fillId="0" borderId="19" xfId="0" applyNumberFormat="1" applyFont="1" applyBorder="1" applyAlignment="1" applyProtection="1">
      <alignment horizontal="center"/>
      <protection hidden="1"/>
    </xf>
    <xf numFmtId="0" fontId="41" fillId="0" borderId="0" xfId="0" applyFont="1"/>
    <xf numFmtId="168" fontId="25" fillId="0" borderId="0" xfId="3" applyFont="1" applyFill="1" applyProtection="1">
      <protection hidden="1"/>
    </xf>
    <xf numFmtId="17" fontId="28" fillId="0" borderId="0" xfId="0" applyNumberFormat="1" applyFont="1" applyAlignment="1" applyProtection="1">
      <alignment horizontal="center"/>
      <protection hidden="1"/>
    </xf>
    <xf numFmtId="168" fontId="26" fillId="0" borderId="0" xfId="3" applyFont="1" applyFill="1"/>
    <xf numFmtId="0" fontId="8" fillId="0" borderId="0" xfId="0" applyFont="1"/>
    <xf numFmtId="0" fontId="43" fillId="0" borderId="0" xfId="0" applyFont="1"/>
    <xf numFmtId="0" fontId="4" fillId="0" borderId="0" xfId="0" applyFont="1"/>
    <xf numFmtId="0" fontId="42" fillId="0" borderId="15" xfId="0" applyFont="1" applyBorder="1" applyAlignment="1" applyProtection="1">
      <alignment horizontal="center"/>
      <protection hidden="1"/>
    </xf>
    <xf numFmtId="0" fontId="26" fillId="0" borderId="0" xfId="0" applyFont="1" applyAlignment="1" applyProtection="1">
      <alignment horizontal="left"/>
      <protection locked="0"/>
    </xf>
    <xf numFmtId="0" fontId="39" fillId="0" borderId="0" xfId="0" applyFont="1" applyAlignment="1" applyProtection="1">
      <alignment horizontal="center"/>
      <protection locked="0"/>
    </xf>
    <xf numFmtId="0" fontId="57" fillId="0" borderId="0" xfId="0" applyFont="1"/>
    <xf numFmtId="0" fontId="45" fillId="0" borderId="0" xfId="0" applyFont="1" applyAlignment="1" applyProtection="1">
      <alignment horizontal="center" vertical="center"/>
      <protection hidden="1"/>
    </xf>
    <xf numFmtId="0" fontId="27" fillId="0" borderId="0" xfId="0" applyFont="1" applyAlignment="1" applyProtection="1">
      <alignment horizontal="center" vertical="center"/>
      <protection hidden="1"/>
    </xf>
    <xf numFmtId="17" fontId="40" fillId="0" borderId="0" xfId="0" applyNumberFormat="1" applyFont="1" applyAlignment="1" applyProtection="1">
      <alignment horizontal="center"/>
      <protection hidden="1"/>
    </xf>
    <xf numFmtId="0" fontId="40" fillId="0" borderId="0" xfId="0" applyFont="1" applyAlignment="1" applyProtection="1">
      <alignment horizontal="center"/>
      <protection hidden="1"/>
    </xf>
    <xf numFmtId="168" fontId="42" fillId="0" borderId="0" xfId="3" applyFont="1" applyFill="1" applyProtection="1">
      <protection hidden="1"/>
    </xf>
    <xf numFmtId="0" fontId="42" fillId="0" borderId="0" xfId="0" applyFont="1" applyAlignment="1" applyProtection="1">
      <alignment horizontal="left"/>
      <protection hidden="1"/>
    </xf>
    <xf numFmtId="167" fontId="40" fillId="0" borderId="0" xfId="0" applyNumberFormat="1" applyFont="1" applyAlignment="1" applyProtection="1">
      <alignment horizontal="center"/>
      <protection hidden="1"/>
    </xf>
    <xf numFmtId="0" fontId="42" fillId="0" borderId="0" xfId="0" applyFont="1" applyAlignment="1" applyProtection="1">
      <alignment horizontal="center"/>
      <protection hidden="1"/>
    </xf>
    <xf numFmtId="168" fontId="40" fillId="0" borderId="0" xfId="3" applyFont="1" applyFill="1" applyBorder="1" applyAlignment="1" applyProtection="1">
      <alignment horizontal="center"/>
      <protection hidden="1"/>
    </xf>
    <xf numFmtId="0" fontId="40" fillId="0" borderId="0" xfId="3" applyNumberFormat="1" applyFont="1" applyFill="1" applyProtection="1">
      <protection locked="0"/>
    </xf>
    <xf numFmtId="168" fontId="40" fillId="0" borderId="0" xfId="3" applyFont="1" applyFill="1" applyAlignment="1" applyProtection="1">
      <alignment horizontal="center"/>
      <protection hidden="1"/>
    </xf>
    <xf numFmtId="171" fontId="40" fillId="0" borderId="0" xfId="0" applyNumberFormat="1" applyFont="1" applyAlignment="1" applyProtection="1">
      <alignment horizontal="center"/>
      <protection hidden="1"/>
    </xf>
    <xf numFmtId="9" fontId="28" fillId="0" borderId="0" xfId="7" applyFont="1" applyFill="1" applyBorder="1" applyAlignment="1" applyProtection="1">
      <alignment horizontal="center"/>
      <protection hidden="1"/>
    </xf>
    <xf numFmtId="0" fontId="41" fillId="0" borderId="0" xfId="0" applyFont="1" applyProtection="1">
      <protection hidden="1"/>
    </xf>
    <xf numFmtId="0" fontId="27" fillId="0" borderId="0" xfId="6" applyFont="1" applyFill="1" applyAlignment="1" applyProtection="1">
      <alignment horizontal="center"/>
      <protection hidden="1"/>
    </xf>
    <xf numFmtId="0" fontId="33" fillId="0" borderId="0" xfId="6" applyFont="1" applyFill="1" applyProtection="1">
      <protection hidden="1"/>
    </xf>
    <xf numFmtId="17" fontId="28" fillId="0" borderId="0" xfId="6" applyNumberFormat="1" applyFont="1" applyFill="1" applyProtection="1">
      <protection hidden="1"/>
    </xf>
    <xf numFmtId="0" fontId="33" fillId="0" borderId="0" xfId="6" applyFont="1" applyFill="1" applyAlignment="1" applyProtection="1">
      <alignment horizontal="center"/>
      <protection hidden="1"/>
    </xf>
    <xf numFmtId="184" fontId="33" fillId="0" borderId="0" xfId="6" applyNumberFormat="1" applyFont="1" applyFill="1" applyAlignment="1" applyProtection="1">
      <alignment horizontal="center"/>
      <protection hidden="1"/>
    </xf>
    <xf numFmtId="184" fontId="33" fillId="0" borderId="0" xfId="6" applyNumberFormat="1" applyFont="1" applyFill="1" applyProtection="1">
      <protection hidden="1"/>
    </xf>
    <xf numFmtId="0" fontId="43" fillId="0" borderId="0" xfId="6" applyFont="1" applyFill="1" applyProtection="1">
      <protection hidden="1"/>
    </xf>
    <xf numFmtId="0" fontId="31" fillId="0" borderId="5" xfId="6" applyFont="1" applyFill="1" applyBorder="1" applyProtection="1">
      <protection hidden="1"/>
    </xf>
    <xf numFmtId="0" fontId="31" fillId="0" borderId="29" xfId="6" applyFont="1" applyFill="1" applyBorder="1" applyProtection="1">
      <protection hidden="1"/>
    </xf>
    <xf numFmtId="0" fontId="58" fillId="0" borderId="0" xfId="6" applyFont="1" applyFill="1" applyProtection="1">
      <protection hidden="1"/>
    </xf>
    <xf numFmtId="183" fontId="43" fillId="4" borderId="15" xfId="6" applyNumberFormat="1" applyFont="1" applyFill="1" applyBorder="1" applyAlignment="1" applyProtection="1">
      <alignment horizontal="center"/>
      <protection hidden="1"/>
    </xf>
    <xf numFmtId="0" fontId="7" fillId="0" borderId="0" xfId="0" applyFont="1" applyProtection="1">
      <protection hidden="1"/>
    </xf>
    <xf numFmtId="167" fontId="7" fillId="0" borderId="0" xfId="0" applyNumberFormat="1" applyFont="1" applyProtection="1">
      <protection hidden="1"/>
    </xf>
    <xf numFmtId="176" fontId="7" fillId="0" borderId="0" xfId="7" applyNumberFormat="1" applyFont="1" applyFill="1" applyBorder="1" applyProtection="1">
      <protection hidden="1"/>
    </xf>
    <xf numFmtId="9" fontId="7" fillId="0" borderId="0" xfId="7" applyFont="1" applyFill="1" applyBorder="1" applyProtection="1">
      <protection hidden="1"/>
    </xf>
    <xf numFmtId="180" fontId="26" fillId="0" borderId="19" xfId="0" applyNumberFormat="1" applyFont="1" applyBorder="1" applyAlignment="1" applyProtection="1">
      <alignment horizontal="center"/>
      <protection hidden="1"/>
    </xf>
    <xf numFmtId="180" fontId="26" fillId="0" borderId="0" xfId="0" applyNumberFormat="1" applyFont="1" applyAlignment="1" applyProtection="1">
      <alignment horizontal="center"/>
      <protection hidden="1"/>
    </xf>
    <xf numFmtId="167" fontId="42" fillId="0" borderId="15" xfId="0" applyNumberFormat="1" applyFont="1" applyBorder="1" applyProtection="1">
      <protection hidden="1"/>
    </xf>
    <xf numFmtId="167" fontId="42" fillId="0" borderId="0" xfId="0" applyNumberFormat="1" applyFont="1" applyAlignment="1" applyProtection="1">
      <alignment horizontal="center" vertical="center"/>
      <protection hidden="1"/>
    </xf>
    <xf numFmtId="167" fontId="42" fillId="0" borderId="0" xfId="7" applyNumberFormat="1" applyFont="1" applyFill="1" applyBorder="1" applyAlignment="1" applyProtection="1">
      <alignment horizontal="center" vertical="center"/>
      <protection hidden="1"/>
    </xf>
    <xf numFmtId="167" fontId="42" fillId="0" borderId="15" xfId="7" applyNumberFormat="1" applyFont="1" applyFill="1" applyBorder="1" applyAlignment="1" applyProtection="1">
      <alignment horizontal="center" vertical="center"/>
      <protection hidden="1"/>
    </xf>
    <xf numFmtId="167" fontId="42" fillId="0" borderId="15" xfId="0" applyNumberFormat="1" applyFont="1" applyBorder="1" applyAlignment="1" applyProtection="1">
      <alignment vertical="center"/>
      <protection hidden="1"/>
    </xf>
    <xf numFmtId="167" fontId="42" fillId="0" borderId="15" xfId="7" applyNumberFormat="1" applyFont="1" applyFill="1" applyBorder="1" applyAlignment="1" applyProtection="1">
      <alignment vertical="center"/>
      <protection hidden="1"/>
    </xf>
    <xf numFmtId="167" fontId="26" fillId="0" borderId="21" xfId="0" applyNumberFormat="1" applyFont="1" applyBorder="1" applyProtection="1">
      <protection hidden="1"/>
    </xf>
    <xf numFmtId="167" fontId="26" fillId="0" borderId="30" xfId="0" applyNumberFormat="1" applyFont="1" applyBorder="1" applyProtection="1">
      <protection hidden="1"/>
    </xf>
    <xf numFmtId="167" fontId="26" fillId="0" borderId="19" xfId="0" applyNumberFormat="1" applyFont="1" applyBorder="1" applyProtection="1">
      <protection hidden="1"/>
    </xf>
    <xf numFmtId="167" fontId="42" fillId="0" borderId="13" xfId="0" applyNumberFormat="1" applyFont="1" applyBorder="1" applyProtection="1">
      <protection hidden="1"/>
    </xf>
    <xf numFmtId="167" fontId="42" fillId="0" borderId="13" xfId="7" applyNumberFormat="1" applyFont="1" applyFill="1" applyBorder="1" applyProtection="1">
      <protection hidden="1"/>
    </xf>
    <xf numFmtId="167" fontId="42" fillId="0" borderId="0" xfId="7" applyNumberFormat="1" applyFont="1" applyFill="1" applyBorder="1" applyProtection="1">
      <protection hidden="1"/>
    </xf>
    <xf numFmtId="167" fontId="26" fillId="0" borderId="28" xfId="0" applyNumberFormat="1" applyFont="1" applyBorder="1" applyProtection="1">
      <protection hidden="1"/>
    </xf>
    <xf numFmtId="167" fontId="26" fillId="0" borderId="31" xfId="0" applyNumberFormat="1" applyFont="1" applyBorder="1" applyProtection="1">
      <protection hidden="1"/>
    </xf>
    <xf numFmtId="9" fontId="26" fillId="0" borderId="0" xfId="7" applyFont="1" applyFill="1" applyBorder="1" applyProtection="1">
      <protection hidden="1"/>
    </xf>
    <xf numFmtId="167" fontId="42" fillId="0" borderId="26" xfId="0" applyNumberFormat="1" applyFont="1" applyBorder="1" applyProtection="1">
      <protection hidden="1"/>
    </xf>
    <xf numFmtId="167" fontId="33" fillId="0" borderId="0" xfId="0" applyNumberFormat="1" applyFont="1" applyAlignment="1" applyProtection="1">
      <alignment horizontal="center"/>
      <protection hidden="1"/>
    </xf>
    <xf numFmtId="173" fontId="25" fillId="0" borderId="0" xfId="0" applyNumberFormat="1" applyFont="1" applyAlignment="1" applyProtection="1">
      <alignment horizontal="right"/>
      <protection hidden="1"/>
    </xf>
    <xf numFmtId="167" fontId="25" fillId="0" borderId="0" xfId="4" applyNumberFormat="1" applyFont="1" applyFill="1" applyBorder="1" applyProtection="1">
      <protection hidden="1"/>
    </xf>
    <xf numFmtId="167" fontId="28" fillId="0" borderId="0" xfId="4" applyNumberFormat="1" applyFont="1" applyFill="1" applyBorder="1" applyAlignment="1" applyProtection="1">
      <alignment horizontal="center"/>
      <protection hidden="1"/>
    </xf>
    <xf numFmtId="167" fontId="25" fillId="0" borderId="0" xfId="7" applyNumberFormat="1" applyFont="1" applyFill="1" applyBorder="1" applyAlignment="1" applyProtection="1">
      <alignment horizontal="center"/>
      <protection hidden="1"/>
    </xf>
    <xf numFmtId="167" fontId="42" fillId="0" borderId="19" xfId="0" applyNumberFormat="1" applyFont="1" applyBorder="1" applyProtection="1">
      <protection hidden="1"/>
    </xf>
    <xf numFmtId="167" fontId="42" fillId="0" borderId="19" xfId="7" applyNumberFormat="1" applyFont="1" applyFill="1" applyBorder="1" applyProtection="1">
      <protection hidden="1"/>
    </xf>
    <xf numFmtId="167" fontId="42" fillId="0" borderId="19" xfId="0" applyNumberFormat="1" applyFont="1" applyBorder="1" applyAlignment="1" applyProtection="1">
      <alignment horizontal="center" vertical="center"/>
      <protection hidden="1"/>
    </xf>
    <xf numFmtId="167" fontId="42" fillId="0" borderId="19" xfId="7" applyNumberFormat="1" applyFont="1" applyFill="1" applyBorder="1" applyAlignment="1" applyProtection="1">
      <alignment horizontal="center" vertical="center"/>
      <protection hidden="1"/>
    </xf>
    <xf numFmtId="167" fontId="26" fillId="0" borderId="19" xfId="7" applyNumberFormat="1" applyFont="1" applyFill="1" applyBorder="1" applyProtection="1">
      <protection hidden="1"/>
    </xf>
    <xf numFmtId="167" fontId="26" fillId="0" borderId="15" xfId="0" applyNumberFormat="1" applyFont="1" applyBorder="1" applyProtection="1">
      <protection hidden="1"/>
    </xf>
    <xf numFmtId="167" fontId="25" fillId="0" borderId="15" xfId="0" applyNumberFormat="1" applyFont="1" applyBorder="1" applyProtection="1">
      <protection hidden="1"/>
    </xf>
    <xf numFmtId="167" fontId="42" fillId="0" borderId="15" xfId="0" applyNumberFormat="1" applyFont="1" applyBorder="1" applyAlignment="1" applyProtection="1">
      <alignment horizontal="center" vertical="center"/>
      <protection hidden="1"/>
    </xf>
    <xf numFmtId="167" fontId="50" fillId="0" borderId="13" xfId="0" applyNumberFormat="1" applyFont="1" applyBorder="1" applyProtection="1">
      <protection hidden="1"/>
    </xf>
    <xf numFmtId="167" fontId="50" fillId="0" borderId="13" xfId="7" applyNumberFormat="1" applyFont="1" applyFill="1" applyBorder="1" applyProtection="1">
      <protection hidden="1"/>
    </xf>
    <xf numFmtId="0" fontId="30" fillId="0" borderId="32" xfId="0" applyFont="1" applyBorder="1" applyProtection="1">
      <protection hidden="1"/>
    </xf>
    <xf numFmtId="0" fontId="5" fillId="0" borderId="0" xfId="0" applyFont="1" applyProtection="1">
      <protection hidden="1"/>
    </xf>
    <xf numFmtId="168" fontId="4" fillId="0" borderId="0" xfId="3" applyFont="1" applyFill="1" applyBorder="1" applyProtection="1">
      <protection hidden="1"/>
    </xf>
    <xf numFmtId="168" fontId="60" fillId="0" borderId="0" xfId="3" applyFont="1" applyFill="1" applyAlignment="1" applyProtection="1">
      <alignment horizontal="left"/>
      <protection hidden="1"/>
    </xf>
    <xf numFmtId="0" fontId="60" fillId="0" borderId="0" xfId="0" applyFont="1" applyAlignment="1" applyProtection="1">
      <alignment horizontal="left"/>
      <protection hidden="1"/>
    </xf>
    <xf numFmtId="167" fontId="28" fillId="0" borderId="15" xfId="0" applyNumberFormat="1" applyFont="1" applyBorder="1" applyAlignment="1" applyProtection="1">
      <alignment horizontal="center"/>
      <protection hidden="1"/>
    </xf>
    <xf numFmtId="167" fontId="39" fillId="0" borderId="15" xfId="0" applyNumberFormat="1" applyFont="1" applyBorder="1" applyAlignment="1" applyProtection="1">
      <alignment horizontal="center"/>
      <protection locked="0"/>
    </xf>
    <xf numFmtId="167" fontId="26" fillId="0" borderId="0" xfId="7" applyNumberFormat="1" applyFont="1" applyFill="1" applyBorder="1" applyAlignment="1" applyProtection="1">
      <alignment horizontal="center"/>
      <protection locked="0"/>
    </xf>
    <xf numFmtId="10" fontId="61" fillId="0" borderId="0" xfId="7" applyNumberFormat="1" applyFont="1" applyFill="1" applyBorder="1" applyAlignment="1" applyProtection="1">
      <alignment horizontal="center"/>
      <protection hidden="1"/>
    </xf>
    <xf numFmtId="167" fontId="43" fillId="0" borderId="0" xfId="0" applyNumberFormat="1" applyFont="1" applyProtection="1">
      <protection hidden="1"/>
    </xf>
    <xf numFmtId="0" fontId="43" fillId="0" borderId="0" xfId="0" applyFont="1" applyProtection="1">
      <protection hidden="1"/>
    </xf>
    <xf numFmtId="167" fontId="33" fillId="0" borderId="0" xfId="0" applyNumberFormat="1" applyFont="1" applyProtection="1">
      <protection hidden="1"/>
    </xf>
    <xf numFmtId="167" fontId="33" fillId="0" borderId="0" xfId="0" quotePrefix="1" applyNumberFormat="1" applyFont="1" applyProtection="1">
      <protection hidden="1"/>
    </xf>
    <xf numFmtId="0" fontId="33" fillId="0" borderId="0" xfId="0" quotePrefix="1" applyFont="1" applyProtection="1">
      <protection hidden="1"/>
    </xf>
    <xf numFmtId="168" fontId="27" fillId="0" borderId="0" xfId="3" applyFont="1" applyBorder="1" applyProtection="1">
      <protection hidden="1"/>
    </xf>
    <xf numFmtId="0" fontId="25" fillId="0" borderId="0" xfId="0" quotePrefix="1" applyFont="1" applyProtection="1">
      <protection hidden="1"/>
    </xf>
    <xf numFmtId="168" fontId="28" fillId="0" borderId="0" xfId="3" applyFont="1" applyBorder="1" applyProtection="1">
      <protection hidden="1"/>
    </xf>
    <xf numFmtId="164" fontId="33" fillId="0" borderId="0" xfId="3" applyNumberFormat="1" applyFont="1" applyFill="1" applyBorder="1" applyProtection="1">
      <protection hidden="1"/>
    </xf>
    <xf numFmtId="164" fontId="27" fillId="0" borderId="0" xfId="0" applyNumberFormat="1" applyFont="1" applyProtection="1">
      <protection hidden="1"/>
    </xf>
    <xf numFmtId="0" fontId="30" fillId="0" borderId="0" xfId="0" applyFont="1" applyProtection="1">
      <protection locked="0"/>
    </xf>
    <xf numFmtId="0" fontId="59" fillId="0" borderId="0" xfId="0" applyFont="1" applyAlignment="1" applyProtection="1">
      <alignment horizontal="center"/>
      <protection locked="0"/>
    </xf>
    <xf numFmtId="0" fontId="64" fillId="0" borderId="0" xfId="0" applyFont="1" applyProtection="1">
      <protection hidden="1"/>
    </xf>
    <xf numFmtId="0" fontId="31" fillId="0" borderId="0" xfId="0" applyFont="1" applyAlignment="1" applyProtection="1">
      <alignment horizontal="center" vertical="center"/>
      <protection hidden="1"/>
    </xf>
    <xf numFmtId="0" fontId="63" fillId="0" borderId="0" xfId="0" applyFont="1" applyAlignment="1" applyProtection="1">
      <alignment horizontal="center"/>
      <protection hidden="1"/>
    </xf>
    <xf numFmtId="0" fontId="63" fillId="0" borderId="0" xfId="0" applyFont="1" applyAlignment="1" applyProtection="1">
      <alignment horizontal="left"/>
      <protection hidden="1"/>
    </xf>
    <xf numFmtId="0" fontId="64" fillId="0" borderId="0" xfId="0" applyFont="1" applyAlignment="1" applyProtection="1">
      <alignment horizontal="left"/>
      <protection hidden="1"/>
    </xf>
    <xf numFmtId="0" fontId="64" fillId="0" borderId="0" xfId="0" applyFont="1" applyAlignment="1" applyProtection="1">
      <alignment horizontal="right"/>
      <protection hidden="1"/>
    </xf>
    <xf numFmtId="0" fontId="65" fillId="0" borderId="0" xfId="0" applyFont="1" applyProtection="1">
      <protection hidden="1"/>
    </xf>
    <xf numFmtId="168" fontId="5" fillId="0" borderId="0" xfId="3" applyFont="1" applyFill="1" applyBorder="1" applyProtection="1">
      <protection hidden="1"/>
    </xf>
    <xf numFmtId="0" fontId="66" fillId="0" borderId="0" xfId="0" applyFont="1" applyProtection="1">
      <protection hidden="1"/>
    </xf>
    <xf numFmtId="187" fontId="66" fillId="0" borderId="0" xfId="0" applyNumberFormat="1" applyFont="1" applyAlignment="1" applyProtection="1">
      <alignment horizontal="center"/>
      <protection hidden="1"/>
    </xf>
    <xf numFmtId="0" fontId="25" fillId="0" borderId="0" xfId="0" applyFont="1" applyProtection="1">
      <protection locked="0"/>
    </xf>
    <xf numFmtId="168" fontId="25" fillId="0" borderId="0" xfId="3" applyFont="1" applyFill="1" applyBorder="1" applyProtection="1">
      <protection hidden="1"/>
    </xf>
    <xf numFmtId="0" fontId="51" fillId="0" borderId="0" xfId="0" applyFont="1" applyProtection="1">
      <protection hidden="1"/>
    </xf>
    <xf numFmtId="187" fontId="33" fillId="0" borderId="0" xfId="0" applyNumberFormat="1" applyFont="1" applyAlignment="1" applyProtection="1">
      <alignment horizontal="center"/>
      <protection hidden="1"/>
    </xf>
    <xf numFmtId="168" fontId="28" fillId="4" borderId="0" xfId="3" applyFont="1" applyFill="1" applyBorder="1" applyProtection="1">
      <protection locked="0"/>
    </xf>
    <xf numFmtId="0" fontId="67" fillId="0" borderId="0" xfId="0" applyFont="1" applyAlignment="1" applyProtection="1">
      <alignment horizontal="center"/>
      <protection hidden="1"/>
    </xf>
    <xf numFmtId="168" fontId="68" fillId="0" borderId="0" xfId="3" applyFont="1" applyFill="1" applyBorder="1" applyAlignment="1" applyProtection="1">
      <alignment horizontal="center"/>
      <protection hidden="1"/>
    </xf>
    <xf numFmtId="168" fontId="52" fillId="0" borderId="0" xfId="3" applyFont="1" applyFill="1" applyBorder="1" applyAlignment="1" applyProtection="1">
      <alignment horizontal="left"/>
      <protection hidden="1"/>
    </xf>
    <xf numFmtId="168" fontId="4" fillId="0" borderId="0" xfId="3" applyFont="1" applyFill="1" applyBorder="1" applyAlignment="1" applyProtection="1">
      <alignment horizontal="center"/>
      <protection hidden="1"/>
    </xf>
    <xf numFmtId="1" fontId="25" fillId="0" borderId="0" xfId="0" applyNumberFormat="1" applyFont="1" applyProtection="1">
      <protection hidden="1"/>
    </xf>
    <xf numFmtId="0" fontId="25" fillId="0" borderId="36" xfId="0" applyFont="1" applyBorder="1" applyProtection="1">
      <protection hidden="1"/>
    </xf>
    <xf numFmtId="1" fontId="25" fillId="5" borderId="0" xfId="0" applyNumberFormat="1" applyFont="1" applyFill="1" applyProtection="1">
      <protection hidden="1"/>
    </xf>
    <xf numFmtId="1" fontId="25" fillId="0" borderId="36" xfId="0" applyNumberFormat="1" applyFont="1" applyBorder="1" applyProtection="1">
      <protection hidden="1"/>
    </xf>
    <xf numFmtId="0" fontId="25" fillId="0" borderId="27" xfId="0" applyFont="1" applyBorder="1" applyProtection="1">
      <protection hidden="1"/>
    </xf>
    <xf numFmtId="177" fontId="25" fillId="0" borderId="36" xfId="3" applyNumberFormat="1" applyFont="1" applyFill="1" applyBorder="1" applyProtection="1">
      <protection hidden="1"/>
    </xf>
    <xf numFmtId="177" fontId="25" fillId="0" borderId="37" xfId="3" applyNumberFormat="1" applyFont="1" applyFill="1" applyBorder="1" applyProtection="1">
      <protection hidden="1"/>
    </xf>
    <xf numFmtId="1" fontId="25" fillId="5" borderId="23" xfId="0" applyNumberFormat="1" applyFont="1" applyFill="1" applyBorder="1" applyProtection="1">
      <protection hidden="1"/>
    </xf>
    <xf numFmtId="1" fontId="25" fillId="0" borderId="37" xfId="0" applyNumberFormat="1" applyFont="1" applyBorder="1" applyProtection="1">
      <protection hidden="1"/>
    </xf>
    <xf numFmtId="0" fontId="25" fillId="0" borderId="23" xfId="0" applyFont="1" applyBorder="1" applyProtection="1">
      <protection hidden="1"/>
    </xf>
    <xf numFmtId="0" fontId="25" fillId="0" borderId="38" xfId="0" applyFont="1" applyBorder="1" applyProtection="1">
      <protection hidden="1"/>
    </xf>
    <xf numFmtId="177" fontId="25" fillId="0" borderId="0" xfId="3" applyNumberFormat="1" applyFont="1" applyProtection="1">
      <protection hidden="1"/>
    </xf>
    <xf numFmtId="10" fontId="25" fillId="0" borderId="0" xfId="7" applyNumberFormat="1" applyFont="1" applyProtection="1">
      <protection hidden="1"/>
    </xf>
    <xf numFmtId="167" fontId="42" fillId="4" borderId="19" xfId="0" applyNumberFormat="1" applyFont="1" applyFill="1" applyBorder="1" applyAlignment="1" applyProtection="1">
      <alignment horizontal="center"/>
      <protection hidden="1"/>
    </xf>
    <xf numFmtId="167" fontId="42" fillId="4" borderId="20" xfId="0" applyNumberFormat="1" applyFont="1" applyFill="1" applyBorder="1" applyAlignment="1" applyProtection="1">
      <alignment horizontal="center"/>
      <protection hidden="1"/>
    </xf>
    <xf numFmtId="174" fontId="30" fillId="0" borderId="0" xfId="0" applyNumberFormat="1" applyFont="1" applyAlignment="1" applyProtection="1">
      <alignment horizontal="center"/>
      <protection hidden="1"/>
    </xf>
    <xf numFmtId="0" fontId="28" fillId="4" borderId="33" xfId="0" applyFont="1" applyFill="1" applyBorder="1" applyAlignment="1" applyProtection="1">
      <alignment horizontal="center"/>
      <protection locked="0"/>
    </xf>
    <xf numFmtId="0" fontId="28" fillId="0" borderId="33" xfId="0" applyFont="1" applyBorder="1" applyProtection="1">
      <protection locked="0"/>
    </xf>
    <xf numFmtId="10" fontId="28" fillId="0" borderId="33" xfId="7" applyNumberFormat="1" applyFont="1" applyFill="1" applyBorder="1" applyProtection="1">
      <protection locked="0"/>
    </xf>
    <xf numFmtId="174" fontId="28" fillId="0" borderId="33" xfId="5" applyFont="1" applyFill="1" applyBorder="1" applyProtection="1">
      <protection locked="0"/>
    </xf>
    <xf numFmtId="170" fontId="42" fillId="0" borderId="39" xfId="0" applyNumberFormat="1" applyFont="1" applyBorder="1" applyAlignment="1" applyProtection="1">
      <alignment horizontal="center"/>
      <protection hidden="1"/>
    </xf>
    <xf numFmtId="170" fontId="42" fillId="0" borderId="15" xfId="0" applyNumberFormat="1" applyFont="1" applyBorder="1" applyAlignment="1" applyProtection="1">
      <alignment horizontal="center"/>
      <protection hidden="1"/>
    </xf>
    <xf numFmtId="168" fontId="27" fillId="0" borderId="13" xfId="3" applyFont="1" applyFill="1" applyBorder="1" applyProtection="1">
      <protection hidden="1"/>
    </xf>
    <xf numFmtId="167" fontId="42" fillId="0" borderId="39" xfId="0" applyNumberFormat="1" applyFont="1" applyBorder="1" applyAlignment="1" applyProtection="1">
      <alignment horizontal="center"/>
      <protection hidden="1"/>
    </xf>
    <xf numFmtId="167" fontId="42" fillId="0" borderId="28" xfId="0" applyNumberFormat="1" applyFont="1" applyBorder="1" applyAlignment="1" applyProtection="1">
      <alignment horizontal="center"/>
      <protection hidden="1"/>
    </xf>
    <xf numFmtId="167" fontId="42" fillId="0" borderId="40" xfId="0" applyNumberFormat="1" applyFont="1" applyBorder="1" applyAlignment="1" applyProtection="1">
      <alignment horizontal="center"/>
      <protection hidden="1"/>
    </xf>
    <xf numFmtId="167" fontId="42" fillId="0" borderId="33" xfId="0" applyNumberFormat="1" applyFont="1" applyBorder="1" applyAlignment="1" applyProtection="1">
      <alignment horizontal="center"/>
      <protection locked="0" hidden="1"/>
    </xf>
    <xf numFmtId="9" fontId="28" fillId="0" borderId="33" xfId="7" applyFont="1" applyFill="1" applyBorder="1" applyAlignment="1" applyProtection="1">
      <alignment horizontal="center"/>
      <protection locked="0"/>
    </xf>
    <xf numFmtId="0" fontId="42" fillId="4" borderId="33" xfId="0" applyFont="1" applyFill="1" applyBorder="1" applyAlignment="1" applyProtection="1">
      <alignment horizontal="center"/>
      <protection locked="0"/>
    </xf>
    <xf numFmtId="167" fontId="42" fillId="0" borderId="41" xfId="0" applyNumberFormat="1" applyFont="1" applyBorder="1" applyAlignment="1" applyProtection="1">
      <alignment horizontal="center"/>
      <protection locked="0"/>
    </xf>
    <xf numFmtId="167" fontId="42" fillId="0" borderId="41" xfId="0" applyNumberFormat="1" applyFont="1" applyBorder="1" applyAlignment="1" applyProtection="1">
      <alignment horizontal="center"/>
      <protection locked="0" hidden="1"/>
    </xf>
    <xf numFmtId="167" fontId="42" fillId="0" borderId="42" xfId="0" applyNumberFormat="1" applyFont="1" applyBorder="1" applyAlignment="1" applyProtection="1">
      <alignment horizontal="center"/>
      <protection locked="0" hidden="1"/>
    </xf>
    <xf numFmtId="167" fontId="42" fillId="0" borderId="39" xfId="0" applyNumberFormat="1" applyFont="1" applyBorder="1" applyProtection="1">
      <protection hidden="1"/>
    </xf>
    <xf numFmtId="167" fontId="42" fillId="0" borderId="39" xfId="7" applyNumberFormat="1" applyFont="1" applyFill="1" applyBorder="1" applyAlignment="1" applyProtection="1">
      <alignment horizontal="center" vertical="center"/>
      <protection hidden="1"/>
    </xf>
    <xf numFmtId="167" fontId="42" fillId="0" borderId="22" xfId="0" applyNumberFormat="1" applyFont="1" applyBorder="1" applyProtection="1">
      <protection hidden="1"/>
    </xf>
    <xf numFmtId="167" fontId="26" fillId="0" borderId="41" xfId="0" applyNumberFormat="1" applyFont="1" applyBorder="1" applyProtection="1">
      <protection locked="0"/>
    </xf>
    <xf numFmtId="167" fontId="26" fillId="0" borderId="43" xfId="0" applyNumberFormat="1" applyFont="1" applyBorder="1" applyProtection="1">
      <protection locked="0"/>
    </xf>
    <xf numFmtId="167" fontId="28" fillId="0" borderId="33" xfId="0" applyNumberFormat="1" applyFont="1" applyBorder="1" applyProtection="1">
      <protection locked="0"/>
    </xf>
    <xf numFmtId="167" fontId="42" fillId="0" borderId="33" xfId="0" applyNumberFormat="1" applyFont="1" applyBorder="1" applyAlignment="1" applyProtection="1">
      <alignment horizontal="center" vertical="center"/>
      <protection locked="0"/>
    </xf>
    <xf numFmtId="167" fontId="26" fillId="0" borderId="33" xfId="0" applyNumberFormat="1" applyFont="1" applyBorder="1" applyProtection="1">
      <protection locked="0"/>
    </xf>
    <xf numFmtId="167" fontId="26" fillId="0" borderId="46" xfId="0" applyNumberFormat="1" applyFont="1" applyBorder="1" applyProtection="1">
      <protection locked="0"/>
    </xf>
    <xf numFmtId="167" fontId="26" fillId="0" borderId="47" xfId="0" applyNumberFormat="1" applyFont="1" applyBorder="1" applyProtection="1">
      <protection locked="0"/>
    </xf>
    <xf numFmtId="180" fontId="42" fillId="0" borderId="15" xfId="0" applyNumberFormat="1" applyFont="1" applyBorder="1" applyAlignment="1" applyProtection="1">
      <alignment horizontal="center"/>
      <protection hidden="1"/>
    </xf>
    <xf numFmtId="168" fontId="26" fillId="0" borderId="41" xfId="3" applyFont="1" applyFill="1" applyBorder="1" applyProtection="1">
      <protection locked="0"/>
    </xf>
    <xf numFmtId="167" fontId="26" fillId="0" borderId="41" xfId="0" applyNumberFormat="1" applyFont="1" applyBorder="1" applyAlignment="1" applyProtection="1">
      <alignment horizontal="center"/>
      <protection locked="0"/>
    </xf>
    <xf numFmtId="0" fontId="25" fillId="4" borderId="0" xfId="0" applyFont="1" applyFill="1" applyProtection="1">
      <protection hidden="1"/>
    </xf>
    <xf numFmtId="0" fontId="21" fillId="0" borderId="33" xfId="0" applyFont="1" applyBorder="1" applyProtection="1">
      <protection hidden="1"/>
    </xf>
    <xf numFmtId="167" fontId="25" fillId="0" borderId="19" xfId="0" applyNumberFormat="1" applyFont="1" applyBorder="1" applyAlignment="1" applyProtection="1">
      <alignment horizontal="center"/>
      <protection hidden="1"/>
    </xf>
    <xf numFmtId="167" fontId="25" fillId="0" borderId="48" xfId="0" applyNumberFormat="1" applyFont="1" applyBorder="1" applyAlignment="1" applyProtection="1">
      <alignment horizontal="center"/>
      <protection hidden="1"/>
    </xf>
    <xf numFmtId="9" fontId="25" fillId="0" borderId="49" xfId="7" applyFont="1" applyFill="1" applyBorder="1" applyAlignment="1" applyProtection="1">
      <alignment horizontal="center"/>
      <protection hidden="1"/>
    </xf>
    <xf numFmtId="9" fontId="25" fillId="0" borderId="15" xfId="7" applyFont="1" applyFill="1" applyBorder="1" applyAlignment="1" applyProtection="1">
      <alignment horizontal="center"/>
      <protection hidden="1"/>
    </xf>
    <xf numFmtId="9" fontId="26" fillId="0" borderId="15" xfId="7" applyFont="1" applyFill="1" applyBorder="1" applyAlignment="1" applyProtection="1">
      <alignment horizontal="center"/>
      <protection hidden="1"/>
    </xf>
    <xf numFmtId="167" fontId="26" fillId="0" borderId="48" xfId="0" applyNumberFormat="1" applyFont="1" applyBorder="1" applyAlignment="1" applyProtection="1">
      <alignment horizontal="center"/>
      <protection hidden="1"/>
    </xf>
    <xf numFmtId="0" fontId="37" fillId="0" borderId="0" xfId="0" applyFont="1"/>
    <xf numFmtId="9" fontId="25" fillId="0" borderId="0" xfId="7" applyFont="1" applyFill="1" applyBorder="1"/>
    <xf numFmtId="0" fontId="72" fillId="0" borderId="0" xfId="0" applyFont="1"/>
    <xf numFmtId="10" fontId="25" fillId="0" borderId="33" xfId="7" applyNumberFormat="1" applyFont="1" applyFill="1" applyBorder="1" applyAlignment="1" applyProtection="1">
      <alignment horizontal="center"/>
      <protection locked="0"/>
    </xf>
    <xf numFmtId="10" fontId="25" fillId="0" borderId="0" xfId="0" applyNumberFormat="1" applyFont="1" applyAlignment="1">
      <alignment horizontal="center"/>
    </xf>
    <xf numFmtId="10" fontId="28" fillId="0" borderId="14" xfId="0" applyNumberFormat="1" applyFont="1" applyBorder="1" applyAlignment="1">
      <alignment horizontal="center"/>
    </xf>
    <xf numFmtId="10" fontId="25" fillId="0" borderId="0" xfId="0" applyNumberFormat="1" applyFont="1" applyAlignment="1" applyProtection="1">
      <alignment horizontal="center"/>
      <protection hidden="1"/>
    </xf>
    <xf numFmtId="0" fontId="55" fillId="0" borderId="0" xfId="0" applyFont="1" applyAlignment="1">
      <alignment horizontal="center"/>
    </xf>
    <xf numFmtId="167" fontId="41" fillId="0" borderId="0" xfId="0" applyNumberFormat="1" applyFont="1"/>
    <xf numFmtId="170" fontId="30" fillId="0" borderId="0" xfId="7" applyNumberFormat="1" applyFont="1" applyBorder="1" applyProtection="1">
      <protection hidden="1"/>
    </xf>
    <xf numFmtId="10" fontId="73" fillId="0" borderId="0" xfId="0" applyNumberFormat="1" applyFont="1" applyAlignment="1" applyProtection="1">
      <alignment horizontal="center"/>
      <protection hidden="1"/>
    </xf>
    <xf numFmtId="0" fontId="43" fillId="0" borderId="0" xfId="0" applyFont="1" applyAlignment="1" applyProtection="1">
      <alignment horizontal="left" vertical="center"/>
      <protection hidden="1"/>
    </xf>
    <xf numFmtId="0" fontId="27" fillId="0" borderId="0" xfId="0" applyFont="1"/>
    <xf numFmtId="0" fontId="24" fillId="0" borderId="0" xfId="0" applyFont="1" applyProtection="1">
      <protection locked="0"/>
    </xf>
    <xf numFmtId="0" fontId="5" fillId="0" borderId="0" xfId="0" applyFont="1" applyProtection="1">
      <protection locked="0" hidden="1"/>
    </xf>
    <xf numFmtId="0" fontId="5" fillId="0" borderId="19" xfId="0" applyFont="1" applyBorder="1" applyAlignment="1" applyProtection="1">
      <alignment horizontal="center"/>
      <protection locked="0" hidden="1"/>
    </xf>
    <xf numFmtId="9" fontId="5" fillId="0" borderId="19" xfId="0" applyNumberFormat="1" applyFont="1" applyBorder="1" applyAlignment="1" applyProtection="1">
      <alignment horizontal="center"/>
      <protection locked="0" hidden="1"/>
    </xf>
    <xf numFmtId="9" fontId="5" fillId="0" borderId="19" xfId="7" applyFont="1" applyBorder="1" applyAlignment="1" applyProtection="1">
      <alignment horizontal="center"/>
      <protection locked="0" hidden="1"/>
    </xf>
    <xf numFmtId="9" fontId="5" fillId="0" borderId="19" xfId="0" applyNumberFormat="1" applyFont="1" applyBorder="1" applyProtection="1">
      <protection locked="0" hidden="1"/>
    </xf>
    <xf numFmtId="185" fontId="5" fillId="0" borderId="19" xfId="3" applyNumberFormat="1" applyFont="1" applyBorder="1" applyAlignment="1" applyProtection="1">
      <alignment horizontal="center"/>
      <protection locked="0" hidden="1"/>
    </xf>
    <xf numFmtId="176" fontId="5" fillId="0" borderId="19" xfId="0" applyNumberFormat="1" applyFont="1" applyBorder="1" applyAlignment="1" applyProtection="1">
      <alignment horizontal="center"/>
      <protection locked="0" hidden="1"/>
    </xf>
    <xf numFmtId="176" fontId="5" fillId="0" borderId="19" xfId="0" applyNumberFormat="1" applyFont="1" applyBorder="1" applyProtection="1">
      <protection locked="0" hidden="1"/>
    </xf>
    <xf numFmtId="0" fontId="5" fillId="0" borderId="28" xfId="0" applyFont="1" applyBorder="1" applyProtection="1">
      <protection locked="0" hidden="1"/>
    </xf>
    <xf numFmtId="10" fontId="7" fillId="0" borderId="28" xfId="7" applyNumberFormat="1" applyFont="1" applyFill="1" applyBorder="1" applyAlignment="1" applyProtection="1">
      <alignment horizontal="center"/>
      <protection locked="0" hidden="1"/>
    </xf>
    <xf numFmtId="0" fontId="5" fillId="0" borderId="50" xfId="0" applyFont="1" applyBorder="1" applyProtection="1">
      <protection locked="0" hidden="1"/>
    </xf>
    <xf numFmtId="10" fontId="7" fillId="0" borderId="21" xfId="7" applyNumberFormat="1" applyFont="1" applyFill="1" applyBorder="1" applyAlignment="1" applyProtection="1">
      <alignment horizontal="center"/>
      <protection locked="0" hidden="1"/>
    </xf>
    <xf numFmtId="0" fontId="5" fillId="0" borderId="21" xfId="0" applyFont="1" applyBorder="1" applyProtection="1">
      <protection locked="0" hidden="1"/>
    </xf>
    <xf numFmtId="176" fontId="7" fillId="0" borderId="20" xfId="7" applyNumberFormat="1" applyFont="1" applyFill="1" applyBorder="1" applyAlignment="1" applyProtection="1">
      <alignment horizontal="left"/>
      <protection locked="0" hidden="1"/>
    </xf>
    <xf numFmtId="0" fontId="4" fillId="0" borderId="0" xfId="0" applyFont="1" applyProtection="1">
      <protection locked="0" hidden="1"/>
    </xf>
    <xf numFmtId="182" fontId="26" fillId="0" borderId="19" xfId="0" applyNumberFormat="1" applyFont="1" applyBorder="1" applyAlignment="1" applyProtection="1">
      <alignment horizontal="center"/>
      <protection locked="0" hidden="1"/>
    </xf>
    <xf numFmtId="0" fontId="5" fillId="0" borderId="13" xfId="0" applyFont="1" applyBorder="1" applyProtection="1">
      <protection locked="0" hidden="1"/>
    </xf>
    <xf numFmtId="0" fontId="62" fillId="0" borderId="0" xfId="0" applyFont="1" applyProtection="1">
      <protection locked="0" hidden="1"/>
    </xf>
    <xf numFmtId="0" fontId="0" fillId="0" borderId="28" xfId="0" applyBorder="1" applyProtection="1">
      <protection locked="0" hidden="1"/>
    </xf>
    <xf numFmtId="0" fontId="5" fillId="0" borderId="16" xfId="0" applyFont="1" applyBorder="1" applyProtection="1">
      <protection locked="0" hidden="1"/>
    </xf>
    <xf numFmtId="0" fontId="5" fillId="0" borderId="51" xfId="0" applyFont="1" applyBorder="1" applyProtection="1">
      <protection locked="0" hidden="1"/>
    </xf>
    <xf numFmtId="0" fontId="0" fillId="0" borderId="50" xfId="0" applyBorder="1" applyProtection="1">
      <protection locked="0" hidden="1"/>
    </xf>
    <xf numFmtId="0" fontId="5" fillId="0" borderId="52" xfId="0" applyFont="1" applyBorder="1" applyProtection="1">
      <protection locked="0" hidden="1"/>
    </xf>
    <xf numFmtId="0" fontId="5" fillId="0" borderId="53" xfId="0" applyFont="1" applyBorder="1" applyProtection="1">
      <protection locked="0" hidden="1"/>
    </xf>
    <xf numFmtId="0" fontId="5" fillId="0" borderId="24" xfId="0" applyFont="1" applyBorder="1" applyProtection="1">
      <protection locked="0" hidden="1"/>
    </xf>
    <xf numFmtId="0" fontId="5" fillId="0" borderId="54" xfId="0" applyFont="1" applyBorder="1" applyProtection="1">
      <protection locked="0" hidden="1"/>
    </xf>
    <xf numFmtId="0" fontId="0" fillId="0" borderId="21" xfId="0" applyBorder="1" applyProtection="1">
      <protection locked="0" hidden="1"/>
    </xf>
    <xf numFmtId="0" fontId="0" fillId="0" borderId="0" xfId="0" applyProtection="1">
      <protection locked="0" hidden="1"/>
    </xf>
    <xf numFmtId="0" fontId="25" fillId="0" borderId="40" xfId="0" applyFont="1" applyBorder="1" applyProtection="1">
      <protection locked="0" hidden="1"/>
    </xf>
    <xf numFmtId="0" fontId="25" fillId="0" borderId="16" xfId="0" applyFont="1" applyBorder="1" applyProtection="1">
      <protection locked="0" hidden="1"/>
    </xf>
    <xf numFmtId="0" fontId="25" fillId="0" borderId="0" xfId="0" applyFont="1" applyProtection="1">
      <protection locked="0" hidden="1"/>
    </xf>
    <xf numFmtId="168" fontId="25" fillId="0" borderId="0" xfId="3" applyFont="1" applyFill="1" applyBorder="1" applyProtection="1">
      <protection locked="0" hidden="1"/>
    </xf>
    <xf numFmtId="0" fontId="25" fillId="0" borderId="52" xfId="0" applyFont="1" applyBorder="1" applyProtection="1">
      <protection locked="0" hidden="1"/>
    </xf>
    <xf numFmtId="168" fontId="5" fillId="0" borderId="0" xfId="0" applyNumberFormat="1" applyFont="1" applyProtection="1">
      <protection locked="0" hidden="1"/>
    </xf>
    <xf numFmtId="0" fontId="69" fillId="0" borderId="0" xfId="0" applyFont="1" applyProtection="1">
      <protection locked="0" hidden="1"/>
    </xf>
    <xf numFmtId="0" fontId="66" fillId="0" borderId="0" xfId="0" applyFont="1" applyProtection="1">
      <protection locked="0" hidden="1"/>
    </xf>
    <xf numFmtId="173" fontId="5" fillId="0" borderId="52" xfId="0" applyNumberFormat="1" applyFont="1" applyBorder="1" applyAlignment="1" applyProtection="1">
      <alignment horizontal="left"/>
      <protection locked="0" hidden="1"/>
    </xf>
    <xf numFmtId="168" fontId="4" fillId="0" borderId="54" xfId="3" applyFont="1" applyFill="1" applyBorder="1" applyProtection="1">
      <protection locked="0" hidden="1"/>
    </xf>
    <xf numFmtId="0" fontId="71" fillId="0" borderId="0" xfId="0" applyFont="1" applyProtection="1">
      <protection locked="0" hidden="1"/>
    </xf>
    <xf numFmtId="168" fontId="5" fillId="0" borderId="0" xfId="3" applyFont="1" applyFill="1" applyBorder="1" applyProtection="1">
      <protection locked="0" hidden="1"/>
    </xf>
    <xf numFmtId="168" fontId="5" fillId="0" borderId="53" xfId="3" applyFont="1" applyFill="1" applyBorder="1" applyProtection="1">
      <protection locked="0" hidden="1"/>
    </xf>
    <xf numFmtId="168" fontId="5" fillId="0" borderId="23" xfId="0" applyNumberFormat="1" applyFont="1" applyBorder="1" applyProtection="1">
      <protection locked="0" hidden="1"/>
    </xf>
    <xf numFmtId="176" fontId="26" fillId="0" borderId="41" xfId="7" applyNumberFormat="1" applyFont="1" applyFill="1" applyBorder="1" applyAlignment="1" applyProtection="1">
      <alignment horizontal="center"/>
      <protection locked="0" hidden="1"/>
    </xf>
    <xf numFmtId="165" fontId="25" fillId="0" borderId="41" xfId="0" applyNumberFormat="1" applyFont="1" applyBorder="1" applyAlignment="1" applyProtection="1">
      <alignment horizontal="center"/>
      <protection locked="0" hidden="1"/>
    </xf>
    <xf numFmtId="0" fontId="25" fillId="0" borderId="17" xfId="0" applyFont="1" applyBorder="1" applyProtection="1">
      <protection hidden="1"/>
    </xf>
    <xf numFmtId="168" fontId="28" fillId="0" borderId="55" xfId="3" applyFont="1" applyBorder="1" applyProtection="1">
      <protection locked="0" hidden="1"/>
    </xf>
    <xf numFmtId="0" fontId="62" fillId="0" borderId="28" xfId="0" applyFont="1" applyBorder="1" applyProtection="1">
      <protection locked="0" hidden="1"/>
    </xf>
    <xf numFmtId="168" fontId="39" fillId="0" borderId="0" xfId="3" applyFont="1" applyBorder="1" applyProtection="1">
      <protection hidden="1"/>
    </xf>
    <xf numFmtId="1" fontId="22" fillId="0" borderId="0" xfId="0" applyNumberFormat="1" applyFont="1" applyProtection="1">
      <protection hidden="1"/>
    </xf>
    <xf numFmtId="167" fontId="42" fillId="0" borderId="15" xfId="0" applyNumberFormat="1" applyFont="1" applyBorder="1"/>
    <xf numFmtId="167" fontId="42" fillId="0" borderId="43" xfId="0" applyNumberFormat="1" applyFont="1" applyBorder="1" applyAlignment="1" applyProtection="1">
      <alignment horizontal="center"/>
      <protection locked="0" hidden="1"/>
    </xf>
    <xf numFmtId="17" fontId="42" fillId="0" borderId="15" xfId="0" applyNumberFormat="1" applyFont="1" applyBorder="1" applyAlignment="1" applyProtection="1">
      <alignment horizontal="center"/>
      <protection hidden="1"/>
    </xf>
    <xf numFmtId="185" fontId="25" fillId="0" borderId="0" xfId="3" applyNumberFormat="1" applyFont="1" applyFill="1" applyProtection="1">
      <protection hidden="1"/>
    </xf>
    <xf numFmtId="185" fontId="25" fillId="0" borderId="0" xfId="3" applyNumberFormat="1" applyFont="1" applyProtection="1">
      <protection hidden="1"/>
    </xf>
    <xf numFmtId="185" fontId="72" fillId="0" borderId="0" xfId="3" applyNumberFormat="1" applyFont="1" applyFill="1" applyBorder="1" applyProtection="1">
      <protection hidden="1"/>
    </xf>
    <xf numFmtId="10" fontId="25" fillId="0" borderId="0" xfId="7" applyNumberFormat="1" applyFont="1" applyAlignment="1" applyProtection="1">
      <alignment horizontal="center"/>
      <protection hidden="1"/>
    </xf>
    <xf numFmtId="10" fontId="25" fillId="0" borderId="13" xfId="0" applyNumberFormat="1" applyFont="1" applyBorder="1" applyAlignment="1" applyProtection="1">
      <alignment horizontal="center"/>
      <protection hidden="1"/>
    </xf>
    <xf numFmtId="164" fontId="25" fillId="0" borderId="0" xfId="3" applyNumberFormat="1" applyFont="1" applyFill="1" applyAlignment="1" applyProtection="1">
      <alignment horizontal="center"/>
      <protection hidden="1"/>
    </xf>
    <xf numFmtId="164" fontId="25" fillId="0" borderId="0" xfId="3" applyNumberFormat="1" applyFont="1" applyFill="1" applyBorder="1" applyAlignment="1" applyProtection="1">
      <alignment horizontal="center"/>
      <protection hidden="1"/>
    </xf>
    <xf numFmtId="164" fontId="25" fillId="0" borderId="0" xfId="0" applyNumberFormat="1" applyFont="1" applyAlignment="1" applyProtection="1">
      <alignment horizontal="center"/>
      <protection hidden="1"/>
    </xf>
    <xf numFmtId="164" fontId="64" fillId="0" borderId="0" xfId="3" applyNumberFormat="1" applyFont="1" applyFill="1" applyBorder="1" applyAlignment="1" applyProtection="1">
      <alignment horizontal="center"/>
      <protection hidden="1"/>
    </xf>
    <xf numFmtId="0" fontId="64" fillId="0" borderId="0" xfId="0" applyFont="1"/>
    <xf numFmtId="9" fontId="28" fillId="4" borderId="0" xfId="7" applyFont="1" applyFill="1" applyBorder="1" applyAlignment="1" applyProtection="1">
      <alignment horizontal="center"/>
      <protection locked="0"/>
    </xf>
    <xf numFmtId="168" fontId="28" fillId="0" borderId="0" xfId="3" applyFont="1" applyAlignment="1" applyProtection="1">
      <alignment horizontal="center"/>
      <protection hidden="1"/>
    </xf>
    <xf numFmtId="9" fontId="42" fillId="0" borderId="41" xfId="7" applyFont="1" applyFill="1" applyBorder="1" applyAlignment="1" applyProtection="1">
      <alignment horizontal="center"/>
      <protection locked="0" hidden="1"/>
    </xf>
    <xf numFmtId="0" fontId="25" fillId="0" borderId="0" xfId="0" applyFont="1" applyAlignment="1" applyProtection="1">
      <alignment horizontal="right"/>
      <protection hidden="1"/>
    </xf>
    <xf numFmtId="176" fontId="7" fillId="0" borderId="0" xfId="7" applyNumberFormat="1" applyFont="1" applyFill="1" applyBorder="1" applyAlignment="1" applyProtection="1">
      <alignment horizontal="left"/>
      <protection locked="0" hidden="1"/>
    </xf>
    <xf numFmtId="0" fontId="37" fillId="0" borderId="0" xfId="0" applyFont="1" applyAlignment="1" applyProtection="1">
      <alignment horizontal="left"/>
      <protection hidden="1"/>
    </xf>
    <xf numFmtId="0" fontId="33" fillId="0" borderId="41" xfId="6" applyFont="1" applyFill="1" applyBorder="1" applyAlignment="1" applyProtection="1">
      <alignment horizontal="center"/>
      <protection locked="0" hidden="1"/>
    </xf>
    <xf numFmtId="0" fontId="27" fillId="0" borderId="0" xfId="6" applyFont="1" applyFill="1" applyProtection="1">
      <protection hidden="1"/>
    </xf>
    <xf numFmtId="10" fontId="33" fillId="0" borderId="41" xfId="6" applyNumberFormat="1" applyFont="1" applyFill="1" applyBorder="1" applyAlignment="1" applyProtection="1">
      <alignment horizontal="center"/>
      <protection locked="0" hidden="1"/>
    </xf>
    <xf numFmtId="170" fontId="42" fillId="0" borderId="56" xfId="0" applyNumberFormat="1" applyFont="1" applyBorder="1" applyAlignment="1" applyProtection="1">
      <alignment horizontal="center"/>
      <protection hidden="1"/>
    </xf>
    <xf numFmtId="0" fontId="76" fillId="0" borderId="0" xfId="0" applyFont="1" applyProtection="1">
      <protection hidden="1"/>
    </xf>
    <xf numFmtId="0" fontId="37" fillId="0" borderId="0" xfId="0" applyFont="1" applyProtection="1">
      <protection hidden="1"/>
    </xf>
    <xf numFmtId="168" fontId="25" fillId="0" borderId="41" xfId="0" applyNumberFormat="1" applyFont="1" applyBorder="1" applyAlignment="1" applyProtection="1">
      <alignment horizontal="center"/>
      <protection locked="0" hidden="1"/>
    </xf>
    <xf numFmtId="0" fontId="25" fillId="0" borderId="0" xfId="3" applyNumberFormat="1" applyFont="1" applyFill="1" applyBorder="1" applyAlignment="1" applyProtection="1">
      <alignment horizontal="center"/>
      <protection hidden="1"/>
    </xf>
    <xf numFmtId="168" fontId="30" fillId="0" borderId="0" xfId="0" applyNumberFormat="1" applyFont="1" applyAlignment="1" applyProtection="1">
      <alignment horizontal="center"/>
      <protection hidden="1"/>
    </xf>
    <xf numFmtId="0" fontId="28" fillId="0" borderId="0" xfId="0" applyFont="1" applyAlignment="1" applyProtection="1">
      <alignment horizontal="center"/>
      <protection locked="0"/>
    </xf>
    <xf numFmtId="165" fontId="30" fillId="0" borderId="0" xfId="0" applyNumberFormat="1" applyFont="1" applyAlignment="1" applyProtection="1">
      <alignment horizontal="center"/>
      <protection hidden="1"/>
    </xf>
    <xf numFmtId="165" fontId="25" fillId="0" borderId="0" xfId="0" applyNumberFormat="1" applyFont="1" applyProtection="1">
      <protection hidden="1"/>
    </xf>
    <xf numFmtId="168" fontId="25" fillId="0" borderId="0" xfId="0" applyNumberFormat="1" applyFont="1" applyProtection="1">
      <protection hidden="1"/>
    </xf>
    <xf numFmtId="164" fontId="28" fillId="0" borderId="18" xfId="0" applyNumberFormat="1" applyFont="1" applyBorder="1" applyProtection="1">
      <protection hidden="1"/>
    </xf>
    <xf numFmtId="164" fontId="28" fillId="0" borderId="16" xfId="0" applyNumberFormat="1" applyFont="1" applyBorder="1" applyAlignment="1" applyProtection="1">
      <alignment horizontal="center" vertical="center"/>
      <protection hidden="1"/>
    </xf>
    <xf numFmtId="164" fontId="25" fillId="0" borderId="13" xfId="0" applyNumberFormat="1" applyFont="1" applyBorder="1" applyProtection="1">
      <protection hidden="1"/>
    </xf>
    <xf numFmtId="179" fontId="25" fillId="0" borderId="41" xfId="0" applyNumberFormat="1" applyFont="1" applyBorder="1" applyProtection="1">
      <protection locked="0" hidden="1"/>
    </xf>
    <xf numFmtId="179" fontId="30" fillId="0" borderId="0" xfId="0" applyNumberFormat="1" applyFont="1" applyProtection="1">
      <protection hidden="1"/>
    </xf>
    <xf numFmtId="164" fontId="28" fillId="0" borderId="16" xfId="0" applyNumberFormat="1" applyFont="1" applyBorder="1" applyAlignment="1" applyProtection="1">
      <alignment horizontal="right" vertical="center"/>
      <protection hidden="1"/>
    </xf>
    <xf numFmtId="164" fontId="28" fillId="0" borderId="14" xfId="0" applyNumberFormat="1" applyFont="1" applyBorder="1" applyAlignment="1" applyProtection="1">
      <alignment horizontal="right" vertical="center"/>
      <protection hidden="1"/>
    </xf>
    <xf numFmtId="164" fontId="28" fillId="0" borderId="23" xfId="0" applyNumberFormat="1" applyFont="1" applyBorder="1" applyAlignment="1" applyProtection="1">
      <alignment horizontal="right" vertical="center"/>
      <protection hidden="1"/>
    </xf>
    <xf numFmtId="164" fontId="28" fillId="0" borderId="32" xfId="0" applyNumberFormat="1" applyFont="1" applyBorder="1" applyAlignment="1" applyProtection="1">
      <alignment horizontal="right" vertical="center"/>
      <protection hidden="1"/>
    </xf>
    <xf numFmtId="0" fontId="4" fillId="0" borderId="0" xfId="0" applyFont="1" applyProtection="1">
      <protection hidden="1"/>
    </xf>
    <xf numFmtId="0" fontId="57" fillId="0" borderId="0" xfId="0" applyFont="1" applyProtection="1">
      <protection hidden="1"/>
    </xf>
    <xf numFmtId="17" fontId="28" fillId="0" borderId="0" xfId="0" applyNumberFormat="1" applyFont="1" applyAlignment="1">
      <alignment horizontal="center"/>
    </xf>
    <xf numFmtId="167" fontId="26" fillId="0" borderId="15" xfId="0" applyNumberFormat="1" applyFont="1" applyBorder="1"/>
    <xf numFmtId="185" fontId="25" fillId="0" borderId="41" xfId="3" applyNumberFormat="1" applyFont="1" applyFill="1" applyBorder="1" applyProtection="1">
      <protection locked="0" hidden="1"/>
    </xf>
    <xf numFmtId="164" fontId="25" fillId="0" borderId="0" xfId="0" applyNumberFormat="1" applyFont="1" applyProtection="1">
      <protection locked="0"/>
    </xf>
    <xf numFmtId="164" fontId="25" fillId="0" borderId="13" xfId="0" applyNumberFormat="1" applyFont="1" applyBorder="1" applyProtection="1">
      <protection locked="0"/>
    </xf>
    <xf numFmtId="0" fontId="28" fillId="0" borderId="41" xfId="0" applyFont="1" applyBorder="1" applyAlignment="1" applyProtection="1">
      <alignment horizontal="left"/>
      <protection locked="0" hidden="1"/>
    </xf>
    <xf numFmtId="164" fontId="28" fillId="0" borderId="13" xfId="0" applyNumberFormat="1" applyFont="1" applyBorder="1" applyProtection="1">
      <protection hidden="1"/>
    </xf>
    <xf numFmtId="164" fontId="25" fillId="0" borderId="33" xfId="0" applyNumberFormat="1" applyFont="1" applyBorder="1" applyProtection="1">
      <protection locked="0"/>
    </xf>
    <xf numFmtId="180" fontId="28" fillId="0" borderId="33" xfId="0" applyNumberFormat="1" applyFont="1" applyBorder="1" applyAlignment="1" applyProtection="1">
      <alignment horizontal="left"/>
      <protection locked="0"/>
    </xf>
    <xf numFmtId="0" fontId="43" fillId="0" borderId="0" xfId="0" applyFont="1" applyAlignment="1">
      <alignment horizontal="center" vertical="center"/>
    </xf>
    <xf numFmtId="0" fontId="27" fillId="0" borderId="58" xfId="0" applyFont="1" applyBorder="1"/>
    <xf numFmtId="0" fontId="25" fillId="0" borderId="58" xfId="0" applyFont="1" applyBorder="1"/>
    <xf numFmtId="0" fontId="77" fillId="0" borderId="0" xfId="0" applyFont="1" applyAlignment="1">
      <alignment horizontal="center" vertical="center"/>
    </xf>
    <xf numFmtId="0" fontId="25" fillId="0" borderId="0" xfId="0" applyFont="1" applyAlignment="1">
      <alignment horizontal="right"/>
    </xf>
    <xf numFmtId="17" fontId="28" fillId="0" borderId="33" xfId="0" applyNumberFormat="1" applyFont="1" applyBorder="1" applyProtection="1">
      <protection locked="0"/>
    </xf>
    <xf numFmtId="180" fontId="32" fillId="0" borderId="0" xfId="0" applyNumberFormat="1" applyFont="1" applyProtection="1">
      <protection hidden="1"/>
    </xf>
    <xf numFmtId="180" fontId="27" fillId="0" borderId="0" xfId="0" applyNumberFormat="1" applyFont="1" applyAlignment="1" applyProtection="1">
      <alignment horizontal="left"/>
      <protection hidden="1"/>
    </xf>
    <xf numFmtId="180" fontId="47" fillId="0" borderId="0" xfId="0" applyNumberFormat="1" applyFont="1" applyAlignment="1" applyProtection="1">
      <alignment horizontal="left"/>
      <protection hidden="1"/>
    </xf>
    <xf numFmtId="180" fontId="25" fillId="0" borderId="0" xfId="0" applyNumberFormat="1" applyFont="1" applyProtection="1">
      <protection hidden="1"/>
    </xf>
    <xf numFmtId="180" fontId="25" fillId="0" borderId="17" xfId="0" applyNumberFormat="1" applyFont="1" applyBorder="1" applyAlignment="1" applyProtection="1">
      <alignment horizontal="center"/>
      <protection hidden="1"/>
    </xf>
    <xf numFmtId="182" fontId="26" fillId="0" borderId="0" xfId="3" quotePrefix="1" applyNumberFormat="1" applyFont="1" applyFill="1" applyBorder="1" applyAlignment="1" applyProtection="1">
      <alignment horizontal="center"/>
      <protection hidden="1"/>
    </xf>
    <xf numFmtId="164" fontId="28" fillId="0" borderId="0" xfId="0" applyNumberFormat="1" applyFont="1" applyAlignment="1" applyProtection="1">
      <alignment horizontal="left"/>
      <protection hidden="1"/>
    </xf>
    <xf numFmtId="164" fontId="28" fillId="0" borderId="0" xfId="0" applyNumberFormat="1" applyFont="1" applyProtection="1">
      <protection hidden="1"/>
    </xf>
    <xf numFmtId="164" fontId="42" fillId="0" borderId="0" xfId="0" applyNumberFormat="1" applyFont="1" applyProtection="1">
      <protection hidden="1"/>
    </xf>
    <xf numFmtId="0" fontId="78" fillId="0" borderId="0" xfId="0" applyFont="1"/>
    <xf numFmtId="0" fontId="79" fillId="0" borderId="0" xfId="0" applyFont="1"/>
    <xf numFmtId="0" fontId="80" fillId="0" borderId="0" xfId="0" applyFont="1"/>
    <xf numFmtId="1" fontId="42" fillId="0" borderId="39" xfId="0" applyNumberFormat="1" applyFont="1" applyBorder="1" applyAlignment="1" applyProtection="1">
      <alignment horizontal="center"/>
      <protection hidden="1"/>
    </xf>
    <xf numFmtId="1" fontId="26" fillId="0" borderId="41" xfId="0" applyNumberFormat="1" applyFont="1" applyBorder="1" applyAlignment="1" applyProtection="1">
      <alignment horizontal="center"/>
      <protection locked="0"/>
    </xf>
    <xf numFmtId="182" fontId="26" fillId="0" borderId="41" xfId="0" applyNumberFormat="1" applyFont="1" applyBorder="1" applyAlignment="1" applyProtection="1">
      <alignment horizontal="center"/>
      <protection locked="0"/>
    </xf>
    <xf numFmtId="9" fontId="0" fillId="0" borderId="41" xfId="0" applyNumberFormat="1" applyBorder="1" applyAlignment="1" applyProtection="1">
      <alignment horizontal="center"/>
      <protection locked="0"/>
    </xf>
    <xf numFmtId="9" fontId="0" fillId="0" borderId="45" xfId="0" applyNumberFormat="1" applyBorder="1" applyAlignment="1" applyProtection="1">
      <alignment horizontal="center"/>
      <protection locked="0"/>
    </xf>
    <xf numFmtId="9" fontId="0" fillId="0" borderId="0" xfId="0" applyNumberFormat="1"/>
    <xf numFmtId="0" fontId="26" fillId="0" borderId="0" xfId="0" applyFont="1"/>
    <xf numFmtId="167" fontId="46" fillId="0" borderId="0" xfId="0" applyNumberFormat="1" applyFont="1"/>
    <xf numFmtId="167" fontId="0" fillId="0" borderId="0" xfId="0" applyNumberFormat="1"/>
    <xf numFmtId="167" fontId="3" fillId="0" borderId="0" xfId="0" applyNumberFormat="1" applyFont="1"/>
    <xf numFmtId="167" fontId="4" fillId="0" borderId="0" xfId="0" applyNumberFormat="1" applyFont="1"/>
    <xf numFmtId="0" fontId="4" fillId="0" borderId="0" xfId="0" applyFont="1" applyAlignment="1">
      <alignment horizontal="center"/>
    </xf>
    <xf numFmtId="9" fontId="4" fillId="0" borderId="0" xfId="0" applyNumberFormat="1" applyFont="1" applyAlignment="1">
      <alignment horizontal="center"/>
    </xf>
    <xf numFmtId="0" fontId="0" fillId="0" borderId="0" xfId="0" applyAlignment="1">
      <alignment horizontal="center"/>
    </xf>
    <xf numFmtId="9" fontId="0" fillId="0" borderId="0" xfId="0" applyNumberFormat="1" applyAlignment="1">
      <alignment horizontal="center"/>
    </xf>
    <xf numFmtId="173" fontId="5" fillId="0" borderId="0" xfId="0" applyNumberFormat="1" applyFont="1" applyAlignment="1">
      <alignment horizontal="left"/>
    </xf>
    <xf numFmtId="167" fontId="0" fillId="0" borderId="0" xfId="3" applyNumberFormat="1" applyFont="1" applyFill="1" applyBorder="1" applyProtection="1"/>
    <xf numFmtId="0" fontId="0" fillId="0" borderId="13" xfId="0" applyBorder="1"/>
    <xf numFmtId="167" fontId="0" fillId="0" borderId="13" xfId="0" applyNumberFormat="1" applyBorder="1"/>
    <xf numFmtId="167" fontId="0" fillId="0" borderId="13" xfId="3" applyNumberFormat="1" applyFont="1" applyFill="1" applyBorder="1" applyProtection="1"/>
    <xf numFmtId="0" fontId="4" fillId="0" borderId="14" xfId="0" applyFont="1" applyBorder="1" applyAlignment="1">
      <alignment horizontal="left"/>
    </xf>
    <xf numFmtId="0" fontId="4" fillId="0" borderId="14" xfId="0" applyFont="1" applyBorder="1"/>
    <xf numFmtId="177" fontId="4" fillId="0" borderId="14" xfId="3" applyNumberFormat="1" applyFont="1" applyFill="1" applyBorder="1" applyProtection="1"/>
    <xf numFmtId="0" fontId="0" fillId="0" borderId="0" xfId="0" applyAlignment="1">
      <alignment horizontal="left"/>
    </xf>
    <xf numFmtId="177" fontId="0" fillId="0" borderId="0" xfId="3" applyNumberFormat="1" applyFont="1" applyFill="1" applyBorder="1" applyProtection="1"/>
    <xf numFmtId="0" fontId="62" fillId="0" borderId="13" xfId="0" applyFont="1" applyBorder="1" applyProtection="1">
      <protection locked="0" hidden="1"/>
    </xf>
    <xf numFmtId="167" fontId="25" fillId="0" borderId="0" xfId="0" applyNumberFormat="1" applyFont="1"/>
    <xf numFmtId="167" fontId="27" fillId="0" borderId="0" xfId="0" applyNumberFormat="1" applyFont="1"/>
    <xf numFmtId="167" fontId="28" fillId="0" borderId="0" xfId="0" applyNumberFormat="1" applyFont="1"/>
    <xf numFmtId="167" fontId="28" fillId="0" borderId="0" xfId="0" applyNumberFormat="1" applyFont="1" applyAlignment="1">
      <alignment horizontal="center"/>
    </xf>
    <xf numFmtId="167" fontId="51" fillId="0" borderId="0" xfId="0" applyNumberFormat="1" applyFont="1" applyAlignment="1">
      <alignment horizontal="center"/>
    </xf>
    <xf numFmtId="180" fontId="28" fillId="0" borderId="23" xfId="0" applyNumberFormat="1" applyFont="1" applyBorder="1" applyAlignment="1">
      <alignment horizontal="center"/>
    </xf>
    <xf numFmtId="164" fontId="25" fillId="0" borderId="0" xfId="0" applyNumberFormat="1" applyFont="1"/>
    <xf numFmtId="167" fontId="25" fillId="0" borderId="14" xfId="0" applyNumberFormat="1" applyFont="1" applyBorder="1"/>
    <xf numFmtId="0" fontId="25" fillId="0" borderId="0" xfId="0" applyFont="1" applyAlignment="1">
      <alignment vertical="center"/>
    </xf>
    <xf numFmtId="167" fontId="28" fillId="0" borderId="13" xfId="0" applyNumberFormat="1" applyFont="1" applyBorder="1"/>
    <xf numFmtId="167" fontId="25" fillId="0" borderId="13" xfId="0" applyNumberFormat="1" applyFont="1" applyBorder="1"/>
    <xf numFmtId="167" fontId="30" fillId="0" borderId="0" xfId="0" applyNumberFormat="1" applyFont="1"/>
    <xf numFmtId="167" fontId="25" fillId="0" borderId="0" xfId="0" applyNumberFormat="1" applyFont="1" applyAlignment="1">
      <alignment horizontal="center"/>
    </xf>
    <xf numFmtId="167" fontId="32" fillId="0" borderId="0" xfId="0" applyNumberFormat="1" applyFont="1"/>
    <xf numFmtId="167" fontId="25" fillId="0" borderId="16" xfId="0" applyNumberFormat="1" applyFont="1" applyBorder="1"/>
    <xf numFmtId="185" fontId="25" fillId="0" borderId="0" xfId="0" applyNumberFormat="1" applyFont="1" applyAlignment="1">
      <alignment horizontal="center" vertical="center"/>
    </xf>
    <xf numFmtId="185" fontId="28" fillId="0" borderId="0" xfId="0" applyNumberFormat="1" applyFont="1" applyAlignment="1">
      <alignment horizontal="center" vertical="center"/>
    </xf>
    <xf numFmtId="0" fontId="25" fillId="0" borderId="0" xfId="0" applyFont="1" applyAlignment="1">
      <alignment horizontal="center"/>
    </xf>
    <xf numFmtId="9" fontId="39" fillId="0" borderId="0" xfId="7" applyFont="1" applyFill="1" applyAlignment="1" applyProtection="1">
      <alignment horizontal="center"/>
    </xf>
    <xf numFmtId="9" fontId="39" fillId="0" borderId="0" xfId="7" applyFont="1" applyAlignment="1" applyProtection="1">
      <alignment horizontal="center"/>
    </xf>
    <xf numFmtId="9" fontId="39" fillId="0" borderId="0" xfId="7" applyFont="1" applyFill="1" applyBorder="1" applyAlignment="1" applyProtection="1">
      <alignment horizontal="center"/>
    </xf>
    <xf numFmtId="9" fontId="40" fillId="0" borderId="0" xfId="7" applyFont="1" applyFill="1" applyBorder="1" applyAlignment="1" applyProtection="1">
      <alignment horizontal="center"/>
    </xf>
    <xf numFmtId="9" fontId="39" fillId="0" borderId="0" xfId="7" applyFont="1" applyBorder="1" applyAlignment="1" applyProtection="1">
      <alignment horizontal="center"/>
    </xf>
    <xf numFmtId="9" fontId="44" fillId="0" borderId="0" xfId="7" applyFont="1" applyFill="1" applyBorder="1" applyAlignment="1" applyProtection="1">
      <alignment horizontal="center"/>
    </xf>
    <xf numFmtId="0" fontId="28" fillId="0" borderId="0" xfId="0" applyFont="1" applyAlignment="1">
      <alignment vertical="center"/>
    </xf>
    <xf numFmtId="0" fontId="28" fillId="0" borderId="17" xfId="0" applyFont="1" applyBorder="1" applyAlignment="1">
      <alignment vertical="center"/>
    </xf>
    <xf numFmtId="164" fontId="25" fillId="0" borderId="18" xfId="0" applyNumberFormat="1" applyFont="1" applyBorder="1"/>
    <xf numFmtId="164" fontId="28" fillId="0" borderId="14" xfId="0" applyNumberFormat="1" applyFont="1" applyBorder="1" applyAlignment="1">
      <alignment horizontal="center" vertical="center"/>
    </xf>
    <xf numFmtId="167" fontId="36" fillId="0" borderId="0" xfId="0" applyNumberFormat="1" applyFont="1"/>
    <xf numFmtId="185" fontId="25" fillId="0" borderId="0" xfId="0" applyNumberFormat="1" applyFont="1"/>
    <xf numFmtId="186" fontId="25" fillId="0" borderId="0" xfId="0" applyNumberFormat="1" applyFont="1"/>
    <xf numFmtId="185" fontId="25" fillId="0" borderId="13" xfId="0" applyNumberFormat="1" applyFont="1" applyBorder="1"/>
    <xf numFmtId="185" fontId="28" fillId="0" borderId="0" xfId="0" applyNumberFormat="1" applyFont="1"/>
    <xf numFmtId="167" fontId="28" fillId="0" borderId="18" xfId="0" applyNumberFormat="1" applyFont="1" applyBorder="1"/>
    <xf numFmtId="167" fontId="25" fillId="0" borderId="18" xfId="0" applyNumberFormat="1" applyFont="1" applyBorder="1"/>
    <xf numFmtId="185" fontId="25" fillId="0" borderId="18" xfId="0" applyNumberFormat="1" applyFont="1" applyBorder="1"/>
    <xf numFmtId="167" fontId="28" fillId="0" borderId="16" xfId="0" applyNumberFormat="1" applyFont="1" applyBorder="1"/>
    <xf numFmtId="164" fontId="28" fillId="0" borderId="16" xfId="0" applyNumberFormat="1" applyFont="1" applyBorder="1" applyAlignment="1">
      <alignment horizontal="center"/>
    </xf>
    <xf numFmtId="167" fontId="25" fillId="0" borderId="23" xfId="0" applyNumberFormat="1" applyFont="1" applyBorder="1"/>
    <xf numFmtId="164" fontId="28" fillId="0" borderId="23" xfId="0" applyNumberFormat="1" applyFont="1" applyBorder="1" applyAlignment="1">
      <alignment horizontal="center"/>
    </xf>
    <xf numFmtId="185" fontId="30" fillId="0" borderId="0" xfId="0" applyNumberFormat="1" applyFont="1"/>
    <xf numFmtId="164" fontId="30" fillId="0" borderId="0" xfId="0" applyNumberFormat="1" applyFont="1"/>
    <xf numFmtId="185" fontId="30" fillId="0" borderId="13" xfId="0" applyNumberFormat="1" applyFont="1" applyBorder="1"/>
    <xf numFmtId="186" fontId="30" fillId="0" borderId="13" xfId="0" applyNumberFormat="1" applyFont="1" applyBorder="1"/>
    <xf numFmtId="0" fontId="25" fillId="0" borderId="13" xfId="0" applyFont="1" applyBorder="1"/>
    <xf numFmtId="186" fontId="30" fillId="0" borderId="0" xfId="0" applyNumberFormat="1" applyFont="1"/>
    <xf numFmtId="164" fontId="28" fillId="0" borderId="0" xfId="0" applyNumberFormat="1" applyFont="1" applyAlignment="1">
      <alignment horizontal="center" vertical="center"/>
    </xf>
    <xf numFmtId="186" fontId="25" fillId="0" borderId="0" xfId="0" applyNumberFormat="1" applyFont="1" applyAlignment="1">
      <alignment horizontal="center" vertical="center"/>
    </xf>
    <xf numFmtId="185" fontId="28" fillId="0" borderId="14" xfId="0" applyNumberFormat="1" applyFont="1" applyBorder="1" applyAlignment="1">
      <alignment horizontal="center" vertical="center"/>
    </xf>
    <xf numFmtId="181" fontId="25" fillId="0" borderId="0" xfId="0" applyNumberFormat="1" applyFont="1"/>
    <xf numFmtId="0" fontId="36" fillId="0" borderId="0" xfId="0" applyFont="1"/>
    <xf numFmtId="167" fontId="24" fillId="0" borderId="0" xfId="0" applyNumberFormat="1" applyFont="1"/>
    <xf numFmtId="167" fontId="51" fillId="0" borderId="23" xfId="0" applyNumberFormat="1" applyFont="1" applyBorder="1" applyAlignment="1">
      <alignment horizontal="center"/>
    </xf>
    <xf numFmtId="0" fontId="31" fillId="0" borderId="0" xfId="0" applyFont="1"/>
    <xf numFmtId="181" fontId="28" fillId="0" borderId="0" xfId="0" applyNumberFormat="1" applyFont="1" applyAlignment="1">
      <alignment horizontal="center"/>
    </xf>
    <xf numFmtId="0" fontId="33" fillId="0" borderId="0" xfId="0" applyFont="1"/>
    <xf numFmtId="181" fontId="52" fillId="0" borderId="0" xfId="0" applyNumberFormat="1" applyFont="1" applyAlignment="1">
      <alignment horizontal="center"/>
    </xf>
    <xf numFmtId="181" fontId="33" fillId="0" borderId="0" xfId="0" applyNumberFormat="1" applyFont="1"/>
    <xf numFmtId="0" fontId="27" fillId="0" borderId="0" xfId="0" applyFont="1" applyAlignment="1">
      <alignment horizontal="center"/>
    </xf>
    <xf numFmtId="181" fontId="27" fillId="0" borderId="0" xfId="0" applyNumberFormat="1" applyFont="1" applyAlignment="1">
      <alignment horizontal="center"/>
    </xf>
    <xf numFmtId="185" fontId="27" fillId="0" borderId="0" xfId="3" applyNumberFormat="1" applyFont="1" applyFill="1" applyProtection="1"/>
    <xf numFmtId="181" fontId="27" fillId="0" borderId="0" xfId="0" applyNumberFormat="1" applyFont="1"/>
    <xf numFmtId="181" fontId="28" fillId="0" borderId="0" xfId="0" applyNumberFormat="1" applyFont="1"/>
    <xf numFmtId="0" fontId="30" fillId="0" borderId="0" xfId="0" applyFont="1"/>
    <xf numFmtId="0" fontId="5" fillId="0" borderId="19" xfId="0" applyFont="1" applyBorder="1" applyProtection="1">
      <protection locked="0" hidden="1"/>
    </xf>
    <xf numFmtId="0" fontId="5" fillId="0" borderId="20" xfId="0" applyFont="1" applyBorder="1" applyProtection="1">
      <protection locked="0" hidden="1"/>
    </xf>
    <xf numFmtId="182" fontId="26" fillId="0" borderId="41" xfId="3" quotePrefix="1" applyNumberFormat="1" applyFont="1" applyFill="1" applyBorder="1" applyAlignment="1" applyProtection="1">
      <alignment horizontal="center"/>
      <protection locked="0"/>
    </xf>
    <xf numFmtId="0" fontId="81" fillId="0" borderId="0" xfId="0" applyFont="1" applyAlignment="1" applyProtection="1">
      <alignment horizontal="right"/>
      <protection locked="0"/>
    </xf>
    <xf numFmtId="179" fontId="25" fillId="0" borderId="0" xfId="0" applyNumberFormat="1" applyFont="1" applyAlignment="1" applyProtection="1">
      <alignment horizontal="center"/>
      <protection hidden="1"/>
    </xf>
    <xf numFmtId="166" fontId="25" fillId="0" borderId="0" xfId="0" applyNumberFormat="1" applyFont="1" applyProtection="1">
      <protection hidden="1"/>
    </xf>
    <xf numFmtId="166" fontId="25" fillId="0" borderId="13" xfId="0" applyNumberFormat="1" applyFont="1" applyBorder="1" applyProtection="1">
      <protection hidden="1"/>
    </xf>
    <xf numFmtId="179" fontId="64" fillId="0" borderId="0" xfId="0" applyNumberFormat="1" applyFont="1" applyAlignment="1" applyProtection="1">
      <alignment horizontal="center"/>
      <protection hidden="1"/>
    </xf>
    <xf numFmtId="182" fontId="42" fillId="0" borderId="41" xfId="0" applyNumberFormat="1" applyFont="1" applyBorder="1" applyAlignment="1" applyProtection="1">
      <alignment horizontal="center"/>
      <protection locked="0"/>
    </xf>
    <xf numFmtId="182" fontId="42" fillId="0" borderId="42" xfId="0" applyNumberFormat="1" applyFont="1" applyBorder="1" applyAlignment="1" applyProtection="1">
      <alignment horizontal="center"/>
      <protection locked="0"/>
    </xf>
    <xf numFmtId="167" fontId="42" fillId="4" borderId="41" xfId="0" applyNumberFormat="1" applyFont="1" applyFill="1" applyBorder="1" applyAlignment="1" applyProtection="1">
      <alignment horizontal="center"/>
      <protection locked="0" hidden="1"/>
    </xf>
    <xf numFmtId="167" fontId="42" fillId="4" borderId="42" xfId="0" applyNumberFormat="1" applyFont="1" applyFill="1" applyBorder="1" applyAlignment="1" applyProtection="1">
      <alignment horizontal="center"/>
      <protection locked="0" hidden="1"/>
    </xf>
    <xf numFmtId="188" fontId="25" fillId="0" borderId="0" xfId="7" applyNumberFormat="1" applyFont="1" applyFill="1" applyBorder="1" applyProtection="1">
      <protection hidden="1"/>
    </xf>
    <xf numFmtId="1" fontId="26" fillId="0" borderId="28" xfId="0" applyNumberFormat="1" applyFont="1" applyBorder="1" applyAlignment="1" applyProtection="1">
      <alignment horizontal="center"/>
      <protection hidden="1"/>
    </xf>
    <xf numFmtId="182" fontId="26" fillId="0" borderId="28" xfId="3" quotePrefix="1" applyNumberFormat="1" applyFont="1" applyFill="1" applyBorder="1" applyAlignment="1" applyProtection="1">
      <alignment horizontal="center"/>
      <protection hidden="1"/>
    </xf>
    <xf numFmtId="182" fontId="26" fillId="0" borderId="40" xfId="3" quotePrefix="1" applyNumberFormat="1" applyFont="1" applyFill="1" applyBorder="1" applyAlignment="1" applyProtection="1">
      <alignment horizontal="center"/>
      <protection hidden="1"/>
    </xf>
    <xf numFmtId="1" fontId="26" fillId="0" borderId="21" xfId="0" applyNumberFormat="1" applyFont="1" applyBorder="1" applyAlignment="1" applyProtection="1">
      <alignment horizontal="center"/>
      <protection hidden="1"/>
    </xf>
    <xf numFmtId="182" fontId="26" fillId="0" borderId="21" xfId="3" quotePrefix="1" applyNumberFormat="1" applyFont="1" applyFill="1" applyBorder="1" applyAlignment="1" applyProtection="1">
      <alignment horizontal="center"/>
      <protection hidden="1"/>
    </xf>
    <xf numFmtId="182" fontId="26" fillId="0" borderId="24" xfId="3" quotePrefix="1" applyNumberFormat="1" applyFont="1" applyFill="1" applyBorder="1" applyAlignment="1" applyProtection="1">
      <alignment horizontal="center"/>
      <protection hidden="1"/>
    </xf>
    <xf numFmtId="170" fontId="26" fillId="0" borderId="60" xfId="0" applyNumberFormat="1" applyFont="1" applyBorder="1" applyAlignment="1" applyProtection="1">
      <alignment horizontal="center"/>
      <protection locked="0"/>
    </xf>
    <xf numFmtId="170" fontId="26" fillId="0" borderId="61" xfId="0" applyNumberFormat="1" applyFont="1" applyBorder="1" applyAlignment="1" applyProtection="1">
      <alignment horizontal="center"/>
      <protection locked="0"/>
    </xf>
    <xf numFmtId="167" fontId="0" fillId="0" borderId="42" xfId="0" applyNumberFormat="1" applyBorder="1" applyProtection="1">
      <protection locked="0"/>
    </xf>
    <xf numFmtId="9" fontId="0" fillId="0" borderId="33" xfId="7" applyFont="1" applyFill="1" applyBorder="1" applyProtection="1">
      <protection locked="0"/>
    </xf>
    <xf numFmtId="9" fontId="0" fillId="0" borderId="41" xfId="7" applyFont="1" applyFill="1" applyBorder="1" applyProtection="1">
      <protection locked="0"/>
    </xf>
    <xf numFmtId="168" fontId="82" fillId="0" borderId="0" xfId="0" applyNumberFormat="1" applyFont="1" applyProtection="1">
      <protection hidden="1"/>
    </xf>
    <xf numFmtId="167" fontId="89" fillId="0" borderId="0" xfId="0" applyNumberFormat="1" applyFont="1"/>
    <xf numFmtId="185" fontId="89" fillId="0" borderId="0" xfId="0" applyNumberFormat="1" applyFont="1"/>
    <xf numFmtId="164" fontId="89" fillId="0" borderId="0" xfId="0" applyNumberFormat="1" applyFont="1"/>
    <xf numFmtId="186" fontId="89" fillId="0" borderId="0" xfId="0" applyNumberFormat="1" applyFont="1"/>
    <xf numFmtId="185" fontId="89" fillId="0" borderId="13" xfId="0" applyNumberFormat="1" applyFont="1" applyBorder="1"/>
    <xf numFmtId="0" fontId="89" fillId="0" borderId="0" xfId="0" applyFont="1"/>
    <xf numFmtId="186" fontId="89" fillId="0" borderId="13" xfId="0" applyNumberFormat="1" applyFont="1" applyBorder="1"/>
    <xf numFmtId="0" fontId="89" fillId="0" borderId="13" xfId="0" applyFont="1" applyBorder="1"/>
    <xf numFmtId="185" fontId="90" fillId="0" borderId="0" xfId="0" applyNumberFormat="1" applyFont="1" applyAlignment="1">
      <alignment horizontal="center" vertical="center"/>
    </xf>
    <xf numFmtId="164" fontId="90" fillId="0" borderId="0" xfId="0" applyNumberFormat="1" applyFont="1" applyAlignment="1">
      <alignment horizontal="center" vertical="center"/>
    </xf>
    <xf numFmtId="0" fontId="91" fillId="0" borderId="0" xfId="0" applyFont="1" applyProtection="1">
      <protection hidden="1"/>
    </xf>
    <xf numFmtId="0" fontId="25" fillId="0" borderId="53" xfId="0" applyFont="1" applyBorder="1" applyAlignment="1" applyProtection="1">
      <alignment horizontal="left"/>
      <protection hidden="1"/>
    </xf>
    <xf numFmtId="185" fontId="28" fillId="0" borderId="16" xfId="0" applyNumberFormat="1" applyFont="1" applyBorder="1" applyAlignment="1">
      <alignment horizontal="center"/>
    </xf>
    <xf numFmtId="185" fontId="28" fillId="0" borderId="23" xfId="0" applyNumberFormat="1" applyFont="1" applyBorder="1" applyAlignment="1">
      <alignment horizontal="center"/>
    </xf>
    <xf numFmtId="172" fontId="4" fillId="0" borderId="14" xfId="0" applyNumberFormat="1" applyFont="1" applyBorder="1"/>
    <xf numFmtId="0" fontId="0" fillId="0" borderId="14" xfId="0" applyBorder="1"/>
    <xf numFmtId="0" fontId="28" fillId="0" borderId="0" xfId="0" applyFont="1" applyAlignment="1" applyProtection="1">
      <alignment horizontal="center"/>
      <protection locked="0" hidden="1"/>
    </xf>
    <xf numFmtId="9" fontId="39" fillId="0" borderId="0" xfId="7" applyFont="1" applyFill="1" applyBorder="1" applyAlignment="1" applyProtection="1">
      <alignment horizontal="center"/>
      <protection locked="0" hidden="1"/>
    </xf>
    <xf numFmtId="180" fontId="28" fillId="0" borderId="23" xfId="0" applyNumberFormat="1" applyFont="1" applyBorder="1" applyAlignment="1" applyProtection="1">
      <alignment horizontal="center"/>
      <protection locked="0" hidden="1"/>
    </xf>
    <xf numFmtId="9" fontId="39" fillId="0" borderId="0" xfId="7" applyFont="1" applyBorder="1" applyAlignment="1" applyProtection="1">
      <alignment horizontal="center"/>
      <protection locked="0" hidden="1"/>
    </xf>
    <xf numFmtId="167" fontId="25" fillId="0" borderId="0" xfId="0" applyNumberFormat="1" applyFont="1" applyAlignment="1" applyProtection="1">
      <alignment horizontal="center"/>
      <protection locked="0" hidden="1"/>
    </xf>
    <xf numFmtId="9" fontId="44" fillId="0" borderId="0" xfId="7" applyFont="1" applyFill="1" applyBorder="1" applyAlignment="1" applyProtection="1">
      <alignment horizontal="center"/>
      <protection locked="0" hidden="1"/>
    </xf>
    <xf numFmtId="185" fontId="28" fillId="0" borderId="13" xfId="0" applyNumberFormat="1" applyFont="1" applyBorder="1" applyAlignment="1" applyProtection="1">
      <alignment horizontal="center"/>
      <protection locked="0" hidden="1"/>
    </xf>
    <xf numFmtId="9" fontId="40" fillId="0" borderId="13" xfId="7" applyFont="1" applyFill="1" applyBorder="1" applyAlignment="1" applyProtection="1">
      <alignment horizontal="center"/>
      <protection locked="0" hidden="1"/>
    </xf>
    <xf numFmtId="9" fontId="92" fillId="0" borderId="13" xfId="7" applyFont="1" applyBorder="1" applyAlignment="1" applyProtection="1">
      <alignment horizontal="center"/>
      <protection locked="0" hidden="1"/>
    </xf>
    <xf numFmtId="9" fontId="92" fillId="0" borderId="0" xfId="7" applyFont="1" applyAlignment="1" applyProtection="1">
      <alignment horizontal="center"/>
      <protection locked="0" hidden="1"/>
    </xf>
    <xf numFmtId="185" fontId="89" fillId="0" borderId="0" xfId="0" applyNumberFormat="1" applyFont="1" applyAlignment="1" applyProtection="1">
      <alignment horizontal="center"/>
      <protection locked="0" hidden="1"/>
    </xf>
    <xf numFmtId="9" fontId="92" fillId="0" borderId="0" xfId="7" applyFont="1" applyFill="1" applyAlignment="1" applyProtection="1">
      <alignment horizontal="center"/>
      <protection locked="0" hidden="1"/>
    </xf>
    <xf numFmtId="185" fontId="25" fillId="0" borderId="0" xfId="0" applyNumberFormat="1" applyFont="1" applyAlignment="1" applyProtection="1">
      <alignment horizontal="center"/>
      <protection locked="0" hidden="1"/>
    </xf>
    <xf numFmtId="9" fontId="39" fillId="0" borderId="0" xfId="7" applyFont="1" applyFill="1" applyAlignment="1" applyProtection="1">
      <alignment horizontal="center"/>
      <protection locked="0" hidden="1"/>
    </xf>
    <xf numFmtId="9" fontId="92" fillId="0" borderId="0" xfId="7" applyFont="1" applyFill="1" applyBorder="1" applyAlignment="1" applyProtection="1">
      <alignment horizontal="center"/>
      <protection locked="0" hidden="1"/>
    </xf>
    <xf numFmtId="185" fontId="89" fillId="0" borderId="13" xfId="0" applyNumberFormat="1" applyFont="1" applyBorder="1" applyAlignment="1" applyProtection="1">
      <alignment horizontal="center"/>
      <protection locked="0" hidden="1"/>
    </xf>
    <xf numFmtId="9" fontId="92" fillId="0" borderId="13" xfId="7" applyFont="1" applyFill="1" applyBorder="1" applyAlignment="1" applyProtection="1">
      <alignment horizontal="center"/>
      <protection locked="0" hidden="1"/>
    </xf>
    <xf numFmtId="185" fontId="89" fillId="0" borderId="16" xfId="0" applyNumberFormat="1" applyFont="1" applyBorder="1" applyAlignment="1" applyProtection="1">
      <alignment horizontal="center"/>
      <protection locked="0" hidden="1"/>
    </xf>
    <xf numFmtId="9" fontId="92" fillId="0" borderId="16" xfId="7" applyFont="1" applyFill="1" applyBorder="1" applyAlignment="1" applyProtection="1">
      <alignment horizontal="center"/>
      <protection locked="0" hidden="1"/>
    </xf>
    <xf numFmtId="185" fontId="28" fillId="0" borderId="0" xfId="0" applyNumberFormat="1" applyFont="1" applyAlignment="1" applyProtection="1">
      <alignment horizontal="center"/>
      <protection locked="0" hidden="1"/>
    </xf>
    <xf numFmtId="176" fontId="39" fillId="0" borderId="0" xfId="7" applyNumberFormat="1" applyFont="1" applyFill="1" applyAlignment="1" applyProtection="1">
      <alignment horizontal="center"/>
      <protection locked="0" hidden="1"/>
    </xf>
    <xf numFmtId="176" fontId="39" fillId="0" borderId="0" xfId="7" applyNumberFormat="1" applyFont="1" applyFill="1" applyBorder="1" applyAlignment="1" applyProtection="1">
      <alignment horizontal="center"/>
      <protection locked="0" hidden="1"/>
    </xf>
    <xf numFmtId="9" fontId="93" fillId="0" borderId="13" xfId="7" applyFont="1" applyFill="1" applyBorder="1" applyAlignment="1" applyProtection="1">
      <alignment horizontal="center" vertical="center"/>
      <protection locked="0" hidden="1"/>
    </xf>
    <xf numFmtId="185" fontId="89" fillId="0" borderId="0" xfId="0" applyNumberFormat="1" applyFont="1" applyAlignment="1" applyProtection="1">
      <alignment horizontal="center" vertical="center"/>
      <protection locked="0" hidden="1"/>
    </xf>
    <xf numFmtId="9" fontId="92" fillId="0" borderId="0" xfId="7" applyFont="1" applyFill="1" applyBorder="1" applyAlignment="1" applyProtection="1">
      <alignment horizontal="center" vertical="center"/>
      <protection locked="0" hidden="1"/>
    </xf>
    <xf numFmtId="185" fontId="90" fillId="0" borderId="0" xfId="0" applyNumberFormat="1" applyFont="1" applyAlignment="1" applyProtection="1">
      <alignment horizontal="center" vertical="center"/>
      <protection locked="0" hidden="1"/>
    </xf>
    <xf numFmtId="9" fontId="93" fillId="0" borderId="0" xfId="7" applyFont="1" applyFill="1" applyBorder="1" applyAlignment="1" applyProtection="1">
      <alignment horizontal="center" vertical="center"/>
      <protection locked="0" hidden="1"/>
    </xf>
    <xf numFmtId="185" fontId="25" fillId="0" borderId="0" xfId="0" applyNumberFormat="1" applyFont="1" applyAlignment="1" applyProtection="1">
      <alignment horizontal="center" vertical="center"/>
      <protection locked="0" hidden="1"/>
    </xf>
    <xf numFmtId="176" fontId="92" fillId="0" borderId="13" xfId="7" applyNumberFormat="1" applyFont="1" applyFill="1" applyBorder="1" applyAlignment="1" applyProtection="1">
      <alignment horizontal="center"/>
      <protection locked="0" hidden="1"/>
    </xf>
    <xf numFmtId="176" fontId="92" fillId="0" borderId="0" xfId="7" applyNumberFormat="1" applyFont="1" applyFill="1" applyBorder="1" applyAlignment="1" applyProtection="1">
      <alignment horizontal="center"/>
      <protection locked="0" hidden="1"/>
    </xf>
    <xf numFmtId="0" fontId="39" fillId="0" borderId="0" xfId="7" applyNumberFormat="1" applyFont="1" applyFill="1" applyAlignment="1" applyProtection="1">
      <alignment horizontal="center"/>
      <protection locked="0" hidden="1"/>
    </xf>
    <xf numFmtId="0" fontId="39" fillId="0" borderId="0" xfId="7" applyNumberFormat="1" applyFont="1" applyFill="1" applyBorder="1" applyAlignment="1" applyProtection="1">
      <alignment horizontal="center"/>
      <protection locked="0" hidden="1"/>
    </xf>
    <xf numFmtId="176" fontId="39" fillId="0" borderId="17" xfId="7" applyNumberFormat="1" applyFont="1" applyFill="1" applyBorder="1" applyAlignment="1" applyProtection="1">
      <alignment horizontal="center"/>
      <protection locked="0" hidden="1"/>
    </xf>
    <xf numFmtId="182" fontId="5" fillId="0" borderId="0" xfId="0" applyNumberFormat="1" applyFont="1" applyProtection="1">
      <protection locked="0" hidden="1"/>
    </xf>
    <xf numFmtId="0" fontId="83" fillId="0" borderId="0" xfId="0" applyFont="1" applyAlignment="1">
      <alignment horizontal="center"/>
    </xf>
    <xf numFmtId="0" fontId="4" fillId="6" borderId="0" xfId="0" applyFont="1" applyFill="1"/>
    <xf numFmtId="0" fontId="0" fillId="6" borderId="0" xfId="0" applyFill="1"/>
    <xf numFmtId="166" fontId="85" fillId="6" borderId="0" xfId="3" applyNumberFormat="1" applyFont="1" applyFill="1"/>
    <xf numFmtId="166" fontId="4" fillId="0" borderId="62" xfId="3" applyNumberFormat="1" applyFont="1" applyFill="1" applyBorder="1" applyProtection="1">
      <protection locked="0"/>
    </xf>
    <xf numFmtId="0" fontId="5" fillId="0" borderId="13" xfId="0" applyFont="1" applyBorder="1"/>
    <xf numFmtId="166" fontId="0" fillId="0" borderId="13" xfId="3" applyNumberFormat="1" applyFont="1" applyBorder="1"/>
    <xf numFmtId="182" fontId="26" fillId="0" borderId="0" xfId="0" applyNumberFormat="1" applyFont="1" applyAlignment="1" applyProtection="1">
      <alignment horizontal="center"/>
      <protection locked="0" hidden="1"/>
    </xf>
    <xf numFmtId="9" fontId="28" fillId="0" borderId="41" xfId="7" applyFont="1" applyFill="1" applyBorder="1" applyAlignment="1" applyProtection="1">
      <alignment horizontal="center"/>
      <protection locked="0"/>
    </xf>
    <xf numFmtId="167" fontId="5" fillId="0" borderId="0" xfId="0" applyNumberFormat="1" applyFont="1"/>
    <xf numFmtId="185" fontId="25" fillId="0" borderId="0" xfId="3" applyNumberFormat="1" applyFont="1" applyFill="1" applyBorder="1" applyAlignment="1" applyProtection="1">
      <alignment horizontal="center"/>
      <protection hidden="1"/>
    </xf>
    <xf numFmtId="164" fontId="28" fillId="0" borderId="0" xfId="0" applyNumberFormat="1" applyFont="1" applyAlignment="1" applyProtection="1">
      <alignment horizontal="center"/>
      <protection hidden="1"/>
    </xf>
    <xf numFmtId="168" fontId="28" fillId="0" borderId="0" xfId="3" applyFont="1" applyBorder="1" applyAlignment="1" applyProtection="1">
      <alignment horizontal="center"/>
      <protection hidden="1"/>
    </xf>
    <xf numFmtId="167" fontId="27" fillId="0" borderId="0" xfId="0" applyNumberFormat="1" applyFont="1" applyAlignment="1">
      <alignment horizontal="center"/>
    </xf>
    <xf numFmtId="164" fontId="0" fillId="0" borderId="0" xfId="0" applyNumberFormat="1"/>
    <xf numFmtId="164" fontId="0" fillId="0" borderId="13" xfId="0" applyNumberFormat="1" applyBorder="1"/>
    <xf numFmtId="0" fontId="94" fillId="2" borderId="1" xfId="6" applyFont="1" applyBorder="1" applyProtection="1">
      <protection hidden="1"/>
    </xf>
    <xf numFmtId="39" fontId="94" fillId="2" borderId="1" xfId="6" applyNumberFormat="1" applyFont="1" applyBorder="1" applyAlignment="1" applyProtection="1">
      <alignment horizontal="center"/>
      <protection hidden="1"/>
    </xf>
    <xf numFmtId="183" fontId="94" fillId="2" borderId="1" xfId="6" applyNumberFormat="1" applyFont="1" applyBorder="1" applyAlignment="1" applyProtection="1">
      <alignment horizontal="center"/>
      <protection hidden="1"/>
    </xf>
    <xf numFmtId="0" fontId="5" fillId="6" borderId="0" xfId="0" applyFont="1" applyFill="1" applyAlignment="1">
      <alignment horizontal="center"/>
    </xf>
    <xf numFmtId="0" fontId="5" fillId="0" borderId="13" xfId="0" applyFont="1" applyBorder="1" applyAlignment="1">
      <alignment horizontal="center"/>
    </xf>
    <xf numFmtId="0" fontId="0" fillId="6" borderId="0" xfId="0" applyFill="1" applyAlignment="1">
      <alignment horizontal="center"/>
    </xf>
    <xf numFmtId="0" fontId="0" fillId="0" borderId="13" xfId="0" applyBorder="1" applyAlignment="1">
      <alignment horizontal="center"/>
    </xf>
    <xf numFmtId="168" fontId="5" fillId="0" borderId="0" xfId="3" applyFont="1" applyFill="1" applyBorder="1" applyAlignment="1" applyProtection="1">
      <alignment horizontal="center"/>
      <protection locked="0" hidden="1"/>
    </xf>
    <xf numFmtId="168" fontId="28" fillId="0" borderId="0" xfId="3" applyFont="1" applyFill="1" applyAlignment="1">
      <alignment horizontal="center"/>
    </xf>
    <xf numFmtId="0" fontId="89" fillId="0" borderId="0" xfId="0" applyFont="1" applyAlignment="1" applyProtection="1">
      <alignment horizontal="center"/>
      <protection hidden="1"/>
    </xf>
    <xf numFmtId="9" fontId="25" fillId="0" borderId="0" xfId="7" applyFont="1" applyFill="1" applyBorder="1" applyProtection="1">
      <protection locked="0" hidden="1"/>
    </xf>
    <xf numFmtId="9" fontId="81" fillId="0" borderId="41" xfId="7" applyFont="1" applyFill="1" applyBorder="1" applyAlignment="1" applyProtection="1">
      <alignment horizontal="center"/>
      <protection locked="0"/>
    </xf>
    <xf numFmtId="185" fontId="39" fillId="0" borderId="0" xfId="3" applyNumberFormat="1" applyFont="1" applyFill="1" applyProtection="1">
      <protection hidden="1"/>
    </xf>
    <xf numFmtId="185" fontId="39" fillId="0" borderId="0" xfId="3" applyNumberFormat="1" applyFont="1" applyFill="1" applyBorder="1" applyAlignment="1" applyProtection="1">
      <alignment horizontal="center"/>
      <protection hidden="1"/>
    </xf>
    <xf numFmtId="185" fontId="39" fillId="0" borderId="0" xfId="3" applyNumberFormat="1" applyFont="1" applyFill="1" applyAlignment="1" applyProtection="1">
      <alignment horizontal="center"/>
      <protection hidden="1"/>
    </xf>
    <xf numFmtId="0" fontId="31" fillId="0" borderId="0" xfId="0" applyFont="1" applyAlignment="1" applyProtection="1">
      <alignment horizontal="left"/>
      <protection hidden="1"/>
    </xf>
    <xf numFmtId="0" fontId="87" fillId="0" borderId="0" xfId="0" applyFont="1" applyAlignment="1" applyProtection="1">
      <alignment horizontal="left" vertical="center"/>
      <protection hidden="1"/>
    </xf>
    <xf numFmtId="168" fontId="28" fillId="0" borderId="55" xfId="3" applyFont="1" applyFill="1" applyBorder="1" applyProtection="1">
      <protection locked="0" hidden="1"/>
    </xf>
    <xf numFmtId="0" fontId="95" fillId="0" borderId="0" xfId="0" applyFont="1" applyAlignment="1">
      <alignment horizontal="left" readingOrder="1"/>
    </xf>
    <xf numFmtId="0" fontId="33" fillId="0" borderId="0" xfId="0" applyFont="1" applyProtection="1">
      <protection locked="0"/>
    </xf>
    <xf numFmtId="0" fontId="88" fillId="0" borderId="0" xfId="0" quotePrefix="1" applyFont="1" applyAlignment="1" applyProtection="1">
      <alignment horizontal="center"/>
      <protection hidden="1"/>
    </xf>
    <xf numFmtId="9" fontId="88" fillId="0" borderId="0" xfId="7" applyFont="1" applyFill="1" applyBorder="1" applyAlignment="1" applyProtection="1">
      <alignment horizontal="center"/>
      <protection locked="0" hidden="1"/>
    </xf>
    <xf numFmtId="9" fontId="25" fillId="0" borderId="33" xfId="7" applyFont="1" applyFill="1" applyBorder="1" applyAlignment="1" applyProtection="1">
      <alignment horizontal="center"/>
      <protection locked="0" hidden="1"/>
    </xf>
    <xf numFmtId="166" fontId="4" fillId="0" borderId="0" xfId="3" applyNumberFormat="1" applyFont="1" applyFill="1" applyBorder="1" applyProtection="1">
      <protection locked="0"/>
    </xf>
    <xf numFmtId="0" fontId="5" fillId="0" borderId="0" xfId="0" applyFont="1" applyAlignment="1">
      <alignment horizontal="center"/>
    </xf>
    <xf numFmtId="166" fontId="85" fillId="0" borderId="0" xfId="3" applyNumberFormat="1" applyFont="1" applyFill="1"/>
    <xf numFmtId="0" fontId="28" fillId="4" borderId="0" xfId="0" applyFont="1" applyFill="1" applyAlignment="1" applyProtection="1">
      <alignment horizontal="left"/>
      <protection hidden="1"/>
    </xf>
    <xf numFmtId="185" fontId="28" fillId="0" borderId="13" xfId="0" applyNumberFormat="1" applyFont="1" applyBorder="1" applyAlignment="1" applyProtection="1">
      <alignment horizontal="center"/>
      <protection hidden="1"/>
    </xf>
    <xf numFmtId="166" fontId="4" fillId="6" borderId="0" xfId="0" applyNumberFormat="1" applyFont="1" applyFill="1" applyProtection="1">
      <protection hidden="1"/>
    </xf>
    <xf numFmtId="0" fontId="0" fillId="0" borderId="13" xfId="0" applyBorder="1" applyProtection="1">
      <protection hidden="1"/>
    </xf>
    <xf numFmtId="0" fontId="0" fillId="6" borderId="0" xfId="0" applyFill="1" applyProtection="1">
      <protection hidden="1"/>
    </xf>
    <xf numFmtId="166" fontId="84" fillId="6" borderId="0" xfId="0" applyNumberFormat="1" applyFont="1" applyFill="1" applyProtection="1">
      <protection hidden="1"/>
    </xf>
    <xf numFmtId="0" fontId="98" fillId="0" borderId="0" xfId="0" applyFont="1" applyProtection="1">
      <protection hidden="1"/>
    </xf>
    <xf numFmtId="167" fontId="89" fillId="0" borderId="0" xfId="0" applyNumberFormat="1" applyFont="1" applyProtection="1">
      <protection hidden="1"/>
    </xf>
    <xf numFmtId="167" fontId="90" fillId="0" borderId="0" xfId="0" applyNumberFormat="1" applyFont="1" applyAlignment="1" applyProtection="1">
      <alignment horizontal="center"/>
      <protection hidden="1"/>
    </xf>
    <xf numFmtId="164" fontId="89" fillId="0" borderId="0" xfId="0" applyNumberFormat="1" applyFont="1" applyProtection="1">
      <protection hidden="1"/>
    </xf>
    <xf numFmtId="166" fontId="90" fillId="0" borderId="0" xfId="0" applyNumberFormat="1" applyFont="1" applyProtection="1">
      <protection hidden="1"/>
    </xf>
    <xf numFmtId="0" fontId="89" fillId="0" borderId="0" xfId="0" applyFont="1" applyProtection="1">
      <protection hidden="1"/>
    </xf>
    <xf numFmtId="0" fontId="37" fillId="0" borderId="0" xfId="0" applyFont="1" applyAlignment="1">
      <alignment horizontal="center" vertical="center"/>
    </xf>
    <xf numFmtId="0" fontId="100" fillId="0" borderId="0" xfId="0" applyFont="1" applyProtection="1">
      <protection hidden="1"/>
    </xf>
    <xf numFmtId="0" fontId="101" fillId="0" borderId="0" xfId="0" applyFont="1" applyProtection="1">
      <protection hidden="1"/>
    </xf>
    <xf numFmtId="0" fontId="102" fillId="0" borderId="0" xfId="0" applyFont="1" applyProtection="1">
      <protection hidden="1"/>
    </xf>
    <xf numFmtId="0" fontId="103" fillId="0" borderId="0" xfId="0" applyFont="1" applyProtection="1">
      <protection hidden="1"/>
    </xf>
    <xf numFmtId="9" fontId="103" fillId="4" borderId="0" xfId="7" applyFont="1" applyFill="1" applyBorder="1" applyAlignment="1" applyProtection="1">
      <alignment horizontal="center"/>
      <protection locked="0"/>
    </xf>
    <xf numFmtId="10" fontId="25" fillId="0" borderId="0" xfId="7" applyNumberFormat="1" applyFont="1" applyFill="1" applyBorder="1" applyAlignment="1" applyProtection="1">
      <alignment horizontal="center"/>
      <protection locked="0"/>
    </xf>
    <xf numFmtId="10" fontId="28" fillId="0" borderId="0" xfId="0" applyNumberFormat="1" applyFont="1" applyAlignment="1">
      <alignment horizontal="center"/>
    </xf>
    <xf numFmtId="167" fontId="104" fillId="0" borderId="0" xfId="0" applyNumberFormat="1" applyFont="1"/>
    <xf numFmtId="0" fontId="99" fillId="0" borderId="0" xfId="0" applyFont="1"/>
    <xf numFmtId="0" fontId="33" fillId="0" borderId="13" xfId="0" applyFont="1" applyBorder="1" applyProtection="1">
      <protection hidden="1"/>
    </xf>
    <xf numFmtId="0" fontId="25" fillId="0" borderId="13" xfId="0" applyFont="1" applyBorder="1" applyProtection="1">
      <protection hidden="1"/>
    </xf>
    <xf numFmtId="0" fontId="33" fillId="0" borderId="0" xfId="0" applyFont="1" applyAlignment="1" applyProtection="1">
      <alignment horizontal="center"/>
      <protection hidden="1"/>
    </xf>
    <xf numFmtId="0" fontId="105" fillId="0" borderId="0" xfId="0" applyFont="1"/>
    <xf numFmtId="17" fontId="106" fillId="0" borderId="0" xfId="0" applyNumberFormat="1" applyFont="1" applyProtection="1">
      <protection hidden="1"/>
    </xf>
    <xf numFmtId="17" fontId="106" fillId="0" borderId="0" xfId="0" applyNumberFormat="1" applyFont="1" applyAlignment="1" applyProtection="1">
      <alignment horizontal="center"/>
      <protection hidden="1"/>
    </xf>
    <xf numFmtId="17" fontId="106" fillId="0" borderId="0" xfId="7" applyNumberFormat="1" applyFont="1" applyBorder="1" applyProtection="1">
      <protection hidden="1"/>
    </xf>
    <xf numFmtId="164" fontId="89" fillId="0" borderId="13" xfId="0" applyNumberFormat="1" applyFont="1" applyBorder="1" applyProtection="1">
      <protection hidden="1"/>
    </xf>
    <xf numFmtId="171" fontId="107" fillId="0" borderId="0" xfId="0" applyNumberFormat="1" applyFont="1" applyAlignment="1" applyProtection="1">
      <alignment horizontal="center"/>
      <protection hidden="1"/>
    </xf>
    <xf numFmtId="167" fontId="107" fillId="0" borderId="0" xfId="0" applyNumberFormat="1" applyFont="1" applyAlignment="1" applyProtection="1">
      <alignment horizontal="center"/>
      <protection hidden="1"/>
    </xf>
    <xf numFmtId="173" fontId="99" fillId="0" borderId="52" xfId="0" applyNumberFormat="1" applyFont="1" applyBorder="1" applyAlignment="1" applyProtection="1">
      <alignment horizontal="left"/>
      <protection locked="0" hidden="1"/>
    </xf>
    <xf numFmtId="182" fontId="26" fillId="0" borderId="13" xfId="0" applyNumberFormat="1" applyFont="1" applyBorder="1" applyAlignment="1" applyProtection="1">
      <alignment horizontal="center"/>
      <protection hidden="1"/>
    </xf>
    <xf numFmtId="1" fontId="26" fillId="0" borderId="67" xfId="0" applyNumberFormat="1" applyFont="1" applyBorder="1" applyAlignment="1" applyProtection="1">
      <alignment horizontal="center"/>
      <protection hidden="1"/>
    </xf>
    <xf numFmtId="0" fontId="2" fillId="0" borderId="40" xfId="0" applyFont="1" applyBorder="1" applyProtection="1">
      <protection locked="0" hidden="1"/>
    </xf>
    <xf numFmtId="173" fontId="2" fillId="0" borderId="52" xfId="0" applyNumberFormat="1" applyFont="1" applyBorder="1" applyAlignment="1" applyProtection="1">
      <alignment horizontal="left"/>
      <protection locked="0" hidden="1"/>
    </xf>
    <xf numFmtId="168" fontId="108" fillId="0" borderId="0" xfId="0" applyNumberFormat="1" applyFont="1" applyProtection="1">
      <protection hidden="1"/>
    </xf>
    <xf numFmtId="168" fontId="84" fillId="0" borderId="0" xfId="3" applyFont="1" applyFill="1" applyBorder="1" applyProtection="1">
      <protection hidden="1"/>
    </xf>
    <xf numFmtId="1" fontId="42" fillId="0" borderId="22" xfId="0" applyNumberFormat="1" applyFont="1" applyBorder="1" applyAlignment="1" applyProtection="1">
      <alignment horizontal="center"/>
      <protection hidden="1"/>
    </xf>
    <xf numFmtId="180" fontId="28" fillId="0" borderId="0" xfId="0" applyNumberFormat="1" applyFont="1" applyAlignment="1">
      <alignment horizontal="center"/>
    </xf>
    <xf numFmtId="176" fontId="27" fillId="0" borderId="0" xfId="7" applyNumberFormat="1" applyFont="1" applyFill="1" applyAlignment="1" applyProtection="1">
      <alignment horizontal="center" vertical="center"/>
    </xf>
    <xf numFmtId="176" fontId="33" fillId="0" borderId="0" xfId="0" applyNumberFormat="1" applyFont="1"/>
    <xf numFmtId="176" fontId="27" fillId="0" borderId="0" xfId="7" applyNumberFormat="1" applyFont="1" applyFill="1" applyAlignment="1" applyProtection="1">
      <alignment horizontal="center"/>
    </xf>
    <xf numFmtId="176" fontId="27" fillId="0" borderId="0" xfId="0" applyNumberFormat="1" applyFont="1"/>
    <xf numFmtId="2" fontId="28" fillId="0" borderId="0" xfId="0" applyNumberFormat="1" applyFont="1" applyAlignment="1">
      <alignment horizontal="center"/>
    </xf>
    <xf numFmtId="0" fontId="109" fillId="0" borderId="0" xfId="0" applyFont="1"/>
    <xf numFmtId="0" fontId="2" fillId="0" borderId="19" xfId="0" applyFont="1" applyBorder="1" applyAlignment="1" applyProtection="1">
      <alignment horizontal="center"/>
      <protection locked="0" hidden="1"/>
    </xf>
    <xf numFmtId="168" fontId="110" fillId="0" borderId="0" xfId="3" applyFont="1" applyFill="1" applyBorder="1" applyAlignment="1" applyProtection="1">
      <alignment horizontal="center"/>
      <protection hidden="1"/>
    </xf>
    <xf numFmtId="0" fontId="2" fillId="0" borderId="0" xfId="0" applyFont="1" applyProtection="1">
      <protection locked="0" hidden="1"/>
    </xf>
    <xf numFmtId="0" fontId="112" fillId="0" borderId="0" xfId="6" applyFont="1" applyFill="1" applyProtection="1">
      <protection hidden="1"/>
    </xf>
    <xf numFmtId="0" fontId="113" fillId="0" borderId="0" xfId="0" applyFont="1"/>
    <xf numFmtId="0" fontId="114" fillId="0" borderId="0" xfId="0" applyFont="1"/>
    <xf numFmtId="0" fontId="114" fillId="0" borderId="0" xfId="0" applyFont="1" applyProtection="1">
      <protection hidden="1"/>
    </xf>
    <xf numFmtId="167" fontId="114" fillId="0" borderId="0" xfId="0" applyNumberFormat="1" applyFont="1"/>
    <xf numFmtId="0" fontId="114" fillId="0" borderId="0" xfId="0" applyFont="1" applyProtection="1">
      <protection locked="0"/>
    </xf>
    <xf numFmtId="168" fontId="33" fillId="16" borderId="41" xfId="3" applyFont="1" applyFill="1" applyBorder="1" applyAlignment="1" applyProtection="1">
      <alignment horizontal="center"/>
      <protection locked="0" hidden="1"/>
    </xf>
    <xf numFmtId="0" fontId="33" fillId="16" borderId="41" xfId="6" applyFont="1" applyFill="1" applyBorder="1" applyAlignment="1" applyProtection="1">
      <alignment horizontal="center"/>
      <protection locked="0" hidden="1"/>
    </xf>
    <xf numFmtId="10" fontId="33" fillId="16" borderId="41" xfId="6" applyNumberFormat="1" applyFont="1" applyFill="1" applyBorder="1" applyAlignment="1" applyProtection="1">
      <alignment horizontal="center"/>
      <protection locked="0" hidden="1"/>
    </xf>
    <xf numFmtId="0" fontId="28" fillId="0" borderId="0" xfId="0" applyFont="1" applyAlignment="1" applyProtection="1">
      <alignment horizontal="center" vertical="center"/>
      <protection hidden="1"/>
    </xf>
    <xf numFmtId="17" fontId="28" fillId="17" borderId="25" xfId="0" applyNumberFormat="1" applyFont="1" applyFill="1" applyBorder="1" applyAlignment="1" applyProtection="1">
      <alignment horizontal="center"/>
      <protection hidden="1"/>
    </xf>
    <xf numFmtId="17" fontId="28" fillId="17" borderId="26" xfId="0" applyNumberFormat="1" applyFont="1" applyFill="1" applyBorder="1" applyAlignment="1" applyProtection="1">
      <alignment horizontal="center"/>
      <protection hidden="1"/>
    </xf>
    <xf numFmtId="0" fontId="42" fillId="17" borderId="15" xfId="0" applyFont="1" applyFill="1" applyBorder="1" applyAlignment="1" applyProtection="1">
      <alignment horizontal="center"/>
      <protection hidden="1"/>
    </xf>
    <xf numFmtId="0" fontId="41" fillId="17" borderId="39" xfId="0" applyFont="1" applyFill="1" applyBorder="1"/>
    <xf numFmtId="17" fontId="28" fillId="17" borderId="15" xfId="0" applyNumberFormat="1" applyFont="1" applyFill="1" applyBorder="1" applyAlignment="1">
      <alignment horizontal="center" vertical="center"/>
    </xf>
    <xf numFmtId="0" fontId="41" fillId="0" borderId="0" xfId="0" applyFont="1" applyAlignment="1">
      <alignment horizontal="center" vertical="center"/>
    </xf>
    <xf numFmtId="0" fontId="33" fillId="17" borderId="28" xfId="6" applyFont="1" applyFill="1" applyBorder="1" applyProtection="1">
      <protection hidden="1"/>
    </xf>
    <xf numFmtId="0" fontId="33" fillId="17" borderId="28" xfId="6" applyFont="1" applyFill="1" applyBorder="1" applyAlignment="1" applyProtection="1">
      <alignment horizontal="center"/>
      <protection hidden="1"/>
    </xf>
    <xf numFmtId="0" fontId="33" fillId="17" borderId="21" xfId="6" applyFont="1" applyFill="1" applyBorder="1" applyProtection="1">
      <protection hidden="1"/>
    </xf>
    <xf numFmtId="0" fontId="33" fillId="17" borderId="21" xfId="6" applyFont="1" applyFill="1" applyBorder="1" applyAlignment="1" applyProtection="1">
      <alignment horizontal="center"/>
      <protection hidden="1"/>
    </xf>
    <xf numFmtId="0" fontId="33" fillId="17" borderId="40" xfId="6" applyFont="1" applyFill="1" applyBorder="1" applyAlignment="1" applyProtection="1">
      <alignment horizontal="center"/>
      <protection hidden="1"/>
    </xf>
    <xf numFmtId="0" fontId="33" fillId="17" borderId="51" xfId="6" applyFont="1" applyFill="1" applyBorder="1" applyAlignment="1" applyProtection="1">
      <alignment horizontal="center"/>
      <protection hidden="1"/>
    </xf>
    <xf numFmtId="0" fontId="33" fillId="17" borderId="54" xfId="6" applyFont="1" applyFill="1" applyBorder="1" applyAlignment="1" applyProtection="1">
      <alignment horizontal="center"/>
      <protection hidden="1"/>
    </xf>
    <xf numFmtId="0" fontId="33" fillId="0" borderId="43" xfId="6" applyFont="1" applyFill="1" applyBorder="1" applyAlignment="1" applyProtection="1">
      <alignment horizontal="center"/>
      <protection locked="0" hidden="1"/>
    </xf>
    <xf numFmtId="168" fontId="33" fillId="16" borderId="45" xfId="3" applyFont="1" applyFill="1" applyBorder="1" applyAlignment="1" applyProtection="1">
      <alignment horizontal="center"/>
      <protection locked="0" hidden="1"/>
    </xf>
    <xf numFmtId="168" fontId="33" fillId="16" borderId="57" xfId="3" applyFont="1" applyFill="1" applyBorder="1" applyAlignment="1" applyProtection="1">
      <alignment horizontal="center"/>
      <protection locked="0" hidden="1"/>
    </xf>
    <xf numFmtId="168" fontId="33" fillId="0" borderId="19" xfId="3" applyFont="1" applyFill="1" applyBorder="1" applyAlignment="1" applyProtection="1">
      <alignment horizontal="center"/>
      <protection hidden="1"/>
    </xf>
    <xf numFmtId="0" fontId="116" fillId="0" borderId="0" xfId="0" applyFont="1"/>
    <xf numFmtId="10" fontId="115" fillId="0" borderId="0" xfId="7" applyNumberFormat="1" applyFont="1" applyFill="1" applyBorder="1" applyAlignment="1" applyProtection="1">
      <alignment horizontal="center" vertical="center"/>
      <protection hidden="1"/>
    </xf>
    <xf numFmtId="0" fontId="83" fillId="0" borderId="0" xfId="0" applyFont="1" applyProtection="1">
      <protection locked="0" hidden="1"/>
    </xf>
    <xf numFmtId="17" fontId="28" fillId="17" borderId="15" xfId="0" applyNumberFormat="1" applyFont="1" applyFill="1" applyBorder="1" applyAlignment="1" applyProtection="1">
      <alignment horizontal="center"/>
      <protection hidden="1"/>
    </xf>
    <xf numFmtId="0" fontId="28" fillId="17" borderId="15" xfId="0" applyFont="1" applyFill="1" applyBorder="1" applyAlignment="1" applyProtection="1">
      <alignment horizontal="center"/>
      <protection hidden="1"/>
    </xf>
    <xf numFmtId="0" fontId="27" fillId="17" borderId="49" xfId="0" applyFont="1" applyFill="1" applyBorder="1" applyAlignment="1" applyProtection="1">
      <alignment horizontal="left"/>
      <protection hidden="1"/>
    </xf>
    <xf numFmtId="0" fontId="25" fillId="17" borderId="68" xfId="0" applyFont="1" applyFill="1" applyBorder="1" applyProtection="1">
      <protection hidden="1"/>
    </xf>
    <xf numFmtId="0" fontId="26" fillId="17" borderId="68" xfId="0" applyFont="1" applyFill="1" applyBorder="1" applyProtection="1">
      <protection hidden="1"/>
    </xf>
    <xf numFmtId="168" fontId="39" fillId="17" borderId="68" xfId="3" applyFont="1" applyFill="1" applyBorder="1" applyProtection="1">
      <protection hidden="1"/>
    </xf>
    <xf numFmtId="168" fontId="39" fillId="17" borderId="39" xfId="3" applyFont="1" applyFill="1" applyBorder="1" applyProtection="1">
      <protection hidden="1"/>
    </xf>
    <xf numFmtId="9" fontId="81" fillId="19" borderId="33" xfId="7" applyFont="1" applyFill="1" applyBorder="1" applyAlignment="1" applyProtection="1">
      <alignment horizontal="center"/>
      <protection locked="0"/>
    </xf>
    <xf numFmtId="168" fontId="26" fillId="19" borderId="33" xfId="3" applyFont="1" applyFill="1" applyBorder="1" applyProtection="1">
      <protection locked="0"/>
    </xf>
    <xf numFmtId="170" fontId="26" fillId="19" borderId="33" xfId="0" applyNumberFormat="1" applyFont="1" applyFill="1" applyBorder="1" applyAlignment="1" applyProtection="1">
      <alignment horizontal="center"/>
      <protection locked="0"/>
    </xf>
    <xf numFmtId="167" fontId="28" fillId="20" borderId="15" xfId="0" applyNumberFormat="1" applyFont="1" applyFill="1" applyBorder="1" applyAlignment="1" applyProtection="1">
      <alignment horizontal="center"/>
      <protection hidden="1"/>
    </xf>
    <xf numFmtId="9" fontId="25" fillId="18" borderId="33" xfId="7" applyFont="1" applyFill="1" applyBorder="1" applyProtection="1">
      <protection locked="0" hidden="1"/>
    </xf>
    <xf numFmtId="168" fontId="26" fillId="0" borderId="0" xfId="3" applyFont="1" applyFill="1" applyBorder="1" applyAlignment="1" applyProtection="1">
      <alignment vertical="center"/>
      <protection locked="0"/>
    </xf>
    <xf numFmtId="0" fontId="28" fillId="4" borderId="0" xfId="0" applyFont="1" applyFill="1" applyAlignment="1" applyProtection="1">
      <alignment horizontal="left"/>
      <protection locked="0"/>
    </xf>
    <xf numFmtId="0" fontId="42" fillId="4" borderId="0" xfId="0" applyFont="1" applyFill="1" applyAlignment="1" applyProtection="1">
      <alignment horizontal="center"/>
      <protection locked="0"/>
    </xf>
    <xf numFmtId="0" fontId="28" fillId="0" borderId="0" xfId="0" applyFont="1" applyAlignment="1" applyProtection="1">
      <alignment horizontal="left"/>
      <protection locked="0" hidden="1"/>
    </xf>
    <xf numFmtId="0" fontId="37" fillId="17" borderId="0" xfId="0" applyFont="1" applyFill="1" applyProtection="1">
      <protection hidden="1"/>
    </xf>
    <xf numFmtId="168" fontId="40" fillId="17" borderId="0" xfId="3" applyFont="1" applyFill="1" applyProtection="1">
      <protection hidden="1"/>
    </xf>
    <xf numFmtId="0" fontId="28" fillId="17" borderId="0" xfId="0" applyFont="1" applyFill="1" applyAlignment="1" applyProtection="1">
      <alignment horizontal="center"/>
      <protection hidden="1"/>
    </xf>
    <xf numFmtId="0" fontId="28" fillId="17" borderId="0" xfId="0" applyFont="1" applyFill="1" applyAlignment="1" applyProtection="1">
      <alignment horizontal="left"/>
      <protection hidden="1"/>
    </xf>
    <xf numFmtId="0" fontId="42" fillId="17" borderId="0" xfId="0" applyFont="1" applyFill="1" applyAlignment="1" applyProtection="1">
      <alignment horizontal="center"/>
      <protection hidden="1"/>
    </xf>
    <xf numFmtId="167" fontId="42" fillId="17" borderId="0" xfId="0" applyNumberFormat="1" applyFont="1" applyFill="1" applyAlignment="1" applyProtection="1">
      <alignment horizontal="center"/>
      <protection hidden="1"/>
    </xf>
    <xf numFmtId="0" fontId="37" fillId="17" borderId="0" xfId="0" applyFont="1" applyFill="1" applyAlignment="1" applyProtection="1">
      <alignment horizontal="left"/>
      <protection hidden="1"/>
    </xf>
    <xf numFmtId="0" fontId="28" fillId="0" borderId="69" xfId="0" applyFont="1" applyBorder="1" applyProtection="1">
      <protection hidden="1"/>
    </xf>
    <xf numFmtId="167" fontId="42" fillId="17" borderId="0" xfId="0" applyNumberFormat="1" applyFont="1" applyFill="1" applyAlignment="1" applyProtection="1">
      <alignment horizontal="center"/>
      <protection locked="0"/>
    </xf>
    <xf numFmtId="0" fontId="37" fillId="17" borderId="0" xfId="0" applyFont="1" applyFill="1" applyAlignment="1" applyProtection="1">
      <alignment horizontal="left"/>
      <protection locked="0"/>
    </xf>
    <xf numFmtId="0" fontId="28" fillId="17" borderId="0" xfId="0" applyFont="1" applyFill="1" applyAlignment="1" applyProtection="1">
      <alignment horizontal="left"/>
      <protection locked="0"/>
    </xf>
    <xf numFmtId="1" fontId="42" fillId="0" borderId="0" xfId="3" applyNumberFormat="1" applyFont="1" applyFill="1" applyBorder="1" applyAlignment="1" applyProtection="1">
      <alignment horizontal="center"/>
      <protection hidden="1"/>
    </xf>
    <xf numFmtId="0" fontId="33" fillId="21" borderId="5" xfId="6" applyFont="1" applyFill="1" applyBorder="1" applyProtection="1">
      <protection hidden="1"/>
    </xf>
    <xf numFmtId="0" fontId="33" fillId="17" borderId="5" xfId="6" applyFont="1" applyFill="1" applyBorder="1" applyProtection="1">
      <protection hidden="1"/>
    </xf>
    <xf numFmtId="0" fontId="117" fillId="0" borderId="0" xfId="0" applyFont="1" applyProtection="1">
      <protection hidden="1"/>
    </xf>
    <xf numFmtId="0" fontId="115" fillId="0" borderId="0" xfId="0" applyFont="1" applyProtection="1">
      <protection hidden="1"/>
    </xf>
    <xf numFmtId="182" fontId="110" fillId="0" borderId="0" xfId="0" applyNumberFormat="1" applyFont="1" applyAlignment="1" applyProtection="1">
      <alignment horizontal="center"/>
      <protection hidden="1"/>
    </xf>
    <xf numFmtId="0" fontId="106" fillId="0" borderId="0" xfId="7" applyNumberFormat="1" applyFont="1" applyBorder="1" applyProtection="1">
      <protection hidden="1"/>
    </xf>
    <xf numFmtId="167" fontId="25" fillId="0" borderId="0" xfId="0" applyNumberFormat="1" applyFont="1" applyAlignment="1">
      <alignment horizontal="left"/>
    </xf>
    <xf numFmtId="185" fontId="110" fillId="0" borderId="0" xfId="0" applyNumberFormat="1" applyFont="1" applyAlignment="1" applyProtection="1">
      <alignment horizontal="center"/>
      <protection hidden="1"/>
    </xf>
    <xf numFmtId="9" fontId="40" fillId="0" borderId="0" xfId="7" applyFont="1" applyFill="1" applyBorder="1" applyAlignment="1" applyProtection="1">
      <alignment horizontal="center"/>
      <protection locked="0" hidden="1"/>
    </xf>
    <xf numFmtId="9" fontId="92" fillId="0" borderId="0" xfId="7" applyFont="1" applyBorder="1" applyAlignment="1" applyProtection="1">
      <alignment horizontal="center"/>
      <protection locked="0" hidden="1"/>
    </xf>
    <xf numFmtId="0" fontId="111" fillId="0" borderId="0" xfId="0" applyFont="1"/>
    <xf numFmtId="167" fontId="102" fillId="0" borderId="0" xfId="0" applyNumberFormat="1" applyFont="1"/>
    <xf numFmtId="167" fontId="102" fillId="0" borderId="0" xfId="0" applyNumberFormat="1" applyFont="1" applyAlignment="1">
      <alignment horizontal="center"/>
    </xf>
    <xf numFmtId="0" fontId="102" fillId="0" borderId="0" xfId="0" applyFont="1"/>
    <xf numFmtId="0" fontId="102" fillId="0" borderId="0" xfId="0" applyFont="1" applyAlignment="1">
      <alignment vertical="center"/>
    </xf>
    <xf numFmtId="183" fontId="15" fillId="2" borderId="1" xfId="6" applyNumberFormat="1" applyFont="1" applyBorder="1" applyProtection="1">
      <protection hidden="1"/>
    </xf>
    <xf numFmtId="183" fontId="20" fillId="2" borderId="1" xfId="6" applyNumberFormat="1" applyFont="1" applyBorder="1" applyProtection="1">
      <protection hidden="1"/>
    </xf>
    <xf numFmtId="183" fontId="19" fillId="2" borderId="10" xfId="6" applyNumberFormat="1" applyFont="1" applyBorder="1" applyProtection="1">
      <protection hidden="1"/>
    </xf>
    <xf numFmtId="183" fontId="17" fillId="2" borderId="10" xfId="6" applyNumberFormat="1" applyFont="1" applyBorder="1" applyProtection="1">
      <protection hidden="1"/>
    </xf>
    <xf numFmtId="164" fontId="102" fillId="0" borderId="0" xfId="0" applyNumberFormat="1" applyFont="1" applyProtection="1">
      <protection hidden="1"/>
    </xf>
    <xf numFmtId="167" fontId="41" fillId="16" borderId="0" xfId="0" applyNumberFormat="1" applyFont="1" applyFill="1"/>
    <xf numFmtId="167" fontId="41" fillId="22" borderId="0" xfId="0" applyNumberFormat="1" applyFont="1" applyFill="1"/>
    <xf numFmtId="167" fontId="41" fillId="21" borderId="0" xfId="0" applyNumberFormat="1" applyFont="1" applyFill="1"/>
    <xf numFmtId="167" fontId="41" fillId="23" borderId="0" xfId="0" applyNumberFormat="1" applyFont="1" applyFill="1"/>
    <xf numFmtId="167" fontId="41" fillId="24" borderId="0" xfId="0" applyNumberFormat="1" applyFont="1" applyFill="1"/>
    <xf numFmtId="164" fontId="26" fillId="0" borderId="0" xfId="0" applyNumberFormat="1" applyFont="1" applyProtection="1">
      <protection hidden="1"/>
    </xf>
    <xf numFmtId="182" fontId="120" fillId="0" borderId="15" xfId="0" applyNumberFormat="1" applyFont="1" applyBorder="1" applyAlignment="1" applyProtection="1">
      <alignment horizontal="center"/>
      <protection hidden="1"/>
    </xf>
    <xf numFmtId="167" fontId="25" fillId="22" borderId="19" xfId="0" applyNumberFormat="1" applyFont="1" applyFill="1" applyBorder="1" applyAlignment="1" applyProtection="1">
      <alignment horizontal="center"/>
      <protection hidden="1"/>
    </xf>
    <xf numFmtId="167" fontId="41" fillId="25" borderId="0" xfId="0" applyNumberFormat="1" applyFont="1" applyFill="1"/>
    <xf numFmtId="167" fontId="25" fillId="25" borderId="48" xfId="0" applyNumberFormat="1" applyFont="1" applyFill="1" applyBorder="1" applyAlignment="1" applyProtection="1">
      <alignment horizontal="center"/>
      <protection hidden="1"/>
    </xf>
    <xf numFmtId="182" fontId="118" fillId="0" borderId="41" xfId="0" applyNumberFormat="1" applyFont="1" applyBorder="1" applyAlignment="1" applyProtection="1">
      <alignment horizontal="center"/>
      <protection locked="0"/>
    </xf>
    <xf numFmtId="1" fontId="118" fillId="0" borderId="41" xfId="0" applyNumberFormat="1" applyFont="1" applyBorder="1" applyAlignment="1" applyProtection="1">
      <alignment horizontal="center"/>
      <protection locked="0"/>
    </xf>
    <xf numFmtId="0" fontId="37" fillId="0" borderId="57" xfId="0" applyFont="1" applyBorder="1" applyAlignment="1" applyProtection="1">
      <alignment horizontal="center"/>
      <protection hidden="1"/>
    </xf>
    <xf numFmtId="0" fontId="25" fillId="26" borderId="0" xfId="0" applyFont="1" applyFill="1" applyProtection="1">
      <protection hidden="1"/>
    </xf>
    <xf numFmtId="168" fontId="28" fillId="26" borderId="0" xfId="3" applyFont="1" applyFill="1" applyAlignment="1">
      <alignment horizontal="center"/>
    </xf>
    <xf numFmtId="0" fontId="55" fillId="26" borderId="0" xfId="0" applyFont="1" applyFill="1" applyProtection="1">
      <protection hidden="1"/>
    </xf>
    <xf numFmtId="168" fontId="39" fillId="26" borderId="0" xfId="3" applyFont="1" applyFill="1" applyProtection="1">
      <protection hidden="1"/>
    </xf>
    <xf numFmtId="9" fontId="86" fillId="26" borderId="0" xfId="7" quotePrefix="1" applyFont="1" applyFill="1" applyBorder="1" applyAlignment="1" applyProtection="1">
      <alignment horizontal="right"/>
      <protection locked="0" hidden="1"/>
    </xf>
    <xf numFmtId="9" fontId="25" fillId="26" borderId="0" xfId="7" applyFont="1" applyFill="1" applyBorder="1" applyProtection="1">
      <protection locked="0" hidden="1"/>
    </xf>
    <xf numFmtId="0" fontId="28" fillId="19" borderId="70" xfId="0" applyFont="1" applyFill="1" applyBorder="1" applyAlignment="1" applyProtection="1">
      <alignment vertical="center"/>
      <protection locked="0"/>
    </xf>
    <xf numFmtId="0" fontId="28" fillId="0" borderId="0" xfId="0" applyFont="1" applyAlignment="1" applyProtection="1">
      <alignment vertical="center"/>
      <protection locked="0"/>
    </xf>
    <xf numFmtId="0" fontId="28" fillId="0" borderId="0" xfId="0" applyFont="1" applyAlignment="1" applyProtection="1">
      <alignment horizontal="left" vertical="center"/>
      <protection locked="0"/>
    </xf>
    <xf numFmtId="9" fontId="42" fillId="19" borderId="33" xfId="7" applyFont="1" applyFill="1" applyBorder="1" applyAlignment="1" applyProtection="1">
      <alignment horizontal="center"/>
      <protection locked="0"/>
    </xf>
    <xf numFmtId="167" fontId="42" fillId="19" borderId="33" xfId="0" applyNumberFormat="1" applyFont="1" applyFill="1" applyBorder="1" applyAlignment="1" applyProtection="1">
      <alignment horizontal="center"/>
      <protection locked="0" hidden="1"/>
    </xf>
    <xf numFmtId="0" fontId="28" fillId="26" borderId="0" xfId="0" applyFont="1" applyFill="1" applyProtection="1">
      <protection hidden="1"/>
    </xf>
    <xf numFmtId="168" fontId="40" fillId="26" borderId="0" xfId="3" applyFont="1" applyFill="1" applyProtection="1">
      <protection hidden="1"/>
    </xf>
    <xf numFmtId="0" fontId="27" fillId="0" borderId="0" xfId="0" applyFont="1" applyAlignment="1" applyProtection="1">
      <alignment horizontal="left" vertical="center" wrapText="1"/>
      <protection hidden="1"/>
    </xf>
    <xf numFmtId="17" fontId="28" fillId="0" borderId="0" xfId="0" applyNumberFormat="1" applyFont="1" applyAlignment="1">
      <alignment horizontal="center" vertical="center"/>
    </xf>
    <xf numFmtId="9" fontId="37" fillId="26" borderId="0" xfId="0" applyNumberFormat="1" applyFont="1" applyFill="1" applyProtection="1">
      <protection hidden="1"/>
    </xf>
    <xf numFmtId="9" fontId="28" fillId="26" borderId="0" xfId="0" applyNumberFormat="1" applyFont="1" applyFill="1"/>
    <xf numFmtId="0" fontId="31" fillId="0" borderId="0" xfId="0" applyFont="1" applyAlignment="1" applyProtection="1">
      <alignment vertical="center"/>
      <protection hidden="1"/>
    </xf>
    <xf numFmtId="0" fontId="121" fillId="0" borderId="0" xfId="0" applyFont="1" applyProtection="1">
      <protection locked="0" hidden="1"/>
    </xf>
    <xf numFmtId="0" fontId="111" fillId="0" borderId="0" xfId="0" applyFont="1" applyProtection="1">
      <protection locked="0" hidden="1"/>
    </xf>
    <xf numFmtId="173" fontId="117" fillId="0" borderId="0" xfId="0" applyNumberFormat="1" applyFont="1" applyAlignment="1" applyProtection="1">
      <alignment horizontal="left"/>
      <protection hidden="1"/>
    </xf>
    <xf numFmtId="0" fontId="117" fillId="0" borderId="0" xfId="0" applyFont="1" applyAlignment="1" applyProtection="1">
      <alignment horizontal="left"/>
      <protection hidden="1"/>
    </xf>
    <xf numFmtId="0" fontId="109" fillId="0" borderId="0" xfId="0" applyFont="1" applyAlignment="1" applyProtection="1">
      <alignment horizontal="center" vertical="center"/>
      <protection hidden="1"/>
    </xf>
    <xf numFmtId="0" fontId="122" fillId="0" borderId="0" xfId="0" quotePrefix="1" applyFont="1" applyAlignment="1" applyProtection="1">
      <alignment horizontal="left" vertical="center"/>
      <protection hidden="1"/>
    </xf>
    <xf numFmtId="0" fontId="123" fillId="0" borderId="0" xfId="0" applyFont="1" applyProtection="1">
      <protection hidden="1"/>
    </xf>
    <xf numFmtId="170" fontId="33" fillId="19" borderId="33" xfId="0" applyNumberFormat="1" applyFont="1" applyFill="1" applyBorder="1" applyAlignment="1" applyProtection="1">
      <alignment horizontal="center"/>
      <protection locked="0"/>
    </xf>
    <xf numFmtId="0" fontId="33" fillId="4" borderId="0" xfId="0" applyFont="1" applyFill="1" applyProtection="1">
      <protection hidden="1"/>
    </xf>
    <xf numFmtId="167" fontId="33" fillId="0" borderId="41" xfId="0" applyNumberFormat="1" applyFont="1" applyBorder="1" applyAlignment="1" applyProtection="1">
      <alignment horizontal="center"/>
      <protection locked="0"/>
    </xf>
    <xf numFmtId="0" fontId="66" fillId="0" borderId="0" xfId="0" applyFont="1"/>
    <xf numFmtId="0" fontId="31" fillId="27" borderId="0" xfId="0" applyFont="1" applyFill="1" applyAlignment="1" applyProtection="1">
      <alignment vertical="center"/>
      <protection hidden="1"/>
    </xf>
    <xf numFmtId="0" fontId="25" fillId="27" borderId="0" xfId="0" applyFont="1" applyFill="1" applyProtection="1">
      <protection hidden="1"/>
    </xf>
    <xf numFmtId="0" fontId="25" fillId="27" borderId="0" xfId="0" applyFont="1" applyFill="1"/>
    <xf numFmtId="0" fontId="30" fillId="27" borderId="0" xfId="0" applyFont="1" applyFill="1" applyProtection="1">
      <protection hidden="1"/>
    </xf>
    <xf numFmtId="0" fontId="0" fillId="27" borderId="0" xfId="0" applyFill="1"/>
    <xf numFmtId="0" fontId="57" fillId="27" borderId="0" xfId="0" applyFont="1" applyFill="1"/>
    <xf numFmtId="168" fontId="28" fillId="18" borderId="33" xfId="3" applyFont="1" applyFill="1" applyBorder="1" applyAlignment="1" applyProtection="1">
      <protection locked="0"/>
    </xf>
    <xf numFmtId="168" fontId="28" fillId="19" borderId="33" xfId="3" applyFont="1" applyFill="1" applyBorder="1" applyProtection="1">
      <protection locked="0"/>
    </xf>
    <xf numFmtId="185" fontId="28" fillId="19" borderId="33" xfId="3" applyNumberFormat="1" applyFont="1" applyFill="1" applyBorder="1" applyProtection="1">
      <protection locked="0"/>
    </xf>
    <xf numFmtId="168" fontId="28" fillId="19" borderId="33" xfId="3" applyFont="1" applyFill="1" applyBorder="1" applyProtection="1">
      <protection locked="0" hidden="1"/>
    </xf>
    <xf numFmtId="168" fontId="4" fillId="19" borderId="33" xfId="3" applyFont="1" applyFill="1" applyBorder="1" applyProtection="1">
      <protection locked="0"/>
    </xf>
    <xf numFmtId="168" fontId="27" fillId="19" borderId="33" xfId="3" applyFont="1" applyFill="1" applyBorder="1" applyProtection="1">
      <protection locked="0"/>
    </xf>
    <xf numFmtId="0" fontId="27" fillId="19" borderId="33" xfId="3" applyNumberFormat="1" applyFont="1" applyFill="1" applyBorder="1" applyProtection="1">
      <protection locked="0"/>
    </xf>
    <xf numFmtId="0" fontId="27" fillId="19" borderId="33" xfId="0" applyFont="1" applyFill="1" applyBorder="1" applyProtection="1">
      <protection locked="0"/>
    </xf>
    <xf numFmtId="174" fontId="27" fillId="19" borderId="33" xfId="5" applyFont="1" applyFill="1" applyBorder="1" applyProtection="1">
      <protection locked="0"/>
    </xf>
    <xf numFmtId="185" fontId="28" fillId="0" borderId="13" xfId="0" applyNumberFormat="1" applyFont="1" applyBorder="1" applyAlignment="1">
      <alignment horizontal="center"/>
    </xf>
    <xf numFmtId="185" fontId="28" fillId="0" borderId="0" xfId="0" applyNumberFormat="1" applyFont="1" applyAlignment="1">
      <alignment horizontal="center"/>
    </xf>
    <xf numFmtId="185" fontId="25" fillId="0" borderId="13" xfId="0" applyNumberFormat="1" applyFont="1" applyBorder="1" applyAlignment="1">
      <alignment horizontal="center"/>
    </xf>
    <xf numFmtId="185" fontId="25" fillId="0" borderId="16" xfId="0" applyNumberFormat="1" applyFont="1" applyBorder="1" applyAlignment="1">
      <alignment horizontal="center"/>
    </xf>
    <xf numFmtId="185" fontId="25" fillId="0" borderId="0" xfId="0" applyNumberFormat="1" applyFont="1" applyAlignment="1">
      <alignment horizontal="center"/>
    </xf>
    <xf numFmtId="0" fontId="28" fillId="0" borderId="14" xfId="0" applyFont="1" applyBorder="1" applyAlignment="1">
      <alignment vertical="center"/>
    </xf>
    <xf numFmtId="185" fontId="28" fillId="0" borderId="14" xfId="0" applyNumberFormat="1" applyFont="1" applyBorder="1" applyAlignment="1">
      <alignment horizontal="center"/>
    </xf>
    <xf numFmtId="185" fontId="115" fillId="0" borderId="0" xfId="0" applyNumberFormat="1" applyFont="1" applyAlignment="1">
      <alignment horizontal="center"/>
    </xf>
    <xf numFmtId="170" fontId="26" fillId="0" borderId="41" xfId="0" applyNumberFormat="1" applyFont="1" applyBorder="1" applyAlignment="1" applyProtection="1">
      <alignment horizontal="center"/>
      <protection locked="0"/>
    </xf>
    <xf numFmtId="170" fontId="26" fillId="0" borderId="71" xfId="0" applyNumberFormat="1" applyFont="1" applyBorder="1" applyAlignment="1" applyProtection="1">
      <alignment horizontal="center"/>
      <protection locked="0"/>
    </xf>
    <xf numFmtId="170" fontId="104" fillId="0" borderId="0" xfId="0" applyNumberFormat="1" applyFont="1"/>
    <xf numFmtId="185" fontId="28" fillId="17" borderId="13" xfId="0" applyNumberFormat="1" applyFont="1" applyFill="1" applyBorder="1" applyAlignment="1">
      <alignment horizontal="center"/>
    </xf>
    <xf numFmtId="185" fontId="28" fillId="17" borderId="0" xfId="0" applyNumberFormat="1" applyFont="1" applyFill="1" applyAlignment="1">
      <alignment horizontal="center"/>
    </xf>
    <xf numFmtId="185" fontId="25" fillId="17" borderId="13" xfId="0" applyNumberFormat="1" applyFont="1" applyFill="1" applyBorder="1" applyAlignment="1">
      <alignment horizontal="center"/>
    </xf>
    <xf numFmtId="185" fontId="25" fillId="17" borderId="16" xfId="0" applyNumberFormat="1" applyFont="1" applyFill="1" applyBorder="1" applyAlignment="1">
      <alignment horizontal="center"/>
    </xf>
    <xf numFmtId="185" fontId="25" fillId="17" borderId="0" xfId="0" applyNumberFormat="1" applyFont="1" applyFill="1" applyAlignment="1">
      <alignment horizontal="center"/>
    </xf>
    <xf numFmtId="185" fontId="25" fillId="17" borderId="0" xfId="0" applyNumberFormat="1" applyFont="1" applyFill="1" applyAlignment="1">
      <alignment horizontal="center" vertical="center"/>
    </xf>
    <xf numFmtId="185" fontId="28" fillId="17" borderId="0" xfId="0" applyNumberFormat="1" applyFont="1" applyFill="1" applyAlignment="1">
      <alignment horizontal="center" vertical="center"/>
    </xf>
    <xf numFmtId="185" fontId="28" fillId="17" borderId="14" xfId="0" applyNumberFormat="1" applyFont="1" applyFill="1" applyBorder="1" applyAlignment="1">
      <alignment horizontal="center"/>
    </xf>
    <xf numFmtId="180" fontId="28" fillId="28" borderId="36" xfId="0" applyNumberFormat="1" applyFont="1" applyFill="1" applyBorder="1" applyAlignment="1">
      <alignment horizontal="center"/>
    </xf>
    <xf numFmtId="167" fontId="115" fillId="0" borderId="0" xfId="0" applyNumberFormat="1" applyFont="1" applyAlignment="1">
      <alignment horizontal="center"/>
    </xf>
    <xf numFmtId="167" fontId="25" fillId="28" borderId="36" xfId="0" applyNumberFormat="1" applyFont="1" applyFill="1" applyBorder="1" applyAlignment="1">
      <alignment horizontal="center"/>
    </xf>
    <xf numFmtId="167" fontId="25" fillId="17" borderId="0" xfId="0" applyNumberFormat="1" applyFont="1" applyFill="1" applyAlignment="1">
      <alignment horizontal="center"/>
    </xf>
    <xf numFmtId="167" fontId="25" fillId="21" borderId="27" xfId="0" applyNumberFormat="1" applyFont="1" applyFill="1" applyBorder="1" applyAlignment="1">
      <alignment horizontal="center"/>
    </xf>
    <xf numFmtId="185" fontId="28" fillId="28" borderId="72" xfId="0" applyNumberFormat="1" applyFont="1" applyFill="1" applyBorder="1" applyAlignment="1">
      <alignment horizontal="center"/>
    </xf>
    <xf numFmtId="9" fontId="25" fillId="21" borderId="27" xfId="7" applyFont="1" applyFill="1" applyBorder="1" applyAlignment="1" applyProtection="1">
      <alignment horizontal="center"/>
    </xf>
    <xf numFmtId="185" fontId="28" fillId="28" borderId="36" xfId="0" applyNumberFormat="1" applyFont="1" applyFill="1" applyBorder="1" applyAlignment="1">
      <alignment horizontal="center"/>
    </xf>
    <xf numFmtId="185" fontId="25" fillId="21" borderId="27" xfId="0" applyNumberFormat="1" applyFont="1" applyFill="1" applyBorder="1" applyAlignment="1">
      <alignment horizontal="center"/>
    </xf>
    <xf numFmtId="185" fontId="25" fillId="28" borderId="36" xfId="0" applyNumberFormat="1" applyFont="1" applyFill="1" applyBorder="1" applyAlignment="1">
      <alignment horizontal="center"/>
    </xf>
    <xf numFmtId="185" fontId="25" fillId="28" borderId="72" xfId="0" applyNumberFormat="1" applyFont="1" applyFill="1" applyBorder="1" applyAlignment="1">
      <alignment horizontal="center"/>
    </xf>
    <xf numFmtId="185" fontId="25" fillId="21" borderId="73" xfId="0" applyNumberFormat="1" applyFont="1" applyFill="1" applyBorder="1" applyAlignment="1">
      <alignment horizontal="center"/>
    </xf>
    <xf numFmtId="185" fontId="25" fillId="28" borderId="74" xfId="0" applyNumberFormat="1" applyFont="1" applyFill="1" applyBorder="1" applyAlignment="1">
      <alignment horizontal="center"/>
    </xf>
    <xf numFmtId="185" fontId="25" fillId="21" borderId="75" xfId="0" applyNumberFormat="1" applyFont="1" applyFill="1" applyBorder="1" applyAlignment="1">
      <alignment horizontal="center"/>
    </xf>
    <xf numFmtId="185" fontId="115" fillId="17" borderId="0" xfId="0" applyNumberFormat="1" applyFont="1" applyFill="1" applyAlignment="1">
      <alignment horizontal="center"/>
    </xf>
    <xf numFmtId="185" fontId="25" fillId="28" borderId="36" xfId="0" applyNumberFormat="1" applyFont="1" applyFill="1" applyBorder="1" applyAlignment="1">
      <alignment horizontal="center" vertical="center"/>
    </xf>
    <xf numFmtId="185" fontId="25" fillId="21" borderId="27" xfId="0" applyNumberFormat="1" applyFont="1" applyFill="1" applyBorder="1" applyAlignment="1">
      <alignment horizontal="center" vertical="center"/>
    </xf>
    <xf numFmtId="185" fontId="28" fillId="28" borderId="36" xfId="0" applyNumberFormat="1" applyFont="1" applyFill="1" applyBorder="1" applyAlignment="1">
      <alignment horizontal="center" vertical="center"/>
    </xf>
    <xf numFmtId="185" fontId="28" fillId="28" borderId="76" xfId="0" applyNumberFormat="1" applyFont="1" applyFill="1" applyBorder="1" applyAlignment="1">
      <alignment horizontal="center"/>
    </xf>
    <xf numFmtId="9" fontId="25" fillId="21" borderId="77" xfId="7" applyFont="1" applyFill="1" applyBorder="1" applyAlignment="1" applyProtection="1">
      <alignment horizontal="center"/>
    </xf>
    <xf numFmtId="167" fontId="25" fillId="0" borderId="36" xfId="0" applyNumberFormat="1" applyFont="1" applyBorder="1" applyAlignment="1">
      <alignment horizontal="center"/>
    </xf>
    <xf numFmtId="185" fontId="28" fillId="0" borderId="72" xfId="0" applyNumberFormat="1" applyFont="1" applyBorder="1" applyAlignment="1">
      <alignment horizontal="center"/>
    </xf>
    <xf numFmtId="185" fontId="28" fillId="0" borderId="36" xfId="0" applyNumberFormat="1" applyFont="1" applyBorder="1" applyAlignment="1">
      <alignment horizontal="center"/>
    </xf>
    <xf numFmtId="185" fontId="25" fillId="0" borderId="36" xfId="0" applyNumberFormat="1" applyFont="1" applyBorder="1" applyAlignment="1">
      <alignment horizontal="center"/>
    </xf>
    <xf numFmtId="185" fontId="25" fillId="0" borderId="72" xfId="0" applyNumberFormat="1" applyFont="1" applyBorder="1" applyAlignment="1">
      <alignment horizontal="center"/>
    </xf>
    <xf numFmtId="185" fontId="25" fillId="0" borderId="74" xfId="0" applyNumberFormat="1" applyFont="1" applyBorder="1" applyAlignment="1">
      <alignment horizontal="center"/>
    </xf>
    <xf numFmtId="185" fontId="25" fillId="0" borderId="36" xfId="0" applyNumberFormat="1" applyFont="1" applyBorder="1" applyAlignment="1">
      <alignment horizontal="center" vertical="center"/>
    </xf>
    <xf numFmtId="185" fontId="28" fillId="0" borderId="36" xfId="0" applyNumberFormat="1" applyFont="1" applyBorder="1" applyAlignment="1">
      <alignment horizontal="center" vertical="center"/>
    </xf>
    <xf numFmtId="185" fontId="28" fillId="0" borderId="76" xfId="0" applyNumberFormat="1" applyFont="1" applyBorder="1" applyAlignment="1">
      <alignment horizontal="center"/>
    </xf>
    <xf numFmtId="170" fontId="125" fillId="0" borderId="13" xfId="0" applyNumberFormat="1" applyFont="1" applyBorder="1" applyAlignment="1">
      <alignment horizontal="center"/>
    </xf>
    <xf numFmtId="170" fontId="26" fillId="0" borderId="0" xfId="0" applyNumberFormat="1" applyFont="1" applyAlignment="1">
      <alignment horizontal="center"/>
    </xf>
    <xf numFmtId="173" fontId="5" fillId="0" borderId="0" xfId="0" applyNumberFormat="1" applyFont="1" applyAlignment="1" applyProtection="1">
      <alignment horizontal="left"/>
      <protection locked="0" hidden="1"/>
    </xf>
    <xf numFmtId="173" fontId="2" fillId="0" borderId="0" xfId="0" applyNumberFormat="1" applyFont="1" applyAlignment="1" applyProtection="1">
      <alignment horizontal="left"/>
      <protection locked="0" hidden="1"/>
    </xf>
    <xf numFmtId="173" fontId="99" fillId="0" borderId="0" xfId="0" applyNumberFormat="1" applyFont="1" applyAlignment="1" applyProtection="1">
      <alignment horizontal="left"/>
      <protection locked="0" hidden="1"/>
    </xf>
    <xf numFmtId="189" fontId="28" fillId="0" borderId="33" xfId="0" applyNumberFormat="1" applyFont="1" applyBorder="1" applyAlignment="1" applyProtection="1">
      <alignment horizontal="center"/>
      <protection locked="0"/>
    </xf>
    <xf numFmtId="185" fontId="28" fillId="0" borderId="33" xfId="0" applyNumberFormat="1" applyFont="1" applyBorder="1" applyAlignment="1" applyProtection="1">
      <alignment horizontal="center"/>
      <protection locked="0"/>
    </xf>
    <xf numFmtId="185" fontId="25" fillId="0" borderId="33" xfId="0" applyNumberFormat="1" applyFont="1" applyBorder="1" applyAlignment="1" applyProtection="1">
      <alignment horizontal="center"/>
      <protection locked="0"/>
    </xf>
    <xf numFmtId="0" fontId="39" fillId="0" borderId="0" xfId="7" applyNumberFormat="1" applyFont="1" applyFill="1" applyAlignment="1" applyProtection="1">
      <alignment horizontal="center"/>
      <protection hidden="1"/>
    </xf>
    <xf numFmtId="185" fontId="25" fillId="0" borderId="0" xfId="0" applyNumberFormat="1" applyFont="1" applyAlignment="1" applyProtection="1">
      <alignment horizontal="center"/>
      <protection locked="0"/>
    </xf>
    <xf numFmtId="0" fontId="28" fillId="0" borderId="0" xfId="0" applyFont="1" applyAlignment="1" applyProtection="1">
      <alignment vertical="center"/>
      <protection hidden="1"/>
    </xf>
    <xf numFmtId="0" fontId="28" fillId="0" borderId="17" xfId="0" applyFont="1" applyBorder="1" applyAlignment="1" applyProtection="1">
      <alignment vertical="center"/>
      <protection hidden="1"/>
    </xf>
    <xf numFmtId="0" fontId="2" fillId="0" borderId="0" xfId="8" applyFont="1" applyAlignment="1" applyProtection="1">
      <alignment horizontal="right" wrapText="1"/>
      <protection locked="0"/>
    </xf>
    <xf numFmtId="0" fontId="126" fillId="0" borderId="0" xfId="0" applyFont="1"/>
    <xf numFmtId="0" fontId="126" fillId="0" borderId="0" xfId="0" applyFont="1" applyAlignment="1">
      <alignment horizontal="center"/>
    </xf>
    <xf numFmtId="168" fontId="33" fillId="28" borderId="19" xfId="3" applyFont="1" applyFill="1" applyBorder="1" applyAlignment="1" applyProtection="1">
      <alignment horizontal="center"/>
      <protection hidden="1"/>
    </xf>
    <xf numFmtId="0" fontId="33" fillId="28" borderId="43" xfId="6" applyFont="1" applyFill="1" applyBorder="1" applyAlignment="1" applyProtection="1">
      <alignment horizontal="center"/>
      <protection locked="0" hidden="1"/>
    </xf>
    <xf numFmtId="0" fontId="33" fillId="28" borderId="41" xfId="6" applyFont="1" applyFill="1" applyBorder="1" applyAlignment="1" applyProtection="1">
      <alignment horizontal="center"/>
      <protection locked="0" hidden="1"/>
    </xf>
    <xf numFmtId="10" fontId="33" fillId="28" borderId="41" xfId="6" applyNumberFormat="1" applyFont="1" applyFill="1" applyBorder="1" applyAlignment="1" applyProtection="1">
      <alignment horizontal="center"/>
      <protection locked="0" hidden="1"/>
    </xf>
    <xf numFmtId="0" fontId="33" fillId="28" borderId="5" xfId="6" applyFont="1" applyFill="1" applyBorder="1" applyProtection="1">
      <protection hidden="1"/>
    </xf>
    <xf numFmtId="10" fontId="33" fillId="29" borderId="33" xfId="7" applyNumberFormat="1" applyFont="1" applyFill="1" applyBorder="1" applyAlignment="1" applyProtection="1">
      <alignment horizontal="center"/>
      <protection locked="0" hidden="1"/>
    </xf>
    <xf numFmtId="0" fontId="33" fillId="29" borderId="33" xfId="7" applyNumberFormat="1" applyFont="1" applyFill="1" applyBorder="1" applyAlignment="1" applyProtection="1">
      <alignment horizontal="center"/>
      <protection locked="0" hidden="1"/>
    </xf>
    <xf numFmtId="168" fontId="33" fillId="16" borderId="43"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hidden="1"/>
    </xf>
    <xf numFmtId="168" fontId="33" fillId="28" borderId="48" xfId="3" applyFont="1" applyFill="1" applyBorder="1" applyAlignment="1" applyProtection="1">
      <alignment horizontal="center"/>
      <protection hidden="1"/>
    </xf>
    <xf numFmtId="9" fontId="33" fillId="16" borderId="41" xfId="7" applyFont="1" applyFill="1" applyBorder="1" applyAlignment="1" applyProtection="1">
      <alignment horizontal="center"/>
      <protection locked="0" hidden="1"/>
    </xf>
    <xf numFmtId="184" fontId="33" fillId="16" borderId="41" xfId="6" applyNumberFormat="1" applyFont="1" applyFill="1" applyBorder="1" applyAlignment="1" applyProtection="1">
      <alignment horizontal="center"/>
      <protection locked="0" hidden="1"/>
    </xf>
    <xf numFmtId="9" fontId="33" fillId="4" borderId="41" xfId="7" applyFont="1" applyFill="1" applyBorder="1" applyAlignment="1" applyProtection="1">
      <alignment horizontal="center"/>
      <protection locked="0" hidden="1"/>
    </xf>
    <xf numFmtId="184" fontId="33" fillId="4" borderId="41" xfId="6" applyNumberFormat="1" applyFont="1" applyFill="1" applyBorder="1" applyAlignment="1" applyProtection="1">
      <alignment horizontal="center"/>
      <protection locked="0" hidden="1"/>
    </xf>
    <xf numFmtId="9" fontId="33" fillId="28" borderId="41" xfId="7" applyFont="1" applyFill="1" applyBorder="1" applyAlignment="1" applyProtection="1">
      <alignment horizontal="center"/>
      <protection locked="0" hidden="1"/>
    </xf>
    <xf numFmtId="184" fontId="33" fillId="28" borderId="41" xfId="6" applyNumberFormat="1" applyFont="1" applyFill="1" applyBorder="1" applyAlignment="1" applyProtection="1">
      <alignment horizontal="center"/>
      <protection locked="0" hidden="1"/>
    </xf>
    <xf numFmtId="0" fontId="53" fillId="16" borderId="41" xfId="6" applyFont="1" applyFill="1" applyBorder="1" applyAlignment="1" applyProtection="1">
      <alignment horizontal="center"/>
      <protection locked="0" hidden="1"/>
    </xf>
    <xf numFmtId="0" fontId="53" fillId="4" borderId="41" xfId="6" applyFont="1" applyFill="1" applyBorder="1" applyAlignment="1" applyProtection="1">
      <alignment horizontal="center"/>
      <protection locked="0" hidden="1"/>
    </xf>
    <xf numFmtId="0" fontId="53" fillId="28" borderId="41" xfId="6" applyFont="1" applyFill="1" applyBorder="1" applyAlignment="1" applyProtection="1">
      <alignment horizontal="center"/>
      <protection locked="0" hidden="1"/>
    </xf>
    <xf numFmtId="0" fontId="54" fillId="4" borderId="41" xfId="6" applyFont="1" applyFill="1" applyBorder="1" applyAlignment="1" applyProtection="1">
      <alignment horizontal="center"/>
      <protection locked="0" hidden="1"/>
    </xf>
    <xf numFmtId="0" fontId="33" fillId="17" borderId="24" xfId="6" applyFont="1" applyFill="1" applyBorder="1" applyAlignment="1" applyProtection="1">
      <alignment horizontal="center"/>
      <protection hidden="1"/>
    </xf>
    <xf numFmtId="10" fontId="33" fillId="0" borderId="41" xfId="7" applyNumberFormat="1" applyFont="1" applyFill="1" applyBorder="1" applyAlignment="1" applyProtection="1">
      <alignment horizontal="center"/>
      <protection locked="0" hidden="1"/>
    </xf>
    <xf numFmtId="10" fontId="33" fillId="0" borderId="42" xfId="7" applyNumberFormat="1" applyFont="1" applyFill="1" applyBorder="1" applyAlignment="1" applyProtection="1">
      <alignment horizontal="center"/>
      <protection locked="0" hidden="1"/>
    </xf>
    <xf numFmtId="168" fontId="33" fillId="16" borderId="44" xfId="3" applyFont="1" applyFill="1" applyBorder="1" applyAlignment="1" applyProtection="1">
      <alignment horizontal="center"/>
      <protection locked="0" hidden="1"/>
    </xf>
    <xf numFmtId="168" fontId="33" fillId="16" borderId="79" xfId="3" applyFont="1" applyFill="1" applyBorder="1" applyAlignment="1" applyProtection="1">
      <alignment horizontal="center"/>
      <protection locked="0" hidden="1"/>
    </xf>
    <xf numFmtId="10" fontId="33" fillId="4" borderId="41" xfId="7" applyNumberFormat="1" applyFont="1" applyFill="1" applyBorder="1" applyAlignment="1" applyProtection="1">
      <alignment horizontal="center"/>
      <protection locked="0" hidden="1"/>
    </xf>
    <xf numFmtId="0" fontId="127" fillId="0" borderId="0" xfId="0" applyFont="1"/>
    <xf numFmtId="167" fontId="26" fillId="0" borderId="0" xfId="0" applyNumberFormat="1" applyFont="1" applyAlignment="1">
      <alignment horizontal="center"/>
    </xf>
    <xf numFmtId="0" fontId="26" fillId="0" borderId="0" xfId="0" applyFont="1" applyAlignment="1">
      <alignment horizontal="center"/>
    </xf>
    <xf numFmtId="167" fontId="26" fillId="21" borderId="27" xfId="0" applyNumberFormat="1" applyFont="1" applyFill="1" applyBorder="1" applyAlignment="1">
      <alignment horizontal="center"/>
    </xf>
    <xf numFmtId="9" fontId="26" fillId="21" borderId="27" xfId="7" applyFont="1" applyFill="1" applyBorder="1" applyAlignment="1" applyProtection="1">
      <alignment horizontal="center"/>
    </xf>
    <xf numFmtId="185" fontId="26" fillId="21" borderId="27" xfId="0" applyNumberFormat="1" applyFont="1" applyFill="1" applyBorder="1" applyAlignment="1">
      <alignment horizontal="center"/>
    </xf>
    <xf numFmtId="185" fontId="26" fillId="21" borderId="73" xfId="0" applyNumberFormat="1" applyFont="1" applyFill="1" applyBorder="1" applyAlignment="1">
      <alignment horizontal="center"/>
    </xf>
    <xf numFmtId="185" fontId="26" fillId="21" borderId="75" xfId="0" applyNumberFormat="1" applyFont="1" applyFill="1" applyBorder="1" applyAlignment="1">
      <alignment horizontal="center"/>
    </xf>
    <xf numFmtId="185" fontId="26" fillId="21" borderId="27" xfId="0" applyNumberFormat="1" applyFont="1" applyFill="1" applyBorder="1" applyAlignment="1">
      <alignment horizontal="center" vertical="center"/>
    </xf>
    <xf numFmtId="9" fontId="26" fillId="21" borderId="77" xfId="7" applyFont="1" applyFill="1" applyBorder="1" applyAlignment="1" applyProtection="1">
      <alignment horizontal="center"/>
    </xf>
    <xf numFmtId="167" fontId="118" fillId="0" borderId="0" xfId="0" applyNumberFormat="1" applyFont="1" applyAlignment="1">
      <alignment horizontal="center"/>
    </xf>
    <xf numFmtId="168" fontId="33" fillId="16" borderId="41" xfId="3" applyFont="1" applyFill="1" applyBorder="1" applyAlignment="1" applyProtection="1">
      <alignment horizontal="center"/>
      <protection hidden="1"/>
    </xf>
    <xf numFmtId="0" fontId="63" fillId="0" borderId="0" xfId="6" applyFont="1" applyFill="1" applyAlignment="1" applyProtection="1">
      <alignment horizontal="center" vertical="center"/>
      <protection hidden="1"/>
    </xf>
    <xf numFmtId="0" fontId="128" fillId="0" borderId="0" xfId="0" applyFont="1" applyProtection="1">
      <protection hidden="1"/>
    </xf>
    <xf numFmtId="168" fontId="28" fillId="4" borderId="0" xfId="3" applyFont="1" applyFill="1" applyBorder="1" applyProtection="1"/>
    <xf numFmtId="190" fontId="28" fillId="0" borderId="80" xfId="7" applyNumberFormat="1" applyFont="1" applyFill="1" applyBorder="1" applyAlignment="1" applyProtection="1">
      <alignment horizontal="center"/>
      <protection locked="0" hidden="1"/>
    </xf>
    <xf numFmtId="10" fontId="28" fillId="0" borderId="80" xfId="7" applyNumberFormat="1" applyFont="1" applyFill="1" applyBorder="1" applyAlignment="1" applyProtection="1">
      <alignment horizontal="center"/>
      <protection locked="0" hidden="1"/>
    </xf>
    <xf numFmtId="0" fontId="124" fillId="0" borderId="0" xfId="0" applyFont="1" applyProtection="1">
      <protection locked="0" hidden="1"/>
    </xf>
    <xf numFmtId="167" fontId="47" fillId="0" borderId="0" xfId="0" applyNumberFormat="1" applyFont="1"/>
    <xf numFmtId="164" fontId="28" fillId="0" borderId="18" xfId="0" applyNumberFormat="1" applyFont="1" applyBorder="1"/>
    <xf numFmtId="0" fontId="28" fillId="0" borderId="16" xfId="0" applyFont="1" applyBorder="1"/>
    <xf numFmtId="0" fontId="28" fillId="0" borderId="23" xfId="0" applyFont="1" applyBorder="1"/>
    <xf numFmtId="0" fontId="25" fillId="0" borderId="13" xfId="0" applyFont="1" applyBorder="1" applyAlignment="1">
      <alignment vertical="center"/>
    </xf>
    <xf numFmtId="164" fontId="25" fillId="0" borderId="13" xfId="0" applyNumberFormat="1" applyFont="1" applyBorder="1"/>
    <xf numFmtId="166" fontId="28" fillId="0" borderId="0" xfId="0" applyNumberFormat="1" applyFont="1"/>
    <xf numFmtId="0" fontId="5" fillId="16" borderId="0" xfId="0" applyFont="1" applyFill="1" applyProtection="1">
      <protection locked="0" hidden="1"/>
    </xf>
    <xf numFmtId="0" fontId="71" fillId="16" borderId="0" xfId="0" applyFont="1" applyFill="1" applyProtection="1">
      <protection locked="0" hidden="1"/>
    </xf>
    <xf numFmtId="171" fontId="129" fillId="0" borderId="0" xfId="0" applyNumberFormat="1" applyFont="1" applyAlignment="1" applyProtection="1">
      <alignment horizontal="center"/>
      <protection hidden="1"/>
    </xf>
    <xf numFmtId="168" fontId="5" fillId="16" borderId="0" xfId="0" applyNumberFormat="1" applyFont="1" applyFill="1" applyProtection="1">
      <protection locked="0" hidden="1"/>
    </xf>
    <xf numFmtId="9" fontId="111" fillId="0" borderId="19" xfId="0" applyNumberFormat="1" applyFont="1" applyBorder="1" applyAlignment="1" applyProtection="1">
      <alignment horizontal="center"/>
      <protection locked="0" hidden="1"/>
    </xf>
    <xf numFmtId="9" fontId="111" fillId="0" borderId="19" xfId="7" applyFont="1" applyBorder="1" applyAlignment="1" applyProtection="1">
      <alignment horizontal="center"/>
      <protection locked="0" hidden="1"/>
    </xf>
    <xf numFmtId="9" fontId="111" fillId="30" borderId="19" xfId="0" applyNumberFormat="1" applyFont="1" applyFill="1" applyBorder="1" applyAlignment="1" applyProtection="1">
      <alignment horizontal="center"/>
      <protection locked="0" hidden="1"/>
    </xf>
    <xf numFmtId="9" fontId="111" fillId="30" borderId="19" xfId="0" applyNumberFormat="1" applyFont="1" applyFill="1" applyBorder="1" applyProtection="1">
      <protection locked="0" hidden="1"/>
    </xf>
    <xf numFmtId="178" fontId="111" fillId="0" borderId="28" xfId="0" applyNumberFormat="1" applyFont="1" applyBorder="1" applyProtection="1">
      <protection locked="0" hidden="1"/>
    </xf>
    <xf numFmtId="178" fontId="111" fillId="0" borderId="21" xfId="0" applyNumberFormat="1" applyFont="1" applyBorder="1" applyProtection="1">
      <protection locked="0" hidden="1"/>
    </xf>
    <xf numFmtId="176" fontId="127" fillId="0" borderId="18" xfId="7" applyNumberFormat="1" applyFont="1" applyFill="1" applyBorder="1" applyAlignment="1" applyProtection="1">
      <alignment horizontal="left"/>
      <protection locked="0" hidden="1"/>
    </xf>
    <xf numFmtId="176" fontId="127" fillId="0" borderId="48" xfId="7" applyNumberFormat="1" applyFont="1" applyFill="1" applyBorder="1" applyAlignment="1" applyProtection="1">
      <alignment horizontal="left"/>
      <protection locked="0" hidden="1"/>
    </xf>
    <xf numFmtId="10" fontId="33" fillId="0" borderId="43" xfId="7" applyNumberFormat="1" applyFont="1" applyFill="1" applyBorder="1" applyAlignment="1" applyProtection="1">
      <alignment horizontal="center"/>
      <protection locked="0" hidden="1"/>
    </xf>
    <xf numFmtId="10" fontId="33" fillId="19" borderId="70" xfId="7" applyNumberFormat="1" applyFont="1" applyFill="1" applyBorder="1" applyAlignment="1" applyProtection="1">
      <alignment horizontal="center"/>
      <protection locked="0" hidden="1"/>
    </xf>
    <xf numFmtId="0" fontId="25" fillId="19" borderId="70" xfId="0" applyFont="1" applyFill="1" applyBorder="1" applyAlignment="1" applyProtection="1">
      <alignment horizontal="center" vertical="center"/>
      <protection locked="0"/>
    </xf>
    <xf numFmtId="9" fontId="42" fillId="19" borderId="33" xfId="7" applyFont="1" applyFill="1" applyBorder="1" applyAlignment="1" applyProtection="1">
      <alignment horizontal="left" vertical="center"/>
      <protection locked="0"/>
    </xf>
    <xf numFmtId="0" fontId="33" fillId="21" borderId="19" xfId="6" applyFont="1" applyFill="1" applyBorder="1" applyProtection="1">
      <protection hidden="1"/>
    </xf>
    <xf numFmtId="0" fontId="33" fillId="28" borderId="19" xfId="6" applyFont="1" applyFill="1" applyBorder="1" applyProtection="1">
      <protection hidden="1"/>
    </xf>
    <xf numFmtId="0" fontId="33" fillId="17" borderId="19" xfId="6" applyFont="1" applyFill="1" applyBorder="1" applyProtection="1">
      <protection hidden="1"/>
    </xf>
    <xf numFmtId="0" fontId="25" fillId="16" borderId="19" xfId="0" applyFont="1" applyFill="1" applyBorder="1" applyProtection="1">
      <protection hidden="1"/>
    </xf>
    <xf numFmtId="10" fontId="115" fillId="0" borderId="38" xfId="7" applyNumberFormat="1" applyFont="1" applyFill="1" applyBorder="1" applyAlignment="1" applyProtection="1">
      <alignment horizontal="center" vertical="center"/>
      <protection hidden="1"/>
    </xf>
    <xf numFmtId="0" fontId="71" fillId="0" borderId="0" xfId="0" applyFont="1" applyAlignment="1" applyProtection="1">
      <alignment horizontal="center" vertical="center"/>
      <protection locked="0" hidden="1"/>
    </xf>
    <xf numFmtId="0" fontId="130" fillId="0" borderId="0" xfId="0" applyFont="1" applyProtection="1">
      <protection hidden="1"/>
    </xf>
    <xf numFmtId="1" fontId="26" fillId="0" borderId="21" xfId="0" applyNumberFormat="1" applyFont="1" applyBorder="1" applyAlignment="1" applyProtection="1">
      <alignment horizontal="center"/>
      <protection locked="0" hidden="1"/>
    </xf>
    <xf numFmtId="1" fontId="26" fillId="0" borderId="41" xfId="0" applyNumberFormat="1" applyFont="1" applyBorder="1" applyAlignment="1" applyProtection="1">
      <alignment horizontal="center"/>
      <protection locked="0" hidden="1"/>
    </xf>
    <xf numFmtId="182" fontId="26" fillId="0" borderId="41" xfId="3" quotePrefix="1" applyNumberFormat="1" applyFont="1" applyFill="1" applyBorder="1" applyAlignment="1" applyProtection="1">
      <alignment horizontal="center"/>
      <protection locked="0" hidden="1"/>
    </xf>
    <xf numFmtId="182" fontId="26" fillId="0" borderId="71" xfId="3" quotePrefix="1" applyNumberFormat="1" applyFont="1" applyFill="1" applyBorder="1" applyAlignment="1" applyProtection="1">
      <alignment horizontal="center"/>
      <protection locked="0" hidden="1"/>
    </xf>
    <xf numFmtId="164" fontId="25" fillId="0" borderId="13" xfId="3" applyNumberFormat="1" applyFont="1" applyFill="1" applyBorder="1" applyAlignment="1" applyProtection="1">
      <alignment horizontal="center"/>
      <protection hidden="1"/>
    </xf>
    <xf numFmtId="164" fontId="131" fillId="0" borderId="0" xfId="3" applyNumberFormat="1" applyFont="1" applyFill="1" applyBorder="1" applyAlignment="1" applyProtection="1">
      <alignment horizontal="center"/>
      <protection hidden="1"/>
    </xf>
    <xf numFmtId="0" fontId="132" fillId="0" borderId="0" xfId="0" applyFont="1"/>
    <xf numFmtId="164" fontId="133" fillId="0" borderId="14" xfId="3" applyNumberFormat="1" applyFont="1" applyFill="1" applyBorder="1" applyAlignment="1" applyProtection="1">
      <alignment horizontal="center"/>
      <protection hidden="1"/>
    </xf>
    <xf numFmtId="185" fontId="25" fillId="0" borderId="81" xfId="0" applyNumberFormat="1" applyFont="1" applyBorder="1" applyAlignment="1" applyProtection="1">
      <alignment horizontal="center"/>
      <protection locked="0"/>
    </xf>
    <xf numFmtId="1" fontId="134" fillId="0" borderId="0" xfId="3" applyNumberFormat="1" applyFont="1" applyFill="1" applyBorder="1" applyAlignment="1" applyProtection="1">
      <alignment horizontal="center"/>
      <protection hidden="1"/>
    </xf>
    <xf numFmtId="1" fontId="134" fillId="0" borderId="0" xfId="0" applyNumberFormat="1" applyFont="1" applyAlignment="1" applyProtection="1">
      <alignment horizontal="center"/>
      <protection hidden="1"/>
    </xf>
    <xf numFmtId="182" fontId="134" fillId="0" borderId="0" xfId="0" applyNumberFormat="1" applyFont="1" applyAlignment="1" applyProtection="1">
      <alignment horizontal="center"/>
      <protection hidden="1"/>
    </xf>
    <xf numFmtId="185" fontId="110" fillId="0" borderId="16" xfId="0" applyNumberFormat="1" applyFont="1" applyBorder="1" applyAlignment="1" applyProtection="1">
      <alignment horizontal="center"/>
      <protection hidden="1"/>
    </xf>
    <xf numFmtId="185" fontId="110" fillId="0" borderId="13" xfId="0" applyNumberFormat="1" applyFont="1" applyBorder="1" applyAlignment="1" applyProtection="1">
      <alignment horizontal="center"/>
      <protection hidden="1"/>
    </xf>
    <xf numFmtId="185" fontId="110" fillId="0" borderId="0" xfId="0" applyNumberFormat="1" applyFont="1" applyAlignment="1" applyProtection="1">
      <alignment horizontal="center" vertical="center"/>
      <protection hidden="1"/>
    </xf>
    <xf numFmtId="185" fontId="135" fillId="0" borderId="0" xfId="0" applyNumberFormat="1" applyFont="1" applyAlignment="1" applyProtection="1">
      <alignment horizontal="center" vertical="center"/>
      <protection hidden="1"/>
    </xf>
    <xf numFmtId="167" fontId="110" fillId="0" borderId="0" xfId="0" applyNumberFormat="1" applyFont="1" applyProtection="1">
      <protection hidden="1"/>
    </xf>
    <xf numFmtId="164" fontId="110" fillId="0" borderId="0" xfId="0" applyNumberFormat="1" applyFont="1" applyProtection="1">
      <protection hidden="1"/>
    </xf>
    <xf numFmtId="164" fontId="135" fillId="0" borderId="14" xfId="0" applyNumberFormat="1" applyFont="1" applyBorder="1" applyAlignment="1" applyProtection="1">
      <alignment horizontal="right" vertical="center"/>
      <protection hidden="1"/>
    </xf>
    <xf numFmtId="164" fontId="135" fillId="0" borderId="23" xfId="0" applyNumberFormat="1" applyFont="1" applyBorder="1" applyAlignment="1" applyProtection="1">
      <alignment horizontal="right" vertical="center"/>
      <protection hidden="1"/>
    </xf>
    <xf numFmtId="0" fontId="2" fillId="0" borderId="0" xfId="0" applyFont="1" applyAlignment="1">
      <alignment horizontal="center"/>
    </xf>
    <xf numFmtId="164" fontId="136" fillId="0" borderId="0" xfId="0" applyNumberFormat="1" applyFont="1" applyProtection="1">
      <protection locked="0" hidden="1"/>
    </xf>
    <xf numFmtId="164" fontId="136" fillId="0" borderId="0" xfId="0" applyNumberFormat="1" applyFont="1" applyProtection="1">
      <protection hidden="1"/>
    </xf>
    <xf numFmtId="0" fontId="28" fillId="20" borderId="36" xfId="0" applyFont="1" applyFill="1" applyBorder="1" applyAlignment="1" applyProtection="1">
      <alignment horizontal="left"/>
      <protection hidden="1"/>
    </xf>
    <xf numFmtId="0" fontId="28" fillId="20" borderId="0" xfId="0" applyFont="1" applyFill="1" applyAlignment="1" applyProtection="1">
      <alignment horizontal="center"/>
      <protection hidden="1"/>
    </xf>
    <xf numFmtId="1" fontId="25" fillId="20" borderId="0" xfId="0" applyNumberFormat="1" applyFont="1" applyFill="1" applyProtection="1">
      <protection hidden="1"/>
    </xf>
    <xf numFmtId="0" fontId="28" fillId="20" borderId="32" xfId="0" applyFont="1" applyFill="1" applyBorder="1" applyAlignment="1" applyProtection="1">
      <alignment horizontal="left"/>
      <protection hidden="1"/>
    </xf>
    <xf numFmtId="168" fontId="33" fillId="0" borderId="41"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locked="0" hidden="1"/>
    </xf>
    <xf numFmtId="168" fontId="33" fillId="28" borderId="41" xfId="3" applyFont="1" applyFill="1" applyBorder="1" applyAlignment="1" applyProtection="1">
      <alignment horizontal="center"/>
      <protection locked="0" hidden="1"/>
    </xf>
    <xf numFmtId="168" fontId="33" fillId="28" borderId="48" xfId="3" applyFont="1" applyFill="1" applyBorder="1" applyAlignment="1" applyProtection="1">
      <alignment horizontal="center"/>
      <protection locked="0" hidden="1"/>
    </xf>
    <xf numFmtId="0" fontId="4" fillId="0" borderId="0" xfId="0" applyFont="1" applyAlignment="1">
      <alignment horizontal="center"/>
    </xf>
    <xf numFmtId="0" fontId="4" fillId="0" borderId="0" xfId="0" applyFont="1" applyAlignment="1">
      <alignment horizontal="center" vertical="center"/>
    </xf>
    <xf numFmtId="0" fontId="43" fillId="0" borderId="0" xfId="0" applyFont="1" applyAlignment="1">
      <alignment horizontal="center" vertical="center"/>
    </xf>
    <xf numFmtId="0" fontId="77" fillId="0" borderId="0" xfId="0" applyFont="1" applyAlignment="1">
      <alignment horizontal="center" vertical="center"/>
    </xf>
    <xf numFmtId="0" fontId="25" fillId="0" borderId="0" xfId="0" applyFont="1" applyAlignment="1">
      <alignment horizontal="center"/>
    </xf>
    <xf numFmtId="167" fontId="25" fillId="0" borderId="0" xfId="0" applyNumberFormat="1" applyFont="1" applyAlignment="1" applyProtection="1">
      <alignment horizontal="right"/>
      <protection hidden="1"/>
    </xf>
    <xf numFmtId="164" fontId="28" fillId="0" borderId="16" xfId="0" applyNumberFormat="1" applyFont="1" applyBorder="1" applyAlignment="1" applyProtection="1">
      <alignment horizontal="right" vertical="center"/>
      <protection hidden="1"/>
    </xf>
    <xf numFmtId="164" fontId="28" fillId="0" borderId="23" xfId="0" applyNumberFormat="1" applyFont="1" applyBorder="1" applyAlignment="1" applyProtection="1">
      <alignment horizontal="right" vertical="center"/>
      <protection hidden="1"/>
    </xf>
    <xf numFmtId="167" fontId="28" fillId="0" borderId="32" xfId="0" applyNumberFormat="1" applyFont="1" applyBorder="1" applyAlignment="1" applyProtection="1">
      <alignment horizontal="center" vertical="center"/>
      <protection hidden="1"/>
    </xf>
    <xf numFmtId="167" fontId="28" fillId="0" borderId="14" xfId="0" applyNumberFormat="1" applyFont="1" applyBorder="1" applyAlignment="1" applyProtection="1">
      <alignment horizontal="center" vertical="center"/>
      <protection hidden="1"/>
    </xf>
    <xf numFmtId="164" fontId="28" fillId="0" borderId="32" xfId="0" applyNumberFormat="1" applyFont="1" applyBorder="1" applyAlignment="1" applyProtection="1">
      <alignment horizontal="right" vertical="center"/>
      <protection hidden="1"/>
    </xf>
    <xf numFmtId="164" fontId="28" fillId="0" borderId="14" xfId="0" applyNumberFormat="1" applyFont="1" applyBorder="1" applyAlignment="1" applyProtection="1">
      <alignment horizontal="right" vertical="center"/>
      <protection hidden="1"/>
    </xf>
    <xf numFmtId="0" fontId="28" fillId="0" borderId="16" xfId="0" applyFont="1" applyBorder="1" applyAlignment="1" applyProtection="1">
      <alignment horizontal="center" vertical="center"/>
      <protection hidden="1"/>
    </xf>
    <xf numFmtId="0" fontId="28" fillId="0" borderId="23" xfId="0" applyFont="1" applyBorder="1" applyAlignment="1" applyProtection="1">
      <alignment horizontal="center" vertical="center"/>
      <protection hidden="1"/>
    </xf>
    <xf numFmtId="164" fontId="28" fillId="0" borderId="0" xfId="0" applyNumberFormat="1" applyFont="1" applyAlignment="1" applyProtection="1">
      <alignment horizontal="right" vertical="center"/>
      <protection hidden="1"/>
    </xf>
    <xf numFmtId="167" fontId="28" fillId="0" borderId="16" xfId="0" applyNumberFormat="1" applyFont="1" applyBorder="1" applyAlignment="1" applyProtection="1">
      <alignment horizontal="center" vertical="center"/>
      <protection hidden="1"/>
    </xf>
    <xf numFmtId="172" fontId="28" fillId="0" borderId="0" xfId="0" applyNumberFormat="1" applyFont="1" applyAlignment="1" applyProtection="1">
      <alignment horizontal="left" vertical="center"/>
      <protection hidden="1"/>
    </xf>
    <xf numFmtId="167" fontId="28" fillId="0" borderId="0" xfId="0" applyNumberFormat="1" applyFont="1" applyAlignment="1">
      <alignment horizontal="left"/>
    </xf>
    <xf numFmtId="167" fontId="25" fillId="0" borderId="0" xfId="0" applyNumberFormat="1" applyFont="1" applyAlignment="1">
      <alignment horizontal="right"/>
    </xf>
    <xf numFmtId="164" fontId="28" fillId="0" borderId="16" xfId="0" applyNumberFormat="1" applyFont="1" applyBorder="1" applyAlignment="1">
      <alignment horizontal="right" vertical="center"/>
    </xf>
    <xf numFmtId="164" fontId="28" fillId="0" borderId="23" xfId="0" applyNumberFormat="1" applyFont="1" applyBorder="1" applyAlignment="1">
      <alignment horizontal="right" vertical="center"/>
    </xf>
    <xf numFmtId="167" fontId="28" fillId="0" borderId="32" xfId="0" applyNumberFormat="1" applyFont="1" applyBorder="1" applyAlignment="1">
      <alignment horizontal="center" vertical="center"/>
    </xf>
    <xf numFmtId="167" fontId="28" fillId="0" borderId="14" xfId="0" applyNumberFormat="1" applyFont="1" applyBorder="1" applyAlignment="1">
      <alignment horizontal="center" vertical="center"/>
    </xf>
    <xf numFmtId="164" fontId="28" fillId="0" borderId="32" xfId="0" applyNumberFormat="1" applyFont="1" applyBorder="1" applyAlignment="1">
      <alignment horizontal="right" vertical="center"/>
    </xf>
    <xf numFmtId="164" fontId="28" fillId="0" borderId="14" xfId="0" applyNumberFormat="1" applyFont="1" applyBorder="1" applyAlignment="1">
      <alignment horizontal="right" vertical="center"/>
    </xf>
    <xf numFmtId="167" fontId="28" fillId="0" borderId="0" xfId="0" applyNumberFormat="1" applyFont="1" applyAlignment="1">
      <alignment horizontal="center" vertical="center"/>
    </xf>
    <xf numFmtId="164" fontId="28" fillId="0" borderId="0" xfId="0" applyNumberFormat="1" applyFont="1" applyAlignment="1">
      <alignment horizontal="right" vertical="center"/>
    </xf>
    <xf numFmtId="0" fontId="28" fillId="0" borderId="16" xfId="0" applyFont="1" applyBorder="1" applyAlignment="1">
      <alignment horizontal="center" vertical="center"/>
    </xf>
    <xf numFmtId="0" fontId="28" fillId="0" borderId="23" xfId="0" applyFont="1" applyBorder="1" applyAlignment="1">
      <alignment horizontal="center" vertical="center"/>
    </xf>
    <xf numFmtId="172" fontId="28" fillId="0" borderId="0" xfId="0" applyNumberFormat="1" applyFont="1" applyAlignment="1">
      <alignment horizontal="left" vertical="center"/>
    </xf>
    <xf numFmtId="180" fontId="28" fillId="26" borderId="49" xfId="0" applyNumberFormat="1" applyFont="1" applyFill="1" applyBorder="1" applyAlignment="1">
      <alignment horizontal="center"/>
    </xf>
    <xf numFmtId="180" fontId="28" fillId="26" borderId="68" xfId="0" applyNumberFormat="1" applyFont="1" applyFill="1" applyBorder="1" applyAlignment="1">
      <alignment horizontal="center"/>
    </xf>
    <xf numFmtId="180" fontId="28" fillId="26" borderId="39" xfId="0" applyNumberFormat="1" applyFont="1" applyFill="1" applyBorder="1" applyAlignment="1">
      <alignment horizontal="center"/>
    </xf>
    <xf numFmtId="167" fontId="115" fillId="17" borderId="32" xfId="0" applyNumberFormat="1" applyFont="1" applyFill="1" applyBorder="1" applyAlignment="1">
      <alignment horizontal="center"/>
    </xf>
    <xf numFmtId="167" fontId="115" fillId="17" borderId="35" xfId="0" applyNumberFormat="1" applyFont="1" applyFill="1" applyBorder="1" applyAlignment="1">
      <alignment horizontal="center"/>
    </xf>
    <xf numFmtId="0" fontId="70" fillId="0" borderId="0" xfId="0" applyFont="1" applyAlignment="1" applyProtection="1">
      <alignment horizontal="center" vertical="center"/>
      <protection hidden="1"/>
    </xf>
    <xf numFmtId="0" fontId="31" fillId="0" borderId="0" xfId="0" applyFont="1" applyAlignment="1" applyProtection="1">
      <alignment horizontal="center" vertical="center"/>
      <protection hidden="1"/>
    </xf>
    <xf numFmtId="0" fontId="22" fillId="0" borderId="0" xfId="0" applyFont="1" applyAlignment="1" applyProtection="1">
      <alignment horizontal="center" vertical="center"/>
      <protection hidden="1"/>
    </xf>
    <xf numFmtId="0" fontId="63" fillId="0" borderId="0" xfId="0" applyFont="1" applyAlignment="1" applyProtection="1">
      <alignment horizontal="left"/>
      <protection hidden="1"/>
    </xf>
    <xf numFmtId="0" fontId="27" fillId="19" borderId="59" xfId="0" applyFont="1" applyFill="1" applyBorder="1" applyAlignment="1" applyProtection="1">
      <alignment horizontal="left"/>
      <protection locked="0"/>
    </xf>
    <xf numFmtId="0" fontId="27" fillId="19" borderId="63" xfId="0" applyFont="1" applyFill="1" applyBorder="1" applyAlignment="1" applyProtection="1">
      <alignment horizontal="left"/>
      <protection locked="0"/>
    </xf>
    <xf numFmtId="0" fontId="27" fillId="19" borderId="64" xfId="0" applyFont="1" applyFill="1" applyBorder="1" applyAlignment="1" applyProtection="1">
      <alignment horizontal="left"/>
      <protection locked="0"/>
    </xf>
    <xf numFmtId="0" fontId="6" fillId="19" borderId="59" xfId="1" applyFill="1" applyBorder="1" applyAlignment="1" applyProtection="1">
      <alignment horizontal="left"/>
      <protection locked="0"/>
    </xf>
    <xf numFmtId="189" fontId="28" fillId="19" borderId="59" xfId="0" applyNumberFormat="1" applyFont="1" applyFill="1" applyBorder="1" applyAlignment="1" applyProtection="1">
      <alignment horizontal="center"/>
      <protection locked="0"/>
    </xf>
    <xf numFmtId="189" fontId="28" fillId="19" borderId="64" xfId="0" applyNumberFormat="1" applyFont="1" applyFill="1" applyBorder="1" applyAlignment="1" applyProtection="1">
      <alignment horizontal="center"/>
      <protection locked="0"/>
    </xf>
    <xf numFmtId="0" fontId="28" fillId="0" borderId="0" xfId="0" applyFont="1" applyAlignment="1" applyProtection="1">
      <alignment horizontal="center" vertical="center"/>
      <protection hidden="1"/>
    </xf>
    <xf numFmtId="0" fontId="4" fillId="0" borderId="0" xfId="0" applyFont="1" applyAlignment="1" applyProtection="1">
      <alignment horizontal="center"/>
      <protection hidden="1"/>
    </xf>
    <xf numFmtId="168" fontId="5" fillId="13" borderId="13" xfId="3" applyFont="1" applyFill="1" applyBorder="1" applyAlignment="1" applyProtection="1">
      <alignment horizontal="center"/>
      <protection locked="0" hidden="1"/>
    </xf>
    <xf numFmtId="0" fontId="4" fillId="0" borderId="23" xfId="0" applyFont="1" applyBorder="1" applyAlignment="1" applyProtection="1">
      <alignment horizontal="center"/>
      <protection locked="0" hidden="1"/>
    </xf>
    <xf numFmtId="0" fontId="25" fillId="0" borderId="52" xfId="0" applyFont="1" applyBorder="1" applyProtection="1">
      <protection locked="0" hidden="1"/>
    </xf>
    <xf numFmtId="0" fontId="25" fillId="0" borderId="0" xfId="0" applyFont="1" applyProtection="1">
      <protection locked="0" hidden="1"/>
    </xf>
    <xf numFmtId="168" fontId="5" fillId="14" borderId="13" xfId="3" applyFont="1" applyFill="1" applyBorder="1" applyAlignment="1" applyProtection="1">
      <alignment horizontal="center"/>
      <protection locked="0" hidden="1"/>
    </xf>
    <xf numFmtId="168" fontId="5" fillId="15" borderId="13" xfId="3" applyFont="1" applyFill="1" applyBorder="1" applyAlignment="1" applyProtection="1">
      <alignment horizontal="center"/>
      <protection locked="0" hidden="1"/>
    </xf>
    <xf numFmtId="0" fontId="25" fillId="0" borderId="16" xfId="0" applyFont="1" applyBorder="1" applyAlignment="1" applyProtection="1">
      <alignment horizontal="center" wrapText="1"/>
      <protection hidden="1"/>
    </xf>
    <xf numFmtId="0" fontId="25" fillId="0" borderId="0" xfId="0" applyFont="1" applyAlignment="1" applyProtection="1">
      <alignment horizontal="center" wrapText="1"/>
      <protection hidden="1"/>
    </xf>
    <xf numFmtId="168" fontId="5" fillId="7" borderId="13" xfId="3" applyFont="1" applyFill="1" applyBorder="1" applyAlignment="1" applyProtection="1">
      <alignment horizontal="center"/>
      <protection locked="0" hidden="1"/>
    </xf>
    <xf numFmtId="168" fontId="5" fillId="8" borderId="13" xfId="3" applyFont="1" applyFill="1" applyBorder="1" applyAlignment="1" applyProtection="1">
      <alignment horizontal="center"/>
      <protection locked="0" hidden="1"/>
    </xf>
    <xf numFmtId="168" fontId="99" fillId="9" borderId="13" xfId="3" applyFont="1" applyFill="1" applyBorder="1" applyAlignment="1" applyProtection="1">
      <alignment horizontal="center"/>
      <protection locked="0" hidden="1"/>
    </xf>
    <xf numFmtId="168" fontId="5" fillId="9" borderId="13" xfId="3" applyFont="1" applyFill="1" applyBorder="1" applyAlignment="1" applyProtection="1">
      <alignment horizontal="center"/>
      <protection locked="0" hidden="1"/>
    </xf>
    <xf numFmtId="168" fontId="5" fillId="10" borderId="13" xfId="3" applyFont="1" applyFill="1" applyBorder="1" applyAlignment="1" applyProtection="1">
      <alignment horizontal="center"/>
      <protection locked="0" hidden="1"/>
    </xf>
    <xf numFmtId="168" fontId="5" fillId="11" borderId="13" xfId="3" applyFont="1" applyFill="1" applyBorder="1" applyAlignment="1" applyProtection="1">
      <alignment horizontal="center"/>
      <protection locked="0" hidden="1"/>
    </xf>
    <xf numFmtId="168" fontId="5" fillId="12" borderId="13" xfId="3" applyFont="1" applyFill="1" applyBorder="1" applyAlignment="1" applyProtection="1">
      <alignment horizontal="center"/>
      <protection locked="0" hidden="1"/>
    </xf>
    <xf numFmtId="0" fontId="34" fillId="0" borderId="0" xfId="0" applyFont="1" applyAlignment="1" applyProtection="1">
      <alignment horizontal="center" vertical="center"/>
      <protection hidden="1"/>
    </xf>
    <xf numFmtId="0" fontId="27" fillId="19" borderId="59" xfId="0" applyFont="1" applyFill="1" applyBorder="1" applyAlignment="1" applyProtection="1">
      <alignment horizontal="center"/>
      <protection locked="0"/>
    </xf>
    <xf numFmtId="0" fontId="27" fillId="19" borderId="63" xfId="0" applyFont="1" applyFill="1" applyBorder="1" applyAlignment="1" applyProtection="1">
      <alignment horizontal="center"/>
      <protection locked="0"/>
    </xf>
    <xf numFmtId="0" fontId="27" fillId="19" borderId="64" xfId="0" applyFont="1" applyFill="1" applyBorder="1" applyAlignment="1" applyProtection="1">
      <alignment horizontal="center"/>
      <protection locked="0"/>
    </xf>
    <xf numFmtId="0" fontId="25" fillId="0" borderId="0" xfId="0" applyFont="1" applyAlignment="1" applyProtection="1">
      <alignment horizontal="left" vertical="top" wrapText="1"/>
      <protection hidden="1"/>
    </xf>
    <xf numFmtId="0" fontId="27" fillId="17" borderId="49" xfId="0" applyFont="1" applyFill="1" applyBorder="1" applyAlignment="1" applyProtection="1">
      <alignment horizontal="left"/>
      <protection hidden="1"/>
    </xf>
    <xf numFmtId="0" fontId="27" fillId="17" borderId="68" xfId="0" applyFont="1" applyFill="1" applyBorder="1" applyAlignment="1" applyProtection="1">
      <alignment horizontal="left"/>
      <protection hidden="1"/>
    </xf>
    <xf numFmtId="0" fontId="27" fillId="17" borderId="39" xfId="0" applyFont="1" applyFill="1" applyBorder="1" applyAlignment="1" applyProtection="1">
      <alignment horizontal="left"/>
      <protection hidden="1"/>
    </xf>
    <xf numFmtId="17" fontId="28" fillId="26" borderId="0" xfId="0" applyNumberFormat="1" applyFont="1" applyFill="1" applyAlignment="1" applyProtection="1">
      <alignment horizontal="center"/>
      <protection hidden="1"/>
    </xf>
    <xf numFmtId="0" fontId="115" fillId="26" borderId="66" xfId="0" applyFont="1" applyFill="1" applyBorder="1" applyAlignment="1" applyProtection="1">
      <alignment horizontal="center"/>
      <protection hidden="1"/>
    </xf>
    <xf numFmtId="0" fontId="115" fillId="26" borderId="0" xfId="0" applyFont="1" applyFill="1" applyAlignment="1" applyProtection="1">
      <alignment horizontal="center"/>
      <protection hidden="1"/>
    </xf>
    <xf numFmtId="0" fontId="4" fillId="27" borderId="0" xfId="0" applyFont="1" applyFill="1" applyAlignment="1">
      <alignment horizontal="center"/>
    </xf>
    <xf numFmtId="0" fontId="28" fillId="0" borderId="59" xfId="0" applyFont="1" applyBorder="1" applyAlignment="1" applyProtection="1">
      <alignment horizontal="left"/>
      <protection locked="0"/>
    </xf>
    <xf numFmtId="0" fontId="28" fillId="0" borderId="64" xfId="0" applyFont="1" applyBorder="1" applyAlignment="1" applyProtection="1">
      <alignment horizontal="left"/>
      <protection locked="0"/>
    </xf>
    <xf numFmtId="0" fontId="31" fillId="17" borderId="49" xfId="0" applyFont="1" applyFill="1" applyBorder="1" applyAlignment="1" applyProtection="1">
      <alignment horizontal="center"/>
      <protection hidden="1"/>
    </xf>
    <xf numFmtId="0" fontId="31" fillId="17" borderId="68" xfId="0" applyFont="1" applyFill="1" applyBorder="1" applyAlignment="1" applyProtection="1">
      <alignment horizontal="center"/>
      <protection hidden="1"/>
    </xf>
    <xf numFmtId="0" fontId="28" fillId="0" borderId="0" xfId="0" applyFont="1" applyAlignment="1" applyProtection="1">
      <alignment horizontal="left"/>
      <protection hidden="1"/>
    </xf>
    <xf numFmtId="9" fontId="28" fillId="26" borderId="0" xfId="7" applyFont="1" applyFill="1" applyBorder="1" applyAlignment="1" applyProtection="1">
      <alignment horizontal="center"/>
      <protection hidden="1"/>
    </xf>
    <xf numFmtId="9" fontId="28" fillId="26" borderId="0" xfId="0" applyNumberFormat="1" applyFont="1" applyFill="1" applyAlignment="1">
      <alignment horizontal="center" vertical="center"/>
    </xf>
    <xf numFmtId="17" fontId="28" fillId="26" borderId="0" xfId="0" applyNumberFormat="1" applyFont="1" applyFill="1" applyAlignment="1">
      <alignment horizontal="center" vertical="center"/>
    </xf>
    <xf numFmtId="9" fontId="28" fillId="26" borderId="0" xfId="0" applyNumberFormat="1" applyFont="1" applyFill="1" applyAlignment="1" applyProtection="1">
      <alignment horizontal="center"/>
      <protection hidden="1"/>
    </xf>
    <xf numFmtId="167" fontId="28" fillId="26" borderId="0" xfId="0" applyNumberFormat="1" applyFont="1" applyFill="1" applyAlignment="1" applyProtection="1">
      <alignment horizontal="center"/>
      <protection hidden="1"/>
    </xf>
    <xf numFmtId="0" fontId="88" fillId="0" borderId="0" xfId="0" applyFont="1" applyAlignment="1" applyProtection="1">
      <alignment horizontal="center"/>
      <protection hidden="1"/>
    </xf>
    <xf numFmtId="0" fontId="28" fillId="0" borderId="53" xfId="0" applyFont="1" applyBorder="1" applyAlignment="1" applyProtection="1">
      <alignment horizontal="left"/>
      <protection hidden="1"/>
    </xf>
    <xf numFmtId="0" fontId="28" fillId="0" borderId="78" xfId="0" applyFont="1" applyBorder="1" applyAlignment="1" applyProtection="1">
      <alignment horizontal="left"/>
      <protection hidden="1"/>
    </xf>
    <xf numFmtId="0" fontId="37" fillId="0" borderId="0" xfId="0" applyFont="1" applyAlignment="1">
      <alignment horizontal="center" vertical="center"/>
    </xf>
    <xf numFmtId="0" fontId="32" fillId="0" borderId="0" xfId="6" applyFont="1" applyFill="1" applyAlignment="1" applyProtection="1">
      <alignment horizontal="left"/>
      <protection hidden="1"/>
    </xf>
    <xf numFmtId="0" fontId="27" fillId="17" borderId="40" xfId="6" applyFont="1" applyFill="1" applyBorder="1" applyAlignment="1" applyProtection="1">
      <alignment horizontal="center" vertical="center"/>
      <protection hidden="1"/>
    </xf>
    <xf numFmtId="0" fontId="27" fillId="17" borderId="16" xfId="6" applyFont="1" applyFill="1" applyBorder="1" applyAlignment="1" applyProtection="1">
      <alignment horizontal="center" vertical="center"/>
      <protection hidden="1"/>
    </xf>
    <xf numFmtId="0" fontId="27" fillId="17" borderId="51" xfId="6" applyFont="1" applyFill="1" applyBorder="1" applyAlignment="1" applyProtection="1">
      <alignment horizontal="center" vertical="center"/>
      <protection hidden="1"/>
    </xf>
    <xf numFmtId="0" fontId="27" fillId="17" borderId="24" xfId="6" applyFont="1" applyFill="1" applyBorder="1" applyAlignment="1" applyProtection="1">
      <alignment horizontal="center" vertical="center"/>
      <protection hidden="1"/>
    </xf>
    <xf numFmtId="0" fontId="27" fillId="17" borderId="13" xfId="6" applyFont="1" applyFill="1" applyBorder="1" applyAlignment="1" applyProtection="1">
      <alignment horizontal="center" vertical="center"/>
      <protection hidden="1"/>
    </xf>
    <xf numFmtId="0" fontId="27" fillId="17" borderId="54" xfId="6" applyFont="1" applyFill="1" applyBorder="1" applyAlignment="1" applyProtection="1">
      <alignment horizontal="center" vertical="center"/>
      <protection hidden="1"/>
    </xf>
    <xf numFmtId="0" fontId="33" fillId="17" borderId="28" xfId="6" applyFont="1" applyFill="1" applyBorder="1" applyAlignment="1" applyProtection="1">
      <alignment horizontal="center" vertical="center"/>
      <protection hidden="1"/>
    </xf>
    <xf numFmtId="0" fontId="33" fillId="17" borderId="21" xfId="6" applyFont="1" applyFill="1" applyBorder="1" applyAlignment="1" applyProtection="1">
      <alignment horizontal="center" vertical="center"/>
      <protection hidden="1"/>
    </xf>
    <xf numFmtId="0" fontId="27" fillId="0" borderId="0" xfId="6" applyFont="1" applyFill="1" applyAlignment="1" applyProtection="1">
      <alignment horizontal="left"/>
      <protection hidden="1"/>
    </xf>
    <xf numFmtId="167" fontId="115" fillId="0" borderId="0" xfId="0" applyNumberFormat="1" applyFont="1" applyAlignment="1">
      <alignment horizontal="left"/>
    </xf>
    <xf numFmtId="10" fontId="37" fillId="0" borderId="0" xfId="7" applyNumberFormat="1" applyFont="1" applyBorder="1" applyAlignment="1" applyProtection="1">
      <alignment horizontal="center"/>
      <protection hidden="1"/>
    </xf>
    <xf numFmtId="0" fontId="25" fillId="0" borderId="0" xfId="0" applyFont="1" applyAlignment="1" applyProtection="1">
      <alignment horizontal="left"/>
      <protection hidden="1"/>
    </xf>
    <xf numFmtId="0" fontId="25" fillId="0" borderId="53" xfId="0" applyFont="1" applyBorder="1" applyAlignment="1" applyProtection="1">
      <alignment horizontal="left"/>
      <protection hidden="1"/>
    </xf>
    <xf numFmtId="0" fontId="28" fillId="0" borderId="0" xfId="0" applyFont="1" applyAlignment="1" applyProtection="1">
      <alignment horizontal="center"/>
      <protection locked="0"/>
    </xf>
    <xf numFmtId="0" fontId="25" fillId="0" borderId="0" xfId="0" applyFont="1" applyAlignment="1" applyProtection="1">
      <alignment horizontal="center"/>
      <protection hidden="1"/>
    </xf>
    <xf numFmtId="0" fontId="119" fillId="0" borderId="0" xfId="0" applyFont="1" applyAlignment="1" applyProtection="1">
      <alignment horizontal="center"/>
      <protection hidden="1"/>
    </xf>
    <xf numFmtId="176" fontId="28" fillId="0" borderId="0" xfId="7" applyNumberFormat="1" applyFont="1" applyFill="1" applyBorder="1" applyAlignment="1" applyProtection="1">
      <alignment horizontal="center"/>
      <protection hidden="1"/>
    </xf>
    <xf numFmtId="0" fontId="28" fillId="0" borderId="34" xfId="0" applyFont="1" applyBorder="1" applyAlignment="1" applyProtection="1">
      <alignment horizontal="center" vertical="center"/>
      <protection hidden="1"/>
    </xf>
    <xf numFmtId="0" fontId="28" fillId="0" borderId="32" xfId="0" applyFont="1" applyBorder="1" applyAlignment="1" applyProtection="1">
      <alignment horizontal="center" vertical="center"/>
      <protection hidden="1"/>
    </xf>
    <xf numFmtId="0" fontId="28" fillId="0" borderId="35" xfId="0" applyFont="1" applyBorder="1" applyAlignment="1" applyProtection="1">
      <alignment horizontal="center" vertical="center"/>
      <protection hidden="1"/>
    </xf>
    <xf numFmtId="0" fontId="28" fillId="0" borderId="37" xfId="0" applyFont="1" applyBorder="1" applyAlignment="1" applyProtection="1">
      <alignment horizontal="center" vertical="center"/>
      <protection hidden="1"/>
    </xf>
    <xf numFmtId="0" fontId="28" fillId="0" borderId="38" xfId="0" applyFont="1" applyBorder="1" applyAlignment="1" applyProtection="1">
      <alignment horizontal="center" vertical="center"/>
      <protection hidden="1"/>
    </xf>
    <xf numFmtId="0" fontId="28" fillId="0" borderId="42" xfId="0" applyFont="1" applyBorder="1" applyAlignment="1" applyProtection="1">
      <alignment horizontal="center"/>
      <protection locked="0"/>
    </xf>
    <xf numFmtId="0" fontId="28" fillId="0" borderId="43" xfId="0" applyFont="1" applyBorder="1" applyAlignment="1" applyProtection="1">
      <alignment horizontal="center"/>
      <protection locked="0"/>
    </xf>
    <xf numFmtId="0" fontId="25" fillId="0" borderId="65" xfId="0" applyFont="1" applyBorder="1" applyAlignment="1" applyProtection="1">
      <alignment horizontal="center"/>
      <protection hidden="1"/>
    </xf>
    <xf numFmtId="0" fontId="119" fillId="0" borderId="65" xfId="0" applyFont="1" applyBorder="1" applyAlignment="1" applyProtection="1">
      <alignment horizontal="center"/>
      <protection hidden="1"/>
    </xf>
    <xf numFmtId="176" fontId="28" fillId="0" borderId="23" xfId="7" applyNumberFormat="1" applyFont="1" applyFill="1" applyBorder="1" applyAlignment="1" applyProtection="1">
      <alignment horizontal="center"/>
      <protection hidden="1"/>
    </xf>
    <xf numFmtId="0" fontId="28" fillId="0" borderId="59" xfId="0" applyFont="1" applyBorder="1" applyAlignment="1" applyProtection="1">
      <alignment horizontal="center"/>
      <protection locked="0"/>
    </xf>
    <xf numFmtId="0" fontId="28" fillId="0" borderId="63" xfId="0" applyFont="1" applyBorder="1" applyAlignment="1" applyProtection="1">
      <alignment horizontal="center"/>
      <protection locked="0"/>
    </xf>
    <xf numFmtId="0" fontId="28" fillId="0" borderId="64" xfId="0" applyFont="1" applyBorder="1" applyAlignment="1" applyProtection="1">
      <alignment horizontal="center"/>
      <protection locked="0"/>
    </xf>
    <xf numFmtId="0" fontId="31" fillId="0" borderId="0" xfId="0" applyFont="1" applyAlignment="1" applyProtection="1">
      <alignment horizontal="center"/>
      <protection hidden="1"/>
    </xf>
    <xf numFmtId="0" fontId="25" fillId="0" borderId="66" xfId="0" applyFont="1" applyBorder="1" applyAlignment="1" applyProtection="1">
      <alignment horizontal="right"/>
      <protection hidden="1"/>
    </xf>
    <xf numFmtId="0" fontId="25" fillId="0" borderId="0" xfId="0" applyFont="1" applyAlignment="1" applyProtection="1">
      <alignment horizontal="right"/>
      <protection hidden="1"/>
    </xf>
  </cellXfs>
  <cellStyles count="9">
    <cellStyle name="Lien hypertexte" xfId="1" builtinId="8"/>
    <cellStyle name="Milliers" xfId="2" builtinId="3"/>
    <cellStyle name="Monétaire" xfId="3" builtinId="4"/>
    <cellStyle name="Monétaire_PLAN DES RESSOURCES FINANCIÈRES 2001 FGF" xfId="4" xr:uid="{00000000-0005-0000-0000-000003000000}"/>
    <cellStyle name="Monétaire_Plan universel" xfId="5" xr:uid="{00000000-0005-0000-0000-000004000000}"/>
    <cellStyle name="Normal" xfId="0" builtinId="0"/>
    <cellStyle name="Normal 2" xfId="8" xr:uid="{00000000-0005-0000-0000-000006000000}"/>
    <cellStyle name="Normal_RHum" xfId="6" xr:uid="{00000000-0005-0000-0000-000007000000}"/>
    <cellStyle name="Pourcentage" xfId="7"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fr-CA"/>
              <a:t>Analyse de la rentabilité</a:t>
            </a:r>
          </a:p>
        </c:rich>
      </c:tx>
      <c:layout>
        <c:manualLayout>
          <c:xMode val="edge"/>
          <c:yMode val="edge"/>
          <c:x val="0.27898614306605524"/>
          <c:y val="2.6946160877872345E-2"/>
        </c:manualLayout>
      </c:layout>
      <c:overlay val="0"/>
      <c:spPr>
        <a:noFill/>
        <a:ln w="25400">
          <a:noFill/>
        </a:ln>
      </c:spPr>
    </c:title>
    <c:autoTitleDeleted val="0"/>
    <c:view3D>
      <c:rotX val="15"/>
      <c:hPercent val="136"/>
      <c:rotY val="20"/>
      <c:depthPercent val="50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46141732283464704"/>
          <c:y val="8.9486702133374785E-2"/>
          <c:w val="0.45646331413654961"/>
          <c:h val="0.39315469134007458"/>
        </c:manualLayout>
      </c:layout>
      <c:bar3DChart>
        <c:barDir val="col"/>
        <c:grouping val="clustered"/>
        <c:varyColors val="0"/>
        <c:ser>
          <c:idx val="0"/>
          <c:order val="0"/>
          <c:tx>
            <c:strRef>
              <c:f>DG!$A$4</c:f>
              <c:strCache>
                <c:ptCount val="1"/>
                <c:pt idx="0">
                  <c:v>CMV</c:v>
                </c:pt>
              </c:strCache>
            </c:strRef>
          </c:tx>
          <c:spPr>
            <a:solidFill>
              <a:srgbClr val="9999FF"/>
            </a:solidFill>
            <a:ln w="12700">
              <a:solidFill>
                <a:srgbClr val="000000"/>
              </a:solidFill>
              <a:prstDash val="solid"/>
            </a:ln>
          </c:spPr>
          <c:invertIfNegative val="0"/>
          <c:val>
            <c:numRef>
              <c:f>DG!$A$5:$A$7</c:f>
              <c:numCache>
                <c:formatCode>0%</c:formatCode>
                <c:ptCount val="3"/>
                <c:pt idx="0">
                  <c:v>0</c:v>
                </c:pt>
                <c:pt idx="1">
                  <c:v>0</c:v>
                </c:pt>
                <c:pt idx="2">
                  <c:v>0</c:v>
                </c:pt>
              </c:numCache>
            </c:numRef>
          </c:val>
          <c:extLst>
            <c:ext xmlns:c16="http://schemas.microsoft.com/office/drawing/2014/chart" uri="{C3380CC4-5D6E-409C-BE32-E72D297353CC}">
              <c16:uniqueId val="{00000000-39E3-4310-9398-B7BE4CFC206B}"/>
            </c:ext>
          </c:extLst>
        </c:ser>
        <c:ser>
          <c:idx val="1"/>
          <c:order val="1"/>
          <c:tx>
            <c:strRef>
              <c:f>DG!$B$4</c:f>
              <c:strCache>
                <c:ptCount val="1"/>
                <c:pt idx="0">
                  <c:v>Frais de production</c:v>
                </c:pt>
              </c:strCache>
            </c:strRef>
          </c:tx>
          <c:spPr>
            <a:solidFill>
              <a:srgbClr val="993366"/>
            </a:solidFill>
            <a:ln w="12700">
              <a:solidFill>
                <a:srgbClr val="000000"/>
              </a:solidFill>
              <a:prstDash val="solid"/>
            </a:ln>
          </c:spPr>
          <c:invertIfNegative val="0"/>
          <c:val>
            <c:numRef>
              <c:f>DG!$B$5:$B$7</c:f>
              <c:numCache>
                <c:formatCode>0%</c:formatCode>
                <c:ptCount val="3"/>
                <c:pt idx="0">
                  <c:v>2.4703476482617587E-2</c:v>
                </c:pt>
                <c:pt idx="1">
                  <c:v>2.4715162138475022E-2</c:v>
                </c:pt>
                <c:pt idx="2">
                  <c:v>2.4651169261160497E-2</c:v>
                </c:pt>
              </c:numCache>
            </c:numRef>
          </c:val>
          <c:extLst>
            <c:ext xmlns:c16="http://schemas.microsoft.com/office/drawing/2014/chart" uri="{C3380CC4-5D6E-409C-BE32-E72D297353CC}">
              <c16:uniqueId val="{00000001-39E3-4310-9398-B7BE4CFC206B}"/>
            </c:ext>
          </c:extLst>
        </c:ser>
        <c:ser>
          <c:idx val="2"/>
          <c:order val="2"/>
          <c:tx>
            <c:strRef>
              <c:f>DG!$C$4</c:f>
              <c:strCache>
                <c:ptCount val="1"/>
                <c:pt idx="0">
                  <c:v>Frais fixes</c:v>
                </c:pt>
              </c:strCache>
            </c:strRef>
          </c:tx>
          <c:spPr>
            <a:solidFill>
              <a:srgbClr val="FFFFCC"/>
            </a:solidFill>
            <a:ln w="12700">
              <a:solidFill>
                <a:srgbClr val="000000"/>
              </a:solidFill>
              <a:prstDash val="solid"/>
            </a:ln>
          </c:spPr>
          <c:invertIfNegative val="0"/>
          <c:val>
            <c:numRef>
              <c:f>DG!$C$5:$C$7</c:f>
              <c:numCache>
                <c:formatCode>0%</c:formatCode>
                <c:ptCount val="3"/>
                <c:pt idx="0">
                  <c:v>1.0883231147239265</c:v>
                </c:pt>
                <c:pt idx="1">
                  <c:v>1.0531580504430809</c:v>
                </c:pt>
                <c:pt idx="2">
                  <c:v>1.0191266066617513</c:v>
                </c:pt>
              </c:numCache>
            </c:numRef>
          </c:val>
          <c:extLst>
            <c:ext xmlns:c16="http://schemas.microsoft.com/office/drawing/2014/chart" uri="{C3380CC4-5D6E-409C-BE32-E72D297353CC}">
              <c16:uniqueId val="{00000002-39E3-4310-9398-B7BE4CFC206B}"/>
            </c:ext>
          </c:extLst>
        </c:ser>
        <c:ser>
          <c:idx val="3"/>
          <c:order val="3"/>
          <c:tx>
            <c:strRef>
              <c:f>DG!$D$4</c:f>
              <c:strCache>
                <c:ptCount val="1"/>
                <c:pt idx="0">
                  <c:v>Amortissements</c:v>
                </c:pt>
              </c:strCache>
            </c:strRef>
          </c:tx>
          <c:spPr>
            <a:solidFill>
              <a:srgbClr val="CCFFFF"/>
            </a:solidFill>
            <a:ln w="12700">
              <a:solidFill>
                <a:srgbClr val="000000"/>
              </a:solidFill>
              <a:prstDash val="solid"/>
            </a:ln>
          </c:spPr>
          <c:invertIfNegative val="0"/>
          <c:val>
            <c:numRef>
              <c:f>DG!$D$5:$D$7</c:f>
              <c:numCache>
                <c:formatCode>0%</c:formatCode>
                <c:ptCount val="3"/>
                <c:pt idx="0">
                  <c:v>0.20858895705521471</c:v>
                </c:pt>
                <c:pt idx="1">
                  <c:v>0.10074009153763755</c:v>
                </c:pt>
                <c:pt idx="2">
                  <c:v>4.9133081998989095E-2</c:v>
                </c:pt>
              </c:numCache>
            </c:numRef>
          </c:val>
          <c:extLst>
            <c:ext xmlns:c16="http://schemas.microsoft.com/office/drawing/2014/chart" uri="{C3380CC4-5D6E-409C-BE32-E72D297353CC}">
              <c16:uniqueId val="{00000003-39E3-4310-9398-B7BE4CFC206B}"/>
            </c:ext>
          </c:extLst>
        </c:ser>
        <c:ser>
          <c:idx val="4"/>
          <c:order val="4"/>
          <c:tx>
            <c:strRef>
              <c:f>DG!$E$4</c:f>
              <c:strCache>
                <c:ptCount val="1"/>
                <c:pt idx="0">
                  <c:v>Rentabilité</c:v>
                </c:pt>
              </c:strCache>
            </c:strRef>
          </c:tx>
          <c:spPr>
            <a:solidFill>
              <a:srgbClr val="660066"/>
            </a:solidFill>
            <a:ln w="12700">
              <a:solidFill>
                <a:srgbClr val="000000"/>
              </a:solidFill>
              <a:prstDash val="solid"/>
            </a:ln>
          </c:spPr>
          <c:invertIfNegative val="0"/>
          <c:val>
            <c:numRef>
              <c:f>DG!$E$5:$E$7</c:f>
              <c:numCache>
                <c:formatCode>0%</c:formatCode>
                <c:ptCount val="3"/>
                <c:pt idx="0">
                  <c:v>-0.32161534376278123</c:v>
                </c:pt>
                <c:pt idx="1">
                  <c:v>-0.17861310935826258</c:v>
                </c:pt>
                <c:pt idx="2">
                  <c:v>-9.2910672435299962E-2</c:v>
                </c:pt>
              </c:numCache>
            </c:numRef>
          </c:val>
          <c:extLst>
            <c:ext xmlns:c16="http://schemas.microsoft.com/office/drawing/2014/chart" uri="{C3380CC4-5D6E-409C-BE32-E72D297353CC}">
              <c16:uniqueId val="{00000004-39E3-4310-9398-B7BE4CFC206B}"/>
            </c:ext>
          </c:extLst>
        </c:ser>
        <c:dLbls>
          <c:showLegendKey val="0"/>
          <c:showVal val="0"/>
          <c:showCatName val="0"/>
          <c:showSerName val="0"/>
          <c:showPercent val="0"/>
          <c:showBubbleSize val="0"/>
        </c:dLbls>
        <c:gapWidth val="150"/>
        <c:gapDepth val="0"/>
        <c:shape val="box"/>
        <c:axId val="184708096"/>
        <c:axId val="184726656"/>
        <c:axId val="0"/>
      </c:bar3DChart>
      <c:catAx>
        <c:axId val="184708096"/>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 d'opération</a:t>
                </a:r>
              </a:p>
            </c:rich>
          </c:tx>
          <c:layout>
            <c:manualLayout>
              <c:xMode val="edge"/>
              <c:yMode val="edge"/>
              <c:x val="0.56366958667371658"/>
              <c:y val="0.69519378763031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800" b="1" i="0" u="none" strike="noStrike" baseline="0">
                <a:solidFill>
                  <a:srgbClr val="000000"/>
                </a:solidFill>
                <a:latin typeface="Arial"/>
                <a:ea typeface="Arial"/>
                <a:cs typeface="Arial"/>
              </a:defRPr>
            </a:pPr>
            <a:endParaRPr lang="fr-FR"/>
          </a:p>
        </c:txPr>
        <c:crossAx val="184726656"/>
        <c:crosses val="autoZero"/>
        <c:auto val="1"/>
        <c:lblAlgn val="ctr"/>
        <c:lblOffset val="100"/>
        <c:tickLblSkip val="1"/>
        <c:tickMarkSkip val="1"/>
        <c:noMultiLvlLbl val="0"/>
      </c:catAx>
      <c:valAx>
        <c:axId val="184726656"/>
        <c:scaling>
          <c:orientation val="minMax"/>
        </c:scaling>
        <c:delete val="0"/>
        <c:axPos val="l"/>
        <c:title>
          <c:tx>
            <c:rich>
              <a:bodyPr rot="0" vert="horz"/>
              <a:lstStyle/>
              <a:p>
                <a:pPr algn="ctr">
                  <a:defRPr sz="1100" b="0" i="0" u="none" strike="noStrike" baseline="0">
                    <a:solidFill>
                      <a:srgbClr val="000000"/>
                    </a:solidFill>
                    <a:latin typeface="Calibri"/>
                    <a:ea typeface="Calibri"/>
                    <a:cs typeface="Calibri"/>
                  </a:defRPr>
                </a:pPr>
                <a:r>
                  <a:rPr lang="fr-CA" sz="800" b="1" i="1" u="none" strike="noStrike" baseline="0">
                    <a:solidFill>
                      <a:srgbClr val="000000"/>
                    </a:solidFill>
                    <a:latin typeface="Arial"/>
                    <a:cs typeface="Arial"/>
                  </a:rPr>
                  <a:t>Coûts engagés</a:t>
                </a:r>
                <a:r>
                  <a:rPr lang="fr-CA" sz="800" b="1" i="0" u="none" strike="noStrike" baseline="0">
                    <a:solidFill>
                      <a:srgbClr val="000000"/>
                    </a:solidFill>
                    <a:latin typeface="Arial"/>
                    <a:cs typeface="Arial"/>
                  </a:rPr>
                  <a:t> </a:t>
                </a:r>
              </a:p>
              <a:p>
                <a:pPr algn="ctr">
                  <a:defRPr sz="1100" b="0" i="0" u="none" strike="noStrike" baseline="0">
                    <a:solidFill>
                      <a:srgbClr val="000000"/>
                    </a:solidFill>
                    <a:latin typeface="Calibri"/>
                    <a:ea typeface="Calibri"/>
                    <a:cs typeface="Calibri"/>
                  </a:defRPr>
                </a:pPr>
                <a:r>
                  <a:rPr lang="fr-CA" sz="800" b="0" i="0" u="none" strike="noStrike" baseline="0">
                    <a:solidFill>
                      <a:srgbClr val="000000"/>
                    </a:solidFill>
                    <a:latin typeface="Arial"/>
                    <a:cs typeface="Arial"/>
                  </a:rPr>
                  <a:t>(en % du chiffres d'affaires)</a:t>
                </a:r>
                <a:endParaRPr lang="fr-CA"/>
              </a:p>
            </c:rich>
          </c:tx>
          <c:layout>
            <c:manualLayout>
              <c:xMode val="edge"/>
              <c:yMode val="edge"/>
              <c:x val="0.15054641763246018"/>
              <c:y val="0.2779861749186817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fr-FR"/>
          </a:p>
        </c:txPr>
        <c:crossAx val="184708096"/>
        <c:crosses val="autoZero"/>
        <c:crossBetween val="between"/>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fr-FR"/>
          </a:p>
        </c:txPr>
      </c:dTable>
      <c:spPr>
        <a:noFill/>
        <a:ln w="25400">
          <a:noFill/>
        </a:ln>
      </c:spPr>
    </c:plotArea>
    <c:legend>
      <c:legendPos val="r"/>
      <c:legendEntry>
        <c:idx val="0"/>
        <c:txPr>
          <a:bodyPr/>
          <a:lstStyle/>
          <a:p>
            <a:pPr>
              <a:defRPr sz="620" b="0" i="0" u="none" strike="noStrike" baseline="0">
                <a:solidFill>
                  <a:srgbClr val="000000"/>
                </a:solidFill>
                <a:latin typeface="Arial"/>
                <a:ea typeface="Arial"/>
                <a:cs typeface="Arial"/>
              </a:defRPr>
            </a:pPr>
            <a:endParaRPr lang="fr-FR"/>
          </a:p>
        </c:txPr>
      </c:legendEntry>
      <c:legendEntry>
        <c:idx val="1"/>
        <c:txPr>
          <a:bodyPr/>
          <a:lstStyle/>
          <a:p>
            <a:pPr>
              <a:defRPr sz="620" b="0" i="0" u="none" strike="noStrike" baseline="0">
                <a:solidFill>
                  <a:srgbClr val="000000"/>
                </a:solidFill>
                <a:latin typeface="Arial"/>
                <a:ea typeface="Arial"/>
                <a:cs typeface="Arial"/>
              </a:defRPr>
            </a:pPr>
            <a:endParaRPr lang="fr-FR"/>
          </a:p>
        </c:txPr>
      </c:legendEntry>
      <c:legendEntry>
        <c:idx val="2"/>
        <c:txPr>
          <a:bodyPr/>
          <a:lstStyle/>
          <a:p>
            <a:pPr>
              <a:defRPr sz="620" b="0" i="0" u="none" strike="noStrike" baseline="0">
                <a:solidFill>
                  <a:srgbClr val="000000"/>
                </a:solidFill>
                <a:latin typeface="Arial"/>
                <a:ea typeface="Arial"/>
                <a:cs typeface="Arial"/>
              </a:defRPr>
            </a:pPr>
            <a:endParaRPr lang="fr-FR"/>
          </a:p>
        </c:txPr>
      </c:legendEntry>
      <c:legendEntry>
        <c:idx val="3"/>
        <c:txPr>
          <a:bodyPr/>
          <a:lstStyle/>
          <a:p>
            <a:pPr>
              <a:defRPr sz="620" b="0" i="0" u="none" strike="noStrike" baseline="0">
                <a:solidFill>
                  <a:srgbClr val="000000"/>
                </a:solidFill>
                <a:latin typeface="Arial"/>
                <a:ea typeface="Arial"/>
                <a:cs typeface="Arial"/>
              </a:defRPr>
            </a:pPr>
            <a:endParaRPr lang="fr-FR"/>
          </a:p>
        </c:txPr>
      </c:legendEntry>
      <c:legendEntry>
        <c:idx val="4"/>
        <c:txPr>
          <a:bodyPr/>
          <a:lstStyle/>
          <a:p>
            <a:pPr>
              <a:defRPr sz="620" b="0" i="0" u="none" strike="noStrike" baseline="0">
                <a:solidFill>
                  <a:srgbClr val="000000"/>
                </a:solidFill>
                <a:latin typeface="Arial"/>
                <a:ea typeface="Arial"/>
                <a:cs typeface="Arial"/>
              </a:defRPr>
            </a:pPr>
            <a:endParaRPr lang="fr-FR"/>
          </a:p>
        </c:txPr>
      </c:legendEntry>
      <c:layout>
        <c:manualLayout>
          <c:xMode val="edge"/>
          <c:yMode val="edge"/>
          <c:x val="0.27086614173228357"/>
          <c:y val="0.71442659353679461"/>
          <c:w val="0.15808184593985644"/>
          <c:h val="0.12664410301740348"/>
        </c:manualLayout>
      </c:layout>
      <c:overlay val="0"/>
      <c:spPr>
        <a:noFill/>
        <a:ln w="25400">
          <a:noFill/>
        </a:ln>
        <a:effectLst>
          <a:outerShdw dist="35921" dir="2700000" algn="br">
            <a:srgbClr val="000000"/>
          </a:outerShdw>
        </a:effectLst>
      </c:spPr>
      <c:txPr>
        <a:bodyPr/>
        <a:lstStyle/>
        <a:p>
          <a:pPr rtl="0">
            <a:defRPr sz="60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Parts de marché acquises</a:t>
            </a:r>
          </a:p>
        </c:rich>
      </c:tx>
      <c:layout>
        <c:manualLayout>
          <c:xMode val="edge"/>
          <c:yMode val="edge"/>
          <c:x val="0.46604996597647519"/>
          <c:y val="4.1816591107929693E-2"/>
        </c:manualLayout>
      </c:layout>
      <c:overlay val="0"/>
      <c:spPr>
        <a:noFill/>
        <a:ln w="25400">
          <a:noFill/>
        </a:ln>
      </c:spPr>
    </c:title>
    <c:autoTitleDeleted val="0"/>
    <c:view3D>
      <c:rotX val="15"/>
      <c:hPercent val="102"/>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36068669194128516"/>
          <c:y val="9.8054661004873853E-2"/>
          <c:w val="0.52632351511616604"/>
          <c:h val="0.48163927993849254"/>
        </c:manualLayout>
      </c:layout>
      <c:bar3DChart>
        <c:barDir val="col"/>
        <c:grouping val="clustered"/>
        <c:varyColors val="0"/>
        <c:ser>
          <c:idx val="0"/>
          <c:order val="0"/>
          <c:tx>
            <c:strRef>
              <c:f>DG!$C$12</c:f>
              <c:strCache>
                <c:ptCount val="1"/>
                <c:pt idx="0">
                  <c:v>Part de marché</c:v>
                </c:pt>
              </c:strCache>
            </c:strRef>
          </c:tx>
          <c:spPr>
            <a:solidFill>
              <a:srgbClr val="9999FF"/>
            </a:solidFill>
            <a:ln w="12700">
              <a:solidFill>
                <a:srgbClr val="000000"/>
              </a:solidFill>
              <a:prstDash val="solid"/>
            </a:ln>
          </c:spPr>
          <c:invertIfNegative val="0"/>
          <c:val>
            <c:numRef>
              <c:f>DG!$C$13:$C$15</c:f>
              <c:numCache>
                <c:formatCode>0%</c:formatCode>
                <c:ptCount val="3"/>
                <c:pt idx="0">
                  <c:v>0</c:v>
                </c:pt>
                <c:pt idx="1">
                  <c:v>0</c:v>
                </c:pt>
                <c:pt idx="2">
                  <c:v>0</c:v>
                </c:pt>
              </c:numCache>
            </c:numRef>
          </c:val>
          <c:extLst>
            <c:ext xmlns:c16="http://schemas.microsoft.com/office/drawing/2014/chart" uri="{C3380CC4-5D6E-409C-BE32-E72D297353CC}">
              <c16:uniqueId val="{00000000-1AFB-41EF-B07A-A2078619DADE}"/>
            </c:ext>
          </c:extLst>
        </c:ser>
        <c:ser>
          <c:idx val="1"/>
          <c:order val="1"/>
          <c:tx>
            <c:strRef>
              <c:f>DG!$D$12</c:f>
              <c:strCache>
                <c:ptCount val="1"/>
                <c:pt idx="0">
                  <c:v>Concurrence</c:v>
                </c:pt>
              </c:strCache>
            </c:strRef>
          </c:tx>
          <c:spPr>
            <a:solidFill>
              <a:srgbClr val="993366"/>
            </a:solidFill>
            <a:ln w="12700">
              <a:solidFill>
                <a:srgbClr val="000000"/>
              </a:solidFill>
              <a:prstDash val="solid"/>
            </a:ln>
          </c:spPr>
          <c:invertIfNegative val="0"/>
          <c:val>
            <c:numRef>
              <c:f>DG!$D$13:$D$15</c:f>
              <c:numCache>
                <c:formatCode>0%</c:formatCode>
                <c:ptCount val="3"/>
                <c:pt idx="0">
                  <c:v>0</c:v>
                </c:pt>
                <c:pt idx="1">
                  <c:v>0</c:v>
                </c:pt>
                <c:pt idx="2">
                  <c:v>0</c:v>
                </c:pt>
              </c:numCache>
            </c:numRef>
          </c:val>
          <c:extLst>
            <c:ext xmlns:c16="http://schemas.microsoft.com/office/drawing/2014/chart" uri="{C3380CC4-5D6E-409C-BE32-E72D297353CC}">
              <c16:uniqueId val="{00000001-1AFB-41EF-B07A-A2078619DADE}"/>
            </c:ext>
          </c:extLst>
        </c:ser>
        <c:dLbls>
          <c:showLegendKey val="0"/>
          <c:showVal val="0"/>
          <c:showCatName val="0"/>
          <c:showSerName val="0"/>
          <c:showPercent val="0"/>
          <c:showBubbleSize val="0"/>
        </c:dLbls>
        <c:gapWidth val="150"/>
        <c:gapDepth val="0"/>
        <c:shape val="box"/>
        <c:axId val="187072896"/>
        <c:axId val="187074816"/>
        <c:axId val="0"/>
      </c:bar3DChart>
      <c:catAx>
        <c:axId val="187072896"/>
        <c:scaling>
          <c:orientation val="minMax"/>
        </c:scaling>
        <c:delete val="0"/>
        <c:axPos val="b"/>
        <c:title>
          <c:tx>
            <c:rich>
              <a:bodyPr/>
              <a:lstStyle/>
              <a:p>
                <a:pPr>
                  <a:defRPr sz="1075" b="1" i="1" u="none" strike="noStrike" baseline="0">
                    <a:solidFill>
                      <a:srgbClr val="000000"/>
                    </a:solidFill>
                    <a:latin typeface="Arial"/>
                    <a:ea typeface="Arial"/>
                    <a:cs typeface="Arial"/>
                  </a:defRPr>
                </a:pPr>
                <a:r>
                  <a:rPr lang="fr-CA"/>
                  <a:t>Année d'opération</a:t>
                </a:r>
              </a:p>
            </c:rich>
          </c:tx>
          <c:layout>
            <c:manualLayout>
              <c:xMode val="edge"/>
              <c:yMode val="edge"/>
              <c:x val="0.45370428696412951"/>
              <c:y val="0.71295166892017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1075" b="0" i="0" u="none" strike="noStrike" baseline="0">
                <a:solidFill>
                  <a:srgbClr val="000000"/>
                </a:solidFill>
                <a:latin typeface="Arial"/>
                <a:ea typeface="Arial"/>
                <a:cs typeface="Arial"/>
              </a:defRPr>
            </a:pPr>
            <a:endParaRPr lang="fr-FR"/>
          </a:p>
        </c:txPr>
        <c:crossAx val="187074816"/>
        <c:crosses val="autoZero"/>
        <c:auto val="1"/>
        <c:lblAlgn val="ctr"/>
        <c:lblOffset val="100"/>
        <c:tickLblSkip val="1"/>
        <c:tickMarkSkip val="1"/>
        <c:noMultiLvlLbl val="0"/>
      </c:catAx>
      <c:valAx>
        <c:axId val="187074816"/>
        <c:scaling>
          <c:orientation val="minMax"/>
        </c:scaling>
        <c:delete val="0"/>
        <c:axPos val="l"/>
        <c:minorGridlines>
          <c:spPr>
            <a:ln w="3175">
              <a:solidFill>
                <a:srgbClr val="000000"/>
              </a:solidFill>
              <a:prstDash val="solid"/>
            </a:ln>
          </c:spPr>
        </c:minorGridlines>
        <c:title>
          <c:tx>
            <c:rich>
              <a:bodyPr rot="0" vert="horz"/>
              <a:lstStyle/>
              <a:p>
                <a:pPr algn="ctr">
                  <a:defRPr sz="1075" b="1" i="1" u="none" strike="noStrike" baseline="0">
                    <a:solidFill>
                      <a:srgbClr val="000000"/>
                    </a:solidFill>
                    <a:latin typeface="Arial"/>
                    <a:ea typeface="Arial"/>
                    <a:cs typeface="Arial"/>
                  </a:defRPr>
                </a:pPr>
                <a:r>
                  <a:rPr lang="fr-CA"/>
                  <a:t>Part de marché 
(%)</a:t>
                </a:r>
              </a:p>
            </c:rich>
          </c:tx>
          <c:layout>
            <c:manualLayout>
              <c:xMode val="edge"/>
              <c:yMode val="edge"/>
              <c:x val="0.14321007096335181"/>
              <c:y val="0.3189461014342904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fr-FR"/>
          </a:p>
        </c:txPr>
        <c:crossAx val="187072896"/>
        <c:crosses val="autoZero"/>
        <c:crossBetween val="between"/>
      </c:valAx>
      <c:dTable>
        <c:showHorzBorder val="1"/>
        <c:showVertBorder val="1"/>
        <c:showOutline val="1"/>
        <c:showKeys val="1"/>
        <c:spPr>
          <a:ln w="3175">
            <a:solidFill>
              <a:srgbClr val="000000"/>
            </a:solidFill>
            <a:prstDash val="solid"/>
          </a:ln>
        </c:spPr>
        <c:txPr>
          <a:bodyPr/>
          <a:lstStyle/>
          <a:p>
            <a:pPr rtl="0">
              <a:defRPr sz="10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78884067269369107"/>
          <c:y val="0.8172787189480103"/>
          <c:w val="0.16568387284922714"/>
          <c:h val="0.1120625740366526"/>
        </c:manualLayout>
      </c:layout>
      <c:overlay val="0"/>
      <c:spPr>
        <a:noFill/>
        <a:ln w="25400">
          <a:noFill/>
        </a:ln>
        <a:effectLst>
          <a:outerShdw dist="35921" dir="2700000" algn="br">
            <a:srgbClr val="000000"/>
          </a:outerShdw>
        </a:effectLst>
      </c:spPr>
      <c:txPr>
        <a:bodyPr/>
        <a:lstStyle/>
        <a:p>
          <a:pPr>
            <a:defRPr sz="53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fr-CA"/>
              <a:t>Détail des ventes</a:t>
            </a:r>
          </a:p>
        </c:rich>
      </c:tx>
      <c:layout>
        <c:manualLayout>
          <c:xMode val="edge"/>
          <c:yMode val="edge"/>
          <c:x val="0.46727828746177369"/>
          <c:y val="5.0464466277998436E-2"/>
        </c:manualLayout>
      </c:layout>
      <c:overlay val="0"/>
      <c:spPr>
        <a:noFill/>
        <a:ln w="25400">
          <a:noFill/>
        </a:ln>
      </c:spPr>
    </c:title>
    <c:autoTitleDeleted val="0"/>
    <c:view3D>
      <c:rotX val="15"/>
      <c:hPercent val="135"/>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2727276975050113"/>
          <c:y val="8.5398106743000288E-2"/>
          <c:w val="0.56459418079984758"/>
          <c:h val="0.60253108646450493"/>
        </c:manualLayout>
      </c:layout>
      <c:bar3DChart>
        <c:barDir val="col"/>
        <c:grouping val="clustered"/>
        <c:varyColors val="0"/>
        <c:ser>
          <c:idx val="0"/>
          <c:order val="0"/>
          <c:tx>
            <c:strRef>
              <c:f>DG!$B$20</c:f>
              <c:strCache>
                <c:ptCount val="1"/>
                <c:pt idx="0">
                  <c:v>Produit/service 1</c:v>
                </c:pt>
              </c:strCache>
            </c:strRef>
          </c:tx>
          <c:spPr>
            <a:solidFill>
              <a:srgbClr val="9999FF"/>
            </a:solidFill>
            <a:ln w="12700">
              <a:solidFill>
                <a:srgbClr val="000000"/>
              </a:solidFill>
              <a:prstDash val="solid"/>
            </a:ln>
          </c:spPr>
          <c:invertIfNegative val="0"/>
          <c:val>
            <c:numRef>
              <c:f>DG!$B$21:$B$23</c:f>
              <c:numCache>
                <c:formatCode>0.0%</c:formatCode>
                <c:ptCount val="3"/>
                <c:pt idx="0">
                  <c:v>0.21779141104294478</c:v>
                </c:pt>
                <c:pt idx="1">
                  <c:v>0.21779141104294478</c:v>
                </c:pt>
                <c:pt idx="2">
                  <c:v>0.21779141104294478</c:v>
                </c:pt>
              </c:numCache>
            </c:numRef>
          </c:val>
          <c:extLst>
            <c:ext xmlns:c16="http://schemas.microsoft.com/office/drawing/2014/chart" uri="{C3380CC4-5D6E-409C-BE32-E72D297353CC}">
              <c16:uniqueId val="{00000000-FC2A-45BE-9799-4C0468BFCF29}"/>
            </c:ext>
          </c:extLst>
        </c:ser>
        <c:ser>
          <c:idx val="1"/>
          <c:order val="1"/>
          <c:tx>
            <c:strRef>
              <c:f>DG!$C$20</c:f>
              <c:strCache>
                <c:ptCount val="1"/>
                <c:pt idx="0">
                  <c:v>Produit/service 2</c:v>
                </c:pt>
              </c:strCache>
            </c:strRef>
          </c:tx>
          <c:spPr>
            <a:solidFill>
              <a:srgbClr val="993366"/>
            </a:solidFill>
            <a:ln w="12700">
              <a:solidFill>
                <a:srgbClr val="000000"/>
              </a:solidFill>
              <a:prstDash val="solid"/>
            </a:ln>
          </c:spPr>
          <c:invertIfNegative val="0"/>
          <c:val>
            <c:numRef>
              <c:f>DG!$C$21:$C$23</c:f>
              <c:numCache>
                <c:formatCode>0.0%</c:formatCode>
                <c:ptCount val="3"/>
                <c:pt idx="0">
                  <c:v>0.31288343558282211</c:v>
                </c:pt>
                <c:pt idx="1">
                  <c:v>0.31288343558282211</c:v>
                </c:pt>
                <c:pt idx="2">
                  <c:v>0.31288343558282211</c:v>
                </c:pt>
              </c:numCache>
            </c:numRef>
          </c:val>
          <c:extLst>
            <c:ext xmlns:c16="http://schemas.microsoft.com/office/drawing/2014/chart" uri="{C3380CC4-5D6E-409C-BE32-E72D297353CC}">
              <c16:uniqueId val="{00000001-FC2A-45BE-9799-4C0468BFCF29}"/>
            </c:ext>
          </c:extLst>
        </c:ser>
        <c:ser>
          <c:idx val="2"/>
          <c:order val="2"/>
          <c:tx>
            <c:strRef>
              <c:f>DG!$D$20</c:f>
              <c:strCache>
                <c:ptCount val="1"/>
                <c:pt idx="0">
                  <c:v>Produit/service 3</c:v>
                </c:pt>
              </c:strCache>
            </c:strRef>
          </c:tx>
          <c:spPr>
            <a:solidFill>
              <a:srgbClr val="FFFFCC"/>
            </a:solidFill>
            <a:ln w="12700">
              <a:solidFill>
                <a:srgbClr val="000000"/>
              </a:solidFill>
              <a:prstDash val="solid"/>
            </a:ln>
          </c:spPr>
          <c:invertIfNegative val="0"/>
          <c:val>
            <c:numRef>
              <c:f>DG!$D$21:$D$23</c:f>
              <c:numCache>
                <c:formatCode>0.0%</c:formatCode>
                <c:ptCount val="3"/>
                <c:pt idx="0">
                  <c:v>0.46932515337423314</c:v>
                </c:pt>
                <c:pt idx="1">
                  <c:v>0.46932515337423314</c:v>
                </c:pt>
                <c:pt idx="2">
                  <c:v>0.46932515337423314</c:v>
                </c:pt>
              </c:numCache>
            </c:numRef>
          </c:val>
          <c:extLst>
            <c:ext xmlns:c16="http://schemas.microsoft.com/office/drawing/2014/chart" uri="{C3380CC4-5D6E-409C-BE32-E72D297353CC}">
              <c16:uniqueId val="{00000002-FC2A-45BE-9799-4C0468BFCF29}"/>
            </c:ext>
          </c:extLst>
        </c:ser>
        <c:ser>
          <c:idx val="3"/>
          <c:order val="3"/>
          <c:tx>
            <c:strRef>
              <c:f>DG!$E$20</c:f>
              <c:strCache>
                <c:ptCount val="1"/>
                <c:pt idx="0">
                  <c:v>Produit/service 4</c:v>
                </c:pt>
              </c:strCache>
            </c:strRef>
          </c:tx>
          <c:spPr>
            <a:solidFill>
              <a:srgbClr val="CCFFFF"/>
            </a:solidFill>
            <a:ln w="12700">
              <a:solidFill>
                <a:srgbClr val="000000"/>
              </a:solidFill>
              <a:prstDash val="solid"/>
            </a:ln>
          </c:spPr>
          <c:invertIfNegative val="0"/>
          <c:val>
            <c:numRef>
              <c:f>DG!$E$21:$E$23</c:f>
              <c:numCache>
                <c:formatCode>0.0%</c:formatCode>
                <c:ptCount val="3"/>
                <c:pt idx="0">
                  <c:v>0</c:v>
                </c:pt>
                <c:pt idx="1">
                  <c:v>0</c:v>
                </c:pt>
                <c:pt idx="2">
                  <c:v>0</c:v>
                </c:pt>
              </c:numCache>
            </c:numRef>
          </c:val>
          <c:extLst>
            <c:ext xmlns:c16="http://schemas.microsoft.com/office/drawing/2014/chart" uri="{C3380CC4-5D6E-409C-BE32-E72D297353CC}">
              <c16:uniqueId val="{00000003-FC2A-45BE-9799-4C0468BFCF29}"/>
            </c:ext>
          </c:extLst>
        </c:ser>
        <c:ser>
          <c:idx val="4"/>
          <c:order val="4"/>
          <c:tx>
            <c:strRef>
              <c:f>DG!$F$20</c:f>
              <c:strCache>
                <c:ptCount val="1"/>
                <c:pt idx="0">
                  <c:v>Produit/service 5</c:v>
                </c:pt>
              </c:strCache>
            </c:strRef>
          </c:tx>
          <c:spPr>
            <a:solidFill>
              <a:srgbClr val="660066"/>
            </a:solidFill>
            <a:ln w="12700">
              <a:solidFill>
                <a:srgbClr val="000000"/>
              </a:solidFill>
              <a:prstDash val="solid"/>
            </a:ln>
          </c:spPr>
          <c:invertIfNegative val="0"/>
          <c:val>
            <c:numRef>
              <c:f>DG!$F$21:$F$23</c:f>
              <c:numCache>
                <c:formatCode>0.0%</c:formatCode>
                <c:ptCount val="3"/>
                <c:pt idx="0">
                  <c:v>0</c:v>
                </c:pt>
                <c:pt idx="1">
                  <c:v>0</c:v>
                </c:pt>
                <c:pt idx="2">
                  <c:v>0</c:v>
                </c:pt>
              </c:numCache>
            </c:numRef>
          </c:val>
          <c:extLst>
            <c:ext xmlns:c16="http://schemas.microsoft.com/office/drawing/2014/chart" uri="{C3380CC4-5D6E-409C-BE32-E72D297353CC}">
              <c16:uniqueId val="{00000004-FC2A-45BE-9799-4C0468BFCF29}"/>
            </c:ext>
          </c:extLst>
        </c:ser>
        <c:ser>
          <c:idx val="5"/>
          <c:order val="5"/>
          <c:tx>
            <c:strRef>
              <c:f>DG!$G$20</c:f>
              <c:strCache>
                <c:ptCount val="1"/>
                <c:pt idx="0">
                  <c:v>Produit/service 6</c:v>
                </c:pt>
              </c:strCache>
            </c:strRef>
          </c:tx>
          <c:spPr>
            <a:solidFill>
              <a:srgbClr val="FF8080"/>
            </a:solidFill>
            <a:ln w="12700">
              <a:solidFill>
                <a:srgbClr val="000000"/>
              </a:solidFill>
              <a:prstDash val="solid"/>
            </a:ln>
          </c:spPr>
          <c:invertIfNegative val="0"/>
          <c:val>
            <c:numRef>
              <c:f>DG!$G$21:$G$23</c:f>
              <c:numCache>
                <c:formatCode>0.0%</c:formatCode>
                <c:ptCount val="3"/>
                <c:pt idx="0">
                  <c:v>0</c:v>
                </c:pt>
                <c:pt idx="1">
                  <c:v>0</c:v>
                </c:pt>
                <c:pt idx="2">
                  <c:v>0</c:v>
                </c:pt>
              </c:numCache>
            </c:numRef>
          </c:val>
          <c:extLst>
            <c:ext xmlns:c16="http://schemas.microsoft.com/office/drawing/2014/chart" uri="{C3380CC4-5D6E-409C-BE32-E72D297353CC}">
              <c16:uniqueId val="{00000005-FC2A-45BE-9799-4C0468BFCF29}"/>
            </c:ext>
          </c:extLst>
        </c:ser>
        <c:dLbls>
          <c:showLegendKey val="0"/>
          <c:showVal val="0"/>
          <c:showCatName val="0"/>
          <c:showSerName val="0"/>
          <c:showPercent val="0"/>
          <c:showBubbleSize val="0"/>
        </c:dLbls>
        <c:gapWidth val="350"/>
        <c:gapDepth val="0"/>
        <c:shape val="box"/>
        <c:axId val="187212160"/>
        <c:axId val="187214080"/>
        <c:axId val="0"/>
      </c:bar3DChart>
      <c:catAx>
        <c:axId val="187212160"/>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a:t>
                </a:r>
              </a:p>
            </c:rich>
          </c:tx>
          <c:layout>
            <c:manualLayout>
              <c:xMode val="edge"/>
              <c:yMode val="edge"/>
              <c:x val="0.4874617737003058"/>
              <c:y val="0.89262753660217253"/>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500" b="1" i="0" u="none" strike="noStrike" baseline="0">
                <a:solidFill>
                  <a:srgbClr val="000000"/>
                </a:solidFill>
                <a:latin typeface="Arial"/>
                <a:ea typeface="Arial"/>
                <a:cs typeface="Arial"/>
              </a:defRPr>
            </a:pPr>
            <a:endParaRPr lang="fr-FR"/>
          </a:p>
        </c:txPr>
        <c:crossAx val="187214080"/>
        <c:crosses val="autoZero"/>
        <c:auto val="1"/>
        <c:lblAlgn val="ctr"/>
        <c:lblOffset val="100"/>
        <c:tickLblSkip val="1"/>
        <c:tickMarkSkip val="1"/>
        <c:noMultiLvlLbl val="0"/>
      </c:catAx>
      <c:valAx>
        <c:axId val="187214080"/>
        <c:scaling>
          <c:orientation val="minMax"/>
        </c:scaling>
        <c:delete val="0"/>
        <c:axPos val="l"/>
        <c:minorGridlines>
          <c:spPr>
            <a:ln w="3175">
              <a:solidFill>
                <a:srgbClr val="000000"/>
              </a:solidFill>
              <a:prstDash val="solid"/>
            </a:ln>
          </c:spPr>
        </c:minorGridlines>
        <c:title>
          <c:tx>
            <c:rich>
              <a:bodyPr rot="0" vert="horz"/>
              <a:lstStyle/>
              <a:p>
                <a:pPr algn="ctr">
                  <a:defRPr sz="500" b="1" i="1" u="none" strike="noStrike" baseline="0">
                    <a:solidFill>
                      <a:srgbClr val="000000"/>
                    </a:solidFill>
                    <a:latin typeface="Arial"/>
                    <a:ea typeface="Arial"/>
                    <a:cs typeface="Arial"/>
                  </a:defRPr>
                </a:pPr>
                <a:r>
                  <a:rPr lang="fr-CA"/>
                  <a:t>Ventes générées
(% du chiffres d'affaires)</a:t>
                </a:r>
              </a:p>
            </c:rich>
          </c:tx>
          <c:layout>
            <c:manualLayout>
              <c:xMode val="edge"/>
              <c:yMode val="edge"/>
              <c:x val="4.0366972477064222E-2"/>
              <c:y val="0.3820898656324678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500" b="1" i="0" u="none" strike="noStrike" baseline="0">
                <a:solidFill>
                  <a:srgbClr val="000000"/>
                </a:solidFill>
                <a:latin typeface="Arial"/>
                <a:ea typeface="Arial"/>
                <a:cs typeface="Arial"/>
              </a:defRPr>
            </a:pPr>
            <a:endParaRPr lang="fr-FR"/>
          </a:p>
        </c:txPr>
        <c:crossAx val="187212160"/>
        <c:crosses val="autoZero"/>
        <c:crossBetween val="between"/>
      </c:valAx>
      <c:dTable>
        <c:showHorzBorder val="1"/>
        <c:showVertBorder val="1"/>
        <c:showOutline val="1"/>
        <c:showKeys val="1"/>
        <c:spPr>
          <a:ln w="3175">
            <a:solidFill>
              <a:srgbClr val="000000"/>
            </a:solidFill>
            <a:prstDash val="solid"/>
          </a:ln>
        </c:spPr>
        <c:txPr>
          <a:bodyPr/>
          <a:lstStyle/>
          <a:p>
            <a:pPr rtl="0">
              <a:defRPr sz="975" b="0" i="0" u="none" strike="noStrike" baseline="0">
                <a:solidFill>
                  <a:srgbClr val="000000"/>
                </a:solidFill>
                <a:latin typeface="Arial"/>
                <a:ea typeface="Arial"/>
                <a:cs typeface="Arial"/>
              </a:defRPr>
            </a:pPr>
            <a:endParaRPr lang="fr-FR"/>
          </a:p>
        </c:txPr>
      </c:dTable>
      <c:spPr>
        <a:noFill/>
        <a:ln w="25400">
          <a:noFill/>
        </a:ln>
      </c:spPr>
    </c:plotArea>
    <c:legend>
      <c:legendPos val="r"/>
      <c:layout>
        <c:manualLayout>
          <c:xMode val="edge"/>
          <c:yMode val="edge"/>
          <c:x val="0.86921987045197346"/>
          <c:y val="0.4238276334861128"/>
          <c:w val="0.10047860531195074"/>
          <c:h val="0.21507674227288753"/>
        </c:manualLayout>
      </c:layout>
      <c:overlay val="0"/>
      <c:spPr>
        <a:noFill/>
        <a:ln w="25400">
          <a:noFill/>
        </a:ln>
        <a:effectLst>
          <a:outerShdw dist="35921" dir="2700000" algn="br">
            <a:srgbClr val="000000"/>
          </a:outerShdw>
        </a:effectLst>
      </c:spPr>
      <c:txPr>
        <a:bodyPr/>
        <a:lstStyle/>
        <a:p>
          <a:pPr rtl="0">
            <a:defRPr sz="480" b="0" i="0" u="none" strike="noStrike" baseline="0">
              <a:solidFill>
                <a:srgbClr val="000000"/>
              </a:solidFill>
              <a:latin typeface="Arial"/>
              <a:ea typeface="Arial"/>
              <a:cs typeface="Arial"/>
            </a:defRPr>
          </a:pPr>
          <a:endParaRPr lang="fr-FR"/>
        </a:p>
      </c:txPr>
    </c:legend>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orientation="landscape" horizontalDpi="300" verticalDpi="300"/>
  </c:printSettings>
  <c:userShapes r:id="rId1"/>
</c:chartSpace>
</file>

<file path=xl/ctrlProps/ctrlProp1.xml><?xml version="1.0" encoding="utf-8"?>
<formControlPr xmlns="http://schemas.microsoft.com/office/spreadsheetml/2009/9/main" objectType="Drop" dropLines="5" dropStyle="combo" dx="15" fmlaLink="$A$74" fmlaRange="$B$39:$B$43" sel="3" val="0"/>
</file>

<file path=xl/ctrlProps/ctrlProp2.xml><?xml version="1.0" encoding="utf-8"?>
<formControlPr xmlns="http://schemas.microsoft.com/office/spreadsheetml/2009/9/main" objectType="Drop" dropLines="6" dropStyle="combo" dx="15" fmlaLink="$A$78" fmlaRange="$F$39:$F$44" sel="3" val="0"/>
</file>

<file path=xl/ctrlProps/ctrlProp3.xml><?xml version="1.0" encoding="utf-8"?>
<formControlPr xmlns="http://schemas.microsoft.com/office/spreadsheetml/2009/9/main" objectType="Drop" dropLines="2" dropStyle="combo" dx="15" fmlaLink="$A$82" fmlaRange="$B$49:$B$50" sel="1" val="0"/>
</file>

<file path=xl/ctrlProps/ctrlProp4.xml><?xml version="1.0" encoding="utf-8"?>
<formControlPr xmlns="http://schemas.microsoft.com/office/spreadsheetml/2009/9/main" objectType="Drop" dropLines="2" dropStyle="combo" dx="15" fmlaLink="$A$84" fmlaRange="$B$51:$B$52" sel="1" val="0"/>
</file>

<file path=xl/ctrlProps/ctrlProp5.xml><?xml version="1.0" encoding="utf-8"?>
<formControlPr xmlns="http://schemas.microsoft.com/office/spreadsheetml/2009/9/main" objectType="Drop" dropLines="7" dropStyle="combo" dx="15" fmlaLink="$A$73" fmlaRange="$D$39:$D$45" sel="1" val="0"/>
</file>

<file path=xl/ctrlProps/ctrlProp6.xml><?xml version="1.0" encoding="utf-8"?>
<formControlPr xmlns="http://schemas.microsoft.com/office/spreadsheetml/2009/9/main" objectType="Drop" dropLines="31" dropStyle="combo" dx="15" fmlaLink="$A$91" fmlaRange="$K$48:$K$78" sel="15" val="0"/>
</file>

<file path=xl/ctrlProps/ctrlProp7.xml><?xml version="1.0" encoding="utf-8"?>
<formControlPr xmlns="http://schemas.microsoft.com/office/spreadsheetml/2009/9/main" objectType="Drop" dropLines="2" dropStyle="combo" dx="15" fmlaLink="$A$90" fmlaRange="$D$58:$D$59" sel="1" val="0"/>
</file>

<file path=xl/ctrlProps/ctrlProp8.xml><?xml version="1.0" encoding="utf-8"?>
<formControlPr xmlns="http://schemas.microsoft.com/office/spreadsheetml/2009/9/main" objectType="Drop" dropLines="3" dropStyle="combo" dx="15" fmlaLink="$A$117" fmlaRange="$B$114:$B$116" sel="1" val="0"/>
</file>

<file path=xl/ctrlProps/ctrlProp9.xml><?xml version="1.0" encoding="utf-8"?>
<formControlPr xmlns="http://schemas.microsoft.com/office/spreadsheetml/2009/9/main" objectType="Drop" dropLines="59" dropStyle="combo" dx="15" fmlaLink="DG!$C$158" fmlaRange="DG!$A$157:$A$196" sel="26" val="0"/>
</file>

<file path=xl/ctrlProps/ctrlProp10.xml><?xml version="1.0" encoding="utf-8"?>
<formControlPr xmlns="http://schemas.microsoft.com/office/spreadsheetml/2009/9/main" objectType="Drop" dropLines="59" dropStyle="combo" dx="15" fmlaLink="DG!$C$159" fmlaRange="DG!$A$157:$A$196" sel="19" val="0"/>
</file>

<file path=xl/ctrlProps/ctrlProp11.xml><?xml version="1.0" encoding="utf-8"?>
<formControlPr xmlns="http://schemas.microsoft.com/office/spreadsheetml/2009/9/main" objectType="Drop" dropLines="59" dropStyle="combo" dx="15" fmlaLink="DG!$C$160" fmlaRange="DG!$A$157:$A$196" sel="7" val="0"/>
</file>

<file path=xl/ctrlProps/ctrlProp12.xml><?xml version="1.0" encoding="utf-8"?>
<formControlPr xmlns="http://schemas.microsoft.com/office/spreadsheetml/2009/9/main" objectType="Drop" dropLines="59" dropStyle="combo" dx="15" fmlaLink="DG!$C$161" fmlaRange="DG!$A$157:$A$196" sel="8" val="0"/>
</file>

<file path=xl/ctrlProps/ctrlProp13.xml><?xml version="1.0" encoding="utf-8"?>
<formControlPr xmlns="http://schemas.microsoft.com/office/spreadsheetml/2009/9/main" objectType="Drop" dropLines="59" dropStyle="combo" dx="15" fmlaLink="DG!$C$162" fmlaRange="DG!$A$157:$A$196" sel="35" val="0"/>
</file>

<file path=xl/ctrlProps/ctrlProp14.xml><?xml version="1.0" encoding="utf-8"?>
<formControlPr xmlns="http://schemas.microsoft.com/office/spreadsheetml/2009/9/main" objectType="Drop" dropLines="59" dropStyle="combo" dx="15" fmlaLink="DG!$C$163" fmlaRange="DG!$A$157:$A$196" sel="29" val="0"/>
</file>

<file path=xl/ctrlProps/ctrlProp15.xml><?xml version="1.0" encoding="utf-8"?>
<formControlPr xmlns="http://schemas.microsoft.com/office/spreadsheetml/2009/9/main" objectType="Drop" dropLines="59" dropStyle="combo" dx="15" fmlaLink="DG!$C$164" fmlaRange="DG!$A$157:$A$196" sel="25" val="0"/>
</file>

<file path=xl/ctrlProps/ctrlProp16.xml><?xml version="1.0" encoding="utf-8"?>
<formControlPr xmlns="http://schemas.microsoft.com/office/spreadsheetml/2009/9/main" objectType="Drop" dropLines="59" dropStyle="combo" dx="15" fmlaLink="DG!$C$165" fmlaRange="DG!$A$157:$A$196" sel="1" val="0"/>
</file>

<file path=xl/ctrlProps/ctrlProp17.xml><?xml version="1.0" encoding="utf-8"?>
<formControlPr xmlns="http://schemas.microsoft.com/office/spreadsheetml/2009/9/main" objectType="Drop" dropLines="59" dropStyle="combo" dx="15" fmlaLink="DG!$C$166" fmlaRange="DG!$A$157:$A$196" sel="1" val="0"/>
</file>

<file path=xl/ctrlProps/ctrlProp18.xml><?xml version="1.0" encoding="utf-8"?>
<formControlPr xmlns="http://schemas.microsoft.com/office/spreadsheetml/2009/9/main" objectType="Drop" dropLines="59" dropStyle="combo" dx="15" fmlaLink="DG!$C$167" fmlaRange="DG!$A$157:$A$196" sel="1" val="0"/>
</file>

<file path=xl/ctrlProps/ctrlProp19.xml><?xml version="1.0" encoding="utf-8"?>
<formControlPr xmlns="http://schemas.microsoft.com/office/spreadsheetml/2009/9/main" objectType="Drop" dropLines="59" dropStyle="combo" dx="15" fmlaLink="DG!$C$168" fmlaRange="DG!$A$157:$A$196" sel="1" val="0"/>
</file>

<file path=xl/ctrlProps/ctrlProp20.xml><?xml version="1.0" encoding="utf-8"?>
<formControlPr xmlns="http://schemas.microsoft.com/office/spreadsheetml/2009/9/main" objectType="Drop" dropLines="59" dropStyle="combo" dx="15" fmlaLink="DG!$C$169" fmlaRange="DG!$A$157:$A$196" sel="1" val="0"/>
</file>

<file path=xl/ctrlProps/ctrlProp21.xml><?xml version="1.0" encoding="utf-8"?>
<formControlPr xmlns="http://schemas.microsoft.com/office/spreadsheetml/2009/9/main" objectType="Drop" dropLines="59" dropStyle="combo" dx="15" fmlaLink="DG!$C$170" fmlaRange="DG!$A$157:$A$196" sel="1" val="0"/>
</file>

<file path=xl/ctrlProps/ctrlProp22.xml><?xml version="1.0" encoding="utf-8"?>
<formControlPr xmlns="http://schemas.microsoft.com/office/spreadsheetml/2009/9/main" objectType="Drop" dropLines="59" dropStyle="combo" dx="15" fmlaLink="DG!$C$171" fmlaRange="DG!$A$157:$A$196" sel="1" val="0"/>
</file>

<file path=xl/ctrlProps/ctrlProp23.xml><?xml version="1.0" encoding="utf-8"?>
<formControlPr xmlns="http://schemas.microsoft.com/office/spreadsheetml/2009/9/main" objectType="Drop" dropLines="59" dropStyle="combo" dx="15" fmlaLink="DG!$C$172" fmlaRange="DG!$A$157:$A$196" sel="1" val="0"/>
</file>

<file path=xl/ctrlProps/ctrlProp24.xml><?xml version="1.0" encoding="utf-8"?>
<formControlPr xmlns="http://schemas.microsoft.com/office/spreadsheetml/2009/9/main" objectType="Drop" dropLines="59" dropStyle="combo" dx="15" fmlaLink="DG!$C$173" fmlaRange="DG!$A$157:$A$196" sel="1" val="0"/>
</file>

<file path=xl/ctrlProps/ctrlProp25.xml><?xml version="1.0" encoding="utf-8"?>
<formControlPr xmlns="http://schemas.microsoft.com/office/spreadsheetml/2009/9/main" objectType="Drop" dropLines="12" dropStyle="combo" dx="15" fmlaLink="DG!$A$201" fmlaRange="DG!$C$201:$C$212" sel="9" val="0"/>
</file>

<file path=xl/ctrlProps/ctrlProp26.xml><?xml version="1.0" encoding="utf-8"?>
<formControlPr xmlns="http://schemas.microsoft.com/office/spreadsheetml/2009/9/main" objectType="Drop" dropLines="59" dropStyle="combo" dx="15" fmlaLink="DG!$B$201" fmlaRange="DG!$E$201:$E$212" sel="1" val="0"/>
</file>

<file path=xl/ctrlProps/ctrlProp27.xml><?xml version="1.0" encoding="utf-8"?>
<formControlPr xmlns="http://schemas.microsoft.com/office/spreadsheetml/2009/9/main" objectType="Drop" dropLines="59" dropStyle="combo" dx="15" fmlaLink="DG!$B$202" fmlaRange="DG!$E$201:$E$212" sel="1" val="0"/>
</file>

<file path=xl/ctrlProps/ctrlProp28.xml><?xml version="1.0" encoding="utf-8"?>
<formControlPr xmlns="http://schemas.microsoft.com/office/spreadsheetml/2009/9/main" objectType="Drop" dropLines="12" dropStyle="combo" dx="15" fmlaLink="DG!$B$203" fmlaRange="DG!$E$201:$E$212" sel="1" val="0"/>
</file>

<file path=xl/ctrlProps/ctrlProp29.xml><?xml version="1.0" encoding="utf-8"?>
<formControlPr xmlns="http://schemas.microsoft.com/office/spreadsheetml/2009/9/main" objectType="Drop" dropLines="12" dropStyle="combo" dx="15" fmlaLink="DG!$B$204" fmlaRange="DG!$E$201:$E$212" sel="1" val="0"/>
</file>

<file path=xl/ctrlProps/ctrlProp30.xml><?xml version="1.0" encoding="utf-8"?>
<formControlPr xmlns="http://schemas.microsoft.com/office/spreadsheetml/2009/9/main" objectType="Drop" dropLines="12" dropStyle="combo" dx="15" fmlaLink="DG!$B$205" fmlaRange="DG!$E$201:$E$212" sel="1" val="0"/>
</file>

<file path=xl/ctrlProps/ctrlProp31.xml><?xml version="1.0" encoding="utf-8"?>
<formControlPr xmlns="http://schemas.microsoft.com/office/spreadsheetml/2009/9/main" objectType="Drop" dropLines="12" dropStyle="combo" dx="15" fmlaLink="DG!$B$206" fmlaRange="DG!$E$201:$E$212" sel="1" val="0"/>
</file>

<file path=xl/ctrlProps/ctrlProp32.xml><?xml version="1.0" encoding="utf-8"?>
<formControlPr xmlns="http://schemas.microsoft.com/office/spreadsheetml/2009/9/main" objectType="Drop" dropLines="12" dropStyle="combo" dx="15" fmlaLink="DG!$B$207" fmlaRange="DG!$E$201:$E$212" sel="1" val="0"/>
</file>

<file path=xl/ctrlProps/ctrlProp33.xml><?xml version="1.0" encoding="utf-8"?>
<formControlPr xmlns="http://schemas.microsoft.com/office/spreadsheetml/2009/9/main" objectType="Drop" dropLines="12" dropStyle="combo" dx="15" fmlaLink="DG!$B$208" fmlaRange="DG!$E$201:$E$212" sel="1" val="0"/>
</file>

<file path=xl/ctrlProps/ctrlProp34.xml><?xml version="1.0" encoding="utf-8"?>
<formControlPr xmlns="http://schemas.microsoft.com/office/spreadsheetml/2009/9/main" objectType="Drop" dropLines="12" dropStyle="combo" dx="15" fmlaLink="DG!$B$209" fmlaRange="DG!$E$201:$E$212" sel="1" val="0"/>
</file>

<file path=xl/ctrlProps/ctrlProp35.xml><?xml version="1.0" encoding="utf-8"?>
<formControlPr xmlns="http://schemas.microsoft.com/office/spreadsheetml/2009/9/main" objectType="Drop" dropLines="12" dropStyle="combo" dx="15" fmlaLink="DG!$B$210" fmlaRange="DG!$E$201:$E$212" sel="1" val="0"/>
</file>

<file path=xl/ctrlProps/ctrlProp36.xml><?xml version="1.0" encoding="utf-8"?>
<formControlPr xmlns="http://schemas.microsoft.com/office/spreadsheetml/2009/9/main" objectType="Drop" dropLines="12" dropStyle="combo" dx="15" fmlaLink="DG!$B$211" fmlaRange="DG!$E$201:$E$212" sel="1" val="0"/>
</file>

<file path=xl/ctrlProps/ctrlProp37.xml><?xml version="1.0" encoding="utf-8"?>
<formControlPr xmlns="http://schemas.microsoft.com/office/spreadsheetml/2009/9/main" objectType="Drop" dropLines="59" dropStyle="combo" dx="15" fmlaLink="DG!$A$202" fmlaRange="DG!$C$201:$C$212" sel="8" val="0"/>
</file>

<file path=xl/ctrlProps/ctrlProp38.xml><?xml version="1.0" encoding="utf-8"?>
<formControlPr xmlns="http://schemas.microsoft.com/office/spreadsheetml/2009/9/main" objectType="Drop" dropLines="79" dropStyle="combo" dx="15" fmlaLink="DG!$A$203" fmlaRange="DG!$C$201:$C$212" sel="11" val="0"/>
</file>

<file path=xl/ctrlProps/ctrlProp39.xml><?xml version="1.0" encoding="utf-8"?>
<formControlPr xmlns="http://schemas.microsoft.com/office/spreadsheetml/2009/9/main" objectType="Drop" dropLines="79" dropStyle="combo" dx="15" fmlaLink="DG!$A$204" fmlaRange="DG!$C$201:$C$212" sel="12" val="0"/>
</file>

<file path=xl/ctrlProps/ctrlProp40.xml><?xml version="1.0" encoding="utf-8"?>
<formControlPr xmlns="http://schemas.microsoft.com/office/spreadsheetml/2009/9/main" objectType="Drop" dropLines="79" dropStyle="combo" dx="15" fmlaLink="DG!$A$205" fmlaRange="DG!$C$201:$C$212" sel="7" val="0"/>
</file>

<file path=xl/ctrlProps/ctrlProp41.xml><?xml version="1.0" encoding="utf-8"?>
<formControlPr xmlns="http://schemas.microsoft.com/office/spreadsheetml/2009/9/main" objectType="Drop" dropLines="79" dropStyle="combo" dx="15" fmlaLink="DG!$A$206" fmlaRange="DG!$C$201:$C$212" sel="1" val="0"/>
</file>

<file path=xl/ctrlProps/ctrlProp42.xml><?xml version="1.0" encoding="utf-8"?>
<formControlPr xmlns="http://schemas.microsoft.com/office/spreadsheetml/2009/9/main" objectType="Drop" dropLines="12" dropStyle="combo" dx="15" fmlaLink="DG!$A$207" fmlaRange="DG!$C$201:$C$212" sel="1" val="0"/>
</file>

<file path=xl/ctrlProps/ctrlProp43.xml><?xml version="1.0" encoding="utf-8"?>
<formControlPr xmlns="http://schemas.microsoft.com/office/spreadsheetml/2009/9/main" objectType="Drop" dropLines="12" dropStyle="combo" dx="15" fmlaLink="DG!$A$208" fmlaRange="DG!$C$201:$C$212" sel="1" val="0"/>
</file>

<file path=xl/ctrlProps/ctrlProp44.xml><?xml version="1.0" encoding="utf-8"?>
<formControlPr xmlns="http://schemas.microsoft.com/office/spreadsheetml/2009/9/main" objectType="Drop" dropLines="12" dropStyle="combo" dx="15" fmlaLink="DG!$A$209" fmlaRange="DG!$C$201:$C$212" sel="1" val="0"/>
</file>

<file path=xl/ctrlProps/ctrlProp45.xml><?xml version="1.0" encoding="utf-8"?>
<formControlPr xmlns="http://schemas.microsoft.com/office/spreadsheetml/2009/9/main" objectType="Drop" dropLines="12" dropStyle="combo" dx="15" fmlaLink="DG!$A$210" fmlaRange="DG!$C$201:$C$212" sel="1" val="0"/>
</file>

<file path=xl/ctrlProps/ctrlProp46.xml><?xml version="1.0" encoding="utf-8"?>
<formControlPr xmlns="http://schemas.microsoft.com/office/spreadsheetml/2009/9/main" objectType="Drop" dropLines="12" dropStyle="combo" dx="15" fmlaLink="DG!$A$211" fmlaRange="DG!$C$201:$C$212" sel="1" val="0"/>
</file>

<file path=xl/ctrlProps/ctrlProp47.xml><?xml version="1.0" encoding="utf-8"?>
<formControlPr xmlns="http://schemas.microsoft.com/office/spreadsheetml/2009/9/main" objectType="Drop" dropLines="45" dropStyle="combo" dx="15" fmlaLink="$A$80" fmlaRange="$I$15:$I$16" sel="1" val="0"/>
</file>

<file path=xl/ctrlProps/ctrlProp48.xml><?xml version="1.0" encoding="utf-8"?>
<formControlPr xmlns="http://schemas.microsoft.com/office/spreadsheetml/2009/9/main" objectType="Drop" dropLines="4" dropStyle="combo" dx="15" fmlaLink="$A$20" fmlaRange="$B$17:$B$20" sel="2" val="0"/>
</file>

<file path=xl/ctrlProps/ctrlProp49.xml><?xml version="1.0" encoding="utf-8"?>
<formControlPr xmlns="http://schemas.microsoft.com/office/spreadsheetml/2009/9/main" objectType="Drop" dropLines="4" dropStyle="combo" dx="15" fmlaLink="$A$33" fmlaRange="$B$30:$B$33" sel="1" val="0"/>
</file>

<file path=xl/ctrlProps/ctrlProp50.xml><?xml version="1.0" encoding="utf-8"?>
<formControlPr xmlns="http://schemas.microsoft.com/office/spreadsheetml/2009/9/main" objectType="Drop" dropLines="4" dropStyle="combo" dx="15" fmlaLink="$A$46" fmlaRange="$B$43:$B$46" sel="1" val="0"/>
</file>

<file path=xl/ctrlProps/ctrlProp51.xml><?xml version="1.0" encoding="utf-8"?>
<formControlPr xmlns="http://schemas.microsoft.com/office/spreadsheetml/2009/9/main" objectType="Drop" dropLines="4" dropStyle="combo" dx="15" fmlaLink="$A$59" fmlaRange="$B$56:$B$59" sel="1" val="0"/>
</file>

<file path=xl/ctrlProps/ctrlProp52.xml><?xml version="1.0" encoding="utf-8"?>
<formControlPr xmlns="http://schemas.microsoft.com/office/spreadsheetml/2009/9/main" objectType="Drop" dropLines="4" dropStyle="combo" dx="15" fmlaLink="$A$72" fmlaRange="$B$69:$B$72" sel="1" val="0"/>
</file>

<file path=xl/ctrlProps/ctrlProp53.xml><?xml version="1.0" encoding="utf-8"?>
<formControlPr xmlns="http://schemas.microsoft.com/office/spreadsheetml/2009/9/main" objectType="Drop" dropLines="4" dropStyle="combo" dx="15" fmlaLink="$A$85" fmlaRange="$B$82:$B$85" sel="1" val="0"/>
</file>

<file path=xl/ctrlProps/ctrlProp54.xml><?xml version="1.0" encoding="utf-8"?>
<formControlPr xmlns="http://schemas.microsoft.com/office/spreadsheetml/2009/9/main" objectType="Drop" dropLines="4" dropStyle="combo" dx="15" fmlaLink="$A$20" fmlaRange="$B$17:$B$20" sel="1" val="0"/>
</file>

<file path=xl/ctrlProps/ctrlProp55.xml><?xml version="1.0" encoding="utf-8"?>
<formControlPr xmlns="http://schemas.microsoft.com/office/spreadsheetml/2009/9/main" objectType="Drop" dropLines="4" dropStyle="combo" dx="15" fmlaLink="$A$33" fmlaRange="$B$30:$B$33" sel="1" val="0"/>
</file>

<file path=xl/ctrlProps/ctrlProp56.xml><?xml version="1.0" encoding="utf-8"?>
<formControlPr xmlns="http://schemas.microsoft.com/office/spreadsheetml/2009/9/main" objectType="Drop" dropLines="4" dropStyle="combo" dx="15" fmlaLink="$A$59" fmlaRange="$B$56:$B$59" sel="1" val="0"/>
</file>

<file path=xl/ctrlProps/ctrlProp57.xml><?xml version="1.0" encoding="utf-8"?>
<formControlPr xmlns="http://schemas.microsoft.com/office/spreadsheetml/2009/9/main" objectType="Drop" dropLines="4" dropStyle="combo" dx="15" fmlaLink="$A$72" fmlaRange="$B$69:$B$72" sel="1" val="0"/>
</file>

<file path=xl/ctrlProps/ctrlProp58.xml><?xml version="1.0" encoding="utf-8"?>
<formControlPr xmlns="http://schemas.microsoft.com/office/spreadsheetml/2009/9/main" objectType="Drop" dropLines="4" dropStyle="combo" dx="15" fmlaLink="$A$85" fmlaRange="$B$82:$B$85" sel="1" val="0"/>
</file>

<file path=xl/ctrlProps/ctrlProp59.xml><?xml version="1.0" encoding="utf-8"?>
<formControlPr xmlns="http://schemas.microsoft.com/office/spreadsheetml/2009/9/main" objectType="Drop" dropLines="4" dropStyle="combo" dx="15" fmlaLink="$A$46" fmlaRange="$B$43:$B$46" sel="1" val="0"/>
</file>

<file path=xl/ctrlProps/ctrlProp60.xml><?xml version="1.0" encoding="utf-8"?>
<formControlPr xmlns="http://schemas.microsoft.com/office/spreadsheetml/2009/9/main" objectType="Drop" dropLines="4" dropStyle="combo" dx="15" fmlaLink="$A$20" fmlaRange="$B$17:$B$20" sel="1" val="0"/>
</file>

<file path=xl/ctrlProps/ctrlProp61.xml><?xml version="1.0" encoding="utf-8"?>
<formControlPr xmlns="http://schemas.microsoft.com/office/spreadsheetml/2009/9/main" objectType="Drop" dropLines="4" dropStyle="combo" dx="15" fmlaLink="$A$33" fmlaRange="$B$30:$B$33" sel="1" val="0"/>
</file>

<file path=xl/ctrlProps/ctrlProp62.xml><?xml version="1.0" encoding="utf-8"?>
<formControlPr xmlns="http://schemas.microsoft.com/office/spreadsheetml/2009/9/main" objectType="Drop" dropLines="4" dropStyle="combo" dx="15" fmlaLink="$A$59" fmlaRange="$B$56:$B$59" sel="1" val="0"/>
</file>

<file path=xl/ctrlProps/ctrlProp63.xml><?xml version="1.0" encoding="utf-8"?>
<formControlPr xmlns="http://schemas.microsoft.com/office/spreadsheetml/2009/9/main" objectType="Drop" dropLines="4" dropStyle="combo" dx="15" fmlaLink="$A$72" fmlaRange="$B$69:$B$72" sel="1" val="0"/>
</file>

<file path=xl/ctrlProps/ctrlProp64.xml><?xml version="1.0" encoding="utf-8"?>
<formControlPr xmlns="http://schemas.microsoft.com/office/spreadsheetml/2009/9/main" objectType="Drop" dropLines="4" dropStyle="combo" dx="15" fmlaLink="$A$85" fmlaRange="$B$82:$B$85" sel="1" val="0"/>
</file>

<file path=xl/ctrlProps/ctrlProp65.xml><?xml version="1.0" encoding="utf-8"?>
<formControlPr xmlns="http://schemas.microsoft.com/office/spreadsheetml/2009/9/main" objectType="Drop" dropLines="4" dropStyle="combo" dx="15" fmlaLink="$A$46" fmlaRange="$B$43:$B$46" sel="1" val="0"/>
</file>

<file path=xl/ctrlProps/ctrlProp66.xml><?xml version="1.0" encoding="utf-8"?>
<formControlPr xmlns="http://schemas.microsoft.com/office/spreadsheetml/2009/9/main" objectType="Drop" dropLines="4" dropStyle="combo" dx="15" fmlaLink="$A$20" fmlaRange="$B$17:$B$20" sel="1" val="0"/>
</file>

<file path=xl/ctrlProps/ctrlProp67.xml><?xml version="1.0" encoding="utf-8"?>
<formControlPr xmlns="http://schemas.microsoft.com/office/spreadsheetml/2009/9/main" objectType="Drop" dropLines="4" dropStyle="combo" dx="15" fmlaLink="$A$33" fmlaRange="$B$30:$B$33" sel="1" val="0"/>
</file>

<file path=xl/ctrlProps/ctrlProp68.xml><?xml version="1.0" encoding="utf-8"?>
<formControlPr xmlns="http://schemas.microsoft.com/office/spreadsheetml/2009/9/main" objectType="Drop" dropLines="4" dropStyle="combo" dx="15" fmlaLink="$A$85" fmlaRange="$B$82:$B$85" sel="1" val="0"/>
</file>

<file path=xl/ctrlProps/ctrlProp69.xml><?xml version="1.0" encoding="utf-8"?>
<formControlPr xmlns="http://schemas.microsoft.com/office/spreadsheetml/2009/9/main" objectType="Drop" dropLines="4" dropStyle="combo" dx="15" fmlaLink="$A$46" fmlaRange="$B$43:$B$46" sel="1" val="0"/>
</file>

<file path=xl/ctrlProps/ctrlProp70.xml><?xml version="1.0" encoding="utf-8"?>
<formControlPr xmlns="http://schemas.microsoft.com/office/spreadsheetml/2009/9/main" objectType="Drop" dropLines="4" dropStyle="combo" dx="15" fmlaLink="$A$59" fmlaRange="$B$56:$B$59" sel="1" val="0"/>
</file>

<file path=xl/ctrlProps/ctrlProp71.xml><?xml version="1.0" encoding="utf-8"?>
<formControlPr xmlns="http://schemas.microsoft.com/office/spreadsheetml/2009/9/main" objectType="Drop" dropLines="4" dropStyle="combo" dx="15" fmlaLink="$A$72" fmlaRange="$B$69:$B$72" sel="1" val="0"/>
</file>

<file path=xl/ctrlProps/ctrlProp72.xml><?xml version="1.0" encoding="utf-8"?>
<formControlPr xmlns="http://schemas.microsoft.com/office/spreadsheetml/2009/9/main" objectType="Drop" dropLines="4" dropStyle="combo" dx="15" fmlaLink="$A$20" fmlaRange="$B$17:$B$20" sel="1" val="0"/>
</file>

<file path=xl/ctrlProps/ctrlProp73.xml><?xml version="1.0" encoding="utf-8"?>
<formControlPr xmlns="http://schemas.microsoft.com/office/spreadsheetml/2009/9/main" objectType="Drop" dropLines="4" dropStyle="combo" dx="15" fmlaLink="$A$33" fmlaRange="$B$30:$B$33" sel="1" val="0"/>
</file>

<file path=xl/ctrlProps/ctrlProp74.xml><?xml version="1.0" encoding="utf-8"?>
<formControlPr xmlns="http://schemas.microsoft.com/office/spreadsheetml/2009/9/main" objectType="Drop" dropLines="4" dropStyle="combo" dx="15" fmlaLink="$A$85" fmlaRange="$B$82:$B$85" sel="1" val="0"/>
</file>

<file path=xl/ctrlProps/ctrlProp75.xml><?xml version="1.0" encoding="utf-8"?>
<formControlPr xmlns="http://schemas.microsoft.com/office/spreadsheetml/2009/9/main" objectType="Drop" dropLines="4" dropStyle="combo" dx="15" fmlaLink="$A$46" fmlaRange="$B$43:$B$46" sel="1" val="0"/>
</file>

<file path=xl/ctrlProps/ctrlProp76.xml><?xml version="1.0" encoding="utf-8"?>
<formControlPr xmlns="http://schemas.microsoft.com/office/spreadsheetml/2009/9/main" objectType="Drop" dropLines="4" dropStyle="combo" dx="15" fmlaLink="$A$59" fmlaRange="$B$56:$B$59" sel="1" val="0"/>
</file>

<file path=xl/ctrlProps/ctrlProp77.xml><?xml version="1.0" encoding="utf-8"?>
<formControlPr xmlns="http://schemas.microsoft.com/office/spreadsheetml/2009/9/main" objectType="Drop" dropLines="4" dropStyle="combo" dx="15" fmlaLink="$A$72" fmlaRange="$B$69:$B$72" sel="1" val="0"/>
</file>

<file path=xl/ctrlProps/ctrlProp78.xml><?xml version="1.0" encoding="utf-8"?>
<formControlPr xmlns="http://schemas.microsoft.com/office/spreadsheetml/2009/9/main" objectType="Drop" dropLines="7" dropStyle="combo" dx="15" fmlaLink="DG!$D$128" fmlaRange="DG!$B$27:$B$33" sel="3" val="0"/>
</file>

<file path=xl/ctrlProps/ctrlProp79.xml><?xml version="1.0" encoding="utf-8"?>
<formControlPr xmlns="http://schemas.microsoft.com/office/spreadsheetml/2009/9/main" objectType="Drop" dropLines="7" dropStyle="combo" dx="15" fmlaLink="DG!$D$129" fmlaRange="DG!$B$27:$B$33" sel="4" val="0"/>
</file>

<file path=xl/ctrlProps/ctrlProp80.xml><?xml version="1.0" encoding="utf-8"?>
<formControlPr xmlns="http://schemas.microsoft.com/office/spreadsheetml/2009/9/main" objectType="Drop" dropLines="71" dropStyle="combo" dx="15" fmlaLink="DG!$D$130" fmlaRange="DG!$B$27:$B$33" sel="5" val="0"/>
</file>

<file path=xl/ctrlProps/ctrlProp81.xml><?xml version="1.0" encoding="utf-8"?>
<formControlPr xmlns="http://schemas.microsoft.com/office/spreadsheetml/2009/9/main" objectType="Drop" dropLines="7" dropStyle="combo" dx="15" fmlaLink="DG!$D$131" fmlaRange="DG!$B$27:$B$33" sel="6" val="0"/>
</file>

<file path=xl/ctrlProps/ctrlProp82.xml><?xml version="1.0" encoding="utf-8"?>
<formControlPr xmlns="http://schemas.microsoft.com/office/spreadsheetml/2009/9/main" objectType="Drop" dropLines="7" dropStyle="combo" dx="15" fmlaLink="DG!$D$132" fmlaRange="DG!$B$27:$B$33" sel="7" val="0"/>
</file>

<file path=xl/ctrlProps/ctrlProp83.xml><?xml version="1.0" encoding="utf-8"?>
<formControlPr xmlns="http://schemas.microsoft.com/office/spreadsheetml/2009/9/main" objectType="Drop" dropLines="7" dropStyle="combo" dx="15" fmlaLink="DG!$D$127" fmlaRange="DG!$B$27:$B$33" sel="2" val="0"/>
</file>

<file path=xl/ctrlProps/ctrlProp84.xml><?xml version="1.0" encoding="utf-8"?>
<formControlPr xmlns="http://schemas.microsoft.com/office/spreadsheetml/2009/9/main" objectType="Drop" dropLines="13" dropStyle="combo" dx="15" fmlaLink="DG!$A$127" fmlaRange="DG!$B$127:$B$139" sel="1" val="0"/>
</file>

<file path=xl/ctrlProps/ctrlProp85.xml><?xml version="1.0" encoding="utf-8"?>
<formControlPr xmlns="http://schemas.microsoft.com/office/spreadsheetml/2009/9/main" objectType="Drop" dropLines="13" dropStyle="combo" dx="15" fmlaLink="DG!$A$128" fmlaRange="DG!$B$127:$B$139" sel="1" val="0"/>
</file>

<file path=xl/ctrlProps/ctrlProp86.xml><?xml version="1.0" encoding="utf-8"?>
<formControlPr xmlns="http://schemas.microsoft.com/office/spreadsheetml/2009/9/main" objectType="Drop" dropLines="16" dropStyle="combo" dx="15" fmlaLink="DG!$A$249" fmlaRange="DG!$B$249:$B$264" sel="1" val="0"/>
</file>

<file path=xl/ctrlProps/ctrlProp87.xml><?xml version="1.0" encoding="utf-8"?>
<formControlPr xmlns="http://schemas.microsoft.com/office/spreadsheetml/2009/9/main" objectType="Drop" dropLines="13" dropStyle="combo" dx="15" fmlaLink="DG!$A$129" fmlaRange="DG!$B$127:$B$139" sel="1" val="0"/>
</file>

<file path=xl/ctrlProps/ctrlProp88.xml><?xml version="1.0" encoding="utf-8"?>
<formControlPr xmlns="http://schemas.microsoft.com/office/spreadsheetml/2009/9/main" objectType="Drop" dropLines="16" dropStyle="combo" dx="15" fmlaLink="DG!$A$250" fmlaRange="DG!$B$249:$B$264" sel="1" val="0"/>
</file>

<file path=xl/ctrlProps/ctrlProp89.xml><?xml version="1.0" encoding="utf-8"?>
<formControlPr xmlns="http://schemas.microsoft.com/office/spreadsheetml/2009/9/main" objectType="Drop" dropLines="12" dropStyle="combo" dx="15" fmlaLink="DG!$A$130" fmlaRange="DG!$B$127:$B$138" sel="1" val="0"/>
</file>

<file path=xl/ctrlProps/ctrlProp90.xml><?xml version="1.0" encoding="utf-8"?>
<formControlPr xmlns="http://schemas.microsoft.com/office/spreadsheetml/2009/9/main" objectType="Drop" dropLines="16" dropStyle="combo" dx="15" fmlaLink="DG!$A$251" fmlaRange="DG!$B$249:$B$264" sel="1" val="0"/>
</file>

<file path=xl/ctrlProps/ctrlProp91.xml><?xml version="1.0" encoding="utf-8"?>
<formControlPr xmlns="http://schemas.microsoft.com/office/spreadsheetml/2009/9/main" objectType="Drop" dropLines="2" dropStyle="combo" dx="15" fmlaLink="EH!$R$13" fmlaRange="DG!$V$127:$V$128" sel="2" val="0"/>
</file>

<file path=xl/ctrlProps/ctrlProp92.xml><?xml version="1.0" encoding="utf-8"?>
<formControlPr xmlns="http://schemas.microsoft.com/office/spreadsheetml/2009/9/main" objectType="Drop" dropLines="59" dropStyle="combo" dx="15" fmlaLink="DG!$A$131" fmlaRange="DG!$B$127:$B$139" sel="1" val="0"/>
</file>

<file path=xl/ctrlProps/ctrlProp93.xml><?xml version="1.0" encoding="utf-8"?>
<formControlPr xmlns="http://schemas.microsoft.com/office/spreadsheetml/2009/9/main" objectType="Drop" dropLines="16" dropStyle="combo" dx="15" fmlaLink="DG!$A$252" fmlaRange="DG!$B$249:$B$264" sel="1" val="0"/>
</file>

<file path=xl/ctrlProps/ctrlProp94.xml><?xml version="1.0" encoding="utf-8"?>
<formControlPr xmlns="http://schemas.microsoft.com/office/spreadsheetml/2009/9/main" objectType="Drop" dropLines="2" dropStyle="combo" dx="15" fmlaLink="'ELT1'!$R$13" fmlaRange="DG!$V$127:$V$128" sel="2" val="0"/>
</file>

<file path=xl/ctrlProps/ctrlProp95.xml><?xml version="1.0" encoding="utf-8"?>
<formControlPr xmlns="http://schemas.microsoft.com/office/spreadsheetml/2009/9/main" objectType="Drop" dropLines="13" dropStyle="combo" dx="15" fmlaLink="DG!$A$132" fmlaRange="DG!$B$127:$B$139" sel="1" val="0"/>
</file>

<file path=xl/ctrlProps/ctrlProp96.xml><?xml version="1.0" encoding="utf-8"?>
<formControlPr xmlns="http://schemas.microsoft.com/office/spreadsheetml/2009/9/main" objectType="Drop" dropLines="16" dropStyle="combo" dx="15" fmlaLink="DG!$A$253" fmlaRange="DG!$B$249:$B$264" sel="1" val="0"/>
</file>

<file path=xl/ctrlProps/ctrlProp97.xml><?xml version="1.0" encoding="utf-8"?>
<formControlPr xmlns="http://schemas.microsoft.com/office/spreadsheetml/2009/9/main" objectType="Drop" dropLines="2" dropStyle="combo" dx="15" fmlaLink="'ELT2'!$R$13" fmlaRange="DG!$V$127:$V$128" sel="2" val="0"/>
</file>

<file path=xl/ctrlProps/ctrlProp98.xml><?xml version="1.0" encoding="utf-8"?>
<formControlPr xmlns="http://schemas.microsoft.com/office/spreadsheetml/2009/9/main" objectType="Drop" dropLines="13" dropStyle="combo" dx="15" fmlaLink="DG!$A$133" fmlaRange="DG!$B$127:$B$139" sel="1" val="0"/>
</file>

<file path=xl/ctrlProps/ctrlProp99.xml><?xml version="1.0" encoding="utf-8"?>
<formControlPr xmlns="http://schemas.microsoft.com/office/spreadsheetml/2009/9/main" objectType="Drop" dropLines="16" dropStyle="combo" dx="15" fmlaLink="DG!$A$254" fmlaRange="DG!$B$249:$B$264" sel="1" val="0"/>
</file>

<file path=xl/ctrlProps/ctrlProp100.xml><?xml version="1.0" encoding="utf-8"?>
<formControlPr xmlns="http://schemas.microsoft.com/office/spreadsheetml/2009/9/main" objectType="Drop" dropLines="2" dropStyle="combo" dx="15" fmlaLink="'ELT3'!$R$13" fmlaRange="DG!$V$127:$V$128" sel="2" val="0"/>
</file>

<file path=xl/ctrlProps/ctrlProp101.xml><?xml version="1.0" encoding="utf-8"?>
<formControlPr xmlns="http://schemas.microsoft.com/office/spreadsheetml/2009/9/main" objectType="Drop" dropLines="13" dropStyle="combo" dx="15" fmlaLink="DG!$A$134" fmlaRange="DG!$B$127:$B$139" sel="1" val="0"/>
</file>

<file path=xl/ctrlProps/ctrlProp102.xml><?xml version="1.0" encoding="utf-8"?>
<formControlPr xmlns="http://schemas.microsoft.com/office/spreadsheetml/2009/9/main" objectType="Drop" dropLines="16" dropStyle="combo" dx="15" fmlaLink="DG!$A$255" fmlaRange="DG!$B$249:$B$264" sel="1" val="0"/>
</file>

<file path=xl/ctrlProps/ctrlProp103.xml><?xml version="1.0" encoding="utf-8"?>
<formControlPr xmlns="http://schemas.microsoft.com/office/spreadsheetml/2009/9/main" objectType="Drop" dropLines="2" dropStyle="combo" dx="15" fmlaLink="'ELT4'!$R$13" fmlaRange="DG!$V$127:$V$128" sel="2" val="0"/>
</file>

<file path=xl/ctrlProps/ctrlProp104.xml><?xml version="1.0" encoding="utf-8"?>
<formControlPr xmlns="http://schemas.microsoft.com/office/spreadsheetml/2009/9/main" objectType="Drop" dropLines="13" dropStyle="combo" dx="15" fmlaLink="DG!$A$135" fmlaRange="DG!$B$127:$B$139" sel="1" val="0"/>
</file>

<file path=xl/ctrlProps/ctrlProp105.xml><?xml version="1.0" encoding="utf-8"?>
<formControlPr xmlns="http://schemas.microsoft.com/office/spreadsheetml/2009/9/main" objectType="Drop" dropLines="16" dropStyle="combo" dx="15" fmlaLink="DG!$A$256" fmlaRange="DG!$B$249:$B$264" sel="1" val="0"/>
</file>

<file path=xl/ctrlProps/ctrlProp106.xml><?xml version="1.0" encoding="utf-8"?>
<formControlPr xmlns="http://schemas.microsoft.com/office/spreadsheetml/2009/9/main" objectType="Drop" dropLines="2" dropStyle="combo" dx="15" fmlaLink="'ELT5'!$R$13" fmlaRange="DG!$V$127:$V$128" sel="2" val="0"/>
</file>

<file path=xl/ctrlProps/ctrlProp107.xml><?xml version="1.0" encoding="utf-8"?>
<formControlPr xmlns="http://schemas.microsoft.com/office/spreadsheetml/2009/9/main" objectType="Drop" dropLines="13" dropStyle="combo" dx="15" fmlaLink="DG!$A$136" fmlaRange="DG!$B$127:$B$139" sel="1" val="0"/>
</file>

<file path=xl/ctrlProps/ctrlProp108.xml><?xml version="1.0" encoding="utf-8"?>
<formControlPr xmlns="http://schemas.microsoft.com/office/spreadsheetml/2009/9/main" objectType="Drop" dropLines="16" dropStyle="combo" dx="15" fmlaLink="DG!$A$257" fmlaRange="DG!$B$249:$B$264" sel="1" val="0"/>
</file>

<file path=xl/ctrlProps/ctrlProp109.xml><?xml version="1.0" encoding="utf-8"?>
<formControlPr xmlns="http://schemas.microsoft.com/office/spreadsheetml/2009/9/main" objectType="Drop" dropLines="2" dropStyle="combo" dx="15" fmlaLink="'ELT6'!$R$13" fmlaRange="DG!$V$127:$V$128" sel="2" val="0"/>
</file>

<file path=xl/ctrlProps/ctrlProp110.xml><?xml version="1.0" encoding="utf-8"?>
<formControlPr xmlns="http://schemas.microsoft.com/office/spreadsheetml/2009/9/main" objectType="Drop" dropLines="13" dropStyle="combo" dx="15" fmlaLink="DG!$A$137" fmlaRange="DG!$B$127:$B$139" sel="1" val="0"/>
</file>

<file path=xl/ctrlProps/ctrlProp111.xml><?xml version="1.0" encoding="utf-8"?>
<formControlPr xmlns="http://schemas.microsoft.com/office/spreadsheetml/2009/9/main" objectType="Drop" dropLines="16" dropStyle="combo" dx="15" fmlaLink="DG!$A$258" fmlaRange="DG!$B$249:$B$264" sel="1" val="0"/>
</file>

<file path=xl/ctrlProps/ctrlProp112.xml><?xml version="1.0" encoding="utf-8"?>
<formControlPr xmlns="http://schemas.microsoft.com/office/spreadsheetml/2009/9/main" objectType="Drop" dropLines="2" dropStyle="combo" dx="15" fmlaLink="'ELT7'!$R$13" fmlaRange="DG!$V$127:$V$128" sel="2"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jp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1.jpg"/><Relationship Id="rId1" Type="http://schemas.openxmlformats.org/officeDocument/2006/relationships/image" Target="../media/image5.png"/><Relationship Id="rId6" Type="http://schemas.openxmlformats.org/officeDocument/2006/relationships/image" Target="../media/image4.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g"/><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jpg"/><Relationship Id="rId1" Type="http://schemas.openxmlformats.org/officeDocument/2006/relationships/image" Target="../media/image1.jpg"/><Relationship Id="rId4"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9.jpg"/><Relationship Id="rId1" Type="http://schemas.openxmlformats.org/officeDocument/2006/relationships/image" Target="../media/image3.jp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2.png"/><Relationship Id="rId4"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12.png"/></Relationships>
</file>

<file path=xl/drawings/_rels/drawing18.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1.jpg"/><Relationship Id="rId7" Type="http://schemas.openxmlformats.org/officeDocument/2006/relationships/image" Target="../media/image17.jpg"/><Relationship Id="rId2" Type="http://schemas.openxmlformats.org/officeDocument/2006/relationships/image" Target="../media/image14.jpeg"/><Relationship Id="rId1" Type="http://schemas.openxmlformats.org/officeDocument/2006/relationships/image" Target="../media/image3.jpg"/><Relationship Id="rId6" Type="http://schemas.openxmlformats.org/officeDocument/2006/relationships/image" Target="../media/image16.jpg"/><Relationship Id="rId5" Type="http://schemas.openxmlformats.org/officeDocument/2006/relationships/image" Target="../media/image15.jpeg"/><Relationship Id="rId10" Type="http://schemas.openxmlformats.org/officeDocument/2006/relationships/image" Target="../media/image20.png"/><Relationship Id="rId4" Type="http://schemas.openxmlformats.org/officeDocument/2006/relationships/image" Target="../media/image1.jpg"/><Relationship Id="rId9"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1.jpg"/><Relationship Id="rId1" Type="http://schemas.openxmlformats.org/officeDocument/2006/relationships/image" Target="../media/image15.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1.jpg"/><Relationship Id="rId1" Type="http://schemas.openxmlformats.org/officeDocument/2006/relationships/image" Target="../media/image21.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23.jpeg"/><Relationship Id="rId1" Type="http://schemas.openxmlformats.org/officeDocument/2006/relationships/image" Target="../media/image22.jpe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7.jpg"/><Relationship Id="rId2" Type="http://schemas.openxmlformats.org/officeDocument/2006/relationships/image" Target="../media/image25.jpeg"/><Relationship Id="rId1" Type="http://schemas.openxmlformats.org/officeDocument/2006/relationships/image" Target="../media/image24.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4.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image" Target="../media/image27.jpeg"/><Relationship Id="rId7" Type="http://schemas.openxmlformats.org/officeDocument/2006/relationships/image" Target="../media/image1.jpg"/><Relationship Id="rId2" Type="http://schemas.openxmlformats.org/officeDocument/2006/relationships/image" Target="../media/image3.jpg"/><Relationship Id="rId1" Type="http://schemas.openxmlformats.org/officeDocument/2006/relationships/image" Target="../media/image26.jpeg"/><Relationship Id="rId6" Type="http://schemas.openxmlformats.org/officeDocument/2006/relationships/image" Target="../media/image18.png"/><Relationship Id="rId5" Type="http://schemas.openxmlformats.org/officeDocument/2006/relationships/image" Target="../media/image28.jpeg"/><Relationship Id="rId4" Type="http://schemas.openxmlformats.org/officeDocument/2006/relationships/image" Target="../media/image11.jpg"/></Relationships>
</file>

<file path=xl/drawings/_rels/drawing2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2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29.jpeg"/><Relationship Id="rId1" Type="http://schemas.openxmlformats.org/officeDocument/2006/relationships/image" Target="../media/image3.jpg"/><Relationship Id="rId4" Type="http://schemas.openxmlformats.org/officeDocument/2006/relationships/image" Target="../media/image20.png"/></Relationships>
</file>

<file path=xl/drawings/_rels/drawing2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3.jpg"/><Relationship Id="rId4" Type="http://schemas.openxmlformats.org/officeDocument/2006/relationships/image" Target="../media/image20.png"/></Relationships>
</file>

<file path=xl/drawings/_rels/drawing4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0.jpeg"/><Relationship Id="rId4" Type="http://schemas.openxmlformats.org/officeDocument/2006/relationships/image" Target="../media/image20.png"/></Relationships>
</file>

<file path=xl/drawings/_rels/drawing4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4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31.jpeg"/></Relationships>
</file>

<file path=xl/drawings/_rels/drawing5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4" Type="http://schemas.openxmlformats.org/officeDocument/2006/relationships/image" Target="../media/image20.png"/></Relationships>
</file>

<file path=xl/drawings/_rels/drawing56.xml.rels><?xml version="1.0" encoding="UTF-8" standalone="yes"?>
<Relationships xmlns="http://schemas.openxmlformats.org/package/2006/relationships"><Relationship Id="rId3" Type="http://schemas.openxmlformats.org/officeDocument/2006/relationships/image" Target="../media/image11.jpg"/><Relationship Id="rId7" Type="http://schemas.openxmlformats.org/officeDocument/2006/relationships/image" Target="../media/image13.png"/><Relationship Id="rId2" Type="http://schemas.openxmlformats.org/officeDocument/2006/relationships/image" Target="../media/image3.jpg"/><Relationship Id="rId1" Type="http://schemas.openxmlformats.org/officeDocument/2006/relationships/image" Target="../media/image10.jpg"/><Relationship Id="rId6" Type="http://schemas.openxmlformats.org/officeDocument/2006/relationships/image" Target="../media/image20.png"/><Relationship Id="rId5" Type="http://schemas.openxmlformats.org/officeDocument/2006/relationships/image" Target="../media/image17.jpg"/><Relationship Id="rId4" Type="http://schemas.openxmlformats.org/officeDocument/2006/relationships/image" Target="../media/image16.jpg"/></Relationships>
</file>

<file path=xl/drawings/_rels/drawing57.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58.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59.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60.xml.rels><?xml version="1.0" encoding="UTF-8" standalone="yes"?>
<Relationships xmlns="http://schemas.openxmlformats.org/package/2006/relationships"><Relationship Id="rId3" Type="http://schemas.openxmlformats.org/officeDocument/2006/relationships/image" Target="../media/image10.jpg"/><Relationship Id="rId7" Type="http://schemas.openxmlformats.org/officeDocument/2006/relationships/image" Target="../media/image13.png"/><Relationship Id="rId2" Type="http://schemas.openxmlformats.org/officeDocument/2006/relationships/image" Target="../media/image17.jpg"/><Relationship Id="rId1" Type="http://schemas.openxmlformats.org/officeDocument/2006/relationships/image" Target="../media/image16.jpg"/><Relationship Id="rId6" Type="http://schemas.openxmlformats.org/officeDocument/2006/relationships/image" Target="../media/image20.png"/><Relationship Id="rId5" Type="http://schemas.openxmlformats.org/officeDocument/2006/relationships/image" Target="../media/image11.jpg"/><Relationship Id="rId4" Type="http://schemas.openxmlformats.org/officeDocument/2006/relationships/image" Target="../media/image3.jpg"/></Relationships>
</file>

<file path=xl/drawings/_rels/drawing6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32.jpeg"/><Relationship Id="rId5" Type="http://schemas.openxmlformats.org/officeDocument/2006/relationships/image" Target="../media/image13.png"/><Relationship Id="rId4" Type="http://schemas.openxmlformats.org/officeDocument/2006/relationships/image" Target="../media/image20.png"/></Relationships>
</file>

<file path=xl/drawings/_rels/drawing6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5" Type="http://schemas.openxmlformats.org/officeDocument/2006/relationships/image" Target="../media/image13.png"/><Relationship Id="rId4" Type="http://schemas.openxmlformats.org/officeDocument/2006/relationships/image" Target="../media/image20.png"/></Relationships>
</file>

<file path=xl/drawings/_rels/drawing6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4" Type="http://schemas.openxmlformats.org/officeDocument/2006/relationships/image" Target="../media/image20.png"/></Relationships>
</file>

<file path=xl/drawings/_rels/drawing6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6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6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jpg"/><Relationship Id="rId1" Type="http://schemas.openxmlformats.org/officeDocument/2006/relationships/image" Target="../media/image10.jpg"/><Relationship Id="rId5" Type="http://schemas.openxmlformats.org/officeDocument/2006/relationships/image" Target="../media/image13.png"/><Relationship Id="rId4" Type="http://schemas.openxmlformats.org/officeDocument/2006/relationships/image" Target="../media/image20.png"/></Relationships>
</file>

<file path=xl/drawings/_rels/drawing7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3.jpeg"/><Relationship Id="rId1" Type="http://schemas.openxmlformats.org/officeDocument/2006/relationships/image" Target="../media/image32.jpeg"/><Relationship Id="rId5" Type="http://schemas.openxmlformats.org/officeDocument/2006/relationships/image" Target="../media/image13.png"/><Relationship Id="rId4" Type="http://schemas.openxmlformats.org/officeDocument/2006/relationships/image" Target="../media/image20.png"/></Relationships>
</file>

<file path=xl/drawings/_rels/drawing71.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1.xml"/><Relationship Id="rId5" Type="http://schemas.openxmlformats.org/officeDocument/2006/relationships/image" Target="../media/image20.png"/><Relationship Id="rId4" Type="http://schemas.openxmlformats.org/officeDocument/2006/relationships/image" Target="../media/image11.jpg"/></Relationships>
</file>

<file path=xl/drawings/_rels/drawing72.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2.xml"/><Relationship Id="rId5" Type="http://schemas.openxmlformats.org/officeDocument/2006/relationships/image" Target="../media/image34.png"/><Relationship Id="rId4" Type="http://schemas.openxmlformats.org/officeDocument/2006/relationships/image" Target="../media/image11.jpg"/></Relationships>
</file>

<file path=xl/drawings/_rels/drawing73.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chart" Target="../charts/chart3.xml"/><Relationship Id="rId5" Type="http://schemas.openxmlformats.org/officeDocument/2006/relationships/image" Target="../media/image34.png"/><Relationship Id="rId4" Type="http://schemas.openxmlformats.org/officeDocument/2006/relationships/image" Target="../media/image11.jpg"/></Relationships>
</file>

<file path=xl/drawings/_rels/drawing75.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11.jpg"/><Relationship Id="rId1" Type="http://schemas.openxmlformats.org/officeDocument/2006/relationships/image" Target="../media/image3.jpg"/></Relationships>
</file>

<file path=xl/drawings/_rels/drawing76.xml.rels><?xml version="1.0" encoding="UTF-8" standalone="yes"?>
<Relationships xmlns="http://schemas.openxmlformats.org/package/2006/relationships"><Relationship Id="rId3" Type="http://schemas.openxmlformats.org/officeDocument/2006/relationships/image" Target="../media/image32.jpeg"/><Relationship Id="rId2" Type="http://schemas.openxmlformats.org/officeDocument/2006/relationships/image" Target="../media/image3.jpg"/><Relationship Id="rId1" Type="http://schemas.openxmlformats.org/officeDocument/2006/relationships/image" Target="../media/image35.jpeg"/><Relationship Id="rId5" Type="http://schemas.openxmlformats.org/officeDocument/2006/relationships/image" Target="../media/image34.png"/><Relationship Id="rId4" Type="http://schemas.openxmlformats.org/officeDocument/2006/relationships/image" Target="../media/image11.jpg"/></Relationships>
</file>

<file path=xl/drawings/_rels/drawing7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16.jpg"/></Relationships>
</file>

<file path=xl/drawings/_rels/drawing7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79.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0.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1.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2.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3.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4.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5.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7.jpeg"/></Relationships>
</file>

<file path=xl/drawings/_rels/drawing86.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_rels/drawing8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32.jpeg"/><Relationship Id="rId1" Type="http://schemas.openxmlformats.org/officeDocument/2006/relationships/image" Target="../media/image3.jpg"/><Relationship Id="rId6" Type="http://schemas.openxmlformats.org/officeDocument/2006/relationships/image" Target="../media/image34.png"/><Relationship Id="rId5" Type="http://schemas.openxmlformats.org/officeDocument/2006/relationships/image" Target="../media/image17.jpg"/><Relationship Id="rId4" Type="http://schemas.openxmlformats.org/officeDocument/2006/relationships/image" Target="../media/image36.jpeg"/></Relationships>
</file>

<file path=xl/drawings/drawing1.xml><?xml version="1.0" encoding="utf-8"?>
<xdr:wsDr xmlns:xdr="http://schemas.openxmlformats.org/drawingml/2006/spreadsheetDrawing" xmlns:a="http://schemas.openxmlformats.org/drawingml/2006/main">
  <xdr:twoCellAnchor editAs="oneCell">
    <xdr:from>
      <xdr:col>4</xdr:col>
      <xdr:colOff>47625</xdr:colOff>
      <xdr:row>19</xdr:row>
      <xdr:rowOff>133349</xdr:rowOff>
    </xdr:from>
    <xdr:to>
      <xdr:col>7</xdr:col>
      <xdr:colOff>428625</xdr:colOff>
      <xdr:row>26</xdr:row>
      <xdr:rowOff>133350</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38625" y="3209924"/>
          <a:ext cx="2667000" cy="1133476"/>
        </a:xfrm>
        <a:prstGeom prst="rect">
          <a:avLst/>
        </a:prstGeom>
      </xdr:spPr>
    </xdr:pic>
    <xdr:clientData/>
  </xdr:twoCellAnchor>
  <xdr:twoCellAnchor editAs="oneCell">
    <xdr:from>
      <xdr:col>0</xdr:col>
      <xdr:colOff>0</xdr:colOff>
      <xdr:row>20</xdr:row>
      <xdr:rowOff>0</xdr:rowOff>
    </xdr:from>
    <xdr:to>
      <xdr:col>3</xdr:col>
      <xdr:colOff>381000</xdr:colOff>
      <xdr:row>27</xdr:row>
      <xdr:rowOff>9526</xdr:rowOff>
    </xdr:to>
    <xdr:pic>
      <xdr:nvPicPr>
        <xdr:cNvPr id="22" name="Imag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57750"/>
          <a:ext cx="2667000" cy="1143001"/>
        </a:xfrm>
        <a:prstGeom prst="rect">
          <a:avLst/>
        </a:prstGeom>
      </xdr:spPr>
    </xdr:pic>
    <xdr:clientData/>
  </xdr:twoCellAnchor>
  <xdr:twoCellAnchor>
    <xdr:from>
      <xdr:col>0</xdr:col>
      <xdr:colOff>266700</xdr:colOff>
      <xdr:row>0</xdr:row>
      <xdr:rowOff>114299</xdr:rowOff>
    </xdr:from>
    <xdr:to>
      <xdr:col>3</xdr:col>
      <xdr:colOff>1400175</xdr:colOff>
      <xdr:row>5</xdr:row>
      <xdr:rowOff>28575</xdr:rowOff>
    </xdr:to>
    <xdr:sp macro="" textlink="">
      <xdr:nvSpPr>
        <xdr:cNvPr id="4" name="Text Box 429">
          <a:extLst>
            <a:ext uri="{FF2B5EF4-FFF2-40B4-BE49-F238E27FC236}">
              <a16:creationId xmlns:a16="http://schemas.microsoft.com/office/drawing/2014/main" id="{00000000-0008-0000-0000-000004000000}"/>
            </a:ext>
          </a:extLst>
        </xdr:cNvPr>
        <xdr:cNvSpPr txBox="1">
          <a:spLocks noChangeArrowheads="1"/>
        </xdr:cNvSpPr>
      </xdr:nvSpPr>
      <xdr:spPr bwMode="auto">
        <a:xfrm>
          <a:off x="266700" y="114299"/>
          <a:ext cx="3419475" cy="723901"/>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40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19050</xdr:colOff>
      <xdr:row>6</xdr:row>
      <xdr:rowOff>0</xdr:rowOff>
    </xdr:from>
    <xdr:to>
      <xdr:col>3</xdr:col>
      <xdr:colOff>400050</xdr:colOff>
      <xdr:row>13</xdr:row>
      <xdr:rowOff>9526</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971550"/>
          <a:ext cx="2667000" cy="1143001"/>
        </a:xfrm>
        <a:prstGeom prst="rect">
          <a:avLst/>
        </a:prstGeom>
      </xdr:spPr>
    </xdr:pic>
    <xdr:clientData/>
  </xdr:twoCellAnchor>
  <xdr:twoCellAnchor>
    <xdr:from>
      <xdr:col>0</xdr:col>
      <xdr:colOff>552451</xdr:colOff>
      <xdr:row>6</xdr:row>
      <xdr:rowOff>133349</xdr:rowOff>
    </xdr:from>
    <xdr:to>
      <xdr:col>2</xdr:col>
      <xdr:colOff>514351</xdr:colOff>
      <xdr:row>11</xdr:row>
      <xdr:rowOff>95249</xdr:rowOff>
    </xdr:to>
    <xdr:sp macro="[0]!ThisWorkbook.GoTo_CON" textlink="">
      <xdr:nvSpPr>
        <xdr:cNvPr id="6" name="ZoneTexte 5">
          <a:extLst>
            <a:ext uri="{FF2B5EF4-FFF2-40B4-BE49-F238E27FC236}">
              <a16:creationId xmlns:a16="http://schemas.microsoft.com/office/drawing/2014/main" id="{00000000-0008-0000-0000-000006000000}"/>
            </a:ext>
          </a:extLst>
        </xdr:cNvPr>
        <xdr:cNvSpPr txBox="1"/>
      </xdr:nvSpPr>
      <xdr:spPr>
        <a:xfrm>
          <a:off x="552451" y="1104899"/>
          <a:ext cx="148590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CONSIGNES D'UTILISATION</a:t>
          </a:r>
        </a:p>
      </xdr:txBody>
    </xdr:sp>
    <xdr:clientData/>
  </xdr:twoCellAnchor>
  <xdr:twoCellAnchor editAs="oneCell">
    <xdr:from>
      <xdr:col>4</xdr:col>
      <xdr:colOff>0</xdr:colOff>
      <xdr:row>6</xdr:row>
      <xdr:rowOff>0</xdr:rowOff>
    </xdr:from>
    <xdr:to>
      <xdr:col>7</xdr:col>
      <xdr:colOff>381000</xdr:colOff>
      <xdr:row>13</xdr:row>
      <xdr:rowOff>9526</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0" y="1943100"/>
          <a:ext cx="2667000" cy="1143001"/>
        </a:xfrm>
        <a:prstGeom prst="rect">
          <a:avLst/>
        </a:prstGeom>
      </xdr:spPr>
    </xdr:pic>
    <xdr:clientData/>
  </xdr:twoCellAnchor>
  <xdr:twoCellAnchor editAs="oneCell">
    <xdr:from>
      <xdr:col>8</xdr:col>
      <xdr:colOff>0</xdr:colOff>
      <xdr:row>6</xdr:row>
      <xdr:rowOff>0</xdr:rowOff>
    </xdr:from>
    <xdr:to>
      <xdr:col>11</xdr:col>
      <xdr:colOff>381000</xdr:colOff>
      <xdr:row>13</xdr:row>
      <xdr:rowOff>9526</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0" y="1943100"/>
          <a:ext cx="2667000" cy="1143001"/>
        </a:xfrm>
        <a:prstGeom prst="rect">
          <a:avLst/>
        </a:prstGeom>
      </xdr:spPr>
    </xdr:pic>
    <xdr:clientData/>
  </xdr:twoCellAnchor>
  <xdr:twoCellAnchor editAs="oneCell">
    <xdr:from>
      <xdr:col>0</xdr:col>
      <xdr:colOff>0</xdr:colOff>
      <xdr:row>13</xdr:row>
      <xdr:rowOff>0</xdr:rowOff>
    </xdr:from>
    <xdr:to>
      <xdr:col>3</xdr:col>
      <xdr:colOff>381000</xdr:colOff>
      <xdr:row>20</xdr:row>
      <xdr:rowOff>9526</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724275"/>
          <a:ext cx="2667000" cy="1143001"/>
        </a:xfrm>
        <a:prstGeom prst="rect">
          <a:avLst/>
        </a:prstGeom>
      </xdr:spPr>
    </xdr:pic>
    <xdr:clientData/>
  </xdr:twoCellAnchor>
  <xdr:twoCellAnchor editAs="oneCell">
    <xdr:from>
      <xdr:col>4</xdr:col>
      <xdr:colOff>0</xdr:colOff>
      <xdr:row>13</xdr:row>
      <xdr:rowOff>0</xdr:rowOff>
    </xdr:from>
    <xdr:to>
      <xdr:col>7</xdr:col>
      <xdr:colOff>381000</xdr:colOff>
      <xdr:row>20</xdr:row>
      <xdr:rowOff>9526</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0" y="3724275"/>
          <a:ext cx="2667000" cy="1143001"/>
        </a:xfrm>
        <a:prstGeom prst="rect">
          <a:avLst/>
        </a:prstGeom>
      </xdr:spPr>
    </xdr:pic>
    <xdr:clientData/>
  </xdr:twoCellAnchor>
  <xdr:twoCellAnchor editAs="oneCell">
    <xdr:from>
      <xdr:col>8</xdr:col>
      <xdr:colOff>0</xdr:colOff>
      <xdr:row>13</xdr:row>
      <xdr:rowOff>0</xdr:rowOff>
    </xdr:from>
    <xdr:to>
      <xdr:col>11</xdr:col>
      <xdr:colOff>381000</xdr:colOff>
      <xdr:row>20</xdr:row>
      <xdr:rowOff>9526</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0" y="3724275"/>
          <a:ext cx="2667000" cy="1143001"/>
        </a:xfrm>
        <a:prstGeom prst="rect">
          <a:avLst/>
        </a:prstGeom>
      </xdr:spPr>
    </xdr:pic>
    <xdr:clientData/>
  </xdr:twoCellAnchor>
  <xdr:twoCellAnchor>
    <xdr:from>
      <xdr:col>8</xdr:col>
      <xdr:colOff>638175</xdr:colOff>
      <xdr:row>6</xdr:row>
      <xdr:rowOff>123825</xdr:rowOff>
    </xdr:from>
    <xdr:to>
      <xdr:col>10</xdr:col>
      <xdr:colOff>600075</xdr:colOff>
      <xdr:row>11</xdr:row>
      <xdr:rowOff>114300</xdr:rowOff>
    </xdr:to>
    <xdr:sp macro="[0]!ThisWorkbook.Etape_GoTo_COUTDUPROJET" textlink="">
      <xdr:nvSpPr>
        <xdr:cNvPr id="16" name="ZoneTexte 15">
          <a:extLst>
            <a:ext uri="{FF2B5EF4-FFF2-40B4-BE49-F238E27FC236}">
              <a16:creationId xmlns:a16="http://schemas.microsoft.com/office/drawing/2014/main" id="{00000000-0008-0000-0000-000010000000}"/>
            </a:ext>
          </a:extLst>
        </xdr:cNvPr>
        <xdr:cNvSpPr txBox="1"/>
      </xdr:nvSpPr>
      <xdr:spPr>
        <a:xfrm>
          <a:off x="67341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2. MON COÛT DE PROJET</a:t>
          </a:r>
        </a:p>
      </xdr:txBody>
    </xdr:sp>
    <xdr:clientData/>
  </xdr:twoCellAnchor>
  <xdr:twoCellAnchor>
    <xdr:from>
      <xdr:col>4</xdr:col>
      <xdr:colOff>600075</xdr:colOff>
      <xdr:row>13</xdr:row>
      <xdr:rowOff>133350</xdr:rowOff>
    </xdr:from>
    <xdr:to>
      <xdr:col>6</xdr:col>
      <xdr:colOff>561975</xdr:colOff>
      <xdr:row>18</xdr:row>
      <xdr:rowOff>104775</xdr:rowOff>
    </xdr:to>
    <xdr:sp macro="[0]!ThisWorkbook.GoTo_MESREVENUS" textlink="">
      <xdr:nvSpPr>
        <xdr:cNvPr id="17" name="ZoneTexte 16">
          <a:extLst>
            <a:ext uri="{FF2B5EF4-FFF2-40B4-BE49-F238E27FC236}">
              <a16:creationId xmlns:a16="http://schemas.microsoft.com/office/drawing/2014/main" id="{00000000-0008-0000-0000-000011000000}"/>
            </a:ext>
          </a:extLst>
        </xdr:cNvPr>
        <xdr:cNvSpPr txBox="1"/>
      </xdr:nvSpPr>
      <xdr:spPr>
        <a:xfrm>
          <a:off x="3648075" y="2400300"/>
          <a:ext cx="1485900"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4. MES REVENUS PRÉVUS</a:t>
          </a:r>
        </a:p>
      </xdr:txBody>
    </xdr:sp>
    <xdr:clientData/>
  </xdr:twoCellAnchor>
  <xdr:twoCellAnchor>
    <xdr:from>
      <xdr:col>8</xdr:col>
      <xdr:colOff>619125</xdr:colOff>
      <xdr:row>13</xdr:row>
      <xdr:rowOff>123824</xdr:rowOff>
    </xdr:from>
    <xdr:to>
      <xdr:col>10</xdr:col>
      <xdr:colOff>581025</xdr:colOff>
      <xdr:row>18</xdr:row>
      <xdr:rowOff>123824</xdr:rowOff>
    </xdr:to>
    <xdr:sp macro="[0]!ThisWorkbook.GoTo_MESDEPENSES" textlink="">
      <xdr:nvSpPr>
        <xdr:cNvPr id="18" name="ZoneTexte 17">
          <a:extLst>
            <a:ext uri="{FF2B5EF4-FFF2-40B4-BE49-F238E27FC236}">
              <a16:creationId xmlns:a16="http://schemas.microsoft.com/office/drawing/2014/main" id="{00000000-0008-0000-0000-000012000000}"/>
            </a:ext>
          </a:extLst>
        </xdr:cNvPr>
        <xdr:cNvSpPr txBox="1"/>
      </xdr:nvSpPr>
      <xdr:spPr>
        <a:xfrm>
          <a:off x="6715125" y="2390774"/>
          <a:ext cx="1485900"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5. MES DÉPENSES PRÉVUES</a:t>
          </a:r>
        </a:p>
      </xdr:txBody>
    </xdr:sp>
    <xdr:clientData/>
  </xdr:twoCellAnchor>
  <xdr:twoCellAnchor>
    <xdr:from>
      <xdr:col>0</xdr:col>
      <xdr:colOff>571500</xdr:colOff>
      <xdr:row>13</xdr:row>
      <xdr:rowOff>133350</xdr:rowOff>
    </xdr:from>
    <xdr:to>
      <xdr:col>2</xdr:col>
      <xdr:colOff>533400</xdr:colOff>
      <xdr:row>18</xdr:row>
      <xdr:rowOff>123825</xdr:rowOff>
    </xdr:to>
    <xdr:sp macro="[0]!ThisWorkbook.GoTo_FINANCEMENT" textlink="">
      <xdr:nvSpPr>
        <xdr:cNvPr id="24" name="ZoneTexte 23">
          <a:extLst>
            <a:ext uri="{FF2B5EF4-FFF2-40B4-BE49-F238E27FC236}">
              <a16:creationId xmlns:a16="http://schemas.microsoft.com/office/drawing/2014/main" id="{00000000-0008-0000-0000-000018000000}"/>
            </a:ext>
          </a:extLst>
        </xdr:cNvPr>
        <xdr:cNvSpPr txBox="1"/>
      </xdr:nvSpPr>
      <xdr:spPr>
        <a:xfrm>
          <a:off x="571500" y="2400300"/>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3. LE FINANCEMENT DE MON PROJET</a:t>
          </a:r>
        </a:p>
      </xdr:txBody>
    </xdr:sp>
    <xdr:clientData/>
  </xdr:twoCellAnchor>
  <xdr:twoCellAnchor>
    <xdr:from>
      <xdr:col>2</xdr:col>
      <xdr:colOff>704851</xdr:colOff>
      <xdr:row>4</xdr:row>
      <xdr:rowOff>76200</xdr:rowOff>
    </xdr:from>
    <xdr:to>
      <xdr:col>3</xdr:col>
      <xdr:colOff>1685925</xdr:colOff>
      <xdr:row>5</xdr:row>
      <xdr:rowOff>123825</xdr:rowOff>
    </xdr:to>
    <xdr:sp macro="" textlink="">
      <xdr:nvSpPr>
        <xdr:cNvPr id="26" name="Text Box 432">
          <a:extLst>
            <a:ext uri="{FF2B5EF4-FFF2-40B4-BE49-F238E27FC236}">
              <a16:creationId xmlns:a16="http://schemas.microsoft.com/office/drawing/2014/main" id="{00000000-0008-0000-0000-00001A000000}"/>
            </a:ext>
          </a:extLst>
        </xdr:cNvPr>
        <xdr:cNvSpPr txBox="1">
          <a:spLocks noChangeArrowheads="1"/>
        </xdr:cNvSpPr>
      </xdr:nvSpPr>
      <xdr:spPr bwMode="auto">
        <a:xfrm>
          <a:off x="2228851" y="723900"/>
          <a:ext cx="1743074" cy="209550"/>
        </a:xfrm>
        <a:prstGeom prst="rect">
          <a:avLst/>
        </a:prstGeom>
        <a:noFill/>
        <a:ln w="9525">
          <a:noFill/>
          <a:miter lim="800000"/>
          <a:headEnd/>
          <a:tailEnd/>
        </a:ln>
      </xdr:spPr>
      <xdr:txBody>
        <a:bodyPr vertOverflow="clip" wrap="square" lIns="27432" tIns="27432" rIns="0" bIns="0" anchor="t" upright="1"/>
        <a:lstStyle/>
        <a:p>
          <a:pPr algn="ctr" rtl="0">
            <a:defRPr sz="1000"/>
          </a:pPr>
          <a:r>
            <a:rPr lang="fr-CA" sz="1000" b="0" i="0" strike="noStrike">
              <a:solidFill>
                <a:sysClr val="windowText" lastClr="000000"/>
              </a:solidFill>
              <a:latin typeface="+mj-lt"/>
            </a:rPr>
            <a:t>Conception : Michel Ross</a:t>
          </a:r>
        </a:p>
      </xdr:txBody>
    </xdr:sp>
    <xdr:clientData/>
  </xdr:twoCellAnchor>
  <xdr:twoCellAnchor>
    <xdr:from>
      <xdr:col>4</xdr:col>
      <xdr:colOff>600075</xdr:colOff>
      <xdr:row>6</xdr:row>
      <xdr:rowOff>123825</xdr:rowOff>
    </xdr:from>
    <xdr:to>
      <xdr:col>6</xdr:col>
      <xdr:colOff>561975</xdr:colOff>
      <xdr:row>11</xdr:row>
      <xdr:rowOff>114300</xdr:rowOff>
    </xdr:to>
    <xdr:sp macro="[0]!ThisWorkbook.GoTo_RG" textlink="">
      <xdr:nvSpPr>
        <xdr:cNvPr id="27" name="ZoneTexte 26">
          <a:extLst>
            <a:ext uri="{FF2B5EF4-FFF2-40B4-BE49-F238E27FC236}">
              <a16:creationId xmlns:a16="http://schemas.microsoft.com/office/drawing/2014/main" id="{00000000-0008-0000-0000-00001B000000}"/>
            </a:ext>
          </a:extLst>
        </xdr:cNvPr>
        <xdr:cNvSpPr txBox="1"/>
      </xdr:nvSpPr>
      <xdr:spPr>
        <a:xfrm>
          <a:off x="36480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1.</a:t>
          </a:r>
          <a:r>
            <a:rPr lang="fr-CA" sz="1400" b="1" baseline="0">
              <a:solidFill>
                <a:schemeClr val="bg1"/>
              </a:solidFill>
            </a:rPr>
            <a:t> </a:t>
          </a:r>
          <a:r>
            <a:rPr lang="fr-CA" sz="1400" b="1">
              <a:solidFill>
                <a:schemeClr val="bg1"/>
              </a:solidFill>
            </a:rPr>
            <a:t>MON ENTREPRISE</a:t>
          </a:r>
        </a:p>
      </xdr:txBody>
    </xdr:sp>
    <xdr:clientData/>
  </xdr:twoCellAnchor>
  <xdr:twoCellAnchor editAs="oneCell">
    <xdr:from>
      <xdr:col>8</xdr:col>
      <xdr:colOff>66675</xdr:colOff>
      <xdr:row>19</xdr:row>
      <xdr:rowOff>161924</xdr:rowOff>
    </xdr:from>
    <xdr:to>
      <xdr:col>11</xdr:col>
      <xdr:colOff>447675</xdr:colOff>
      <xdr:row>27</xdr:row>
      <xdr:rowOff>0</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62675" y="3400424"/>
          <a:ext cx="2667000" cy="1133476"/>
        </a:xfrm>
        <a:prstGeom prst="rect">
          <a:avLst/>
        </a:prstGeom>
      </xdr:spPr>
    </xdr:pic>
    <xdr:clientData/>
  </xdr:twoCellAnchor>
  <xdr:twoCellAnchor>
    <xdr:from>
      <xdr:col>8</xdr:col>
      <xdr:colOff>590550</xdr:colOff>
      <xdr:row>20</xdr:row>
      <xdr:rowOff>123824</xdr:rowOff>
    </xdr:from>
    <xdr:to>
      <xdr:col>10</xdr:col>
      <xdr:colOff>552450</xdr:colOff>
      <xdr:row>25</xdr:row>
      <xdr:rowOff>114299</xdr:rowOff>
    </xdr:to>
    <xdr:sp macro="[0]!ThisWorkbook.Etape_GoTo_GRAPHIQUES" textlink="">
      <xdr:nvSpPr>
        <xdr:cNvPr id="32" name="ZoneTexte 31">
          <a:extLst>
            <a:ext uri="{FF2B5EF4-FFF2-40B4-BE49-F238E27FC236}">
              <a16:creationId xmlns:a16="http://schemas.microsoft.com/office/drawing/2014/main" id="{00000000-0008-0000-0000-000020000000}"/>
            </a:ext>
          </a:extLst>
        </xdr:cNvPr>
        <xdr:cNvSpPr txBox="1"/>
      </xdr:nvSpPr>
      <xdr:spPr>
        <a:xfrm>
          <a:off x="6686550" y="3524249"/>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a:t>
          </a:r>
          <a:r>
            <a:rPr lang="fr-CA" sz="1400" b="1" baseline="0">
              <a:solidFill>
                <a:schemeClr val="bg1"/>
              </a:solidFill>
            </a:rPr>
            <a:t> GRAPHIQUES</a:t>
          </a:r>
          <a:endParaRPr lang="fr-CA" sz="1400" b="1">
            <a:solidFill>
              <a:schemeClr val="bg1"/>
            </a:solidFill>
          </a:endParaRPr>
        </a:p>
      </xdr:txBody>
    </xdr:sp>
    <xdr:clientData/>
  </xdr:twoCellAnchor>
  <xdr:twoCellAnchor editAs="oneCell">
    <xdr:from>
      <xdr:col>4</xdr:col>
      <xdr:colOff>25743</xdr:colOff>
      <xdr:row>27</xdr:row>
      <xdr:rowOff>17162</xdr:rowOff>
    </xdr:from>
    <xdr:to>
      <xdr:col>7</xdr:col>
      <xdr:colOff>406744</xdr:colOff>
      <xdr:row>34</xdr:row>
      <xdr:rowOff>18280</xdr:rowOff>
    </xdr:to>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23023" y="4256310"/>
          <a:ext cx="2673281" cy="1100157"/>
        </a:xfrm>
        <a:prstGeom prst="rect">
          <a:avLst/>
        </a:prstGeom>
      </xdr:spPr>
    </xdr:pic>
    <xdr:clientData/>
  </xdr:twoCellAnchor>
  <xdr:twoCellAnchor>
    <xdr:from>
      <xdr:col>0</xdr:col>
      <xdr:colOff>450082</xdr:colOff>
      <xdr:row>20</xdr:row>
      <xdr:rowOff>124945</xdr:rowOff>
    </xdr:from>
    <xdr:to>
      <xdr:col>2</xdr:col>
      <xdr:colOff>638488</xdr:colOff>
      <xdr:row>25</xdr:row>
      <xdr:rowOff>115422</xdr:rowOff>
    </xdr:to>
    <xdr:sp macro="[0]!ThisWorkbook.GoTo_COMPLEMENTS" textlink="">
      <xdr:nvSpPr>
        <xdr:cNvPr id="31" name="ZoneTexte 30">
          <a:extLst>
            <a:ext uri="{FF2B5EF4-FFF2-40B4-BE49-F238E27FC236}">
              <a16:creationId xmlns:a16="http://schemas.microsoft.com/office/drawing/2014/main" id="{00000000-0008-0000-0000-00001F000000}"/>
            </a:ext>
          </a:extLst>
        </xdr:cNvPr>
        <xdr:cNvSpPr txBox="1"/>
      </xdr:nvSpPr>
      <xdr:spPr>
        <a:xfrm>
          <a:off x="450082" y="3265055"/>
          <a:ext cx="1716593"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RENSEIGNEMENTS</a:t>
          </a:r>
          <a:r>
            <a:rPr lang="fr-CA" sz="1400" b="1" baseline="0">
              <a:solidFill>
                <a:schemeClr val="bg1"/>
              </a:solidFill>
            </a:rPr>
            <a:t> COMPLÉMENTAIRES</a:t>
          </a:r>
          <a:endParaRPr lang="fr-CA" sz="1400" b="1">
            <a:solidFill>
              <a:schemeClr val="bg1"/>
            </a:solidFill>
          </a:endParaRPr>
        </a:p>
      </xdr:txBody>
    </xdr:sp>
    <xdr:clientData/>
  </xdr:twoCellAnchor>
  <xdr:twoCellAnchor editAs="oneCell">
    <xdr:from>
      <xdr:col>0</xdr:col>
      <xdr:colOff>0</xdr:colOff>
      <xdr:row>26</xdr:row>
      <xdr:rowOff>154460</xdr:rowOff>
    </xdr:from>
    <xdr:to>
      <xdr:col>3</xdr:col>
      <xdr:colOff>381000</xdr:colOff>
      <xdr:row>34</xdr:row>
      <xdr:rowOff>946</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236603"/>
          <a:ext cx="2673280" cy="1102530"/>
        </a:xfrm>
        <a:prstGeom prst="rect">
          <a:avLst/>
        </a:prstGeom>
      </xdr:spPr>
    </xdr:pic>
    <xdr:clientData/>
  </xdr:twoCellAnchor>
  <xdr:twoCellAnchor editAs="oneCell">
    <xdr:from>
      <xdr:col>8</xdr:col>
      <xdr:colOff>60067</xdr:colOff>
      <xdr:row>27</xdr:row>
      <xdr:rowOff>25743</xdr:rowOff>
    </xdr:from>
    <xdr:to>
      <xdr:col>11</xdr:col>
      <xdr:colOff>441067</xdr:colOff>
      <xdr:row>34</xdr:row>
      <xdr:rowOff>26861</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52364" y="4427838"/>
          <a:ext cx="2672149" cy="1142401"/>
        </a:xfrm>
        <a:prstGeom prst="rect">
          <a:avLst/>
        </a:prstGeom>
      </xdr:spPr>
    </xdr:pic>
    <xdr:clientData/>
  </xdr:twoCellAnchor>
  <xdr:twoCellAnchor>
    <xdr:from>
      <xdr:col>8</xdr:col>
      <xdr:colOff>703460</xdr:colOff>
      <xdr:row>27</xdr:row>
      <xdr:rowOff>142955</xdr:rowOff>
    </xdr:from>
    <xdr:to>
      <xdr:col>10</xdr:col>
      <xdr:colOff>665360</xdr:colOff>
      <xdr:row>32</xdr:row>
      <xdr:rowOff>133431</xdr:rowOff>
    </xdr:to>
    <xdr:sp macro="[0]!ThisWorkbook.GoTo_IMPRESSION" textlink="">
      <xdr:nvSpPr>
        <xdr:cNvPr id="40" name="ZoneTexte 39">
          <a:extLst>
            <a:ext uri="{FF2B5EF4-FFF2-40B4-BE49-F238E27FC236}">
              <a16:creationId xmlns:a16="http://schemas.microsoft.com/office/drawing/2014/main" id="{00000000-0008-0000-0000-000028000000}"/>
            </a:ext>
          </a:extLst>
        </xdr:cNvPr>
        <xdr:cNvSpPr txBox="1"/>
      </xdr:nvSpPr>
      <xdr:spPr>
        <a:xfrm>
          <a:off x="9098020" y="4382103"/>
          <a:ext cx="1490087"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IMPRESSION</a:t>
          </a:r>
        </a:p>
      </xdr:txBody>
    </xdr:sp>
    <xdr:clientData/>
  </xdr:twoCellAnchor>
  <xdr:twoCellAnchor>
    <xdr:from>
      <xdr:col>4</xdr:col>
      <xdr:colOff>648956</xdr:colOff>
      <xdr:row>20</xdr:row>
      <xdr:rowOff>94203</xdr:rowOff>
    </xdr:from>
    <xdr:to>
      <xdr:col>6</xdr:col>
      <xdr:colOff>610856</xdr:colOff>
      <xdr:row>25</xdr:row>
      <xdr:rowOff>84678</xdr:rowOff>
    </xdr:to>
    <xdr:sp macro="[0]!ThisWorkbook.GoTo_FABRICATION" textlink="">
      <xdr:nvSpPr>
        <xdr:cNvPr id="33" name="ZoneTexte 32">
          <a:extLst>
            <a:ext uri="{FF2B5EF4-FFF2-40B4-BE49-F238E27FC236}">
              <a16:creationId xmlns:a16="http://schemas.microsoft.com/office/drawing/2014/main" id="{00000000-0008-0000-0000-000021000000}"/>
            </a:ext>
          </a:extLst>
        </xdr:cNvPr>
        <xdr:cNvSpPr txBox="1"/>
      </xdr:nvSpPr>
      <xdr:spPr>
        <a:xfrm>
          <a:off x="4846236" y="3234313"/>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FRAIS GÉNÉRAUX DE FABRICATION</a:t>
          </a:r>
        </a:p>
      </xdr:txBody>
    </xdr:sp>
    <xdr:clientData/>
  </xdr:twoCellAnchor>
  <xdr:twoCellAnchor>
    <xdr:from>
      <xdr:col>0</xdr:col>
      <xdr:colOff>560091</xdr:colOff>
      <xdr:row>27</xdr:row>
      <xdr:rowOff>123826</xdr:rowOff>
    </xdr:from>
    <xdr:to>
      <xdr:col>2</xdr:col>
      <xdr:colOff>521991</xdr:colOff>
      <xdr:row>32</xdr:row>
      <xdr:rowOff>114300</xdr:rowOff>
    </xdr:to>
    <xdr:sp macro="[0]!ThisWorkbook.GoTo_PLANFINANCIER" textlink="">
      <xdr:nvSpPr>
        <xdr:cNvPr id="19" name="ZoneTexte 18">
          <a:extLst>
            <a:ext uri="{FF2B5EF4-FFF2-40B4-BE49-F238E27FC236}">
              <a16:creationId xmlns:a16="http://schemas.microsoft.com/office/drawing/2014/main" id="{00000000-0008-0000-0000-000013000000}"/>
            </a:ext>
          </a:extLst>
        </xdr:cNvPr>
        <xdr:cNvSpPr txBox="1"/>
      </xdr:nvSpPr>
      <xdr:spPr>
        <a:xfrm>
          <a:off x="560091" y="4362974"/>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MON</a:t>
          </a:r>
          <a:r>
            <a:rPr lang="fr-CA" sz="1400" b="1" baseline="0">
              <a:solidFill>
                <a:schemeClr val="bg1"/>
              </a:solidFill>
            </a:rPr>
            <a:t> PLAN FINANCIER</a:t>
          </a:r>
          <a:endParaRPr lang="fr-CA" sz="1400" b="1">
            <a:solidFill>
              <a:schemeClr val="bg1"/>
            </a:solidFill>
          </a:endParaRPr>
        </a:p>
      </xdr:txBody>
    </xdr:sp>
    <xdr:clientData/>
  </xdr:twoCellAnchor>
  <xdr:twoCellAnchor>
    <xdr:from>
      <xdr:col>4</xdr:col>
      <xdr:colOff>611484</xdr:colOff>
      <xdr:row>27</xdr:row>
      <xdr:rowOff>136072</xdr:rowOff>
    </xdr:from>
    <xdr:to>
      <xdr:col>6</xdr:col>
      <xdr:colOff>592434</xdr:colOff>
      <xdr:row>32</xdr:row>
      <xdr:rowOff>127593</xdr:rowOff>
    </xdr:to>
    <xdr:sp macro="[0]!ThisWorkbook.Etape_GoTo_OUTILSDEGESTION" textlink="">
      <xdr:nvSpPr>
        <xdr:cNvPr id="20" name="ZoneTexte 19">
          <a:extLst>
            <a:ext uri="{FF2B5EF4-FFF2-40B4-BE49-F238E27FC236}">
              <a16:creationId xmlns:a16="http://schemas.microsoft.com/office/drawing/2014/main" id="{00000000-0008-0000-0000-000014000000}"/>
            </a:ext>
          </a:extLst>
        </xdr:cNvPr>
        <xdr:cNvSpPr txBox="1"/>
      </xdr:nvSpPr>
      <xdr:spPr>
        <a:xfrm>
          <a:off x="4808764" y="4375220"/>
          <a:ext cx="1509137" cy="776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 OUTILS DE SUIVI DE GESTION</a:t>
          </a:r>
        </a:p>
      </xdr:txBody>
    </xdr:sp>
    <xdr:clientData/>
  </xdr:twoCellAnchor>
  <xdr:twoCellAnchor editAs="oneCell">
    <xdr:from>
      <xdr:col>7</xdr:col>
      <xdr:colOff>19051</xdr:colOff>
      <xdr:row>0</xdr:row>
      <xdr:rowOff>114301</xdr:rowOff>
    </xdr:from>
    <xdr:to>
      <xdr:col>11</xdr:col>
      <xdr:colOff>133351</xdr:colOff>
      <xdr:row>5</xdr:row>
      <xdr:rowOff>79852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96051" y="114301"/>
          <a:ext cx="4305300" cy="775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4</xdr:row>
      <xdr:rowOff>0</xdr:rowOff>
    </xdr:from>
    <xdr:to>
      <xdr:col>7</xdr:col>
      <xdr:colOff>727982</xdr:colOff>
      <xdr:row>8</xdr:row>
      <xdr:rowOff>66675</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28575" y="653143"/>
          <a:ext cx="6033407" cy="719818"/>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Suite</a:t>
          </a:r>
          <a:r>
            <a:rPr lang="fr-CA" sz="1200" baseline="0"/>
            <a:t> à la réalisation de votre analyse de marché, vous avez normalement estimé vos ventes pour les deux premières années d'exploitation.  Ces estimations de ventes devraient donc être reportées ici.  Vous devez entrer vos données pour chacune des années visée par votre plan d'affaires, soit 3 ans ou 5 ans.</a:t>
          </a:r>
          <a:endParaRPr lang="fr-CA" sz="1200"/>
        </a:p>
      </xdr:txBody>
    </xdr:sp>
    <xdr:clientData/>
  </xdr:twoCellAnchor>
  <xdr:twoCellAnchor editAs="oneCell">
    <xdr:from>
      <xdr:col>1</xdr:col>
      <xdr:colOff>19958</xdr:colOff>
      <xdr:row>10</xdr:row>
      <xdr:rowOff>16329</xdr:rowOff>
    </xdr:from>
    <xdr:to>
      <xdr:col>2</xdr:col>
      <xdr:colOff>747032</xdr:colOff>
      <xdr:row>11</xdr:row>
      <xdr:rowOff>95251</xdr:rowOff>
    </xdr:to>
    <xdr:pic macro="[0]!ThisWorkbook.GoTo_V1">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958" y="1540329"/>
          <a:ext cx="1489074" cy="242208"/>
        </a:xfrm>
        <a:prstGeom prst="rect">
          <a:avLst/>
        </a:prstGeom>
      </xdr:spPr>
    </xdr:pic>
    <xdr:clientData/>
  </xdr:twoCellAnchor>
  <xdr:twoCellAnchor>
    <xdr:from>
      <xdr:col>1</xdr:col>
      <xdr:colOff>108857</xdr:colOff>
      <xdr:row>10</xdr:row>
      <xdr:rowOff>25402</xdr:rowOff>
    </xdr:from>
    <xdr:to>
      <xdr:col>2</xdr:col>
      <xdr:colOff>666750</xdr:colOff>
      <xdr:row>11</xdr:row>
      <xdr:rowOff>68036</xdr:rowOff>
    </xdr:to>
    <xdr:sp macro="[0]!ThisWorkbook.GoTo_V1" textlink="">
      <xdr:nvSpPr>
        <xdr:cNvPr id="10" name="ZoneTexte 9">
          <a:extLst>
            <a:ext uri="{FF2B5EF4-FFF2-40B4-BE49-F238E27FC236}">
              <a16:creationId xmlns:a16="http://schemas.microsoft.com/office/drawing/2014/main" id="{00000000-0008-0000-0100-00000A000000}"/>
            </a:ext>
          </a:extLst>
        </xdr:cNvPr>
        <xdr:cNvSpPr txBox="1"/>
      </xdr:nvSpPr>
      <xdr:spPr>
        <a:xfrm>
          <a:off x="870857" y="1549402"/>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1</a:t>
          </a:r>
        </a:p>
      </xdr:txBody>
    </xdr:sp>
    <xdr:clientData/>
  </xdr:twoCellAnchor>
  <xdr:twoCellAnchor editAs="oneCell">
    <xdr:from>
      <xdr:col>3</xdr:col>
      <xdr:colOff>425903</xdr:colOff>
      <xdr:row>0</xdr:row>
      <xdr:rowOff>128814</xdr:rowOff>
    </xdr:from>
    <xdr:to>
      <xdr:col>4</xdr:col>
      <xdr:colOff>76729</xdr:colOff>
      <xdr:row>3</xdr:row>
      <xdr:rowOff>54429</xdr:rowOff>
    </xdr:to>
    <xdr:pic macro="[0]!ThisWorkbook.ACCUEIL">
      <xdr:nvPicPr>
        <xdr:cNvPr id="16" name="Imag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11903" y="128814"/>
          <a:ext cx="412826" cy="415472"/>
        </a:xfrm>
        <a:prstGeom prst="rect">
          <a:avLst/>
        </a:prstGeom>
      </xdr:spPr>
    </xdr:pic>
    <xdr:clientData/>
  </xdr:twoCellAnchor>
  <xdr:twoCellAnchor>
    <xdr:from>
      <xdr:col>0</xdr:col>
      <xdr:colOff>123404</xdr:colOff>
      <xdr:row>1</xdr:row>
      <xdr:rowOff>1271</xdr:rowOff>
    </xdr:from>
    <xdr:to>
      <xdr:col>3</xdr:col>
      <xdr:colOff>398722</xdr:colOff>
      <xdr:row>3</xdr:row>
      <xdr:rowOff>58420</xdr:rowOff>
    </xdr:to>
    <xdr:sp macro="" textlink="">
      <xdr:nvSpPr>
        <xdr:cNvPr id="20" name="Text Box 429">
          <a:extLst>
            <a:ext uri="{FF2B5EF4-FFF2-40B4-BE49-F238E27FC236}">
              <a16:creationId xmlns:a16="http://schemas.microsoft.com/office/drawing/2014/main" id="{00000000-0008-0000-0100-000014000000}"/>
            </a:ext>
          </a:extLst>
        </xdr:cNvPr>
        <xdr:cNvSpPr txBox="1">
          <a:spLocks noChangeArrowheads="1"/>
        </xdr:cNvSpPr>
      </xdr:nvSpPr>
      <xdr:spPr bwMode="auto">
        <a:xfrm>
          <a:off x="123404" y="160972"/>
          <a:ext cx="2568162" cy="3765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755196</xdr:colOff>
      <xdr:row>10</xdr:row>
      <xdr:rowOff>13606</xdr:rowOff>
    </xdr:from>
    <xdr:to>
      <xdr:col>6</xdr:col>
      <xdr:colOff>720270</xdr:colOff>
      <xdr:row>11</xdr:row>
      <xdr:rowOff>92528</xdr:rowOff>
    </xdr:to>
    <xdr:pic macro="[0]!ThisWorkbook.GoTo_V1">
      <xdr:nvPicPr>
        <xdr:cNvPr id="28" name="Imag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3196" y="1537606"/>
          <a:ext cx="1489074" cy="242208"/>
        </a:xfrm>
        <a:prstGeom prst="rect">
          <a:avLst/>
        </a:prstGeom>
      </xdr:spPr>
    </xdr:pic>
    <xdr:clientData/>
  </xdr:twoCellAnchor>
  <xdr:twoCellAnchor editAs="oneCell">
    <xdr:from>
      <xdr:col>1</xdr:col>
      <xdr:colOff>0</xdr:colOff>
      <xdr:row>11</xdr:row>
      <xdr:rowOff>163285</xdr:rowOff>
    </xdr:from>
    <xdr:to>
      <xdr:col>2</xdr:col>
      <xdr:colOff>727074</xdr:colOff>
      <xdr:row>13</xdr:row>
      <xdr:rowOff>78922</xdr:rowOff>
    </xdr:to>
    <xdr:pic macro="[0]!ThisWorkbook.GoTo_V1">
      <xdr:nvPicPr>
        <xdr:cNvPr id="29" name="Imag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1850571"/>
          <a:ext cx="1489074" cy="242208"/>
        </a:xfrm>
        <a:prstGeom prst="rect">
          <a:avLst/>
        </a:prstGeom>
      </xdr:spPr>
    </xdr:pic>
    <xdr:clientData/>
  </xdr:twoCellAnchor>
  <xdr:twoCellAnchor editAs="oneCell">
    <xdr:from>
      <xdr:col>1</xdr:col>
      <xdr:colOff>0</xdr:colOff>
      <xdr:row>14</xdr:row>
      <xdr:rowOff>0</xdr:rowOff>
    </xdr:from>
    <xdr:to>
      <xdr:col>2</xdr:col>
      <xdr:colOff>727074</xdr:colOff>
      <xdr:row>15</xdr:row>
      <xdr:rowOff>78922</xdr:rowOff>
    </xdr:to>
    <xdr:pic macro="[0]!ThisWorkbook.GoTo_V1">
      <xdr:nvPicPr>
        <xdr:cNvPr id="30" name="Imag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177143"/>
          <a:ext cx="1489074" cy="242208"/>
        </a:xfrm>
        <a:prstGeom prst="rect">
          <a:avLst/>
        </a:prstGeom>
      </xdr:spPr>
    </xdr:pic>
    <xdr:clientData/>
  </xdr:twoCellAnchor>
  <xdr:twoCellAnchor editAs="oneCell">
    <xdr:from>
      <xdr:col>1</xdr:col>
      <xdr:colOff>0</xdr:colOff>
      <xdr:row>16</xdr:row>
      <xdr:rowOff>0</xdr:rowOff>
    </xdr:from>
    <xdr:to>
      <xdr:col>2</xdr:col>
      <xdr:colOff>727074</xdr:colOff>
      <xdr:row>17</xdr:row>
      <xdr:rowOff>78922</xdr:rowOff>
    </xdr:to>
    <xdr:pic macro="[0]!ThisWorkbook.GoTo_V1">
      <xdr:nvPicPr>
        <xdr:cNvPr id="31" name="Imag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503714"/>
          <a:ext cx="1489074" cy="242208"/>
        </a:xfrm>
        <a:prstGeom prst="rect">
          <a:avLst/>
        </a:prstGeom>
      </xdr:spPr>
    </xdr:pic>
    <xdr:clientData/>
  </xdr:twoCellAnchor>
  <xdr:twoCellAnchor editAs="oneCell">
    <xdr:from>
      <xdr:col>1</xdr:col>
      <xdr:colOff>0</xdr:colOff>
      <xdr:row>18</xdr:row>
      <xdr:rowOff>0</xdr:rowOff>
    </xdr:from>
    <xdr:to>
      <xdr:col>2</xdr:col>
      <xdr:colOff>727074</xdr:colOff>
      <xdr:row>19</xdr:row>
      <xdr:rowOff>78923</xdr:rowOff>
    </xdr:to>
    <xdr:pic macro="[0]!ThisWorkbook.GoTo_V1">
      <xdr:nvPicPr>
        <xdr:cNvPr id="32" name="Imag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2830286"/>
          <a:ext cx="1489074" cy="242208"/>
        </a:xfrm>
        <a:prstGeom prst="rect">
          <a:avLst/>
        </a:prstGeom>
      </xdr:spPr>
    </xdr:pic>
    <xdr:clientData/>
  </xdr:twoCellAnchor>
  <xdr:twoCellAnchor>
    <xdr:from>
      <xdr:col>1</xdr:col>
      <xdr:colOff>81643</xdr:colOff>
      <xdr:row>11</xdr:row>
      <xdr:rowOff>163285</xdr:rowOff>
    </xdr:from>
    <xdr:to>
      <xdr:col>2</xdr:col>
      <xdr:colOff>639536</xdr:colOff>
      <xdr:row>13</xdr:row>
      <xdr:rowOff>42634</xdr:rowOff>
    </xdr:to>
    <xdr:sp macro="[0]!ThisWorkbook.GoTo_V2" textlink="">
      <xdr:nvSpPr>
        <xdr:cNvPr id="34" name="ZoneTexte 33">
          <a:extLst>
            <a:ext uri="{FF2B5EF4-FFF2-40B4-BE49-F238E27FC236}">
              <a16:creationId xmlns:a16="http://schemas.microsoft.com/office/drawing/2014/main" id="{00000000-0008-0000-0100-000022000000}"/>
            </a:ext>
          </a:extLst>
        </xdr:cNvPr>
        <xdr:cNvSpPr txBox="1"/>
      </xdr:nvSpPr>
      <xdr:spPr>
        <a:xfrm>
          <a:off x="843643" y="1850571"/>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2</a:t>
          </a:r>
        </a:p>
      </xdr:txBody>
    </xdr:sp>
    <xdr:clientData/>
  </xdr:twoCellAnchor>
  <xdr:twoCellAnchor>
    <xdr:from>
      <xdr:col>1</xdr:col>
      <xdr:colOff>81643</xdr:colOff>
      <xdr:row>14</xdr:row>
      <xdr:rowOff>6803</xdr:rowOff>
    </xdr:from>
    <xdr:to>
      <xdr:col>2</xdr:col>
      <xdr:colOff>639536</xdr:colOff>
      <xdr:row>15</xdr:row>
      <xdr:rowOff>49437</xdr:rowOff>
    </xdr:to>
    <xdr:sp macro="[0]!ThisWorkbook.GoTo_V3" textlink="">
      <xdr:nvSpPr>
        <xdr:cNvPr id="35" name="ZoneTexte 34">
          <a:extLst>
            <a:ext uri="{FF2B5EF4-FFF2-40B4-BE49-F238E27FC236}">
              <a16:creationId xmlns:a16="http://schemas.microsoft.com/office/drawing/2014/main" id="{00000000-0008-0000-0100-000023000000}"/>
            </a:ext>
          </a:extLst>
        </xdr:cNvPr>
        <xdr:cNvSpPr txBox="1"/>
      </xdr:nvSpPr>
      <xdr:spPr>
        <a:xfrm>
          <a:off x="843643" y="218394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3</a:t>
          </a:r>
        </a:p>
      </xdr:txBody>
    </xdr:sp>
    <xdr:clientData/>
  </xdr:twoCellAnchor>
  <xdr:twoCellAnchor>
    <xdr:from>
      <xdr:col>1</xdr:col>
      <xdr:colOff>88446</xdr:colOff>
      <xdr:row>16</xdr:row>
      <xdr:rowOff>0</xdr:rowOff>
    </xdr:from>
    <xdr:to>
      <xdr:col>2</xdr:col>
      <xdr:colOff>646339</xdr:colOff>
      <xdr:row>17</xdr:row>
      <xdr:rowOff>42634</xdr:rowOff>
    </xdr:to>
    <xdr:sp macro="[0]!ThisWorkbook.GoTo_V4" textlink="">
      <xdr:nvSpPr>
        <xdr:cNvPr id="36" name="ZoneTexte 35">
          <a:extLst>
            <a:ext uri="{FF2B5EF4-FFF2-40B4-BE49-F238E27FC236}">
              <a16:creationId xmlns:a16="http://schemas.microsoft.com/office/drawing/2014/main" id="{00000000-0008-0000-0100-000024000000}"/>
            </a:ext>
          </a:extLst>
        </xdr:cNvPr>
        <xdr:cNvSpPr txBox="1"/>
      </xdr:nvSpPr>
      <xdr:spPr>
        <a:xfrm>
          <a:off x="850446" y="2503714"/>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4</a:t>
          </a:r>
        </a:p>
      </xdr:txBody>
    </xdr:sp>
    <xdr:clientData/>
  </xdr:twoCellAnchor>
  <xdr:twoCellAnchor>
    <xdr:from>
      <xdr:col>1</xdr:col>
      <xdr:colOff>88447</xdr:colOff>
      <xdr:row>18</xdr:row>
      <xdr:rowOff>0</xdr:rowOff>
    </xdr:from>
    <xdr:to>
      <xdr:col>2</xdr:col>
      <xdr:colOff>646340</xdr:colOff>
      <xdr:row>19</xdr:row>
      <xdr:rowOff>42635</xdr:rowOff>
    </xdr:to>
    <xdr:sp macro="[0]!ThisWorkbook.GoTo_V5" textlink="">
      <xdr:nvSpPr>
        <xdr:cNvPr id="37" name="ZoneTexte 36">
          <a:extLst>
            <a:ext uri="{FF2B5EF4-FFF2-40B4-BE49-F238E27FC236}">
              <a16:creationId xmlns:a16="http://schemas.microsoft.com/office/drawing/2014/main" id="{00000000-0008-0000-0100-000025000000}"/>
            </a:ext>
          </a:extLst>
        </xdr:cNvPr>
        <xdr:cNvSpPr txBox="1"/>
      </xdr:nvSpPr>
      <xdr:spPr>
        <a:xfrm>
          <a:off x="850447" y="283028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5</a:t>
          </a:r>
        </a:p>
      </xdr:txBody>
    </xdr:sp>
    <xdr:clientData/>
  </xdr:twoCellAnchor>
  <xdr:twoCellAnchor>
    <xdr:from>
      <xdr:col>5</xdr:col>
      <xdr:colOff>20412</xdr:colOff>
      <xdr:row>10</xdr:row>
      <xdr:rowOff>20409</xdr:rowOff>
    </xdr:from>
    <xdr:to>
      <xdr:col>6</xdr:col>
      <xdr:colOff>666751</xdr:colOff>
      <xdr:row>11</xdr:row>
      <xdr:rowOff>63043</xdr:rowOff>
    </xdr:to>
    <xdr:sp macro="[0]!ThisWorkbook.GoTo_AE1" textlink="">
      <xdr:nvSpPr>
        <xdr:cNvPr id="38" name="ZoneTexte 37">
          <a:extLst>
            <a:ext uri="{FF2B5EF4-FFF2-40B4-BE49-F238E27FC236}">
              <a16:creationId xmlns:a16="http://schemas.microsoft.com/office/drawing/2014/main" id="{00000000-0008-0000-0100-000026000000}"/>
            </a:ext>
          </a:extLst>
        </xdr:cNvPr>
        <xdr:cNvSpPr txBox="1"/>
      </xdr:nvSpPr>
      <xdr:spPr>
        <a:xfrm>
          <a:off x="3830412" y="154440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1</a:t>
          </a:r>
        </a:p>
      </xdr:txBody>
    </xdr:sp>
    <xdr:clientData/>
  </xdr:twoCellAnchor>
  <xdr:twoCellAnchor editAs="oneCell">
    <xdr:from>
      <xdr:col>5</xdr:col>
      <xdr:colOff>0</xdr:colOff>
      <xdr:row>11</xdr:row>
      <xdr:rowOff>163285</xdr:rowOff>
    </xdr:from>
    <xdr:to>
      <xdr:col>6</xdr:col>
      <xdr:colOff>727074</xdr:colOff>
      <xdr:row>13</xdr:row>
      <xdr:rowOff>78922</xdr:rowOff>
    </xdr:to>
    <xdr:pic macro="[0]!ThisWorkbook.GoTo_V1">
      <xdr:nvPicPr>
        <xdr:cNvPr id="39" name="Imag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1850571"/>
          <a:ext cx="1489074" cy="242208"/>
        </a:xfrm>
        <a:prstGeom prst="rect">
          <a:avLst/>
        </a:prstGeom>
      </xdr:spPr>
    </xdr:pic>
    <xdr:clientData/>
  </xdr:twoCellAnchor>
  <xdr:twoCellAnchor>
    <xdr:from>
      <xdr:col>5</xdr:col>
      <xdr:colOff>27214</xdr:colOff>
      <xdr:row>11</xdr:row>
      <xdr:rowOff>163285</xdr:rowOff>
    </xdr:from>
    <xdr:to>
      <xdr:col>6</xdr:col>
      <xdr:colOff>673553</xdr:colOff>
      <xdr:row>13</xdr:row>
      <xdr:rowOff>42634</xdr:rowOff>
    </xdr:to>
    <xdr:sp macro="[0]!ThisWorkbook.GoTo_AE2" textlink="">
      <xdr:nvSpPr>
        <xdr:cNvPr id="40" name="ZoneTexte 39">
          <a:extLst>
            <a:ext uri="{FF2B5EF4-FFF2-40B4-BE49-F238E27FC236}">
              <a16:creationId xmlns:a16="http://schemas.microsoft.com/office/drawing/2014/main" id="{00000000-0008-0000-0100-000028000000}"/>
            </a:ext>
          </a:extLst>
        </xdr:cNvPr>
        <xdr:cNvSpPr txBox="1"/>
      </xdr:nvSpPr>
      <xdr:spPr>
        <a:xfrm>
          <a:off x="3837214" y="1850571"/>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2</a:t>
          </a:r>
        </a:p>
      </xdr:txBody>
    </xdr:sp>
    <xdr:clientData/>
  </xdr:twoCellAnchor>
  <xdr:twoCellAnchor editAs="oneCell">
    <xdr:from>
      <xdr:col>5</xdr:col>
      <xdr:colOff>0</xdr:colOff>
      <xdr:row>14</xdr:row>
      <xdr:rowOff>0</xdr:rowOff>
    </xdr:from>
    <xdr:to>
      <xdr:col>6</xdr:col>
      <xdr:colOff>727074</xdr:colOff>
      <xdr:row>15</xdr:row>
      <xdr:rowOff>78922</xdr:rowOff>
    </xdr:to>
    <xdr:pic macro="[0]!ThisWorkbook.GoTo_V1">
      <xdr:nvPicPr>
        <xdr:cNvPr id="41" name="Imag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177143"/>
          <a:ext cx="1489074" cy="242208"/>
        </a:xfrm>
        <a:prstGeom prst="rect">
          <a:avLst/>
        </a:prstGeom>
      </xdr:spPr>
    </xdr:pic>
    <xdr:clientData/>
  </xdr:twoCellAnchor>
  <xdr:twoCellAnchor editAs="oneCell">
    <xdr:from>
      <xdr:col>5</xdr:col>
      <xdr:colOff>0</xdr:colOff>
      <xdr:row>16</xdr:row>
      <xdr:rowOff>0</xdr:rowOff>
    </xdr:from>
    <xdr:to>
      <xdr:col>6</xdr:col>
      <xdr:colOff>727074</xdr:colOff>
      <xdr:row>17</xdr:row>
      <xdr:rowOff>78922</xdr:rowOff>
    </xdr:to>
    <xdr:pic macro="[0]!ThisWorkbook.GoTo_V1">
      <xdr:nvPicPr>
        <xdr:cNvPr id="42" name="Imag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503714"/>
          <a:ext cx="1489074" cy="242208"/>
        </a:xfrm>
        <a:prstGeom prst="rect">
          <a:avLst/>
        </a:prstGeom>
      </xdr:spPr>
    </xdr:pic>
    <xdr:clientData/>
  </xdr:twoCellAnchor>
  <xdr:twoCellAnchor editAs="oneCell">
    <xdr:from>
      <xdr:col>5</xdr:col>
      <xdr:colOff>0</xdr:colOff>
      <xdr:row>18</xdr:row>
      <xdr:rowOff>0</xdr:rowOff>
    </xdr:from>
    <xdr:to>
      <xdr:col>6</xdr:col>
      <xdr:colOff>727074</xdr:colOff>
      <xdr:row>19</xdr:row>
      <xdr:rowOff>78923</xdr:rowOff>
    </xdr:to>
    <xdr:pic macro="[0]!ThisWorkbook.GoTo_V1">
      <xdr:nvPicPr>
        <xdr:cNvPr id="43" name="Imag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830286"/>
          <a:ext cx="1489074" cy="242208"/>
        </a:xfrm>
        <a:prstGeom prst="rect">
          <a:avLst/>
        </a:prstGeom>
      </xdr:spPr>
    </xdr:pic>
    <xdr:clientData/>
  </xdr:twoCellAnchor>
  <xdr:twoCellAnchor>
    <xdr:from>
      <xdr:col>5</xdr:col>
      <xdr:colOff>13608</xdr:colOff>
      <xdr:row>14</xdr:row>
      <xdr:rowOff>6804</xdr:rowOff>
    </xdr:from>
    <xdr:to>
      <xdr:col>6</xdr:col>
      <xdr:colOff>659947</xdr:colOff>
      <xdr:row>15</xdr:row>
      <xdr:rowOff>49438</xdr:rowOff>
    </xdr:to>
    <xdr:sp macro="[0]!ThisWorkbook.GoTo_AE3" textlink="">
      <xdr:nvSpPr>
        <xdr:cNvPr id="44" name="ZoneTexte 43">
          <a:extLst>
            <a:ext uri="{FF2B5EF4-FFF2-40B4-BE49-F238E27FC236}">
              <a16:creationId xmlns:a16="http://schemas.microsoft.com/office/drawing/2014/main" id="{00000000-0008-0000-0100-00002C000000}"/>
            </a:ext>
          </a:extLst>
        </xdr:cNvPr>
        <xdr:cNvSpPr txBox="1"/>
      </xdr:nvSpPr>
      <xdr:spPr>
        <a:xfrm>
          <a:off x="3823608" y="2183947"/>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3</a:t>
          </a:r>
        </a:p>
      </xdr:txBody>
    </xdr:sp>
    <xdr:clientData/>
  </xdr:twoCellAnchor>
  <xdr:twoCellAnchor>
    <xdr:from>
      <xdr:col>5</xdr:col>
      <xdr:colOff>27214</xdr:colOff>
      <xdr:row>16</xdr:row>
      <xdr:rowOff>0</xdr:rowOff>
    </xdr:from>
    <xdr:to>
      <xdr:col>6</xdr:col>
      <xdr:colOff>673553</xdr:colOff>
      <xdr:row>17</xdr:row>
      <xdr:rowOff>42634</xdr:rowOff>
    </xdr:to>
    <xdr:sp macro="[0]!ThisWorkbook.GoTo_AE4" textlink="">
      <xdr:nvSpPr>
        <xdr:cNvPr id="45" name="ZoneTexte 44">
          <a:extLst>
            <a:ext uri="{FF2B5EF4-FFF2-40B4-BE49-F238E27FC236}">
              <a16:creationId xmlns:a16="http://schemas.microsoft.com/office/drawing/2014/main" id="{00000000-0008-0000-0100-00002D000000}"/>
            </a:ext>
          </a:extLst>
        </xdr:cNvPr>
        <xdr:cNvSpPr txBox="1"/>
      </xdr:nvSpPr>
      <xdr:spPr>
        <a:xfrm>
          <a:off x="3837214" y="2503714"/>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4</a:t>
          </a:r>
        </a:p>
      </xdr:txBody>
    </xdr:sp>
    <xdr:clientData/>
  </xdr:twoCellAnchor>
  <xdr:twoCellAnchor>
    <xdr:from>
      <xdr:col>5</xdr:col>
      <xdr:colOff>34017</xdr:colOff>
      <xdr:row>18</xdr:row>
      <xdr:rowOff>6803</xdr:rowOff>
    </xdr:from>
    <xdr:to>
      <xdr:col>6</xdr:col>
      <xdr:colOff>680356</xdr:colOff>
      <xdr:row>19</xdr:row>
      <xdr:rowOff>49438</xdr:rowOff>
    </xdr:to>
    <xdr:sp macro="[0]!ThisWorkbook.GoTo_AE5" textlink="">
      <xdr:nvSpPr>
        <xdr:cNvPr id="46" name="ZoneTexte 45">
          <a:extLst>
            <a:ext uri="{FF2B5EF4-FFF2-40B4-BE49-F238E27FC236}">
              <a16:creationId xmlns:a16="http://schemas.microsoft.com/office/drawing/2014/main" id="{00000000-0008-0000-0100-00002E000000}"/>
            </a:ext>
          </a:extLst>
        </xdr:cNvPr>
        <xdr:cNvSpPr txBox="1"/>
      </xdr:nvSpPr>
      <xdr:spPr>
        <a:xfrm>
          <a:off x="3844017" y="283708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5</a:t>
          </a:r>
        </a:p>
      </xdr:txBody>
    </xdr:sp>
    <xdr:clientData/>
  </xdr:twoCellAnchor>
  <xdr:twoCellAnchor editAs="oneCell">
    <xdr:from>
      <xdr:col>4</xdr:col>
      <xdr:colOff>352746</xdr:colOff>
      <xdr:row>0</xdr:row>
      <xdr:rowOff>74147</xdr:rowOff>
    </xdr:from>
    <xdr:to>
      <xdr:col>7</xdr:col>
      <xdr:colOff>730061</xdr:colOff>
      <xdr:row>3</xdr:row>
      <xdr:rowOff>75812</xdr:rowOff>
    </xdr:to>
    <xdr:pic>
      <xdr:nvPicPr>
        <xdr:cNvPr id="26" name="Imag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9872" y="74147"/>
          <a:ext cx="2670159" cy="480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8226"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Imprimer_PF_IMPRESSION" textlink="">
      <xdr:nvSpPr>
        <xdr:cNvPr id="3" name="ZoneTexte 2">
          <a:extLst>
            <a:ext uri="{FF2B5EF4-FFF2-40B4-BE49-F238E27FC236}">
              <a16:creationId xmlns:a16="http://schemas.microsoft.com/office/drawing/2014/main" id="{00000000-0008-0000-02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DU PLAN FINANCIER COMPLET</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Imprimer_Annexes" textlink="">
      <xdr:nvSpPr>
        <xdr:cNvPr id="5" name="ZoneTexte 4">
          <a:extLst>
            <a:ext uri="{FF2B5EF4-FFF2-40B4-BE49-F238E27FC236}">
              <a16:creationId xmlns:a16="http://schemas.microsoft.com/office/drawing/2014/main" id="{00000000-0008-0000-02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DES ANNEXES FINANCIÈRES</a:t>
          </a:r>
        </a:p>
      </xdr:txBody>
    </xdr:sp>
    <xdr:clientData/>
  </xdr:twoCellAnchor>
  <xdr:twoCellAnchor>
    <xdr:from>
      <xdr:col>0</xdr:col>
      <xdr:colOff>28575</xdr:colOff>
      <xdr:row>4</xdr:row>
      <xdr:rowOff>1</xdr:rowOff>
    </xdr:from>
    <xdr:to>
      <xdr:col>10</xdr:col>
      <xdr:colOff>0</xdr:colOff>
      <xdr:row>8</xdr:row>
      <xdr:rowOff>44750</xdr:rowOff>
    </xdr:to>
    <xdr:sp macro="" textlink="">
      <xdr:nvSpPr>
        <xdr:cNvPr id="6" name="ZoneTexte 5">
          <a:extLst>
            <a:ext uri="{FF2B5EF4-FFF2-40B4-BE49-F238E27FC236}">
              <a16:creationId xmlns:a16="http://schemas.microsoft.com/office/drawing/2014/main" id="{00000000-0008-0000-0200-000006000000}"/>
            </a:ext>
          </a:extLst>
        </xdr:cNvPr>
        <xdr:cNvSpPr txBox="1"/>
      </xdr:nvSpPr>
      <xdr:spPr>
        <a:xfrm>
          <a:off x="28575" y="639263"/>
          <a:ext cx="8256257" cy="68401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L'impression du plan financier par ce bouton générera des états financiers filtrés dans lesquels toutes</a:t>
          </a:r>
          <a:r>
            <a:rPr lang="fr-CA" sz="1200" baseline="0"/>
            <a:t> les lignes à zéro seront filtrées pour une plus grande clarté de votre information financière.  L'impression des annexes générera quant à elle vos différentes feuilles de travail relatives aux détails de vos hypothèses de ventes différents coûts.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44450</xdr:colOff>
      <xdr:row>0</xdr:row>
      <xdr:rowOff>19050</xdr:rowOff>
    </xdr:from>
    <xdr:to>
      <xdr:col>4</xdr:col>
      <xdr:colOff>488950</xdr:colOff>
      <xdr:row>3</xdr:row>
      <xdr:rowOff>120650</xdr:rowOff>
    </xdr:to>
    <xdr:sp macro="" textlink="">
      <xdr:nvSpPr>
        <xdr:cNvPr id="9" name="Text Box 429">
          <a:extLst>
            <a:ext uri="{FF2B5EF4-FFF2-40B4-BE49-F238E27FC236}">
              <a16:creationId xmlns:a16="http://schemas.microsoft.com/office/drawing/2014/main" id="{00000000-0008-0000-0200-000009000000}"/>
            </a:ext>
          </a:extLst>
        </xdr:cNvPr>
        <xdr:cNvSpPr txBox="1">
          <a:spLocks noChangeArrowheads="1"/>
        </xdr:cNvSpPr>
      </xdr:nvSpPr>
      <xdr:spPr bwMode="auto">
        <a:xfrm>
          <a:off x="44450" y="19050"/>
          <a:ext cx="3492500" cy="5873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581026</xdr:colOff>
      <xdr:row>0</xdr:row>
      <xdr:rowOff>28576</xdr:rowOff>
    </xdr:from>
    <xdr:to>
      <xdr:col>9</xdr:col>
      <xdr:colOff>638175</xdr:colOff>
      <xdr:row>3</xdr:row>
      <xdr:rowOff>101376</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5067301" y="28576"/>
          <a:ext cx="3105149" cy="558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FDD" textlink="">
      <xdr:nvSpPr>
        <xdr:cNvPr id="5" name="ZoneTexte 4">
          <a:extLst>
            <a:ext uri="{FF2B5EF4-FFF2-40B4-BE49-F238E27FC236}">
              <a16:creationId xmlns:a16="http://schemas.microsoft.com/office/drawing/2014/main" id="{00000000-0008-0000-0300-000005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 de démarrage et dépôts de sécurité</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8" name="Imag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81525"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IMMO" textlink="">
      <xdr:nvSpPr>
        <xdr:cNvPr id="9" name="ZoneTexte 8">
          <a:extLst>
            <a:ext uri="{FF2B5EF4-FFF2-40B4-BE49-F238E27FC236}">
              <a16:creationId xmlns:a16="http://schemas.microsoft.com/office/drawing/2014/main" id="{00000000-0008-0000-0300-000009000000}"/>
            </a:ext>
          </a:extLst>
        </xdr:cNvPr>
        <xdr:cNvSpPr txBox="1"/>
      </xdr:nvSpPr>
      <xdr:spPr>
        <a:xfrm>
          <a:off x="5133975"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Besoins</a:t>
          </a:r>
          <a:r>
            <a:rPr lang="fr-CA" sz="1200" b="1" baseline="0">
              <a:solidFill>
                <a:schemeClr val="bg1"/>
              </a:solidFill>
            </a:rPr>
            <a:t> en immobilisations</a:t>
          </a:r>
          <a:endParaRPr lang="fr-CA" sz="1200" b="1">
            <a:solidFill>
              <a:schemeClr val="bg1"/>
            </a:solidFill>
          </a:endParaRP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14" name="ZoneTexte 13">
          <a:extLst>
            <a:ext uri="{FF2B5EF4-FFF2-40B4-BE49-F238E27FC236}">
              <a16:creationId xmlns:a16="http://schemas.microsoft.com/office/drawing/2014/main" id="{00000000-0008-0000-0300-00000E000000}"/>
            </a:ext>
          </a:extLst>
        </xdr:cNvPr>
        <xdr:cNvSpPr txBox="1"/>
      </xdr:nvSpPr>
      <xdr:spPr>
        <a:xfrm>
          <a:off x="28575" y="647700"/>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 votre plan des ressources, vous avez été appelé</a:t>
          </a:r>
          <a:r>
            <a:rPr lang="fr-CA" sz="1200" baseline="0"/>
            <a:t> à évaluer les différents besoins en immobilisations nécessaires au démarrage et aux premières années d'exploitation de votre entreprise.  Afin de compléter votre coût de projet, vous devez aussi estimer les différents frais démarrage qui devront être assumés avant le début des opérations ainsi que les dépôts de sécurité qui seront exigés de certains fournisseurs de service..</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15" name="Imag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10508"/>
        </a:xfrm>
        <a:prstGeom prst="rect">
          <a:avLst/>
        </a:prstGeom>
      </xdr:spPr>
    </xdr:pic>
    <xdr:clientData/>
  </xdr:twoCellAnchor>
  <xdr:twoCellAnchor>
    <xdr:from>
      <xdr:col>0</xdr:col>
      <xdr:colOff>88560</xdr:colOff>
      <xdr:row>0</xdr:row>
      <xdr:rowOff>31707</xdr:rowOff>
    </xdr:from>
    <xdr:to>
      <xdr:col>3</xdr:col>
      <xdr:colOff>460270</xdr:colOff>
      <xdr:row>3</xdr:row>
      <xdr:rowOff>133307</xdr:rowOff>
    </xdr:to>
    <xdr:sp macro="" textlink="">
      <xdr:nvSpPr>
        <xdr:cNvPr id="17" name="Text Box 429">
          <a:extLst>
            <a:ext uri="{FF2B5EF4-FFF2-40B4-BE49-F238E27FC236}">
              <a16:creationId xmlns:a16="http://schemas.microsoft.com/office/drawing/2014/main" id="{00000000-0008-0000-0300-000011000000}"/>
            </a:ext>
          </a:extLst>
        </xdr:cNvPr>
        <xdr:cNvSpPr txBox="1">
          <a:spLocks noChangeArrowheads="1"/>
        </xdr:cNvSpPr>
      </xdr:nvSpPr>
      <xdr:spPr bwMode="auto">
        <a:xfrm>
          <a:off x="88560" y="31707"/>
          <a:ext cx="2653874"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549766</xdr:colOff>
      <xdr:row>0</xdr:row>
      <xdr:rowOff>12786</xdr:rowOff>
    </xdr:from>
    <xdr:to>
      <xdr:col>9</xdr:col>
      <xdr:colOff>658440</xdr:colOff>
      <xdr:row>3</xdr:row>
      <xdr:rowOff>100264</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5030991" y="12786"/>
          <a:ext cx="3151560" cy="5669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293932</xdr:colOff>
      <xdr:row>12</xdr:row>
      <xdr:rowOff>3132</xdr:rowOff>
    </xdr:from>
    <xdr:to>
      <xdr:col>3</xdr:col>
      <xdr:colOff>276159</xdr:colOff>
      <xdr:row>18</xdr:row>
      <xdr:rowOff>107907</xdr:rowOff>
    </xdr:to>
    <xdr:pic macro="[0]!ThisWorkbook.GoTo_V1">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3932" y="1846181"/>
          <a:ext cx="2258934" cy="1080506"/>
        </a:xfrm>
        <a:prstGeom prst="rect">
          <a:avLst/>
        </a:prstGeom>
      </xdr:spPr>
    </xdr:pic>
    <xdr:clientData/>
  </xdr:twoCellAnchor>
  <xdr:twoCellAnchor>
    <xdr:from>
      <xdr:col>0</xdr:col>
      <xdr:colOff>722557</xdr:colOff>
      <xdr:row>12</xdr:row>
      <xdr:rowOff>101516</xdr:rowOff>
    </xdr:from>
    <xdr:to>
      <xdr:col>2</xdr:col>
      <xdr:colOff>608256</xdr:colOff>
      <xdr:row>17</xdr:row>
      <xdr:rowOff>82465</xdr:rowOff>
    </xdr:to>
    <xdr:sp macro="[0]!ThisWorkbook.GoTo_FGFM1" textlink="">
      <xdr:nvSpPr>
        <xdr:cNvPr id="3" name="ZoneTexte 2">
          <a:extLst>
            <a:ext uri="{FF2B5EF4-FFF2-40B4-BE49-F238E27FC236}">
              <a16:creationId xmlns:a16="http://schemas.microsoft.com/office/drawing/2014/main" id="{00000000-0008-0000-0400-000003000000}"/>
            </a:ext>
          </a:extLst>
        </xdr:cNvPr>
        <xdr:cNvSpPr txBox="1"/>
      </xdr:nvSpPr>
      <xdr:spPr>
        <a:xfrm>
          <a:off x="722557" y="1917019"/>
          <a:ext cx="1407142" cy="78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1</a:t>
          </a:r>
          <a:endParaRPr lang="fr-CA" sz="1200" b="1">
            <a:solidFill>
              <a:schemeClr val="bg1"/>
            </a:solidFill>
          </a:endParaRPr>
        </a:p>
      </xdr:txBody>
    </xdr:sp>
    <xdr:clientData/>
  </xdr:twoCellAnchor>
  <xdr:twoCellAnchor editAs="oneCell">
    <xdr:from>
      <xdr:col>4</xdr:col>
      <xdr:colOff>47881</xdr:colOff>
      <xdr:row>18</xdr:row>
      <xdr:rowOff>89370</xdr:rowOff>
    </xdr:from>
    <xdr:to>
      <xdr:col>6</xdr:col>
      <xdr:colOff>113212</xdr:colOff>
      <xdr:row>25</xdr:row>
      <xdr:rowOff>34330</xdr:rowOff>
    </xdr:to>
    <xdr:pic macro="[0]!ThisWorkbook.GoTo_V1">
      <xdr:nvPicPr>
        <xdr:cNvPr id="4" name="Imag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83491" y="2908150"/>
          <a:ext cx="2264599" cy="1083314"/>
        </a:xfrm>
        <a:prstGeom prst="rect">
          <a:avLst/>
        </a:prstGeom>
      </xdr:spPr>
    </xdr:pic>
    <xdr:clientData/>
  </xdr:twoCellAnchor>
  <xdr:twoCellAnchor>
    <xdr:from>
      <xdr:col>4</xdr:col>
      <xdr:colOff>593937</xdr:colOff>
      <xdr:row>19</xdr:row>
      <xdr:rowOff>75689</xdr:rowOff>
    </xdr:from>
    <xdr:to>
      <xdr:col>5</xdr:col>
      <xdr:colOff>353191</xdr:colOff>
      <xdr:row>23</xdr:row>
      <xdr:rowOff>130730</xdr:rowOff>
    </xdr:to>
    <xdr:sp macro="[0]!ThisWorkbook.GoTo_FGF12" textlink="">
      <xdr:nvSpPr>
        <xdr:cNvPr id="5" name="ZoneTexte 4">
          <a:extLst>
            <a:ext uri="{FF2B5EF4-FFF2-40B4-BE49-F238E27FC236}">
              <a16:creationId xmlns:a16="http://schemas.microsoft.com/office/drawing/2014/main" id="{00000000-0008-0000-0400-000005000000}"/>
            </a:ext>
          </a:extLst>
        </xdr:cNvPr>
        <xdr:cNvSpPr txBox="1"/>
      </xdr:nvSpPr>
      <xdr:spPr>
        <a:xfrm>
          <a:off x="3629547" y="3057091"/>
          <a:ext cx="1199620" cy="705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 DES FRAIS GÉNÉRAUX DE FABRICATION</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4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Si vous avez une entreprise de transformation et que vous voulez détailler vos frais généraux de fabrication, vous devez inscrire</a:t>
          </a:r>
          <a:r>
            <a:rPr lang="fr-CA" sz="1200" baseline="0"/>
            <a:t> les informations  financières </a:t>
          </a:r>
          <a:r>
            <a:rPr lang="fr-CA" sz="1100" baseline="0">
              <a:solidFill>
                <a:schemeClr val="lt1"/>
              </a:solidFill>
              <a:effectLst/>
              <a:latin typeface="+mn-lt"/>
              <a:ea typeface="+mn-ea"/>
              <a:cs typeface="+mn-cs"/>
            </a:rPr>
            <a:t>détaillées </a:t>
          </a:r>
          <a:r>
            <a:rPr lang="fr-CA" sz="1200" baseline="0"/>
            <a:t>des deux premières années dans les feuilles de travail des années 1, 2 et 3.  Votre état des frais généraux de fabrication peut être consulté et imprimé à partir du bouton "État des frais généraux de fabrication".</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68790" y="6349"/>
          <a:ext cx="606620" cy="600097"/>
        </a:xfrm>
        <a:prstGeom prst="rect">
          <a:avLst/>
        </a:prstGeom>
      </xdr:spPr>
    </xdr:pic>
    <xdr:clientData/>
  </xdr:twoCellAnchor>
  <xdr:twoCellAnchor>
    <xdr:from>
      <xdr:col>0</xdr:col>
      <xdr:colOff>77751</xdr:colOff>
      <xdr:row>0</xdr:row>
      <xdr:rowOff>14869</xdr:rowOff>
    </xdr:from>
    <xdr:to>
      <xdr:col>3</xdr:col>
      <xdr:colOff>131648</xdr:colOff>
      <xdr:row>3</xdr:row>
      <xdr:rowOff>116469</xdr:rowOff>
    </xdr:to>
    <xdr:sp macro="" textlink="">
      <xdr:nvSpPr>
        <xdr:cNvPr id="9" name="Text Box 429">
          <a:extLst>
            <a:ext uri="{FF2B5EF4-FFF2-40B4-BE49-F238E27FC236}">
              <a16:creationId xmlns:a16="http://schemas.microsoft.com/office/drawing/2014/main" id="{00000000-0008-0000-0400-000009000000}"/>
            </a:ext>
          </a:extLst>
        </xdr:cNvPr>
        <xdr:cNvSpPr txBox="1">
          <a:spLocks noChangeArrowheads="1"/>
        </xdr:cNvSpPr>
      </xdr:nvSpPr>
      <xdr:spPr bwMode="auto">
        <a:xfrm>
          <a:off x="77751" y="14869"/>
          <a:ext cx="2330604" cy="58946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38355</xdr:colOff>
      <xdr:row>11</xdr:row>
      <xdr:rowOff>159815</xdr:rowOff>
    </xdr:from>
    <xdr:to>
      <xdr:col>6</xdr:col>
      <xdr:colOff>103686</xdr:colOff>
      <xdr:row>18</xdr:row>
      <xdr:rowOff>104775</xdr:rowOff>
    </xdr:to>
    <xdr:pic macro="[0]!ThisWorkbook.GoTo_V1">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3965" y="1840242"/>
          <a:ext cx="2264599" cy="1083313"/>
        </a:xfrm>
        <a:prstGeom prst="rect">
          <a:avLst/>
        </a:prstGeom>
      </xdr:spPr>
    </xdr:pic>
    <xdr:clientData/>
  </xdr:twoCellAnchor>
  <xdr:twoCellAnchor>
    <xdr:from>
      <xdr:col>4</xdr:col>
      <xdr:colOff>466661</xdr:colOff>
      <xdr:row>12</xdr:row>
      <xdr:rowOff>108675</xdr:rowOff>
    </xdr:from>
    <xdr:to>
      <xdr:col>5</xdr:col>
      <xdr:colOff>435464</xdr:colOff>
      <xdr:row>17</xdr:row>
      <xdr:rowOff>89624</xdr:rowOff>
    </xdr:to>
    <xdr:sp macro="[0]!ThisWorkbook.GoTo_FGFM2" textlink="">
      <xdr:nvSpPr>
        <xdr:cNvPr id="12" name="ZoneTexte 11">
          <a:extLst>
            <a:ext uri="{FF2B5EF4-FFF2-40B4-BE49-F238E27FC236}">
              <a16:creationId xmlns:a16="http://schemas.microsoft.com/office/drawing/2014/main" id="{00000000-0008-0000-0400-00000C000000}"/>
            </a:ext>
          </a:extLst>
        </xdr:cNvPr>
        <xdr:cNvSpPr txBox="1"/>
      </xdr:nvSpPr>
      <xdr:spPr>
        <a:xfrm>
          <a:off x="3502271" y="1951724"/>
          <a:ext cx="1409169"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2</a:t>
          </a:r>
          <a:endParaRPr lang="fr-CA" sz="1200" b="1">
            <a:solidFill>
              <a:schemeClr val="bg1"/>
            </a:solidFill>
          </a:endParaRPr>
        </a:p>
      </xdr:txBody>
    </xdr:sp>
    <xdr:clientData/>
  </xdr:twoCellAnchor>
  <xdr:twoCellAnchor editAs="oneCell">
    <xdr:from>
      <xdr:col>6</xdr:col>
      <xdr:colOff>758902</xdr:colOff>
      <xdr:row>11</xdr:row>
      <xdr:rowOff>159815</xdr:rowOff>
    </xdr:from>
    <xdr:to>
      <xdr:col>9</xdr:col>
      <xdr:colOff>742948</xdr:colOff>
      <xdr:row>18</xdr:row>
      <xdr:rowOff>104775</xdr:rowOff>
    </xdr:to>
    <xdr:pic macro="[0]!ThisWorkbook.GoTo_V1">
      <xdr:nvPicPr>
        <xdr:cNvPr id="16" name="Imag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93780" y="1840242"/>
          <a:ext cx="2260753" cy="1083313"/>
        </a:xfrm>
        <a:prstGeom prst="rect">
          <a:avLst/>
        </a:prstGeom>
      </xdr:spPr>
    </xdr:pic>
    <xdr:clientData/>
  </xdr:twoCellAnchor>
  <xdr:twoCellAnchor>
    <xdr:from>
      <xdr:col>7</xdr:col>
      <xdr:colOff>453876</xdr:colOff>
      <xdr:row>12</xdr:row>
      <xdr:rowOff>115067</xdr:rowOff>
    </xdr:from>
    <xdr:to>
      <xdr:col>9</xdr:col>
      <xdr:colOff>339575</xdr:colOff>
      <xdr:row>17</xdr:row>
      <xdr:rowOff>96016</xdr:rowOff>
    </xdr:to>
    <xdr:sp macro="[0]!ThisWorkbook.GoTo_FGFM3" textlink="">
      <xdr:nvSpPr>
        <xdr:cNvPr id="17" name="ZoneTexte 16">
          <a:extLst>
            <a:ext uri="{FF2B5EF4-FFF2-40B4-BE49-F238E27FC236}">
              <a16:creationId xmlns:a16="http://schemas.microsoft.com/office/drawing/2014/main" id="{00000000-0008-0000-0400-000011000000}"/>
            </a:ext>
          </a:extLst>
        </xdr:cNvPr>
        <xdr:cNvSpPr txBox="1"/>
      </xdr:nvSpPr>
      <xdr:spPr>
        <a:xfrm>
          <a:off x="6447656" y="1958116"/>
          <a:ext cx="1403504"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3</a:t>
          </a:r>
          <a:endParaRPr lang="fr-CA" sz="1200" b="1">
            <a:solidFill>
              <a:schemeClr val="bg1"/>
            </a:solidFill>
          </a:endParaRPr>
        </a:p>
      </xdr:txBody>
    </xdr:sp>
    <xdr:clientData/>
  </xdr:twoCellAnchor>
  <xdr:twoCellAnchor editAs="oneCell">
    <xdr:from>
      <xdr:col>5</xdr:col>
      <xdr:colOff>557560</xdr:colOff>
      <xdr:row>0</xdr:row>
      <xdr:rowOff>61951</xdr:rowOff>
    </xdr:from>
    <xdr:to>
      <xdr:col>9</xdr:col>
      <xdr:colOff>611768</xdr:colOff>
      <xdr:row>3</xdr:row>
      <xdr:rowOff>129902</xdr:rowOff>
    </xdr:to>
    <xdr:pic>
      <xdr:nvPicPr>
        <xdr:cNvPr id="10" name="Imag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a:stretch>
          <a:fillRect/>
        </a:stretch>
      </xdr:blipFill>
      <xdr:spPr>
        <a:xfrm>
          <a:off x="5033536" y="61951"/>
          <a:ext cx="3089817" cy="55581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RESULTATMENSUEL" textlink="">
      <xdr:nvSpPr>
        <xdr:cNvPr id="3" name="ZoneTexte 2">
          <a:extLst>
            <a:ext uri="{FF2B5EF4-FFF2-40B4-BE49-F238E27FC236}">
              <a16:creationId xmlns:a16="http://schemas.microsoft.com/office/drawing/2014/main" id="{00000000-0008-0000-05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a:t>
          </a:r>
          <a:r>
            <a:rPr lang="fr-CA" sz="1200" b="1" baseline="0">
              <a:solidFill>
                <a:schemeClr val="bg1"/>
              </a:solidFill>
            </a:rPr>
            <a:t> des résultats mensuel</a:t>
          </a:r>
          <a:endParaRPr lang="fr-CA" sz="1200" b="1">
            <a:solidFill>
              <a:schemeClr val="bg1"/>
            </a:solidFill>
          </a:endParaRP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BILANMENSUEL" textlink="">
      <xdr:nvSpPr>
        <xdr:cNvPr id="5" name="ZoneTexte 4">
          <a:extLst>
            <a:ext uri="{FF2B5EF4-FFF2-40B4-BE49-F238E27FC236}">
              <a16:creationId xmlns:a16="http://schemas.microsoft.com/office/drawing/2014/main" id="{00000000-0008-0000-05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Bilan mensuel</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5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En</a:t>
          </a:r>
          <a:r>
            <a:rPr lang="fr-CA" sz="1200" baseline="0"/>
            <a:t> tant que gestionnaire, il est important de faire un suivi sur les budgets que vous avez établis.  En ce sens, vous pouvez consulter vos prévisions financières mensuelles, auxquelles vous n'aurez qu'à comparer vos revenus et dépenses réels afin d'analyser les écarts.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75774</xdr:colOff>
      <xdr:row>0</xdr:row>
      <xdr:rowOff>31707</xdr:rowOff>
    </xdr:from>
    <xdr:to>
      <xdr:col>3</xdr:col>
      <xdr:colOff>198172</xdr:colOff>
      <xdr:row>3</xdr:row>
      <xdr:rowOff>133307</xdr:rowOff>
    </xdr:to>
    <xdr:sp macro="" textlink="">
      <xdr:nvSpPr>
        <xdr:cNvPr id="9" name="Text Box 429">
          <a:extLst>
            <a:ext uri="{FF2B5EF4-FFF2-40B4-BE49-F238E27FC236}">
              <a16:creationId xmlns:a16="http://schemas.microsoft.com/office/drawing/2014/main" id="{00000000-0008-0000-0500-000009000000}"/>
            </a:ext>
          </a:extLst>
        </xdr:cNvPr>
        <xdr:cNvSpPr txBox="1">
          <a:spLocks noChangeArrowheads="1"/>
        </xdr:cNvSpPr>
      </xdr:nvSpPr>
      <xdr:spPr bwMode="auto">
        <a:xfrm>
          <a:off x="75774" y="31707"/>
          <a:ext cx="2404562"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6</xdr:col>
      <xdr:colOff>89497</xdr:colOff>
      <xdr:row>0</xdr:row>
      <xdr:rowOff>63927</xdr:rowOff>
    </xdr:from>
    <xdr:to>
      <xdr:col>9</xdr:col>
      <xdr:colOff>722365</xdr:colOff>
      <xdr:row>3</xdr:row>
      <xdr:rowOff>108856</xdr:rowOff>
    </xdr:to>
    <xdr:pic>
      <xdr:nvPicPr>
        <xdr:cNvPr id="10" name="Imag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a:stretch>
          <a:fillRect/>
        </a:stretch>
      </xdr:blipFill>
      <xdr:spPr>
        <a:xfrm>
          <a:off x="5331443" y="63927"/>
          <a:ext cx="2915033" cy="524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18213</xdr:colOff>
      <xdr:row>13</xdr:row>
      <xdr:rowOff>83052</xdr:rowOff>
    </xdr:from>
    <xdr:to>
      <xdr:col>4</xdr:col>
      <xdr:colOff>532397</xdr:colOff>
      <xdr:row>15</xdr:row>
      <xdr:rowOff>49469</xdr:rowOff>
    </xdr:to>
    <xdr:pic>
      <xdr:nvPicPr>
        <xdr:cNvPr id="11" name="Imag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stretch>
          <a:fillRect/>
        </a:stretch>
      </xdr:blipFill>
      <xdr:spPr>
        <a:xfrm>
          <a:off x="3431338" y="2358469"/>
          <a:ext cx="1581337" cy="283917"/>
        </a:xfrm>
        <a:prstGeom prst="rect">
          <a:avLst/>
        </a:prstGeom>
      </xdr:spPr>
    </xdr:pic>
    <xdr:clientData/>
  </xdr:twoCellAnchor>
  <xdr:twoCellAnchor editAs="oneCell">
    <xdr:from>
      <xdr:col>5</xdr:col>
      <xdr:colOff>14</xdr:colOff>
      <xdr:row>13</xdr:row>
      <xdr:rowOff>77352</xdr:rowOff>
    </xdr:from>
    <xdr:to>
      <xdr:col>6</xdr:col>
      <xdr:colOff>401703</xdr:colOff>
      <xdr:row>15</xdr:row>
      <xdr:rowOff>54808</xdr:rowOff>
    </xdr:to>
    <xdr:pic>
      <xdr:nvPicPr>
        <xdr:cNvPr id="39" name="Image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47445" y="2352769"/>
          <a:ext cx="1557036" cy="294956"/>
        </a:xfrm>
        <a:prstGeom prst="rect">
          <a:avLst/>
        </a:prstGeom>
      </xdr:spPr>
    </xdr:pic>
    <xdr:clientData/>
  </xdr:twoCellAnchor>
  <xdr:twoCellAnchor editAs="oneCell">
    <xdr:from>
      <xdr:col>1</xdr:col>
      <xdr:colOff>6350</xdr:colOff>
      <xdr:row>13</xdr:row>
      <xdr:rowOff>114301</xdr:rowOff>
    </xdr:from>
    <xdr:to>
      <xdr:col>2</xdr:col>
      <xdr:colOff>380366</xdr:colOff>
      <xdr:row>15</xdr:row>
      <xdr:rowOff>107951</xdr:rowOff>
    </xdr:to>
    <xdr:pic>
      <xdr:nvPicPr>
        <xdr:cNvPr id="36" name="Image 35">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8350" y="2152651"/>
          <a:ext cx="1524000" cy="323850"/>
        </a:xfrm>
        <a:prstGeom prst="rect">
          <a:avLst/>
        </a:prstGeom>
      </xdr:spPr>
    </xdr:pic>
    <xdr:clientData/>
  </xdr:twoCellAnchor>
  <xdr:twoCellAnchor>
    <xdr:from>
      <xdr:col>0</xdr:col>
      <xdr:colOff>28576</xdr:colOff>
      <xdr:row>3</xdr:row>
      <xdr:rowOff>95250</xdr:rowOff>
    </xdr:from>
    <xdr:to>
      <xdr:col>9</xdr:col>
      <xdr:colOff>17804</xdr:colOff>
      <xdr:row>9</xdr:row>
      <xdr:rowOff>0</xdr:rowOff>
    </xdr:to>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8576" y="575951"/>
          <a:ext cx="10119555" cy="866152"/>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toute prévisions financières, les données les plus précises sont les dépenses estimées.  Vous devrez donc estimer les achats nécessaires et les autres frais variables et les salaires.  Puis, vous devrez estimer vos différents frais généraux, soit d'exploitation, de vente, d'administration et financiers.  Ces estimations vous permettrons de mesurer avec justesse vos différents ratios de rentabilité.</a:t>
          </a:r>
          <a:endParaRPr lang="fr-CA" sz="1200"/>
        </a:p>
      </xdr:txBody>
    </xdr:sp>
    <xdr:clientData/>
  </xdr:twoCellAnchor>
  <xdr:twoCellAnchor editAs="oneCell">
    <xdr:from>
      <xdr:col>0</xdr:col>
      <xdr:colOff>149225</xdr:colOff>
      <xdr:row>9</xdr:row>
      <xdr:rowOff>152400</xdr:rowOff>
    </xdr:from>
    <xdr:to>
      <xdr:col>0</xdr:col>
      <xdr:colOff>149225</xdr:colOff>
      <xdr:row>12</xdr:row>
      <xdr:rowOff>314325</xdr:rowOff>
    </xdr:to>
    <xdr:pic macro="[0]!ThisWorkbook.GoTo_V1">
      <xdr:nvPicPr>
        <xdr:cNvPr id="17" name="Imag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225" y="1514475"/>
          <a:ext cx="1489074" cy="641350"/>
        </a:xfrm>
        <a:prstGeom prst="rect">
          <a:avLst/>
        </a:prstGeom>
      </xdr:spPr>
    </xdr:pic>
    <xdr:clientData/>
  </xdr:twoCellAnchor>
  <xdr:twoCellAnchor editAs="oneCell">
    <xdr:from>
      <xdr:col>3</xdr:col>
      <xdr:colOff>406400</xdr:colOff>
      <xdr:row>9</xdr:row>
      <xdr:rowOff>155575</xdr:rowOff>
    </xdr:from>
    <xdr:to>
      <xdr:col>3</xdr:col>
      <xdr:colOff>406400</xdr:colOff>
      <xdr:row>12</xdr:row>
      <xdr:rowOff>317500</xdr:rowOff>
    </xdr:to>
    <xdr:pic macro="[0]!ThisWorkbook.GoTo_V2">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92400" y="1517650"/>
          <a:ext cx="1489074" cy="641350"/>
        </a:xfrm>
        <a:prstGeom prst="rect">
          <a:avLst/>
        </a:prstGeom>
      </xdr:spPr>
    </xdr:pic>
    <xdr:clientData/>
  </xdr:twoCellAnchor>
  <xdr:twoCellAnchor editAs="oneCell">
    <xdr:from>
      <xdr:col>7</xdr:col>
      <xdr:colOff>241300</xdr:colOff>
      <xdr:row>9</xdr:row>
      <xdr:rowOff>142875</xdr:rowOff>
    </xdr:from>
    <xdr:to>
      <xdr:col>7</xdr:col>
      <xdr:colOff>241300</xdr:colOff>
      <xdr:row>12</xdr:row>
      <xdr:rowOff>314325</xdr:rowOff>
    </xdr:to>
    <xdr:pic macro="[0]!ThisWorkbook.GoTo_V3">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75300" y="1514475"/>
          <a:ext cx="1489074"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20" name="Imag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28850"/>
          <a:ext cx="1489074" cy="638175"/>
        </a:xfrm>
        <a:prstGeom prst="rect">
          <a:avLst/>
        </a:prstGeom>
      </xdr:spPr>
    </xdr:pic>
    <xdr:clientData/>
  </xdr:twoCellAnchor>
  <xdr:twoCellAnchor>
    <xdr:from>
      <xdr:col>1</xdr:col>
      <xdr:colOff>215901</xdr:colOff>
      <xdr:row>14</xdr:row>
      <xdr:rowOff>3175</xdr:rowOff>
    </xdr:from>
    <xdr:to>
      <xdr:col>2</xdr:col>
      <xdr:colOff>213646</xdr:colOff>
      <xdr:row>15</xdr:row>
      <xdr:rowOff>35607</xdr:rowOff>
    </xdr:to>
    <xdr:sp macro="[0]!ThisWorkbook.GoTo_A1" textlink="">
      <xdr:nvSpPr>
        <xdr:cNvPr id="24" name="ZoneTexte 23">
          <a:extLst>
            <a:ext uri="{FF2B5EF4-FFF2-40B4-BE49-F238E27FC236}">
              <a16:creationId xmlns:a16="http://schemas.microsoft.com/office/drawing/2014/main" id="{00000000-0008-0000-0600-000018000000}"/>
            </a:ext>
          </a:extLst>
        </xdr:cNvPr>
        <xdr:cNvSpPr txBox="1"/>
      </xdr:nvSpPr>
      <xdr:spPr>
        <a:xfrm>
          <a:off x="1319733" y="2460091"/>
          <a:ext cx="1146086" cy="192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1ÈRE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27" name="Imag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100" y="6349"/>
          <a:ext cx="606620" cy="606426"/>
        </a:xfrm>
        <a:prstGeom prst="rect">
          <a:avLst/>
        </a:prstGeom>
      </xdr:spPr>
    </xdr:pic>
    <xdr:clientData/>
  </xdr:twoCellAnchor>
  <xdr:twoCellAnchor>
    <xdr:from>
      <xdr:col>0</xdr:col>
      <xdr:colOff>59583</xdr:colOff>
      <xdr:row>0</xdr:row>
      <xdr:rowOff>0</xdr:rowOff>
    </xdr:from>
    <xdr:to>
      <xdr:col>4</xdr:col>
      <xdr:colOff>628709</xdr:colOff>
      <xdr:row>3</xdr:row>
      <xdr:rowOff>101600</xdr:rowOff>
    </xdr:to>
    <xdr:sp macro="" textlink="">
      <xdr:nvSpPr>
        <xdr:cNvPr id="29" name="Text Box 429">
          <a:extLst>
            <a:ext uri="{FF2B5EF4-FFF2-40B4-BE49-F238E27FC236}">
              <a16:creationId xmlns:a16="http://schemas.microsoft.com/office/drawing/2014/main" id="{00000000-0008-0000-0600-00001D000000}"/>
            </a:ext>
          </a:extLst>
        </xdr:cNvPr>
        <xdr:cNvSpPr txBox="1">
          <a:spLocks noChangeArrowheads="1"/>
        </xdr:cNvSpPr>
      </xdr:nvSpPr>
      <xdr:spPr bwMode="auto">
        <a:xfrm>
          <a:off x="59583" y="0"/>
          <a:ext cx="5037864" cy="582301"/>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0</xdr:col>
      <xdr:colOff>296637</xdr:colOff>
      <xdr:row>10</xdr:row>
      <xdr:rowOff>15875</xdr:rowOff>
    </xdr:from>
    <xdr:to>
      <xdr:col>2</xdr:col>
      <xdr:colOff>1031875</xdr:colOff>
      <xdr:row>12</xdr:row>
      <xdr:rowOff>452437</xdr:rowOff>
    </xdr:to>
    <xdr:sp macro="" textlink="">
      <xdr:nvSpPr>
        <xdr:cNvPr id="40" name="ZoneTexte 39">
          <a:extLst>
            <a:ext uri="{FF2B5EF4-FFF2-40B4-BE49-F238E27FC236}">
              <a16:creationId xmlns:a16="http://schemas.microsoft.com/office/drawing/2014/main" id="{00000000-0008-0000-0600-000028000000}"/>
            </a:ext>
          </a:extLst>
        </xdr:cNvPr>
        <xdr:cNvSpPr txBox="1"/>
      </xdr:nvSpPr>
      <xdr:spPr>
        <a:xfrm>
          <a:off x="296637" y="1497542"/>
          <a:ext cx="2993016" cy="7540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a:t>
          </a:r>
          <a:r>
            <a:rPr lang="fr-CA" sz="1600" b="1" baseline="0"/>
            <a:t>S ACHATS</a:t>
          </a:r>
          <a:endParaRPr lang="fr-CA" sz="1600" b="1"/>
        </a:p>
      </xdr:txBody>
    </xdr:sp>
    <xdr:clientData/>
  </xdr:twoCellAnchor>
  <xdr:twoCellAnchor editAs="oneCell">
    <xdr:from>
      <xdr:col>1</xdr:col>
      <xdr:colOff>21981</xdr:colOff>
      <xdr:row>16</xdr:row>
      <xdr:rowOff>43961</xdr:rowOff>
    </xdr:from>
    <xdr:to>
      <xdr:col>2</xdr:col>
      <xdr:colOff>402347</xdr:colOff>
      <xdr:row>18</xdr:row>
      <xdr:rowOff>41518</xdr:rowOff>
    </xdr:to>
    <xdr:pic>
      <xdr:nvPicPr>
        <xdr:cNvPr id="42" name="Image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3981" y="2520461"/>
          <a:ext cx="1530350" cy="319942"/>
        </a:xfrm>
        <a:prstGeom prst="rect">
          <a:avLst/>
        </a:prstGeom>
      </xdr:spPr>
    </xdr:pic>
    <xdr:clientData/>
  </xdr:twoCellAnchor>
  <xdr:twoCellAnchor>
    <xdr:from>
      <xdr:col>3</xdr:col>
      <xdr:colOff>17641</xdr:colOff>
      <xdr:row>13</xdr:row>
      <xdr:rowOff>92385</xdr:rowOff>
    </xdr:from>
    <xdr:to>
      <xdr:col>4</xdr:col>
      <xdr:colOff>502709</xdr:colOff>
      <xdr:row>15</xdr:row>
      <xdr:rowOff>17639</xdr:rowOff>
    </xdr:to>
    <xdr:sp macro="[0]!ThisWorkbook.GoTo_FD1" textlink="">
      <xdr:nvSpPr>
        <xdr:cNvPr id="46" name="ZoneTexte 45">
          <a:extLst>
            <a:ext uri="{FF2B5EF4-FFF2-40B4-BE49-F238E27FC236}">
              <a16:creationId xmlns:a16="http://schemas.microsoft.com/office/drawing/2014/main" id="{00000000-0008-0000-0600-00002E000000}"/>
            </a:ext>
          </a:extLst>
        </xdr:cNvPr>
        <xdr:cNvSpPr txBox="1"/>
      </xdr:nvSpPr>
      <xdr:spPr>
        <a:xfrm>
          <a:off x="3430766" y="2367802"/>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1ÈRE</a:t>
          </a:r>
          <a:r>
            <a:rPr lang="fr-CA" sz="800" b="1" baseline="0">
              <a:solidFill>
                <a:schemeClr val="bg1"/>
              </a:solidFill>
            </a:rPr>
            <a:t> ANNÉE</a:t>
          </a:r>
          <a:endParaRPr lang="fr-CA" sz="800" b="1">
            <a:solidFill>
              <a:schemeClr val="bg1"/>
            </a:solidFill>
          </a:endParaRPr>
        </a:p>
      </xdr:txBody>
    </xdr:sp>
    <xdr:clientData/>
  </xdr:twoCellAnchor>
  <xdr:twoCellAnchor>
    <xdr:from>
      <xdr:col>6</xdr:col>
      <xdr:colOff>557236</xdr:colOff>
      <xdr:row>9</xdr:row>
      <xdr:rowOff>51483</xdr:rowOff>
    </xdr:from>
    <xdr:to>
      <xdr:col>9</xdr:col>
      <xdr:colOff>26707</xdr:colOff>
      <xdr:row>12</xdr:row>
      <xdr:rowOff>442572</xdr:rowOff>
    </xdr:to>
    <xdr:sp macro="" textlink="">
      <xdr:nvSpPr>
        <xdr:cNvPr id="49" name="ZoneTexte 48">
          <a:extLst>
            <a:ext uri="{FF2B5EF4-FFF2-40B4-BE49-F238E27FC236}">
              <a16:creationId xmlns:a16="http://schemas.microsoft.com/office/drawing/2014/main" id="{00000000-0008-0000-0600-000031000000}"/>
            </a:ext>
          </a:extLst>
        </xdr:cNvPr>
        <xdr:cNvSpPr txBox="1"/>
      </xdr:nvSpPr>
      <xdr:spPr>
        <a:xfrm>
          <a:off x="7242540" y="1493586"/>
          <a:ext cx="2914494" cy="76496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LES FRAIS GÉNÉRAUX</a:t>
          </a:r>
        </a:p>
      </xdr:txBody>
    </xdr:sp>
    <xdr:clientData/>
  </xdr:twoCellAnchor>
  <xdr:oneCellAnchor>
    <xdr:from>
      <xdr:col>7</xdr:col>
      <xdr:colOff>69959</xdr:colOff>
      <xdr:row>13</xdr:row>
      <xdr:rowOff>61384</xdr:rowOff>
    </xdr:from>
    <xdr:ext cx="1517650" cy="323850"/>
    <xdr:pic>
      <xdr:nvPicPr>
        <xdr:cNvPr id="59" name="Image 58">
          <a:extLst>
            <a:ext uri="{FF2B5EF4-FFF2-40B4-BE49-F238E27FC236}">
              <a16:creationId xmlns:a16="http://schemas.microsoft.com/office/drawing/2014/main" id="{00000000-0008-0000-0600-00003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8084" y="233680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60" name="Image 59">
          <a:extLst>
            <a:ext uri="{FF2B5EF4-FFF2-40B4-BE49-F238E27FC236}">
              <a16:creationId xmlns:a16="http://schemas.microsoft.com/office/drawing/2014/main" id="{00000000-0008-0000-0600-00003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70125"/>
          <a:ext cx="0" cy="650875"/>
        </a:xfrm>
        <a:prstGeom prst="rect">
          <a:avLst/>
        </a:prstGeom>
      </xdr:spPr>
    </xdr:pic>
    <xdr:clientData/>
  </xdr:oneCellAnchor>
  <xdr:twoCellAnchor>
    <xdr:from>
      <xdr:col>7</xdr:col>
      <xdr:colOff>31873</xdr:colOff>
      <xdr:row>13</xdr:row>
      <xdr:rowOff>117910</xdr:rowOff>
    </xdr:from>
    <xdr:to>
      <xdr:col>8</xdr:col>
      <xdr:colOff>423333</xdr:colOff>
      <xdr:row>15</xdr:row>
      <xdr:rowOff>0</xdr:rowOff>
    </xdr:to>
    <xdr:sp macro="[0]!ThisWorkbook.GoTo_FG1" textlink="">
      <xdr:nvSpPr>
        <xdr:cNvPr id="61" name="ZoneTexte 60">
          <a:extLst>
            <a:ext uri="{FF2B5EF4-FFF2-40B4-BE49-F238E27FC236}">
              <a16:creationId xmlns:a16="http://schemas.microsoft.com/office/drawing/2014/main" id="{00000000-0008-0000-0600-00003D000000}"/>
            </a:ext>
          </a:extLst>
        </xdr:cNvPr>
        <xdr:cNvSpPr txBox="1"/>
      </xdr:nvSpPr>
      <xdr:spPr>
        <a:xfrm>
          <a:off x="7889998" y="2393327"/>
          <a:ext cx="1546807" cy="19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1ÈRE ANNÉE</a:t>
          </a:r>
          <a:endParaRPr lang="fr-CA" sz="800" b="1">
            <a:solidFill>
              <a:schemeClr val="bg1"/>
            </a:solidFill>
          </a:endParaRPr>
        </a:p>
      </xdr:txBody>
    </xdr:sp>
    <xdr:clientData/>
  </xdr:twoCellAnchor>
  <xdr:oneCellAnchor>
    <xdr:from>
      <xdr:col>7</xdr:col>
      <xdr:colOff>69958</xdr:colOff>
      <xdr:row>16</xdr:row>
      <xdr:rowOff>0</xdr:rowOff>
    </xdr:from>
    <xdr:ext cx="1517650" cy="323850"/>
    <xdr:pic>
      <xdr:nvPicPr>
        <xdr:cNvPr id="62" name="Image 61">
          <a:extLst>
            <a:ext uri="{FF2B5EF4-FFF2-40B4-BE49-F238E27FC236}">
              <a16:creationId xmlns:a16="http://schemas.microsoft.com/office/drawing/2014/main" id="{00000000-0008-0000-0600-00003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28083" y="2751667"/>
          <a:ext cx="1517650" cy="323850"/>
        </a:xfrm>
        <a:prstGeom prst="rect">
          <a:avLst/>
        </a:prstGeom>
      </xdr:spPr>
    </xdr:pic>
    <xdr:clientData/>
  </xdr:oneCellAnchor>
  <xdr:oneCellAnchor>
    <xdr:from>
      <xdr:col>7</xdr:col>
      <xdr:colOff>81247</xdr:colOff>
      <xdr:row>18</xdr:row>
      <xdr:rowOff>138994</xdr:rowOff>
    </xdr:from>
    <xdr:ext cx="1517650" cy="323850"/>
    <xdr:pic>
      <xdr:nvPicPr>
        <xdr:cNvPr id="63" name="Image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39372" y="3208161"/>
          <a:ext cx="1517650" cy="323850"/>
        </a:xfrm>
        <a:prstGeom prst="rect">
          <a:avLst/>
        </a:prstGeom>
      </xdr:spPr>
    </xdr:pic>
    <xdr:clientData/>
  </xdr:oneCellAnchor>
  <xdr:oneCellAnchor>
    <xdr:from>
      <xdr:col>7</xdr:col>
      <xdr:colOff>98887</xdr:colOff>
      <xdr:row>21</xdr:row>
      <xdr:rowOff>148167</xdr:rowOff>
    </xdr:from>
    <xdr:ext cx="1517650" cy="323850"/>
    <xdr:pic>
      <xdr:nvPicPr>
        <xdr:cNvPr id="64" name="Image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57012" y="3693584"/>
          <a:ext cx="1517650" cy="323850"/>
        </a:xfrm>
        <a:prstGeom prst="rect">
          <a:avLst/>
        </a:prstGeom>
      </xdr:spPr>
    </xdr:pic>
    <xdr:clientData/>
  </xdr:oneCellAnchor>
  <xdr:twoCellAnchor>
    <xdr:from>
      <xdr:col>5</xdr:col>
      <xdr:colOff>33498</xdr:colOff>
      <xdr:row>13</xdr:row>
      <xdr:rowOff>121544</xdr:rowOff>
    </xdr:from>
    <xdr:to>
      <xdr:col>6</xdr:col>
      <xdr:colOff>351704</xdr:colOff>
      <xdr:row>14</xdr:row>
      <xdr:rowOff>142017</xdr:rowOff>
    </xdr:to>
    <xdr:sp macro="[0]!ThisWorkbook.GoTo_RH1" textlink="">
      <xdr:nvSpPr>
        <xdr:cNvPr id="37" name="ZoneTexte 36">
          <a:extLst>
            <a:ext uri="{FF2B5EF4-FFF2-40B4-BE49-F238E27FC236}">
              <a16:creationId xmlns:a16="http://schemas.microsoft.com/office/drawing/2014/main" id="{00000000-0008-0000-0600-000025000000}"/>
            </a:ext>
          </a:extLst>
        </xdr:cNvPr>
        <xdr:cNvSpPr txBox="1"/>
      </xdr:nvSpPr>
      <xdr:spPr>
        <a:xfrm>
          <a:off x="5580929" y="2396961"/>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1ÈRE ANNÉE</a:t>
          </a:r>
          <a:endParaRPr lang="fr-CA" sz="800" b="1">
            <a:solidFill>
              <a:schemeClr val="bg1"/>
            </a:solidFill>
          </a:endParaRPr>
        </a:p>
      </xdr:txBody>
    </xdr:sp>
    <xdr:clientData/>
  </xdr:twoCellAnchor>
  <xdr:twoCellAnchor editAs="oneCell">
    <xdr:from>
      <xdr:col>1</xdr:col>
      <xdr:colOff>21981</xdr:colOff>
      <xdr:row>19</xdr:row>
      <xdr:rowOff>0</xdr:rowOff>
    </xdr:from>
    <xdr:to>
      <xdr:col>2</xdr:col>
      <xdr:colOff>402226</xdr:colOff>
      <xdr:row>21</xdr:row>
      <xdr:rowOff>731</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a:stretch>
          <a:fillRect/>
        </a:stretch>
      </xdr:blipFill>
      <xdr:spPr>
        <a:xfrm>
          <a:off x="725366" y="2960077"/>
          <a:ext cx="1530229" cy="323116"/>
        </a:xfrm>
        <a:prstGeom prst="rect">
          <a:avLst/>
        </a:prstGeom>
      </xdr:spPr>
    </xdr:pic>
    <xdr:clientData/>
  </xdr:twoCellAnchor>
  <xdr:twoCellAnchor editAs="oneCell">
    <xdr:from>
      <xdr:col>1</xdr:col>
      <xdr:colOff>29307</xdr:colOff>
      <xdr:row>22</xdr:row>
      <xdr:rowOff>0</xdr:rowOff>
    </xdr:from>
    <xdr:to>
      <xdr:col>2</xdr:col>
      <xdr:colOff>409552</xdr:colOff>
      <xdr:row>24</xdr:row>
      <xdr:rowOff>732</xdr:rowOff>
    </xdr:to>
    <xdr:pic>
      <xdr:nvPicPr>
        <xdr:cNvPr id="5" name="Imag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732692" y="3443654"/>
          <a:ext cx="1530229" cy="323116"/>
        </a:xfrm>
        <a:prstGeom prst="rect">
          <a:avLst/>
        </a:prstGeom>
      </xdr:spPr>
    </xdr:pic>
    <xdr:clientData/>
  </xdr:twoCellAnchor>
  <xdr:twoCellAnchor editAs="oneCell">
    <xdr:from>
      <xdr:col>1</xdr:col>
      <xdr:colOff>36634</xdr:colOff>
      <xdr:row>25</xdr:row>
      <xdr:rowOff>0</xdr:rowOff>
    </xdr:from>
    <xdr:to>
      <xdr:col>2</xdr:col>
      <xdr:colOff>416879</xdr:colOff>
      <xdr:row>27</xdr:row>
      <xdr:rowOff>732</xdr:rowOff>
    </xdr:to>
    <xdr:pic>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740019" y="3927231"/>
          <a:ext cx="1530229" cy="323116"/>
        </a:xfrm>
        <a:prstGeom prst="rect">
          <a:avLst/>
        </a:prstGeom>
      </xdr:spPr>
    </xdr:pic>
    <xdr:clientData/>
  </xdr:twoCellAnchor>
  <xdr:twoCellAnchor>
    <xdr:from>
      <xdr:col>1</xdr:col>
      <xdr:colOff>227136</xdr:colOff>
      <xdr:row>16</xdr:row>
      <xdr:rowOff>102576</xdr:rowOff>
    </xdr:from>
    <xdr:to>
      <xdr:col>2</xdr:col>
      <xdr:colOff>160235</xdr:colOff>
      <xdr:row>17</xdr:row>
      <xdr:rowOff>124626</xdr:rowOff>
    </xdr:to>
    <xdr:sp macro="[0]!ThisWorkbook.GoTo_A2" textlink="">
      <xdr:nvSpPr>
        <xdr:cNvPr id="38" name="ZoneTexte 37">
          <a:extLst>
            <a:ext uri="{FF2B5EF4-FFF2-40B4-BE49-F238E27FC236}">
              <a16:creationId xmlns:a16="http://schemas.microsoft.com/office/drawing/2014/main" id="{00000000-0008-0000-0600-000026000000}"/>
            </a:ext>
          </a:extLst>
        </xdr:cNvPr>
        <xdr:cNvSpPr txBox="1"/>
      </xdr:nvSpPr>
      <xdr:spPr>
        <a:xfrm>
          <a:off x="1330968" y="2879959"/>
          <a:ext cx="1081440" cy="18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2E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205155</xdr:colOff>
      <xdr:row>19</xdr:row>
      <xdr:rowOff>51288</xdr:rowOff>
    </xdr:from>
    <xdr:to>
      <xdr:col>2</xdr:col>
      <xdr:colOff>169136</xdr:colOff>
      <xdr:row>20</xdr:row>
      <xdr:rowOff>89017</xdr:rowOff>
    </xdr:to>
    <xdr:sp macro="[0]!ThisWorkbook.GoTo_A3" textlink="">
      <xdr:nvSpPr>
        <xdr:cNvPr id="41" name="ZoneTexte 40">
          <a:extLst>
            <a:ext uri="{FF2B5EF4-FFF2-40B4-BE49-F238E27FC236}">
              <a16:creationId xmlns:a16="http://schemas.microsoft.com/office/drawing/2014/main" id="{00000000-0008-0000-0600-000029000000}"/>
            </a:ext>
          </a:extLst>
        </xdr:cNvPr>
        <xdr:cNvSpPr txBox="1"/>
      </xdr:nvSpPr>
      <xdr:spPr>
        <a:xfrm>
          <a:off x="1308987" y="3309372"/>
          <a:ext cx="1112322" cy="19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3E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219809</xdr:colOff>
      <xdr:row>22</xdr:row>
      <xdr:rowOff>51288</xdr:rowOff>
    </xdr:from>
    <xdr:to>
      <xdr:col>2</xdr:col>
      <xdr:colOff>195842</xdr:colOff>
      <xdr:row>23</xdr:row>
      <xdr:rowOff>89018</xdr:rowOff>
    </xdr:to>
    <xdr:sp macro="[0]!ThisWorkbook.GoTo_A4" textlink="">
      <xdr:nvSpPr>
        <xdr:cNvPr id="43" name="ZoneTexte 42">
          <a:extLst>
            <a:ext uri="{FF2B5EF4-FFF2-40B4-BE49-F238E27FC236}">
              <a16:creationId xmlns:a16="http://schemas.microsoft.com/office/drawing/2014/main" id="{00000000-0008-0000-0600-00002B000000}"/>
            </a:ext>
          </a:extLst>
        </xdr:cNvPr>
        <xdr:cNvSpPr txBox="1"/>
      </xdr:nvSpPr>
      <xdr:spPr>
        <a:xfrm>
          <a:off x="1323641" y="3790073"/>
          <a:ext cx="1124374" cy="197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4E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219807</xdr:colOff>
      <xdr:row>25</xdr:row>
      <xdr:rowOff>51288</xdr:rowOff>
    </xdr:from>
    <xdr:to>
      <xdr:col>2</xdr:col>
      <xdr:colOff>204743</xdr:colOff>
      <xdr:row>26</xdr:row>
      <xdr:rowOff>80115</xdr:rowOff>
    </xdr:to>
    <xdr:sp macro="[0]!ThisWorkbook.GoTo_A5" textlink="">
      <xdr:nvSpPr>
        <xdr:cNvPr id="44" name="ZoneTexte 43">
          <a:extLst>
            <a:ext uri="{FF2B5EF4-FFF2-40B4-BE49-F238E27FC236}">
              <a16:creationId xmlns:a16="http://schemas.microsoft.com/office/drawing/2014/main" id="{00000000-0008-0000-0600-00002C000000}"/>
            </a:ext>
          </a:extLst>
        </xdr:cNvPr>
        <xdr:cNvSpPr txBox="1"/>
      </xdr:nvSpPr>
      <xdr:spPr>
        <a:xfrm>
          <a:off x="1323639" y="4270774"/>
          <a:ext cx="1133277" cy="189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5E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7</xdr:col>
      <xdr:colOff>99864</xdr:colOff>
      <xdr:row>24</xdr:row>
      <xdr:rowOff>149931</xdr:rowOff>
    </xdr:from>
    <xdr:to>
      <xdr:col>8</xdr:col>
      <xdr:colOff>467916</xdr:colOff>
      <xdr:row>26</xdr:row>
      <xdr:rowOff>150662</xdr:rowOff>
    </xdr:to>
    <xdr:pic>
      <xdr:nvPicPr>
        <xdr:cNvPr id="10" name="Imag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a:stretch>
          <a:fillRect/>
        </a:stretch>
      </xdr:blipFill>
      <xdr:spPr>
        <a:xfrm>
          <a:off x="7957989" y="4171598"/>
          <a:ext cx="1523399" cy="318231"/>
        </a:xfrm>
        <a:prstGeom prst="rect">
          <a:avLst/>
        </a:prstGeom>
      </xdr:spPr>
    </xdr:pic>
    <xdr:clientData/>
  </xdr:twoCellAnchor>
  <xdr:twoCellAnchor>
    <xdr:from>
      <xdr:col>7</xdr:col>
      <xdr:colOff>136914</xdr:colOff>
      <xdr:row>16</xdr:row>
      <xdr:rowOff>57067</xdr:rowOff>
    </xdr:from>
    <xdr:to>
      <xdr:col>8</xdr:col>
      <xdr:colOff>409074</xdr:colOff>
      <xdr:row>17</xdr:row>
      <xdr:rowOff>88936</xdr:rowOff>
    </xdr:to>
    <xdr:sp macro="[0]!ThisWorkbook.GoTo_FG2" textlink="">
      <xdr:nvSpPr>
        <xdr:cNvPr id="53" name="ZoneTexte 52">
          <a:extLst>
            <a:ext uri="{FF2B5EF4-FFF2-40B4-BE49-F238E27FC236}">
              <a16:creationId xmlns:a16="http://schemas.microsoft.com/office/drawing/2014/main" id="{00000000-0008-0000-0600-000035000000}"/>
            </a:ext>
          </a:extLst>
        </xdr:cNvPr>
        <xdr:cNvSpPr txBox="1"/>
      </xdr:nvSpPr>
      <xdr:spPr>
        <a:xfrm>
          <a:off x="7995039" y="2808734"/>
          <a:ext cx="1427507" cy="19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2E ANNÉE</a:t>
          </a:r>
          <a:endParaRPr lang="fr-CA" sz="800" b="1">
            <a:solidFill>
              <a:schemeClr val="bg1"/>
            </a:solidFill>
          </a:endParaRPr>
        </a:p>
      </xdr:txBody>
    </xdr:sp>
    <xdr:clientData/>
  </xdr:twoCellAnchor>
  <xdr:twoCellAnchor>
    <xdr:from>
      <xdr:col>7</xdr:col>
      <xdr:colOff>121745</xdr:colOff>
      <xdr:row>19</xdr:row>
      <xdr:rowOff>36307</xdr:rowOff>
    </xdr:from>
    <xdr:to>
      <xdr:col>8</xdr:col>
      <xdr:colOff>400255</xdr:colOff>
      <xdr:row>20</xdr:row>
      <xdr:rowOff>62972</xdr:rowOff>
    </xdr:to>
    <xdr:sp macro="[0]!ThisWorkbook.GoTo_FG3" textlink="">
      <xdr:nvSpPr>
        <xdr:cNvPr id="54" name="ZoneTexte 53">
          <a:extLst>
            <a:ext uri="{FF2B5EF4-FFF2-40B4-BE49-F238E27FC236}">
              <a16:creationId xmlns:a16="http://schemas.microsoft.com/office/drawing/2014/main" id="{00000000-0008-0000-0600-000036000000}"/>
            </a:ext>
          </a:extLst>
        </xdr:cNvPr>
        <xdr:cNvSpPr txBox="1"/>
      </xdr:nvSpPr>
      <xdr:spPr>
        <a:xfrm>
          <a:off x="7979870" y="3264224"/>
          <a:ext cx="1433857" cy="185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3E ANNÉE</a:t>
          </a:r>
          <a:endParaRPr lang="fr-CA" sz="800" b="1">
            <a:solidFill>
              <a:schemeClr val="bg1"/>
            </a:solidFill>
          </a:endParaRPr>
        </a:p>
      </xdr:txBody>
    </xdr:sp>
    <xdr:clientData/>
  </xdr:twoCellAnchor>
  <xdr:twoCellAnchor>
    <xdr:from>
      <xdr:col>7</xdr:col>
      <xdr:colOff>139219</xdr:colOff>
      <xdr:row>22</xdr:row>
      <xdr:rowOff>34531</xdr:rowOff>
    </xdr:from>
    <xdr:to>
      <xdr:col>8</xdr:col>
      <xdr:colOff>408827</xdr:colOff>
      <xdr:row>23</xdr:row>
      <xdr:rowOff>79622</xdr:rowOff>
    </xdr:to>
    <xdr:sp macro="[0]!ThisWorkbook.GoTo_FG4" textlink="">
      <xdr:nvSpPr>
        <xdr:cNvPr id="55" name="ZoneTexte 54">
          <a:extLst>
            <a:ext uri="{FF2B5EF4-FFF2-40B4-BE49-F238E27FC236}">
              <a16:creationId xmlns:a16="http://schemas.microsoft.com/office/drawing/2014/main" id="{00000000-0008-0000-0600-000037000000}"/>
            </a:ext>
          </a:extLst>
        </xdr:cNvPr>
        <xdr:cNvSpPr txBox="1"/>
      </xdr:nvSpPr>
      <xdr:spPr>
        <a:xfrm>
          <a:off x="7997344" y="3738698"/>
          <a:ext cx="1424955" cy="20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4E ANNÉE</a:t>
          </a:r>
          <a:endParaRPr lang="fr-CA" sz="800" b="1">
            <a:solidFill>
              <a:schemeClr val="bg1"/>
            </a:solidFill>
          </a:endParaRPr>
        </a:p>
      </xdr:txBody>
    </xdr:sp>
    <xdr:clientData/>
  </xdr:twoCellAnchor>
  <xdr:twoCellAnchor>
    <xdr:from>
      <xdr:col>7</xdr:col>
      <xdr:colOff>135635</xdr:colOff>
      <xdr:row>25</xdr:row>
      <xdr:rowOff>33485</xdr:rowOff>
    </xdr:from>
    <xdr:to>
      <xdr:col>8</xdr:col>
      <xdr:colOff>400090</xdr:colOff>
      <xdr:row>26</xdr:row>
      <xdr:rowOff>89019</xdr:rowOff>
    </xdr:to>
    <xdr:sp macro="[0]!ThisWorkbook.GoTo_FG5" textlink="">
      <xdr:nvSpPr>
        <xdr:cNvPr id="56" name="ZoneTexte 55">
          <a:extLst>
            <a:ext uri="{FF2B5EF4-FFF2-40B4-BE49-F238E27FC236}">
              <a16:creationId xmlns:a16="http://schemas.microsoft.com/office/drawing/2014/main" id="{00000000-0008-0000-0600-000038000000}"/>
            </a:ext>
          </a:extLst>
        </xdr:cNvPr>
        <xdr:cNvSpPr txBox="1"/>
      </xdr:nvSpPr>
      <xdr:spPr>
        <a:xfrm>
          <a:off x="7993760" y="4213902"/>
          <a:ext cx="1419802" cy="214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5E ANNÉE</a:t>
          </a:r>
          <a:endParaRPr lang="fr-CA" sz="800" b="1">
            <a:solidFill>
              <a:schemeClr val="bg1"/>
            </a:solidFill>
          </a:endParaRPr>
        </a:p>
      </xdr:txBody>
    </xdr:sp>
    <xdr:clientData/>
  </xdr:twoCellAnchor>
  <xdr:twoCellAnchor>
    <xdr:from>
      <xdr:col>3</xdr:col>
      <xdr:colOff>35277</xdr:colOff>
      <xdr:row>10</xdr:row>
      <xdr:rowOff>15876</xdr:rowOff>
    </xdr:from>
    <xdr:to>
      <xdr:col>6</xdr:col>
      <xdr:colOff>405693</xdr:colOff>
      <xdr:row>12</xdr:row>
      <xdr:rowOff>460376</xdr:rowOff>
    </xdr:to>
    <xdr:sp macro="" textlink="">
      <xdr:nvSpPr>
        <xdr:cNvPr id="51" name="ZoneTexte 50">
          <a:extLst>
            <a:ext uri="{FF2B5EF4-FFF2-40B4-BE49-F238E27FC236}">
              <a16:creationId xmlns:a16="http://schemas.microsoft.com/office/drawing/2014/main" id="{00000000-0008-0000-0600-000033000000}"/>
            </a:ext>
          </a:extLst>
        </xdr:cNvPr>
        <xdr:cNvSpPr txBox="1"/>
      </xdr:nvSpPr>
      <xdr:spPr>
        <a:xfrm>
          <a:off x="3448402" y="1497543"/>
          <a:ext cx="3660069" cy="76200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600" b="1" i="0" u="none" strike="noStrike" kern="0" cap="none" spc="0" normalizeH="0" baseline="0" noProof="0">
              <a:ln>
                <a:noFill/>
              </a:ln>
              <a:solidFill>
                <a:sysClr val="windowText" lastClr="000000"/>
              </a:solidFill>
              <a:effectLst/>
              <a:uLnTx/>
              <a:uFillTx/>
              <a:latin typeface="Calibri"/>
              <a:ea typeface="+mn-ea"/>
              <a:cs typeface="+mn-cs"/>
            </a:rPr>
            <a:t>LES AUTRES FRAIS VARIABLES</a:t>
          </a:r>
        </a:p>
      </xdr:txBody>
    </xdr:sp>
    <xdr:clientData/>
  </xdr:twoCellAnchor>
  <xdr:twoCellAnchor editAs="oneCell">
    <xdr:from>
      <xdr:col>3</xdr:col>
      <xdr:colOff>0</xdr:colOff>
      <xdr:row>16</xdr:row>
      <xdr:rowOff>0</xdr:rowOff>
    </xdr:from>
    <xdr:to>
      <xdr:col>4</xdr:col>
      <xdr:colOff>514184</xdr:colOff>
      <xdr:row>17</xdr:row>
      <xdr:rowOff>125167</xdr:rowOff>
    </xdr:to>
    <xdr:pic>
      <xdr:nvPicPr>
        <xdr:cNvPr id="52" name="Image 51">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1"/>
        <a:stretch>
          <a:fillRect/>
        </a:stretch>
      </xdr:blipFill>
      <xdr:spPr>
        <a:xfrm>
          <a:off x="3413125" y="2751667"/>
          <a:ext cx="1581337" cy="283917"/>
        </a:xfrm>
        <a:prstGeom prst="rect">
          <a:avLst/>
        </a:prstGeom>
      </xdr:spPr>
    </xdr:pic>
    <xdr:clientData/>
  </xdr:twoCellAnchor>
  <xdr:twoCellAnchor editAs="oneCell">
    <xdr:from>
      <xdr:col>3</xdr:col>
      <xdr:colOff>0</xdr:colOff>
      <xdr:row>19</xdr:row>
      <xdr:rowOff>0</xdr:rowOff>
    </xdr:from>
    <xdr:to>
      <xdr:col>4</xdr:col>
      <xdr:colOff>514184</xdr:colOff>
      <xdr:row>20</xdr:row>
      <xdr:rowOff>125167</xdr:rowOff>
    </xdr:to>
    <xdr:pic>
      <xdr:nvPicPr>
        <xdr:cNvPr id="57" name="Image 56">
          <a:extLst>
            <a:ext uri="{FF2B5EF4-FFF2-40B4-BE49-F238E27FC236}">
              <a16:creationId xmlns:a16="http://schemas.microsoft.com/office/drawing/2014/main" id="{00000000-0008-0000-0600-000039000000}"/>
            </a:ext>
          </a:extLst>
        </xdr:cNvPr>
        <xdr:cNvPicPr>
          <a:picLocks noChangeAspect="1"/>
        </xdr:cNvPicPr>
      </xdr:nvPicPr>
      <xdr:blipFill>
        <a:blip xmlns:r="http://schemas.openxmlformats.org/officeDocument/2006/relationships" r:embed="rId1"/>
        <a:stretch>
          <a:fillRect/>
        </a:stretch>
      </xdr:blipFill>
      <xdr:spPr>
        <a:xfrm>
          <a:off x="3413125" y="3227917"/>
          <a:ext cx="1581337" cy="283917"/>
        </a:xfrm>
        <a:prstGeom prst="rect">
          <a:avLst/>
        </a:prstGeom>
      </xdr:spPr>
    </xdr:pic>
    <xdr:clientData/>
  </xdr:twoCellAnchor>
  <xdr:twoCellAnchor editAs="oneCell">
    <xdr:from>
      <xdr:col>3</xdr:col>
      <xdr:colOff>0</xdr:colOff>
      <xdr:row>22</xdr:row>
      <xdr:rowOff>0</xdr:rowOff>
    </xdr:from>
    <xdr:to>
      <xdr:col>4</xdr:col>
      <xdr:colOff>514184</xdr:colOff>
      <xdr:row>23</xdr:row>
      <xdr:rowOff>125167</xdr:rowOff>
    </xdr:to>
    <xdr:pic>
      <xdr:nvPicPr>
        <xdr:cNvPr id="58" name="Image 57">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1"/>
        <a:stretch>
          <a:fillRect/>
        </a:stretch>
      </xdr:blipFill>
      <xdr:spPr>
        <a:xfrm>
          <a:off x="3413125" y="3704167"/>
          <a:ext cx="1581337" cy="283917"/>
        </a:xfrm>
        <a:prstGeom prst="rect">
          <a:avLst/>
        </a:prstGeom>
      </xdr:spPr>
    </xdr:pic>
    <xdr:clientData/>
  </xdr:twoCellAnchor>
  <xdr:twoCellAnchor editAs="oneCell">
    <xdr:from>
      <xdr:col>3</xdr:col>
      <xdr:colOff>0</xdr:colOff>
      <xdr:row>25</xdr:row>
      <xdr:rowOff>0</xdr:rowOff>
    </xdr:from>
    <xdr:to>
      <xdr:col>4</xdr:col>
      <xdr:colOff>514184</xdr:colOff>
      <xdr:row>26</xdr:row>
      <xdr:rowOff>125167</xdr:rowOff>
    </xdr:to>
    <xdr:pic>
      <xdr:nvPicPr>
        <xdr:cNvPr id="65" name="Imag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a:stretch>
          <a:fillRect/>
        </a:stretch>
      </xdr:blipFill>
      <xdr:spPr>
        <a:xfrm>
          <a:off x="3413125" y="4180417"/>
          <a:ext cx="1581337" cy="283917"/>
        </a:xfrm>
        <a:prstGeom prst="rect">
          <a:avLst/>
        </a:prstGeom>
      </xdr:spPr>
    </xdr:pic>
    <xdr:clientData/>
  </xdr:twoCellAnchor>
  <xdr:twoCellAnchor editAs="oneCell">
    <xdr:from>
      <xdr:col>5</xdr:col>
      <xdr:colOff>0</xdr:colOff>
      <xdr:row>16</xdr:row>
      <xdr:rowOff>0</xdr:rowOff>
    </xdr:from>
    <xdr:to>
      <xdr:col>6</xdr:col>
      <xdr:colOff>425990</xdr:colOff>
      <xdr:row>17</xdr:row>
      <xdr:rowOff>125167</xdr:rowOff>
    </xdr:to>
    <xdr:pic>
      <xdr:nvPicPr>
        <xdr:cNvPr id="66" name="Image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a:stretch>
          <a:fillRect/>
        </a:stretch>
      </xdr:blipFill>
      <xdr:spPr>
        <a:xfrm>
          <a:off x="5547431" y="2751667"/>
          <a:ext cx="1581337" cy="283917"/>
        </a:xfrm>
        <a:prstGeom prst="rect">
          <a:avLst/>
        </a:prstGeom>
      </xdr:spPr>
    </xdr:pic>
    <xdr:clientData/>
  </xdr:twoCellAnchor>
  <xdr:twoCellAnchor editAs="oneCell">
    <xdr:from>
      <xdr:col>5</xdr:col>
      <xdr:colOff>0</xdr:colOff>
      <xdr:row>19</xdr:row>
      <xdr:rowOff>0</xdr:rowOff>
    </xdr:from>
    <xdr:to>
      <xdr:col>6</xdr:col>
      <xdr:colOff>425990</xdr:colOff>
      <xdr:row>20</xdr:row>
      <xdr:rowOff>125167</xdr:rowOff>
    </xdr:to>
    <xdr:pic>
      <xdr:nvPicPr>
        <xdr:cNvPr id="67" name="Image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a:stretch>
          <a:fillRect/>
        </a:stretch>
      </xdr:blipFill>
      <xdr:spPr>
        <a:xfrm>
          <a:off x="5547431" y="3227917"/>
          <a:ext cx="1581337" cy="283917"/>
        </a:xfrm>
        <a:prstGeom prst="rect">
          <a:avLst/>
        </a:prstGeom>
      </xdr:spPr>
    </xdr:pic>
    <xdr:clientData/>
  </xdr:twoCellAnchor>
  <xdr:twoCellAnchor editAs="oneCell">
    <xdr:from>
      <xdr:col>5</xdr:col>
      <xdr:colOff>0</xdr:colOff>
      <xdr:row>22</xdr:row>
      <xdr:rowOff>0</xdr:rowOff>
    </xdr:from>
    <xdr:to>
      <xdr:col>6</xdr:col>
      <xdr:colOff>425990</xdr:colOff>
      <xdr:row>23</xdr:row>
      <xdr:rowOff>125167</xdr:rowOff>
    </xdr:to>
    <xdr:pic>
      <xdr:nvPicPr>
        <xdr:cNvPr id="68" name="Image 67">
          <a:extLst>
            <a:ext uri="{FF2B5EF4-FFF2-40B4-BE49-F238E27FC236}">
              <a16:creationId xmlns:a16="http://schemas.microsoft.com/office/drawing/2014/main" id="{00000000-0008-0000-0600-000044000000}"/>
            </a:ext>
          </a:extLst>
        </xdr:cNvPr>
        <xdr:cNvPicPr>
          <a:picLocks noChangeAspect="1"/>
        </xdr:cNvPicPr>
      </xdr:nvPicPr>
      <xdr:blipFill>
        <a:blip xmlns:r="http://schemas.openxmlformats.org/officeDocument/2006/relationships" r:embed="rId1"/>
        <a:stretch>
          <a:fillRect/>
        </a:stretch>
      </xdr:blipFill>
      <xdr:spPr>
        <a:xfrm>
          <a:off x="5547431" y="3704167"/>
          <a:ext cx="1581337" cy="283917"/>
        </a:xfrm>
        <a:prstGeom prst="rect">
          <a:avLst/>
        </a:prstGeom>
      </xdr:spPr>
    </xdr:pic>
    <xdr:clientData/>
  </xdr:twoCellAnchor>
  <xdr:twoCellAnchor editAs="oneCell">
    <xdr:from>
      <xdr:col>5</xdr:col>
      <xdr:colOff>0</xdr:colOff>
      <xdr:row>25</xdr:row>
      <xdr:rowOff>0</xdr:rowOff>
    </xdr:from>
    <xdr:to>
      <xdr:col>6</xdr:col>
      <xdr:colOff>425990</xdr:colOff>
      <xdr:row>26</xdr:row>
      <xdr:rowOff>125167</xdr:rowOff>
    </xdr:to>
    <xdr:pic>
      <xdr:nvPicPr>
        <xdr:cNvPr id="69" name="Image 68">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1"/>
        <a:stretch>
          <a:fillRect/>
        </a:stretch>
      </xdr:blipFill>
      <xdr:spPr>
        <a:xfrm>
          <a:off x="5547431" y="4180417"/>
          <a:ext cx="1581337" cy="283917"/>
        </a:xfrm>
        <a:prstGeom prst="rect">
          <a:avLst/>
        </a:prstGeom>
      </xdr:spPr>
    </xdr:pic>
    <xdr:clientData/>
  </xdr:twoCellAnchor>
  <xdr:twoCellAnchor>
    <xdr:from>
      <xdr:col>3</xdr:col>
      <xdr:colOff>0</xdr:colOff>
      <xdr:row>16</xdr:row>
      <xdr:rowOff>0</xdr:rowOff>
    </xdr:from>
    <xdr:to>
      <xdr:col>4</xdr:col>
      <xdr:colOff>485068</xdr:colOff>
      <xdr:row>17</xdr:row>
      <xdr:rowOff>84004</xdr:rowOff>
    </xdr:to>
    <xdr:sp macro="[0]!ThisWorkbook.GoTo_FD2" textlink="">
      <xdr:nvSpPr>
        <xdr:cNvPr id="72" name="ZoneTexte 71">
          <a:extLst>
            <a:ext uri="{FF2B5EF4-FFF2-40B4-BE49-F238E27FC236}">
              <a16:creationId xmlns:a16="http://schemas.microsoft.com/office/drawing/2014/main" id="{00000000-0008-0000-0600-000048000000}"/>
            </a:ext>
          </a:extLst>
        </xdr:cNvPr>
        <xdr:cNvSpPr txBox="1"/>
      </xdr:nvSpPr>
      <xdr:spPr>
        <a:xfrm>
          <a:off x="3413125" y="27516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2E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19</xdr:row>
      <xdr:rowOff>0</xdr:rowOff>
    </xdr:from>
    <xdr:to>
      <xdr:col>4</xdr:col>
      <xdr:colOff>485068</xdr:colOff>
      <xdr:row>20</xdr:row>
      <xdr:rowOff>84004</xdr:rowOff>
    </xdr:to>
    <xdr:sp macro="[0]!ThisWorkbook.GoTo_FD3" textlink="">
      <xdr:nvSpPr>
        <xdr:cNvPr id="73" name="ZoneTexte 72">
          <a:extLst>
            <a:ext uri="{FF2B5EF4-FFF2-40B4-BE49-F238E27FC236}">
              <a16:creationId xmlns:a16="http://schemas.microsoft.com/office/drawing/2014/main" id="{00000000-0008-0000-0600-000049000000}"/>
            </a:ext>
          </a:extLst>
        </xdr:cNvPr>
        <xdr:cNvSpPr txBox="1"/>
      </xdr:nvSpPr>
      <xdr:spPr>
        <a:xfrm>
          <a:off x="3413125" y="32279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3E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22</xdr:row>
      <xdr:rowOff>0</xdr:rowOff>
    </xdr:from>
    <xdr:to>
      <xdr:col>4</xdr:col>
      <xdr:colOff>485068</xdr:colOff>
      <xdr:row>23</xdr:row>
      <xdr:rowOff>84004</xdr:rowOff>
    </xdr:to>
    <xdr:sp macro="[0]!ThisWorkbook.GoTo_FD4" textlink="">
      <xdr:nvSpPr>
        <xdr:cNvPr id="76" name="ZoneTexte 75">
          <a:extLst>
            <a:ext uri="{FF2B5EF4-FFF2-40B4-BE49-F238E27FC236}">
              <a16:creationId xmlns:a16="http://schemas.microsoft.com/office/drawing/2014/main" id="{00000000-0008-0000-0600-00004C000000}"/>
            </a:ext>
          </a:extLst>
        </xdr:cNvPr>
        <xdr:cNvSpPr txBox="1"/>
      </xdr:nvSpPr>
      <xdr:spPr>
        <a:xfrm>
          <a:off x="3413125" y="37041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4E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25</xdr:row>
      <xdr:rowOff>0</xdr:rowOff>
    </xdr:from>
    <xdr:to>
      <xdr:col>4</xdr:col>
      <xdr:colOff>485068</xdr:colOff>
      <xdr:row>26</xdr:row>
      <xdr:rowOff>84004</xdr:rowOff>
    </xdr:to>
    <xdr:sp macro="[0]!ThisWorkbook.GoTo_FD5" textlink="">
      <xdr:nvSpPr>
        <xdr:cNvPr id="77" name="ZoneTexte 76">
          <a:extLst>
            <a:ext uri="{FF2B5EF4-FFF2-40B4-BE49-F238E27FC236}">
              <a16:creationId xmlns:a16="http://schemas.microsoft.com/office/drawing/2014/main" id="{00000000-0008-0000-0600-00004D000000}"/>
            </a:ext>
          </a:extLst>
        </xdr:cNvPr>
        <xdr:cNvSpPr txBox="1"/>
      </xdr:nvSpPr>
      <xdr:spPr>
        <a:xfrm>
          <a:off x="3413125" y="41804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5E</a:t>
          </a:r>
          <a:r>
            <a:rPr lang="fr-CA" sz="800" b="1" baseline="0">
              <a:solidFill>
                <a:schemeClr val="bg1"/>
              </a:solidFill>
            </a:rPr>
            <a:t> ANNÉE</a:t>
          </a:r>
          <a:endParaRPr lang="fr-CA" sz="800" b="1">
            <a:solidFill>
              <a:schemeClr val="bg1"/>
            </a:solidFill>
          </a:endParaRPr>
        </a:p>
      </xdr:txBody>
    </xdr:sp>
    <xdr:clientData/>
  </xdr:twoCellAnchor>
  <xdr:twoCellAnchor>
    <xdr:from>
      <xdr:col>5</xdr:col>
      <xdr:colOff>52918</xdr:colOff>
      <xdr:row>16</xdr:row>
      <xdr:rowOff>35277</xdr:rowOff>
    </xdr:from>
    <xdr:to>
      <xdr:col>6</xdr:col>
      <xdr:colOff>371124</xdr:colOff>
      <xdr:row>17</xdr:row>
      <xdr:rowOff>55750</xdr:rowOff>
    </xdr:to>
    <xdr:sp macro="[0]!ThisWorkbook.GoTo_RH2" textlink="">
      <xdr:nvSpPr>
        <xdr:cNvPr id="84" name="ZoneTexte 83">
          <a:extLst>
            <a:ext uri="{FF2B5EF4-FFF2-40B4-BE49-F238E27FC236}">
              <a16:creationId xmlns:a16="http://schemas.microsoft.com/office/drawing/2014/main" id="{00000000-0008-0000-0600-000054000000}"/>
            </a:ext>
          </a:extLst>
        </xdr:cNvPr>
        <xdr:cNvSpPr txBox="1"/>
      </xdr:nvSpPr>
      <xdr:spPr>
        <a:xfrm>
          <a:off x="5600349" y="27869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2E ANNÉE</a:t>
          </a:r>
          <a:endParaRPr lang="fr-CA" sz="800" b="1">
            <a:solidFill>
              <a:schemeClr val="bg1"/>
            </a:solidFill>
          </a:endParaRPr>
        </a:p>
      </xdr:txBody>
    </xdr:sp>
    <xdr:clientData/>
  </xdr:twoCellAnchor>
  <xdr:twoCellAnchor>
    <xdr:from>
      <xdr:col>5</xdr:col>
      <xdr:colOff>44097</xdr:colOff>
      <xdr:row>19</xdr:row>
      <xdr:rowOff>44097</xdr:rowOff>
    </xdr:from>
    <xdr:to>
      <xdr:col>6</xdr:col>
      <xdr:colOff>362303</xdr:colOff>
      <xdr:row>20</xdr:row>
      <xdr:rowOff>64570</xdr:rowOff>
    </xdr:to>
    <xdr:sp macro="[0]!ThisWorkbook.GoTo_RH3" textlink="">
      <xdr:nvSpPr>
        <xdr:cNvPr id="85" name="ZoneTexte 84">
          <a:extLst>
            <a:ext uri="{FF2B5EF4-FFF2-40B4-BE49-F238E27FC236}">
              <a16:creationId xmlns:a16="http://schemas.microsoft.com/office/drawing/2014/main" id="{00000000-0008-0000-0600-000055000000}"/>
            </a:ext>
          </a:extLst>
        </xdr:cNvPr>
        <xdr:cNvSpPr txBox="1"/>
      </xdr:nvSpPr>
      <xdr:spPr>
        <a:xfrm>
          <a:off x="5591528" y="32720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3E ANNÉE</a:t>
          </a:r>
          <a:endParaRPr lang="fr-CA" sz="800" b="1">
            <a:solidFill>
              <a:schemeClr val="bg1"/>
            </a:solidFill>
          </a:endParaRPr>
        </a:p>
      </xdr:txBody>
    </xdr:sp>
    <xdr:clientData/>
  </xdr:twoCellAnchor>
  <xdr:twoCellAnchor>
    <xdr:from>
      <xdr:col>5</xdr:col>
      <xdr:colOff>44097</xdr:colOff>
      <xdr:row>22</xdr:row>
      <xdr:rowOff>35277</xdr:rowOff>
    </xdr:from>
    <xdr:to>
      <xdr:col>6</xdr:col>
      <xdr:colOff>362303</xdr:colOff>
      <xdr:row>23</xdr:row>
      <xdr:rowOff>55750</xdr:rowOff>
    </xdr:to>
    <xdr:sp macro="[0]!ThisWorkbook.GoTo_RH4" textlink="">
      <xdr:nvSpPr>
        <xdr:cNvPr id="86" name="ZoneTexte 85">
          <a:extLst>
            <a:ext uri="{FF2B5EF4-FFF2-40B4-BE49-F238E27FC236}">
              <a16:creationId xmlns:a16="http://schemas.microsoft.com/office/drawing/2014/main" id="{00000000-0008-0000-0600-000056000000}"/>
            </a:ext>
          </a:extLst>
        </xdr:cNvPr>
        <xdr:cNvSpPr txBox="1"/>
      </xdr:nvSpPr>
      <xdr:spPr>
        <a:xfrm>
          <a:off x="5591528" y="37394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4E ANNÉE</a:t>
          </a:r>
          <a:endParaRPr lang="fr-CA" sz="800" b="1">
            <a:solidFill>
              <a:schemeClr val="bg1"/>
            </a:solidFill>
          </a:endParaRPr>
        </a:p>
      </xdr:txBody>
    </xdr:sp>
    <xdr:clientData/>
  </xdr:twoCellAnchor>
  <xdr:twoCellAnchor>
    <xdr:from>
      <xdr:col>5</xdr:col>
      <xdr:colOff>44097</xdr:colOff>
      <xdr:row>25</xdr:row>
      <xdr:rowOff>44097</xdr:rowOff>
    </xdr:from>
    <xdr:to>
      <xdr:col>6</xdr:col>
      <xdr:colOff>362303</xdr:colOff>
      <xdr:row>26</xdr:row>
      <xdr:rowOff>64570</xdr:rowOff>
    </xdr:to>
    <xdr:sp macro="[0]!ThisWorkbook.GoTo_RH5" textlink="">
      <xdr:nvSpPr>
        <xdr:cNvPr id="87" name="ZoneTexte 86">
          <a:extLst>
            <a:ext uri="{FF2B5EF4-FFF2-40B4-BE49-F238E27FC236}">
              <a16:creationId xmlns:a16="http://schemas.microsoft.com/office/drawing/2014/main" id="{00000000-0008-0000-0600-000057000000}"/>
            </a:ext>
          </a:extLst>
        </xdr:cNvPr>
        <xdr:cNvSpPr txBox="1"/>
      </xdr:nvSpPr>
      <xdr:spPr>
        <a:xfrm>
          <a:off x="5591528" y="42245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5E ANNÉE</a:t>
          </a:r>
          <a:endParaRPr lang="fr-CA" sz="800" b="1">
            <a:solidFill>
              <a:schemeClr val="bg1"/>
            </a:solidFill>
          </a:endParaRPr>
        </a:p>
      </xdr:txBody>
    </xdr:sp>
    <xdr:clientData/>
  </xdr:twoCellAnchor>
  <xdr:twoCellAnchor editAs="oneCell">
    <xdr:from>
      <xdr:col>4</xdr:col>
      <xdr:colOff>370417</xdr:colOff>
      <xdr:row>0</xdr:row>
      <xdr:rowOff>61736</xdr:rowOff>
    </xdr:from>
    <xdr:to>
      <xdr:col>4</xdr:col>
      <xdr:colOff>855486</xdr:colOff>
      <xdr:row>3</xdr:row>
      <xdr:rowOff>65339</xdr:rowOff>
    </xdr:to>
    <xdr:pic macro="[0]!ThisWorkbook.ACCUEIL">
      <xdr:nvPicPr>
        <xdr:cNvPr id="70" name="Image 69">
          <a:extLst>
            <a:ext uri="{FF2B5EF4-FFF2-40B4-BE49-F238E27FC236}">
              <a16:creationId xmlns:a16="http://schemas.microsoft.com/office/drawing/2014/main" id="{00000000-0008-0000-06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50695" y="61736"/>
          <a:ext cx="485069" cy="479853"/>
        </a:xfrm>
        <a:prstGeom prst="rect">
          <a:avLst/>
        </a:prstGeom>
      </xdr:spPr>
    </xdr:pic>
    <xdr:clientData/>
  </xdr:twoCellAnchor>
  <xdr:twoCellAnchor editAs="oneCell">
    <xdr:from>
      <xdr:col>6</xdr:col>
      <xdr:colOff>467431</xdr:colOff>
      <xdr:row>0</xdr:row>
      <xdr:rowOff>26459</xdr:rowOff>
    </xdr:from>
    <xdr:to>
      <xdr:col>8</xdr:col>
      <xdr:colOff>978959</xdr:colOff>
      <xdr:row>3</xdr:row>
      <xdr:rowOff>57889</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7170209" y="26459"/>
          <a:ext cx="2822222" cy="5076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616480</xdr:colOff>
      <xdr:row>19</xdr:row>
      <xdr:rowOff>117299</xdr:rowOff>
    </xdr:from>
    <xdr:ext cx="1650293" cy="698500"/>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8841" y="3027716"/>
          <a:ext cx="1650293" cy="698500"/>
        </a:xfrm>
        <a:prstGeom prst="rect">
          <a:avLst/>
        </a:prstGeom>
      </xdr:spPr>
    </xdr:pic>
    <xdr:clientData/>
  </xdr:oneCellAnchor>
  <xdr:twoCellAnchor>
    <xdr:from>
      <xdr:col>0</xdr:col>
      <xdr:colOff>28575</xdr:colOff>
      <xdr:row>3</xdr:row>
      <xdr:rowOff>79376</xdr:rowOff>
    </xdr:from>
    <xdr:to>
      <xdr:col>10</xdr:col>
      <xdr:colOff>0</xdr:colOff>
      <xdr:row>8</xdr:row>
      <xdr:rowOff>132292</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28575" y="565151"/>
          <a:ext cx="7591425" cy="862541"/>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Pour</a:t>
          </a:r>
          <a:r>
            <a:rPr lang="fr-CA" sz="1200" baseline="0"/>
            <a:t> les cas d'acquisition ou d'expansion, il pourrait être utile d'entrée les données financières historiques de l'entreprise afin de comparer l'analyse financière et de faire suivre le bilan à jour pour les prévisions futures.  Vous avez aussi accès à la table d'impôt, au tableau des amortissements ainsi qu'à la grille de calcul des crédits d'impôt pour la recherche et le développement, s'il y a lieu.</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288" y="1506540"/>
          <a:ext cx="1657349" cy="712787"/>
        </a:xfrm>
        <a:prstGeom prst="rect">
          <a:avLst/>
        </a:prstGeom>
      </xdr:spPr>
    </xdr:pic>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6" name="Imag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5266" y="0"/>
          <a:ext cx="516933" cy="514704"/>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8" name="Text Box 429">
          <a:extLst>
            <a:ext uri="{FF2B5EF4-FFF2-40B4-BE49-F238E27FC236}">
              <a16:creationId xmlns:a16="http://schemas.microsoft.com/office/drawing/2014/main" id="{00000000-0008-0000-0700-000008000000}"/>
            </a:ext>
          </a:extLst>
        </xdr:cNvPr>
        <xdr:cNvSpPr txBox="1">
          <a:spLocks noChangeArrowheads="1"/>
        </xdr:cNvSpPr>
      </xdr:nvSpPr>
      <xdr:spPr bwMode="auto">
        <a:xfrm>
          <a:off x="0" y="29281"/>
          <a:ext cx="2947458" cy="38276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9" name="Imag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876" y="2327276"/>
          <a:ext cx="1657349" cy="7112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11" name="Imag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938" y="3122613"/>
          <a:ext cx="1657349" cy="714375"/>
        </a:xfrm>
        <a:prstGeom prst="rect">
          <a:avLst/>
        </a:prstGeom>
      </xdr:spPr>
    </xdr:pic>
    <xdr:clientData/>
  </xdr:twoCellAnchor>
  <xdr:twoCellAnchor editAs="oneCell">
    <xdr:from>
      <xdr:col>5</xdr:col>
      <xdr:colOff>615597</xdr:colOff>
      <xdr:row>9</xdr:row>
      <xdr:rowOff>51152</xdr:rowOff>
    </xdr:from>
    <xdr:to>
      <xdr:col>7</xdr:col>
      <xdr:colOff>748945</xdr:colOff>
      <xdr:row>14</xdr:row>
      <xdr:rowOff>59089</xdr:rowOff>
    </xdr:to>
    <xdr:pic>
      <xdr:nvPicPr>
        <xdr:cNvPr id="12" name="Imag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7958" y="1479902"/>
          <a:ext cx="1650293" cy="695854"/>
        </a:xfrm>
        <a:prstGeom prst="rect">
          <a:avLst/>
        </a:prstGeom>
      </xdr:spPr>
    </xdr:pic>
    <xdr:clientData/>
  </xdr:twoCellAnchor>
  <xdr:twoCellAnchor editAs="oneCell">
    <xdr:from>
      <xdr:col>5</xdr:col>
      <xdr:colOff>607661</xdr:colOff>
      <xdr:row>14</xdr:row>
      <xdr:rowOff>111125</xdr:rowOff>
    </xdr:from>
    <xdr:to>
      <xdr:col>7</xdr:col>
      <xdr:colOff>741009</xdr:colOff>
      <xdr:row>19</xdr:row>
      <xdr:rowOff>15875</xdr:rowOff>
    </xdr:to>
    <xdr:pic>
      <xdr:nvPicPr>
        <xdr:cNvPr id="13" name="Imag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00022" y="2227792"/>
          <a:ext cx="1650293" cy="698500"/>
        </a:xfrm>
        <a:prstGeom prst="rect">
          <a:avLst/>
        </a:prstGeom>
      </xdr:spPr>
    </xdr:pic>
    <xdr:clientData/>
  </xdr:twoCellAnchor>
  <xdr:twoCellAnchor>
    <xdr:from>
      <xdr:col>1</xdr:col>
      <xdr:colOff>194028</xdr:colOff>
      <xdr:row>10</xdr:row>
      <xdr:rowOff>8820</xdr:rowOff>
    </xdr:from>
    <xdr:to>
      <xdr:col>2</xdr:col>
      <xdr:colOff>714375</xdr:colOff>
      <xdr:row>13</xdr:row>
      <xdr:rowOff>123472</xdr:rowOff>
    </xdr:to>
    <xdr:sp macro="[0]!ThisWorkbook.GoTo_HISTOER" textlink="">
      <xdr:nvSpPr>
        <xdr:cNvPr id="20" name="ZoneTexte 19">
          <a:extLst>
            <a:ext uri="{FF2B5EF4-FFF2-40B4-BE49-F238E27FC236}">
              <a16:creationId xmlns:a16="http://schemas.microsoft.com/office/drawing/2014/main" id="{00000000-0008-0000-0700-000014000000}"/>
            </a:ext>
          </a:extLst>
        </xdr:cNvPr>
        <xdr:cNvSpPr txBox="1"/>
      </xdr:nvSpPr>
      <xdr:spPr>
        <a:xfrm>
          <a:off x="952500" y="149048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a:t>
          </a:r>
          <a:r>
            <a:rPr lang="fr-CA" sz="1000" b="1" baseline="0">
              <a:solidFill>
                <a:schemeClr val="bg1"/>
              </a:solidFill>
            </a:rPr>
            <a:t> DES RÉSULTATS HISTORIQUES</a:t>
          </a:r>
          <a:endParaRPr lang="fr-CA" sz="1000" b="1">
            <a:solidFill>
              <a:schemeClr val="bg1"/>
            </a:solidFill>
          </a:endParaRPr>
        </a:p>
      </xdr:txBody>
    </xdr:sp>
    <xdr:clientData/>
  </xdr:twoCellAnchor>
  <xdr:twoCellAnchor>
    <xdr:from>
      <xdr:col>1</xdr:col>
      <xdr:colOff>204612</xdr:colOff>
      <xdr:row>15</xdr:row>
      <xdr:rowOff>25401</xdr:rowOff>
    </xdr:from>
    <xdr:to>
      <xdr:col>2</xdr:col>
      <xdr:colOff>724959</xdr:colOff>
      <xdr:row>18</xdr:row>
      <xdr:rowOff>140053</xdr:rowOff>
    </xdr:to>
    <xdr:sp macro="[0]!ThisWorkbook.GoTo_HISTOB" textlink="">
      <xdr:nvSpPr>
        <xdr:cNvPr id="24" name="ZoneTexte 23">
          <a:extLst>
            <a:ext uri="{FF2B5EF4-FFF2-40B4-BE49-F238E27FC236}">
              <a16:creationId xmlns:a16="http://schemas.microsoft.com/office/drawing/2014/main" id="{00000000-0008-0000-0700-000018000000}"/>
            </a:ext>
          </a:extLst>
        </xdr:cNvPr>
        <xdr:cNvSpPr txBox="1"/>
      </xdr:nvSpPr>
      <xdr:spPr>
        <a:xfrm>
          <a:off x="963084" y="2300818"/>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 </a:t>
          </a:r>
          <a:r>
            <a:rPr lang="fr-CA" sz="1000" b="1" baseline="0">
              <a:solidFill>
                <a:schemeClr val="bg1"/>
              </a:solidFill>
            </a:rPr>
            <a:t>HISTORIQUES</a:t>
          </a:r>
          <a:endParaRPr lang="fr-CA" sz="1000" b="1">
            <a:solidFill>
              <a:schemeClr val="bg1"/>
            </a:solidFill>
          </a:endParaRPr>
        </a:p>
      </xdr:txBody>
    </xdr:sp>
    <xdr:clientData/>
  </xdr:twoCellAnchor>
  <xdr:twoCellAnchor>
    <xdr:from>
      <xdr:col>1</xdr:col>
      <xdr:colOff>187854</xdr:colOff>
      <xdr:row>20</xdr:row>
      <xdr:rowOff>18168</xdr:rowOff>
    </xdr:from>
    <xdr:to>
      <xdr:col>2</xdr:col>
      <xdr:colOff>708201</xdr:colOff>
      <xdr:row>23</xdr:row>
      <xdr:rowOff>132820</xdr:rowOff>
    </xdr:to>
    <xdr:sp macro="[0]!ThisWorkbook.GoTo_HISTORF" textlink="">
      <xdr:nvSpPr>
        <xdr:cNvPr id="25" name="ZoneTexte 24">
          <a:extLst>
            <a:ext uri="{FF2B5EF4-FFF2-40B4-BE49-F238E27FC236}">
              <a16:creationId xmlns:a16="http://schemas.microsoft.com/office/drawing/2014/main" id="{00000000-0008-0000-0700-000019000000}"/>
            </a:ext>
          </a:extLst>
        </xdr:cNvPr>
        <xdr:cNvSpPr txBox="1"/>
      </xdr:nvSpPr>
      <xdr:spPr>
        <a:xfrm>
          <a:off x="946326" y="3087335"/>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 </a:t>
          </a:r>
          <a:r>
            <a:rPr lang="fr-CA" sz="1000" b="1" baseline="0">
              <a:solidFill>
                <a:schemeClr val="bg1"/>
              </a:solidFill>
            </a:rPr>
            <a:t>HISTORIQUES</a:t>
          </a:r>
          <a:endParaRPr lang="fr-CA" sz="1000" b="1">
            <a:solidFill>
              <a:schemeClr val="bg1"/>
            </a:solidFill>
          </a:endParaRPr>
        </a:p>
      </xdr:txBody>
    </xdr:sp>
    <xdr:clientData/>
  </xdr:twoCellAnchor>
  <xdr:twoCellAnchor>
    <xdr:from>
      <xdr:col>6</xdr:col>
      <xdr:colOff>35278</xdr:colOff>
      <xdr:row>10</xdr:row>
      <xdr:rowOff>26810</xdr:rowOff>
    </xdr:from>
    <xdr:to>
      <xdr:col>7</xdr:col>
      <xdr:colOff>555624</xdr:colOff>
      <xdr:row>13</xdr:row>
      <xdr:rowOff>141462</xdr:rowOff>
    </xdr:to>
    <xdr:sp macro="[0]!ThisWorkbook.GoTo_TI" textlink="">
      <xdr:nvSpPr>
        <xdr:cNvPr id="26" name="ZoneTexte 25">
          <a:extLst>
            <a:ext uri="{FF2B5EF4-FFF2-40B4-BE49-F238E27FC236}">
              <a16:creationId xmlns:a16="http://schemas.microsoft.com/office/drawing/2014/main" id="{00000000-0008-0000-0700-00001A000000}"/>
            </a:ext>
          </a:extLst>
        </xdr:cNvPr>
        <xdr:cNvSpPr txBox="1"/>
      </xdr:nvSpPr>
      <xdr:spPr>
        <a:xfrm>
          <a:off x="4586111" y="150847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TAUX D'IMPÔT ET DE TAXES</a:t>
          </a:r>
        </a:p>
      </xdr:txBody>
    </xdr:sp>
    <xdr:clientData/>
  </xdr:twoCellAnchor>
  <xdr:twoCellAnchor>
    <xdr:from>
      <xdr:col>6</xdr:col>
      <xdr:colOff>30869</xdr:colOff>
      <xdr:row>14</xdr:row>
      <xdr:rowOff>130175</xdr:rowOff>
    </xdr:from>
    <xdr:to>
      <xdr:col>7</xdr:col>
      <xdr:colOff>551215</xdr:colOff>
      <xdr:row>18</xdr:row>
      <xdr:rowOff>86077</xdr:rowOff>
    </xdr:to>
    <xdr:sp macro="[0]!ThisWorkbook.GoTo_A" textlink="">
      <xdr:nvSpPr>
        <xdr:cNvPr id="27" name="ZoneTexte 26">
          <a:extLst>
            <a:ext uri="{FF2B5EF4-FFF2-40B4-BE49-F238E27FC236}">
              <a16:creationId xmlns:a16="http://schemas.microsoft.com/office/drawing/2014/main" id="{00000000-0008-0000-0700-00001B000000}"/>
            </a:ext>
          </a:extLst>
        </xdr:cNvPr>
        <xdr:cNvSpPr txBox="1"/>
      </xdr:nvSpPr>
      <xdr:spPr>
        <a:xfrm>
          <a:off x="4581702" y="2246842"/>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TABLEAU DES AMORTISSEMENTS</a:t>
          </a:r>
        </a:p>
      </xdr:txBody>
    </xdr:sp>
    <xdr:clientData/>
  </xdr:twoCellAnchor>
  <xdr:twoCellAnchor>
    <xdr:from>
      <xdr:col>6</xdr:col>
      <xdr:colOff>39688</xdr:colOff>
      <xdr:row>19</xdr:row>
      <xdr:rowOff>125766</xdr:rowOff>
    </xdr:from>
    <xdr:to>
      <xdr:col>7</xdr:col>
      <xdr:colOff>560034</xdr:colOff>
      <xdr:row>23</xdr:row>
      <xdr:rowOff>81668</xdr:rowOff>
    </xdr:to>
    <xdr:sp macro="[0]!ThisWorkbook.GoTo_RD" textlink="">
      <xdr:nvSpPr>
        <xdr:cNvPr id="28" name="ZoneTexte 27">
          <a:extLst>
            <a:ext uri="{FF2B5EF4-FFF2-40B4-BE49-F238E27FC236}">
              <a16:creationId xmlns:a16="http://schemas.microsoft.com/office/drawing/2014/main" id="{00000000-0008-0000-0700-00001C000000}"/>
            </a:ext>
          </a:extLst>
        </xdr:cNvPr>
        <xdr:cNvSpPr txBox="1"/>
      </xdr:nvSpPr>
      <xdr:spPr>
        <a:xfrm>
          <a:off x="4590521" y="3036183"/>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CRÉDIT D'IMPÔT POUR LA R&amp;D</a:t>
          </a:r>
        </a:p>
      </xdr:txBody>
    </xdr:sp>
    <xdr:clientData/>
  </xdr:twoCellAnchor>
  <xdr:twoCellAnchor editAs="oneCell">
    <xdr:from>
      <xdr:col>6</xdr:col>
      <xdr:colOff>331933</xdr:colOff>
      <xdr:row>0</xdr:row>
      <xdr:rowOff>21648</xdr:rowOff>
    </xdr:from>
    <xdr:to>
      <xdr:col>9</xdr:col>
      <xdr:colOff>707160</xdr:colOff>
      <xdr:row>3</xdr:row>
      <xdr:rowOff>25675</xdr:rowOff>
    </xdr:to>
    <xdr:pic>
      <xdr:nvPicPr>
        <xdr:cNvPr id="5" name="Imag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4921251" y="21648"/>
          <a:ext cx="2669886" cy="48027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43216</xdr:colOff>
      <xdr:row>25</xdr:row>
      <xdr:rowOff>37925</xdr:rowOff>
    </xdr:from>
    <xdr:ext cx="1650293" cy="698500"/>
    <xdr:pic>
      <xdr:nvPicPr>
        <xdr:cNvPr id="37" name="Image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1688" y="3900842"/>
          <a:ext cx="1650293" cy="698500"/>
        </a:xfrm>
        <a:prstGeom prst="rect">
          <a:avLst/>
        </a:prstGeom>
      </xdr:spPr>
    </xdr:pic>
    <xdr:clientData/>
  </xdr:oneCellAnchor>
  <xdr:twoCellAnchor>
    <xdr:from>
      <xdr:col>0</xdr:col>
      <xdr:colOff>28575</xdr:colOff>
      <xdr:row>3</xdr:row>
      <xdr:rowOff>79377</xdr:rowOff>
    </xdr:from>
    <xdr:to>
      <xdr:col>10</xdr:col>
      <xdr:colOff>0</xdr:colOff>
      <xdr:row>8</xdr:row>
      <xdr:rowOff>44750</xdr:rowOff>
    </xdr:to>
    <xdr:sp macro="" textlink="">
      <xdr:nvSpPr>
        <xdr:cNvPr id="2" name="ZoneTexte 1">
          <a:extLst>
            <a:ext uri="{FF2B5EF4-FFF2-40B4-BE49-F238E27FC236}">
              <a16:creationId xmlns:a16="http://schemas.microsoft.com/office/drawing/2014/main" id="{00000000-0008-0000-0800-000002000000}"/>
            </a:ext>
          </a:extLst>
        </xdr:cNvPr>
        <xdr:cNvSpPr txBox="1"/>
      </xdr:nvSpPr>
      <xdr:spPr>
        <a:xfrm>
          <a:off x="28575" y="558823"/>
          <a:ext cx="7578640" cy="7644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cette page, vous retrouvez toutes les composantes de votre plan financier.  À l'aide des boutons, vous pouvez consulter chacune d'entre elle.  Le bouton "IMPRIMER MON PLAN FINANCIER" permet de faire l'impression complète de ce dernier en éliminant les lignes inutilisées de vos états financiers prévisionnels.  </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6" name="Imag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288" y="1477965"/>
          <a:ext cx="1657349" cy="698500"/>
        </a:xfrm>
        <a:prstGeom prst="rect">
          <a:avLst/>
        </a:prstGeom>
      </xdr:spPr>
    </xdr:pic>
    <xdr:clientData/>
  </xdr:twoCellAnchor>
  <xdr:twoCellAnchor>
    <xdr:from>
      <xdr:col>1</xdr:col>
      <xdr:colOff>358775</xdr:colOff>
      <xdr:row>10</xdr:row>
      <xdr:rowOff>104776</xdr:rowOff>
    </xdr:from>
    <xdr:to>
      <xdr:col>2</xdr:col>
      <xdr:colOff>574675</xdr:colOff>
      <xdr:row>13</xdr:row>
      <xdr:rowOff>34926</xdr:rowOff>
    </xdr:to>
    <xdr:sp macro="[0]!ThisWorkbook.GoTo_CF" textlink="">
      <xdr:nvSpPr>
        <xdr:cNvPr id="8" name="ZoneTexte 7">
          <a:extLst>
            <a:ext uri="{FF2B5EF4-FFF2-40B4-BE49-F238E27FC236}">
              <a16:creationId xmlns:a16="http://schemas.microsoft.com/office/drawing/2014/main" id="{00000000-0008-0000-0800-000008000000}"/>
            </a:ext>
          </a:extLst>
        </xdr:cNvPr>
        <xdr:cNvSpPr txBox="1"/>
      </xdr:nvSpPr>
      <xdr:spPr>
        <a:xfrm>
          <a:off x="1120775" y="1589089"/>
          <a:ext cx="9779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COÛTS VS FINANCEMENT</a:t>
          </a:r>
        </a:p>
      </xdr:txBody>
    </xdr:sp>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13" name="Imag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155" y="0"/>
          <a:ext cx="513405" cy="505179"/>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15" name="Text Box 429">
          <a:extLst>
            <a:ext uri="{FF2B5EF4-FFF2-40B4-BE49-F238E27FC236}">
              <a16:creationId xmlns:a16="http://schemas.microsoft.com/office/drawing/2014/main" id="{00000000-0008-0000-0800-00000F000000}"/>
            </a:ext>
          </a:extLst>
        </xdr:cNvPr>
        <xdr:cNvSpPr txBox="1">
          <a:spLocks noChangeArrowheads="1"/>
        </xdr:cNvSpPr>
      </xdr:nvSpPr>
      <xdr:spPr bwMode="auto">
        <a:xfrm>
          <a:off x="0" y="29281"/>
          <a:ext cx="2936875" cy="37641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22" name="Imag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876" y="2281239"/>
          <a:ext cx="1657349" cy="698500"/>
        </a:xfrm>
        <a:prstGeom prst="rect">
          <a:avLst/>
        </a:prstGeom>
      </xdr:spPr>
    </xdr:pic>
    <xdr:clientData/>
  </xdr:twoCellAnchor>
  <xdr:twoCellAnchor editAs="oneCell">
    <xdr:from>
      <xdr:col>6</xdr:col>
      <xdr:colOff>627063</xdr:colOff>
      <xdr:row>14</xdr:row>
      <xdr:rowOff>103187</xdr:rowOff>
    </xdr:from>
    <xdr:to>
      <xdr:col>9</xdr:col>
      <xdr:colOff>1940</xdr:colOff>
      <xdr:row>19</xdr:row>
      <xdr:rowOff>7937</xdr:rowOff>
    </xdr:to>
    <xdr:pic>
      <xdr:nvPicPr>
        <xdr:cNvPr id="24" name="Image 23">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9063" y="2222500"/>
          <a:ext cx="1657349" cy="6985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25" name="Image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938" y="3063876"/>
          <a:ext cx="1657349" cy="698500"/>
        </a:xfrm>
        <a:prstGeom prst="rect">
          <a:avLst/>
        </a:prstGeom>
      </xdr:spPr>
    </xdr:pic>
    <xdr:clientData/>
  </xdr:twoCellAnchor>
  <xdr:twoCellAnchor editAs="oneCell">
    <xdr:from>
      <xdr:col>3</xdr:col>
      <xdr:colOff>756708</xdr:colOff>
      <xdr:row>9</xdr:row>
      <xdr:rowOff>42333</xdr:rowOff>
    </xdr:from>
    <xdr:to>
      <xdr:col>6</xdr:col>
      <xdr:colOff>131585</xdr:colOff>
      <xdr:row>14</xdr:row>
      <xdr:rowOff>50270</xdr:rowOff>
    </xdr:to>
    <xdr:pic>
      <xdr:nvPicPr>
        <xdr:cNvPr id="26" name="Imag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2125" y="1471083"/>
          <a:ext cx="1650293" cy="695854"/>
        </a:xfrm>
        <a:prstGeom prst="rect">
          <a:avLst/>
        </a:prstGeom>
      </xdr:spPr>
    </xdr:pic>
    <xdr:clientData/>
  </xdr:twoCellAnchor>
  <xdr:twoCellAnchor editAs="oneCell">
    <xdr:from>
      <xdr:col>4</xdr:col>
      <xdr:colOff>7938</xdr:colOff>
      <xdr:row>14</xdr:row>
      <xdr:rowOff>111125</xdr:rowOff>
    </xdr:from>
    <xdr:to>
      <xdr:col>6</xdr:col>
      <xdr:colOff>141287</xdr:colOff>
      <xdr:row>19</xdr:row>
      <xdr:rowOff>15875</xdr:rowOff>
    </xdr:to>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55938" y="2230438"/>
          <a:ext cx="1657349" cy="698500"/>
        </a:xfrm>
        <a:prstGeom prst="rect">
          <a:avLst/>
        </a:prstGeom>
      </xdr:spPr>
    </xdr:pic>
    <xdr:clientData/>
  </xdr:twoCellAnchor>
  <xdr:twoCellAnchor editAs="oneCell">
    <xdr:from>
      <xdr:col>6</xdr:col>
      <xdr:colOff>610305</xdr:colOff>
      <xdr:row>9</xdr:row>
      <xdr:rowOff>52035</xdr:rowOff>
    </xdr:from>
    <xdr:to>
      <xdr:col>8</xdr:col>
      <xdr:colOff>743654</xdr:colOff>
      <xdr:row>14</xdr:row>
      <xdr:rowOff>59972</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61138" y="1480785"/>
          <a:ext cx="1650294" cy="695854"/>
        </a:xfrm>
        <a:prstGeom prst="rect">
          <a:avLst/>
        </a:prstGeom>
      </xdr:spPr>
    </xdr:pic>
    <xdr:clientData/>
  </xdr:twoCellAnchor>
  <xdr:twoCellAnchor>
    <xdr:from>
      <xdr:col>1</xdr:col>
      <xdr:colOff>439737</xdr:colOff>
      <xdr:row>15</xdr:row>
      <xdr:rowOff>122237</xdr:rowOff>
    </xdr:from>
    <xdr:to>
      <xdr:col>2</xdr:col>
      <xdr:colOff>506412</xdr:colOff>
      <xdr:row>18</xdr:row>
      <xdr:rowOff>52387</xdr:rowOff>
    </xdr:to>
    <xdr:sp macro="[0]!ThisWorkbook.GoTo_ER" textlink="">
      <xdr:nvSpPr>
        <xdr:cNvPr id="9" name="ZoneTexte 8">
          <a:extLst>
            <a:ext uri="{FF2B5EF4-FFF2-40B4-BE49-F238E27FC236}">
              <a16:creationId xmlns:a16="http://schemas.microsoft.com/office/drawing/2014/main" id="{00000000-0008-0000-0800-000009000000}"/>
            </a:ext>
          </a:extLst>
        </xdr:cNvPr>
        <xdr:cNvSpPr txBox="1"/>
      </xdr:nvSpPr>
      <xdr:spPr>
        <a:xfrm>
          <a:off x="1201737" y="2400300"/>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ÉTATS</a:t>
          </a:r>
          <a:r>
            <a:rPr lang="fr-CA" sz="1000" b="1" baseline="0">
              <a:solidFill>
                <a:schemeClr val="bg1"/>
              </a:solidFill>
            </a:rPr>
            <a:t> DES RÉSULTATS</a:t>
          </a:r>
          <a:endParaRPr lang="fr-CA" sz="1000" b="1">
            <a:solidFill>
              <a:schemeClr val="bg1"/>
            </a:solidFill>
          </a:endParaRPr>
        </a:p>
      </xdr:txBody>
    </xdr:sp>
    <xdr:clientData/>
  </xdr:twoCellAnchor>
  <xdr:twoCellAnchor>
    <xdr:from>
      <xdr:col>1</xdr:col>
      <xdr:colOff>423862</xdr:colOff>
      <xdr:row>20</xdr:row>
      <xdr:rowOff>114300</xdr:rowOff>
    </xdr:from>
    <xdr:to>
      <xdr:col>2</xdr:col>
      <xdr:colOff>490537</xdr:colOff>
      <xdr:row>23</xdr:row>
      <xdr:rowOff>50800</xdr:rowOff>
    </xdr:to>
    <xdr:sp macro="[0]!ThisWorkbook.GoTo_BILAN" textlink="">
      <xdr:nvSpPr>
        <xdr:cNvPr id="10" name="ZoneTexte 9">
          <a:extLst>
            <a:ext uri="{FF2B5EF4-FFF2-40B4-BE49-F238E27FC236}">
              <a16:creationId xmlns:a16="http://schemas.microsoft.com/office/drawing/2014/main" id="{00000000-0008-0000-0800-00000A000000}"/>
            </a:ext>
          </a:extLst>
        </xdr:cNvPr>
        <xdr:cNvSpPr txBox="1"/>
      </xdr:nvSpPr>
      <xdr:spPr>
        <a:xfrm>
          <a:off x="1185862" y="3186113"/>
          <a:ext cx="8286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a:t>
          </a:r>
        </a:p>
      </xdr:txBody>
    </xdr:sp>
    <xdr:clientData/>
  </xdr:twoCellAnchor>
  <xdr:twoCellAnchor>
    <xdr:from>
      <xdr:col>4</xdr:col>
      <xdr:colOff>317500</xdr:colOff>
      <xdr:row>10</xdr:row>
      <xdr:rowOff>74612</xdr:rowOff>
    </xdr:from>
    <xdr:to>
      <xdr:col>5</xdr:col>
      <xdr:colOff>582083</xdr:colOff>
      <xdr:row>13</xdr:row>
      <xdr:rowOff>88193</xdr:rowOff>
    </xdr:to>
    <xdr:sp macro="[0]!ThisWorkbook.GoTo_BC1" textlink="">
      <xdr:nvSpPr>
        <xdr:cNvPr id="20" name="ZoneTexte 19">
          <a:extLst>
            <a:ext uri="{FF2B5EF4-FFF2-40B4-BE49-F238E27FC236}">
              <a16:creationId xmlns:a16="http://schemas.microsoft.com/office/drawing/2014/main" id="{00000000-0008-0000-0800-000014000000}"/>
            </a:ext>
          </a:extLst>
        </xdr:cNvPr>
        <xdr:cNvSpPr txBox="1"/>
      </xdr:nvSpPr>
      <xdr:spPr>
        <a:xfrm>
          <a:off x="3351389" y="1556279"/>
          <a:ext cx="1023055" cy="489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1</a:t>
          </a:r>
        </a:p>
      </xdr:txBody>
    </xdr:sp>
    <xdr:clientData/>
  </xdr:twoCellAnchor>
  <xdr:twoCellAnchor>
    <xdr:from>
      <xdr:col>4</xdr:col>
      <xdr:colOff>317501</xdr:colOff>
      <xdr:row>15</xdr:row>
      <xdr:rowOff>66676</xdr:rowOff>
    </xdr:from>
    <xdr:to>
      <xdr:col>5</xdr:col>
      <xdr:colOff>582083</xdr:colOff>
      <xdr:row>18</xdr:row>
      <xdr:rowOff>3176</xdr:rowOff>
    </xdr:to>
    <xdr:sp macro="[0]!ThisWorkbook.GoTo_BC2" textlink="">
      <xdr:nvSpPr>
        <xdr:cNvPr id="21" name="ZoneTexte 20">
          <a:extLst>
            <a:ext uri="{FF2B5EF4-FFF2-40B4-BE49-F238E27FC236}">
              <a16:creationId xmlns:a16="http://schemas.microsoft.com/office/drawing/2014/main" id="{00000000-0008-0000-0800-000015000000}"/>
            </a:ext>
          </a:extLst>
        </xdr:cNvPr>
        <xdr:cNvSpPr txBox="1"/>
      </xdr:nvSpPr>
      <xdr:spPr>
        <a:xfrm>
          <a:off x="3351390" y="2342093"/>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2</a:t>
          </a:r>
        </a:p>
      </xdr:txBody>
    </xdr:sp>
    <xdr:clientData/>
  </xdr:twoCellAnchor>
  <xdr:twoCellAnchor>
    <xdr:from>
      <xdr:col>7</xdr:col>
      <xdr:colOff>42862</xdr:colOff>
      <xdr:row>15</xdr:row>
      <xdr:rowOff>53975</xdr:rowOff>
    </xdr:from>
    <xdr:to>
      <xdr:col>8</xdr:col>
      <xdr:colOff>576262</xdr:colOff>
      <xdr:row>17</xdr:row>
      <xdr:rowOff>142875</xdr:rowOff>
    </xdr:to>
    <xdr:sp macro="[0]!ThisWorkbook.GoTo_NE" textlink="">
      <xdr:nvSpPr>
        <xdr:cNvPr id="23" name="ZoneTexte 22">
          <a:extLst>
            <a:ext uri="{FF2B5EF4-FFF2-40B4-BE49-F238E27FC236}">
              <a16:creationId xmlns:a16="http://schemas.microsoft.com/office/drawing/2014/main" id="{00000000-0008-0000-0800-000017000000}"/>
            </a:ext>
          </a:extLst>
        </xdr:cNvPr>
        <xdr:cNvSpPr txBox="1"/>
      </xdr:nvSpPr>
      <xdr:spPr>
        <a:xfrm>
          <a:off x="5376862" y="2332038"/>
          <a:ext cx="12954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NOTES COMPLÉMENTAIRES</a:t>
          </a:r>
        </a:p>
      </xdr:txBody>
    </xdr:sp>
    <xdr:clientData/>
  </xdr:twoCellAnchor>
  <xdr:twoCellAnchor>
    <xdr:from>
      <xdr:col>7</xdr:col>
      <xdr:colOff>280988</xdr:colOff>
      <xdr:row>10</xdr:row>
      <xdr:rowOff>63500</xdr:rowOff>
    </xdr:from>
    <xdr:to>
      <xdr:col>8</xdr:col>
      <xdr:colOff>347663</xdr:colOff>
      <xdr:row>12</xdr:row>
      <xdr:rowOff>152400</xdr:rowOff>
    </xdr:to>
    <xdr:sp macro="[0]!ThisWorkbook.GoTo_RF" textlink="">
      <xdr:nvSpPr>
        <xdr:cNvPr id="12" name="ZoneTexte 11">
          <a:extLst>
            <a:ext uri="{FF2B5EF4-FFF2-40B4-BE49-F238E27FC236}">
              <a16:creationId xmlns:a16="http://schemas.microsoft.com/office/drawing/2014/main" id="{00000000-0008-0000-0800-00000C000000}"/>
            </a:ext>
          </a:extLst>
        </xdr:cNvPr>
        <xdr:cNvSpPr txBox="1"/>
      </xdr:nvSpPr>
      <xdr:spPr>
        <a:xfrm>
          <a:off x="5614988" y="1547813"/>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a:t>
          </a:r>
        </a:p>
      </xdr:txBody>
    </xdr:sp>
    <xdr:clientData/>
  </xdr:twoCellAnchor>
  <xdr:oneCellAnchor>
    <xdr:from>
      <xdr:col>6</xdr:col>
      <xdr:colOff>666750</xdr:colOff>
      <xdr:row>19</xdr:row>
      <xdr:rowOff>111125</xdr:rowOff>
    </xdr:from>
    <xdr:ext cx="1646766" cy="698500"/>
    <xdr:pic>
      <xdr:nvPicPr>
        <xdr:cNvPr id="41" name="Image 40">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38750" y="3024188"/>
          <a:ext cx="1657349" cy="698500"/>
        </a:xfrm>
        <a:prstGeom prst="rect">
          <a:avLst/>
        </a:prstGeom>
      </xdr:spPr>
    </xdr:pic>
    <xdr:clientData/>
  </xdr:oneCellAnchor>
  <xdr:twoCellAnchor>
    <xdr:from>
      <xdr:col>7</xdr:col>
      <xdr:colOff>197555</xdr:colOff>
      <xdr:row>20</xdr:row>
      <xdr:rowOff>38807</xdr:rowOff>
    </xdr:from>
    <xdr:to>
      <xdr:col>8</xdr:col>
      <xdr:colOff>554742</xdr:colOff>
      <xdr:row>23</xdr:row>
      <xdr:rowOff>54681</xdr:rowOff>
    </xdr:to>
    <xdr:sp macro="[0]!ThisWorkbook.Imprimer_PF_PF" textlink="">
      <xdr:nvSpPr>
        <xdr:cNvPr id="38" name="ZoneTexte 37">
          <a:extLst>
            <a:ext uri="{FF2B5EF4-FFF2-40B4-BE49-F238E27FC236}">
              <a16:creationId xmlns:a16="http://schemas.microsoft.com/office/drawing/2014/main" id="{00000000-0008-0000-0800-000026000000}"/>
            </a:ext>
          </a:extLst>
        </xdr:cNvPr>
        <xdr:cNvSpPr txBox="1"/>
      </xdr:nvSpPr>
      <xdr:spPr>
        <a:xfrm>
          <a:off x="5506861" y="3107974"/>
          <a:ext cx="1115659" cy="492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IMPRIMER MON PLAN FINANCIER</a:t>
          </a:r>
        </a:p>
      </xdr:txBody>
    </xdr:sp>
    <xdr:clientData/>
  </xdr:twoCellAnchor>
  <xdr:twoCellAnchor>
    <xdr:from>
      <xdr:col>1</xdr:col>
      <xdr:colOff>105833</xdr:colOff>
      <xdr:row>25</xdr:row>
      <xdr:rowOff>23636</xdr:rowOff>
    </xdr:from>
    <xdr:to>
      <xdr:col>3</xdr:col>
      <xdr:colOff>99483</xdr:colOff>
      <xdr:row>29</xdr:row>
      <xdr:rowOff>68086</xdr:rowOff>
    </xdr:to>
    <xdr:sp macro="[0]!ThisWorkbook.GoTo_EE" textlink="">
      <xdr:nvSpPr>
        <xdr:cNvPr id="11" name="ZoneTexte 10">
          <a:extLst>
            <a:ext uri="{FF2B5EF4-FFF2-40B4-BE49-F238E27FC236}">
              <a16:creationId xmlns:a16="http://schemas.microsoft.com/office/drawing/2014/main" id="{00000000-0008-0000-0800-00000B000000}"/>
            </a:ext>
          </a:extLst>
        </xdr:cNvPr>
        <xdr:cNvSpPr txBox="1"/>
      </xdr:nvSpPr>
      <xdr:spPr>
        <a:xfrm>
          <a:off x="864305" y="3886553"/>
          <a:ext cx="1510595"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 DE L'ÉVOLUTION DE LA SITUATION FINANCIÈRE</a:t>
          </a:r>
        </a:p>
      </xdr:txBody>
    </xdr:sp>
    <xdr:clientData/>
  </xdr:twoCellAnchor>
  <xdr:twoCellAnchor editAs="oneCell">
    <xdr:from>
      <xdr:col>4</xdr:col>
      <xdr:colOff>0</xdr:colOff>
      <xdr:row>20</xdr:row>
      <xdr:rowOff>0</xdr:rowOff>
    </xdr:from>
    <xdr:to>
      <xdr:col>6</xdr:col>
      <xdr:colOff>133349</xdr:colOff>
      <xdr:row>24</xdr:row>
      <xdr:rowOff>63500</xdr:rowOff>
    </xdr:to>
    <xdr:pic>
      <xdr:nvPicPr>
        <xdr:cNvPr id="30" name="Image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3889" y="3069167"/>
          <a:ext cx="1650293" cy="698500"/>
        </a:xfrm>
        <a:prstGeom prst="rect">
          <a:avLst/>
        </a:prstGeom>
      </xdr:spPr>
    </xdr:pic>
    <xdr:clientData/>
  </xdr:twoCellAnchor>
  <xdr:twoCellAnchor editAs="oneCell">
    <xdr:from>
      <xdr:col>4</xdr:col>
      <xdr:colOff>0</xdr:colOff>
      <xdr:row>25</xdr:row>
      <xdr:rowOff>0</xdr:rowOff>
    </xdr:from>
    <xdr:to>
      <xdr:col>6</xdr:col>
      <xdr:colOff>133349</xdr:colOff>
      <xdr:row>29</xdr:row>
      <xdr:rowOff>63500</xdr:rowOff>
    </xdr:to>
    <xdr:pic>
      <xdr:nvPicPr>
        <xdr:cNvPr id="31" name="Image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3889" y="3862917"/>
          <a:ext cx="1650293" cy="698500"/>
        </a:xfrm>
        <a:prstGeom prst="rect">
          <a:avLst/>
        </a:prstGeom>
      </xdr:spPr>
    </xdr:pic>
    <xdr:clientData/>
  </xdr:twoCellAnchor>
  <xdr:twoCellAnchor editAs="oneCell">
    <xdr:from>
      <xdr:col>4</xdr:col>
      <xdr:colOff>35277</xdr:colOff>
      <xdr:row>29</xdr:row>
      <xdr:rowOff>105834</xdr:rowOff>
    </xdr:from>
    <xdr:to>
      <xdr:col>6</xdr:col>
      <xdr:colOff>168626</xdr:colOff>
      <xdr:row>34</xdr:row>
      <xdr:rowOff>10584</xdr:rowOff>
    </xdr:to>
    <xdr:pic>
      <xdr:nvPicPr>
        <xdr:cNvPr id="32" name="Imag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69166" y="4603751"/>
          <a:ext cx="1650293" cy="698500"/>
        </a:xfrm>
        <a:prstGeom prst="rect">
          <a:avLst/>
        </a:prstGeom>
      </xdr:spPr>
    </xdr:pic>
    <xdr:clientData/>
  </xdr:twoCellAnchor>
  <xdr:twoCellAnchor>
    <xdr:from>
      <xdr:col>4</xdr:col>
      <xdr:colOff>317500</xdr:colOff>
      <xdr:row>20</xdr:row>
      <xdr:rowOff>97014</xdr:rowOff>
    </xdr:from>
    <xdr:to>
      <xdr:col>5</xdr:col>
      <xdr:colOff>582082</xdr:colOff>
      <xdr:row>23</xdr:row>
      <xdr:rowOff>33514</xdr:rowOff>
    </xdr:to>
    <xdr:sp macro="[0]!ThisWorkbook.GoTo_BC3" textlink="">
      <xdr:nvSpPr>
        <xdr:cNvPr id="34" name="ZoneTexte 33">
          <a:extLst>
            <a:ext uri="{FF2B5EF4-FFF2-40B4-BE49-F238E27FC236}">
              <a16:creationId xmlns:a16="http://schemas.microsoft.com/office/drawing/2014/main" id="{00000000-0008-0000-0800-000022000000}"/>
            </a:ext>
          </a:extLst>
        </xdr:cNvPr>
        <xdr:cNvSpPr txBox="1"/>
      </xdr:nvSpPr>
      <xdr:spPr>
        <a:xfrm>
          <a:off x="3351389" y="3166181"/>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3</a:t>
          </a:r>
        </a:p>
      </xdr:txBody>
    </xdr:sp>
    <xdr:clientData/>
  </xdr:twoCellAnchor>
  <xdr:twoCellAnchor>
    <xdr:from>
      <xdr:col>4</xdr:col>
      <xdr:colOff>299861</xdr:colOff>
      <xdr:row>25</xdr:row>
      <xdr:rowOff>105833</xdr:rowOff>
    </xdr:from>
    <xdr:to>
      <xdr:col>5</xdr:col>
      <xdr:colOff>564443</xdr:colOff>
      <xdr:row>28</xdr:row>
      <xdr:rowOff>42333</xdr:rowOff>
    </xdr:to>
    <xdr:sp macro="[0]!ThisWorkbook.GoTo_BC4" textlink="">
      <xdr:nvSpPr>
        <xdr:cNvPr id="35" name="ZoneTexte 34">
          <a:extLst>
            <a:ext uri="{FF2B5EF4-FFF2-40B4-BE49-F238E27FC236}">
              <a16:creationId xmlns:a16="http://schemas.microsoft.com/office/drawing/2014/main" id="{00000000-0008-0000-0800-000023000000}"/>
            </a:ext>
          </a:extLst>
        </xdr:cNvPr>
        <xdr:cNvSpPr txBox="1"/>
      </xdr:nvSpPr>
      <xdr:spPr>
        <a:xfrm>
          <a:off x="3333750" y="3968750"/>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4</a:t>
          </a:r>
        </a:p>
      </xdr:txBody>
    </xdr:sp>
    <xdr:clientData/>
  </xdr:twoCellAnchor>
  <xdr:twoCellAnchor>
    <xdr:from>
      <xdr:col>4</xdr:col>
      <xdr:colOff>352778</xdr:colOff>
      <xdr:row>30</xdr:row>
      <xdr:rowOff>52917</xdr:rowOff>
    </xdr:from>
    <xdr:to>
      <xdr:col>5</xdr:col>
      <xdr:colOff>617360</xdr:colOff>
      <xdr:row>32</xdr:row>
      <xdr:rowOff>148167</xdr:rowOff>
    </xdr:to>
    <xdr:sp macro="[0]!ThisWorkbook.GoTo_BC5" textlink="">
      <xdr:nvSpPr>
        <xdr:cNvPr id="36" name="ZoneTexte 35">
          <a:extLst>
            <a:ext uri="{FF2B5EF4-FFF2-40B4-BE49-F238E27FC236}">
              <a16:creationId xmlns:a16="http://schemas.microsoft.com/office/drawing/2014/main" id="{00000000-0008-0000-0800-000024000000}"/>
            </a:ext>
          </a:extLst>
        </xdr:cNvPr>
        <xdr:cNvSpPr txBox="1"/>
      </xdr:nvSpPr>
      <xdr:spPr>
        <a:xfrm>
          <a:off x="3386667" y="4709584"/>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5</a:t>
          </a:r>
        </a:p>
      </xdr:txBody>
    </xdr:sp>
    <xdr:clientData/>
  </xdr:twoCellAnchor>
  <xdr:twoCellAnchor editAs="oneCell">
    <xdr:from>
      <xdr:col>6</xdr:col>
      <xdr:colOff>677552</xdr:colOff>
      <xdr:row>0</xdr:row>
      <xdr:rowOff>58918</xdr:rowOff>
    </xdr:from>
    <xdr:to>
      <xdr:col>9</xdr:col>
      <xdr:colOff>727035</xdr:colOff>
      <xdr:row>3</xdr:row>
      <xdr:rowOff>9820</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3"/>
        <a:stretch>
          <a:fillRect/>
        </a:stretch>
      </xdr:blipFill>
      <xdr:spPr>
        <a:xfrm>
          <a:off x="5273119" y="58918"/>
          <a:ext cx="2347267" cy="42224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519952</xdr:colOff>
      <xdr:row>13</xdr:row>
      <xdr:rowOff>95625</xdr:rowOff>
    </xdr:from>
    <xdr:to>
      <xdr:col>5</xdr:col>
      <xdr:colOff>519953</xdr:colOff>
      <xdr:row>15</xdr:row>
      <xdr:rowOff>89275</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7158" y="2056654"/>
          <a:ext cx="1531471" cy="311150"/>
        </a:xfrm>
        <a:prstGeom prst="rect">
          <a:avLst/>
        </a:prstGeom>
      </xdr:spPr>
    </xdr:pic>
    <xdr:clientData/>
  </xdr:twoCellAnchor>
  <xdr:twoCellAnchor>
    <xdr:from>
      <xdr:col>0</xdr:col>
      <xdr:colOff>28575</xdr:colOff>
      <xdr:row>3</xdr:row>
      <xdr:rowOff>95250</xdr:rowOff>
    </xdr:from>
    <xdr:to>
      <xdr:col>10</xdr:col>
      <xdr:colOff>0</xdr:colOff>
      <xdr:row>9</xdr:row>
      <xdr:rowOff>0</xdr:rowOff>
    </xdr:to>
    <xdr:sp macro="" textlink="">
      <xdr:nvSpPr>
        <xdr:cNvPr id="3" name="ZoneTexte 2">
          <a:extLst>
            <a:ext uri="{FF2B5EF4-FFF2-40B4-BE49-F238E27FC236}">
              <a16:creationId xmlns:a16="http://schemas.microsoft.com/office/drawing/2014/main" id="{00000000-0008-0000-0900-000003000000}"/>
            </a:ext>
          </a:extLst>
        </xdr:cNvPr>
        <xdr:cNvSpPr txBox="1"/>
      </xdr:nvSpPr>
      <xdr:spPr>
        <a:xfrm>
          <a:off x="28575" y="581025"/>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Le</a:t>
          </a:r>
          <a:r>
            <a:rPr lang="fr-CA" sz="1200" baseline="0"/>
            <a:t> financement externe de votre entreprise est celui celui qui provient d'autres sources que les actionnaires ou promoteurs du projet: subventions, financement à vourt terme ou à long terme.  Ils peuvent provenir de différentes sources tels les institutions financières, les créanciers privés ou les les orgnismes de capital de risque.  </a:t>
          </a:r>
          <a:endParaRPr lang="fr-CA" sz="1200"/>
        </a:p>
      </xdr:txBody>
    </xdr:sp>
    <xdr:clientData/>
  </xdr:twoCellAnchor>
  <xdr:twoCellAnchor editAs="oneCell">
    <xdr:from>
      <xdr:col>0</xdr:col>
      <xdr:colOff>149225</xdr:colOff>
      <xdr:row>9</xdr:row>
      <xdr:rowOff>152400</xdr:rowOff>
    </xdr:from>
    <xdr:to>
      <xdr:col>0</xdr:col>
      <xdr:colOff>149225</xdr:colOff>
      <xdr:row>13</xdr:row>
      <xdr:rowOff>155575</xdr:rowOff>
    </xdr:to>
    <xdr:pic macro="[0]!ThisWorkbook.GoTo_V1">
      <xdr:nvPicPr>
        <xdr:cNvPr id="4" name="Imag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editAs="oneCell">
    <xdr:from>
      <xdr:col>3</xdr:col>
      <xdr:colOff>406400</xdr:colOff>
      <xdr:row>9</xdr:row>
      <xdr:rowOff>155575</xdr:rowOff>
    </xdr:from>
    <xdr:to>
      <xdr:col>3</xdr:col>
      <xdr:colOff>406400</xdr:colOff>
      <xdr:row>14</xdr:row>
      <xdr:rowOff>0</xdr:rowOff>
    </xdr:to>
    <xdr:pic macro="[0]!ThisWorkbook.GoTo_V2">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2400" y="1517650"/>
          <a:ext cx="0" cy="641350"/>
        </a:xfrm>
        <a:prstGeom prst="rect">
          <a:avLst/>
        </a:prstGeom>
      </xdr:spPr>
    </xdr:pic>
    <xdr:clientData/>
  </xdr:twoCellAnchor>
  <xdr:twoCellAnchor editAs="oneCell">
    <xdr:from>
      <xdr:col>7</xdr:col>
      <xdr:colOff>241300</xdr:colOff>
      <xdr:row>9</xdr:row>
      <xdr:rowOff>142875</xdr:rowOff>
    </xdr:from>
    <xdr:to>
      <xdr:col>7</xdr:col>
      <xdr:colOff>241300</xdr:colOff>
      <xdr:row>13</xdr:row>
      <xdr:rowOff>155575</xdr:rowOff>
    </xdr:to>
    <xdr:pic macro="[0]!ThisWorkbook.GoTo_V3">
      <xdr:nvPicPr>
        <xdr:cNvPr id="6" name="Imag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5300" y="1514475"/>
          <a:ext cx="0"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7" name="Imag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228850"/>
          <a:ext cx="0" cy="638175"/>
        </a:xfrm>
        <a:prstGeom prst="rect">
          <a:avLst/>
        </a:prstGeom>
      </xdr:spPr>
    </xdr:pic>
    <xdr:clientData/>
  </xdr:twoCellAnchor>
  <xdr:twoCellAnchor editAs="oneCell">
    <xdr:from>
      <xdr:col>5</xdr:col>
      <xdr:colOff>333375</xdr:colOff>
      <xdr:row>14</xdr:row>
      <xdr:rowOff>41275</xdr:rowOff>
    </xdr:from>
    <xdr:to>
      <xdr:col>5</xdr:col>
      <xdr:colOff>333375</xdr:colOff>
      <xdr:row>18</xdr:row>
      <xdr:rowOff>31750</xdr:rowOff>
    </xdr:to>
    <xdr:pic macro="[0]!ThisWorkbook.GoTo_V5">
      <xdr:nvPicPr>
        <xdr:cNvPr id="8" name="Imag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5" y="2203450"/>
          <a:ext cx="0" cy="638175"/>
        </a:xfrm>
        <a:prstGeom prst="rect">
          <a:avLst/>
        </a:prstGeom>
      </xdr:spPr>
    </xdr:pic>
    <xdr:clientData/>
  </xdr:twoCellAnchor>
  <xdr:twoCellAnchor>
    <xdr:from>
      <xdr:col>3</xdr:col>
      <xdr:colOff>757517</xdr:colOff>
      <xdr:row>13</xdr:row>
      <xdr:rowOff>152587</xdr:rowOff>
    </xdr:from>
    <xdr:to>
      <xdr:col>5</xdr:col>
      <xdr:colOff>309283</xdr:colOff>
      <xdr:row>15</xdr:row>
      <xdr:rowOff>16062</xdr:rowOff>
    </xdr:to>
    <xdr:sp macro="[0]!ThisWorkbook.GoTo_BP" textlink="">
      <xdr:nvSpPr>
        <xdr:cNvPr id="9" name="ZoneTexte 8">
          <a:extLst>
            <a:ext uri="{FF2B5EF4-FFF2-40B4-BE49-F238E27FC236}">
              <a16:creationId xmlns:a16="http://schemas.microsoft.com/office/drawing/2014/main" id="{00000000-0008-0000-0900-000009000000}"/>
            </a:ext>
          </a:extLst>
        </xdr:cNvPr>
        <xdr:cNvSpPr txBox="1"/>
      </xdr:nvSpPr>
      <xdr:spPr>
        <a:xfrm>
          <a:off x="3054723" y="211361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BILLET À TERME</a:t>
          </a: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10" name="Imag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6100" y="6349"/>
          <a:ext cx="0" cy="606426"/>
        </a:xfrm>
        <a:prstGeom prst="rect">
          <a:avLst/>
        </a:prstGeom>
      </xdr:spPr>
    </xdr:pic>
    <xdr:clientData/>
  </xdr:twoCellAnchor>
  <xdr:twoCellAnchor>
    <xdr:from>
      <xdr:col>0</xdr:col>
      <xdr:colOff>36980</xdr:colOff>
      <xdr:row>0</xdr:row>
      <xdr:rowOff>75453</xdr:rowOff>
    </xdr:from>
    <xdr:to>
      <xdr:col>3</xdr:col>
      <xdr:colOff>504266</xdr:colOff>
      <xdr:row>3</xdr:row>
      <xdr:rowOff>9338</xdr:rowOff>
    </xdr:to>
    <xdr:sp macro="" textlink="">
      <xdr:nvSpPr>
        <xdr:cNvPr id="12" name="Text Box 429">
          <a:extLst>
            <a:ext uri="{FF2B5EF4-FFF2-40B4-BE49-F238E27FC236}">
              <a16:creationId xmlns:a16="http://schemas.microsoft.com/office/drawing/2014/main" id="{00000000-0008-0000-0900-00000C000000}"/>
            </a:ext>
          </a:extLst>
        </xdr:cNvPr>
        <xdr:cNvSpPr txBox="1">
          <a:spLocks noChangeArrowheads="1"/>
        </xdr:cNvSpPr>
      </xdr:nvSpPr>
      <xdr:spPr bwMode="auto">
        <a:xfrm>
          <a:off x="36980" y="75453"/>
          <a:ext cx="2764492" cy="41013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3</xdr:col>
      <xdr:colOff>253627</xdr:colOff>
      <xdr:row>10</xdr:row>
      <xdr:rowOff>144182</xdr:rowOff>
    </xdr:from>
    <xdr:to>
      <xdr:col>6</xdr:col>
      <xdr:colOff>113927</xdr:colOff>
      <xdr:row>13</xdr:row>
      <xdr:rowOff>17182</xdr:rowOff>
    </xdr:to>
    <xdr:sp macro="" textlink="">
      <xdr:nvSpPr>
        <xdr:cNvPr id="13" name="ZoneTexte 12">
          <a:extLst>
            <a:ext uri="{FF2B5EF4-FFF2-40B4-BE49-F238E27FC236}">
              <a16:creationId xmlns:a16="http://schemas.microsoft.com/office/drawing/2014/main" id="{00000000-0008-0000-0900-00000D000000}"/>
            </a:ext>
          </a:extLst>
        </xdr:cNvPr>
        <xdr:cNvSpPr txBox="1"/>
      </xdr:nvSpPr>
      <xdr:spPr>
        <a:xfrm>
          <a:off x="2550833" y="1628961"/>
          <a:ext cx="2157506"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FINANCEMENT COURT TERME</a:t>
          </a:r>
        </a:p>
      </xdr:txBody>
    </xdr:sp>
    <xdr:clientData/>
  </xdr:twoCellAnchor>
  <xdr:twoCellAnchor editAs="oneCell">
    <xdr:from>
      <xdr:col>3</xdr:col>
      <xdr:colOff>522941</xdr:colOff>
      <xdr:row>15</xdr:row>
      <xdr:rowOff>140074</xdr:rowOff>
    </xdr:from>
    <xdr:to>
      <xdr:col>5</xdr:col>
      <xdr:colOff>529292</xdr:colOff>
      <xdr:row>17</xdr:row>
      <xdr:rowOff>140074</xdr:rowOff>
    </xdr:to>
    <xdr:pic>
      <xdr:nvPicPr>
        <xdr:cNvPr id="14" name="Imag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20147" y="2418603"/>
          <a:ext cx="1537821" cy="317500"/>
        </a:xfrm>
        <a:prstGeom prst="rect">
          <a:avLst/>
        </a:prstGeom>
      </xdr:spPr>
    </xdr:pic>
    <xdr:clientData/>
  </xdr:twoCellAnchor>
  <xdr:twoCellAnchor editAs="oneCell">
    <xdr:from>
      <xdr:col>3</xdr:col>
      <xdr:colOff>519953</xdr:colOff>
      <xdr:row>18</xdr:row>
      <xdr:rowOff>22785</xdr:rowOff>
    </xdr:from>
    <xdr:to>
      <xdr:col>5</xdr:col>
      <xdr:colOff>513604</xdr:colOff>
      <xdr:row>20</xdr:row>
      <xdr:rowOff>16435</xdr:rowOff>
    </xdr:to>
    <xdr:pic>
      <xdr:nvPicPr>
        <xdr:cNvPr id="15" name="Imag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7159" y="2777564"/>
          <a:ext cx="1525121" cy="311150"/>
        </a:xfrm>
        <a:prstGeom prst="rect">
          <a:avLst/>
        </a:prstGeom>
      </xdr:spPr>
    </xdr:pic>
    <xdr:clientData/>
  </xdr:twoCellAnchor>
  <xdr:twoCellAnchor>
    <xdr:from>
      <xdr:col>3</xdr:col>
      <xdr:colOff>751168</xdr:colOff>
      <xdr:row>16</xdr:row>
      <xdr:rowOff>32123</xdr:rowOff>
    </xdr:from>
    <xdr:to>
      <xdr:col>5</xdr:col>
      <xdr:colOff>315634</xdr:colOff>
      <xdr:row>17</xdr:row>
      <xdr:rowOff>54348</xdr:rowOff>
    </xdr:to>
    <xdr:sp macro="[0]!ThisWorkbook.GoTo_ECT1" textlink="">
      <xdr:nvSpPr>
        <xdr:cNvPr id="16" name="ZoneTexte 15">
          <a:extLst>
            <a:ext uri="{FF2B5EF4-FFF2-40B4-BE49-F238E27FC236}">
              <a16:creationId xmlns:a16="http://schemas.microsoft.com/office/drawing/2014/main" id="{00000000-0008-0000-0900-000010000000}"/>
            </a:ext>
          </a:extLst>
        </xdr:cNvPr>
        <xdr:cNvSpPr txBox="1"/>
      </xdr:nvSpPr>
      <xdr:spPr>
        <a:xfrm>
          <a:off x="3048374" y="2469402"/>
          <a:ext cx="10959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CT 1</a:t>
          </a:r>
        </a:p>
      </xdr:txBody>
    </xdr:sp>
    <xdr:clientData/>
  </xdr:twoCellAnchor>
  <xdr:twoCellAnchor>
    <xdr:from>
      <xdr:col>3</xdr:col>
      <xdr:colOff>735853</xdr:colOff>
      <xdr:row>18</xdr:row>
      <xdr:rowOff>70597</xdr:rowOff>
    </xdr:from>
    <xdr:to>
      <xdr:col>5</xdr:col>
      <xdr:colOff>287619</xdr:colOff>
      <xdr:row>19</xdr:row>
      <xdr:rowOff>92822</xdr:rowOff>
    </xdr:to>
    <xdr:sp macro="[0]!ThisWorkbook.GoTo_ECT2" textlink="">
      <xdr:nvSpPr>
        <xdr:cNvPr id="17" name="ZoneTexte 16">
          <a:extLst>
            <a:ext uri="{FF2B5EF4-FFF2-40B4-BE49-F238E27FC236}">
              <a16:creationId xmlns:a16="http://schemas.microsoft.com/office/drawing/2014/main" id="{00000000-0008-0000-0900-000011000000}"/>
            </a:ext>
          </a:extLst>
        </xdr:cNvPr>
        <xdr:cNvSpPr txBox="1"/>
      </xdr:nvSpPr>
      <xdr:spPr>
        <a:xfrm>
          <a:off x="3033059" y="282537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ENPRUNT CT 2</a:t>
          </a:r>
        </a:p>
      </xdr:txBody>
    </xdr:sp>
    <xdr:clientData/>
  </xdr:twoCellAnchor>
  <xdr:twoCellAnchor>
    <xdr:from>
      <xdr:col>6</xdr:col>
      <xdr:colOff>506132</xdr:colOff>
      <xdr:row>10</xdr:row>
      <xdr:rowOff>149412</xdr:rowOff>
    </xdr:from>
    <xdr:to>
      <xdr:col>9</xdr:col>
      <xdr:colOff>207682</xdr:colOff>
      <xdr:row>13</xdr:row>
      <xdr:rowOff>31377</xdr:rowOff>
    </xdr:to>
    <xdr:sp macro="" textlink="">
      <xdr:nvSpPr>
        <xdr:cNvPr id="18" name="ZoneTexte 17">
          <a:extLst>
            <a:ext uri="{FF2B5EF4-FFF2-40B4-BE49-F238E27FC236}">
              <a16:creationId xmlns:a16="http://schemas.microsoft.com/office/drawing/2014/main" id="{00000000-0008-0000-0900-000012000000}"/>
            </a:ext>
          </a:extLst>
        </xdr:cNvPr>
        <xdr:cNvSpPr txBox="1"/>
      </xdr:nvSpPr>
      <xdr:spPr>
        <a:xfrm>
          <a:off x="5100544" y="1634191"/>
          <a:ext cx="1998756" cy="35821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100" b="1">
              <a:solidFill>
                <a:schemeClr val="dk1"/>
              </a:solidFill>
              <a:effectLst/>
              <a:latin typeface="+mn-lt"/>
              <a:ea typeface="+mn-ea"/>
              <a:cs typeface="+mn-cs"/>
            </a:rPr>
            <a:t>FINANCEMENT</a:t>
          </a:r>
          <a:r>
            <a:rPr lang="fr-CA" sz="1100" b="1" baseline="0">
              <a:solidFill>
                <a:schemeClr val="dk1"/>
              </a:solidFill>
              <a:effectLst/>
              <a:latin typeface="+mn-lt"/>
              <a:ea typeface="+mn-ea"/>
              <a:cs typeface="+mn-cs"/>
            </a:rPr>
            <a:t> LONG TERME</a:t>
          </a:r>
          <a:endParaRPr lang="fr-CA" sz="1600">
            <a:effectLst/>
          </a:endParaRPr>
        </a:p>
      </xdr:txBody>
    </xdr:sp>
    <xdr:clientData/>
  </xdr:twoCellAnchor>
  <xdr:oneCellAnchor>
    <xdr:from>
      <xdr:col>7</xdr:col>
      <xdr:colOff>12700</xdr:colOff>
      <xdr:row>13</xdr:row>
      <xdr:rowOff>114301</xdr:rowOff>
    </xdr:from>
    <xdr:ext cx="1517650" cy="323850"/>
    <xdr:pic>
      <xdr:nvPicPr>
        <xdr:cNvPr id="19" name="Imag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6700" y="211455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20" name="Imag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53125" y="2228850"/>
          <a:ext cx="0" cy="650875"/>
        </a:xfrm>
        <a:prstGeom prst="rect">
          <a:avLst/>
        </a:prstGeom>
      </xdr:spPr>
    </xdr:pic>
    <xdr:clientData/>
  </xdr:oneCellAnchor>
  <xdr:twoCellAnchor>
    <xdr:from>
      <xdr:col>7</xdr:col>
      <xdr:colOff>139700</xdr:colOff>
      <xdr:row>14</xdr:row>
      <xdr:rowOff>3175</xdr:rowOff>
    </xdr:from>
    <xdr:to>
      <xdr:col>8</xdr:col>
      <xdr:colOff>679450</xdr:colOff>
      <xdr:row>15</xdr:row>
      <xdr:rowOff>25400</xdr:rowOff>
    </xdr:to>
    <xdr:sp macro="[0]!ThisWorkbook.GoTo_EH" textlink="">
      <xdr:nvSpPr>
        <xdr:cNvPr id="21" name="ZoneTexte 20">
          <a:extLst>
            <a:ext uri="{FF2B5EF4-FFF2-40B4-BE49-F238E27FC236}">
              <a16:creationId xmlns:a16="http://schemas.microsoft.com/office/drawing/2014/main" id="{00000000-0008-0000-0900-000015000000}"/>
            </a:ext>
          </a:extLst>
        </xdr:cNvPr>
        <xdr:cNvSpPr txBox="1"/>
      </xdr:nvSpPr>
      <xdr:spPr>
        <a:xfrm>
          <a:off x="5473700" y="2165350"/>
          <a:ext cx="13017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HYPOTHÈQUE</a:t>
          </a:r>
        </a:p>
      </xdr:txBody>
    </xdr:sp>
    <xdr:clientData/>
  </xdr:twoCellAnchor>
  <xdr:oneCellAnchor>
    <xdr:from>
      <xdr:col>7</xdr:col>
      <xdr:colOff>12700</xdr:colOff>
      <xdr:row>16</xdr:row>
      <xdr:rowOff>0</xdr:rowOff>
    </xdr:from>
    <xdr:ext cx="1517650" cy="323850"/>
    <xdr:pic>
      <xdr:nvPicPr>
        <xdr:cNvPr id="22" name="Imag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6700" y="2486025"/>
          <a:ext cx="1517650" cy="323850"/>
        </a:xfrm>
        <a:prstGeom prst="rect">
          <a:avLst/>
        </a:prstGeom>
      </xdr:spPr>
    </xdr:pic>
    <xdr:clientData/>
  </xdr:oneCellAnchor>
  <xdr:oneCellAnchor>
    <xdr:from>
      <xdr:col>7</xdr:col>
      <xdr:colOff>6350</xdr:colOff>
      <xdr:row>18</xdr:row>
      <xdr:rowOff>50800</xdr:rowOff>
    </xdr:from>
    <xdr:ext cx="1517650" cy="323850"/>
    <xdr:pic>
      <xdr:nvPicPr>
        <xdr:cNvPr id="23" name="Imag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0350" y="2860675"/>
          <a:ext cx="1517650" cy="323850"/>
        </a:xfrm>
        <a:prstGeom prst="rect">
          <a:avLst/>
        </a:prstGeom>
      </xdr:spPr>
    </xdr:pic>
    <xdr:clientData/>
  </xdr:oneCellAnchor>
  <xdr:oneCellAnchor>
    <xdr:from>
      <xdr:col>7</xdr:col>
      <xdr:colOff>6350</xdr:colOff>
      <xdr:row>20</xdr:row>
      <xdr:rowOff>95250</xdr:rowOff>
    </xdr:from>
    <xdr:ext cx="1517650" cy="323850"/>
    <xdr:pic>
      <xdr:nvPicPr>
        <xdr:cNvPr id="24" name="Imag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0350" y="3228975"/>
          <a:ext cx="1517650" cy="323850"/>
        </a:xfrm>
        <a:prstGeom prst="rect">
          <a:avLst/>
        </a:prstGeom>
      </xdr:spPr>
    </xdr:pic>
    <xdr:clientData/>
  </xdr:oneCellAnchor>
  <xdr:twoCellAnchor>
    <xdr:from>
      <xdr:col>7</xdr:col>
      <xdr:colOff>254000</xdr:colOff>
      <xdr:row>16</xdr:row>
      <xdr:rowOff>50800</xdr:rowOff>
    </xdr:from>
    <xdr:to>
      <xdr:col>8</xdr:col>
      <xdr:colOff>469900</xdr:colOff>
      <xdr:row>17</xdr:row>
      <xdr:rowOff>73025</xdr:rowOff>
    </xdr:to>
    <xdr:sp macro="[0]!ThisWorkbook.GoTo_ELT1" textlink="">
      <xdr:nvSpPr>
        <xdr:cNvPr id="25" name="ZoneTexte 24">
          <a:extLst>
            <a:ext uri="{FF2B5EF4-FFF2-40B4-BE49-F238E27FC236}">
              <a16:creationId xmlns:a16="http://schemas.microsoft.com/office/drawing/2014/main" id="{00000000-0008-0000-0900-000019000000}"/>
            </a:ext>
          </a:extLst>
        </xdr:cNvPr>
        <xdr:cNvSpPr txBox="1"/>
      </xdr:nvSpPr>
      <xdr:spPr>
        <a:xfrm>
          <a:off x="5588000" y="2536825"/>
          <a:ext cx="9779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1</a:t>
          </a:r>
        </a:p>
      </xdr:txBody>
    </xdr:sp>
    <xdr:clientData/>
  </xdr:twoCellAnchor>
  <xdr:twoCellAnchor>
    <xdr:from>
      <xdr:col>7</xdr:col>
      <xdr:colOff>88900</xdr:colOff>
      <xdr:row>18</xdr:row>
      <xdr:rowOff>107950</xdr:rowOff>
    </xdr:from>
    <xdr:to>
      <xdr:col>8</xdr:col>
      <xdr:colOff>673100</xdr:colOff>
      <xdr:row>19</xdr:row>
      <xdr:rowOff>130175</xdr:rowOff>
    </xdr:to>
    <xdr:sp macro="[0]!ThisWorkbook.GoTo_ELT2" textlink="">
      <xdr:nvSpPr>
        <xdr:cNvPr id="26" name="ZoneTexte 25">
          <a:extLst>
            <a:ext uri="{FF2B5EF4-FFF2-40B4-BE49-F238E27FC236}">
              <a16:creationId xmlns:a16="http://schemas.microsoft.com/office/drawing/2014/main" id="{00000000-0008-0000-0900-00001A000000}"/>
            </a:ext>
          </a:extLst>
        </xdr:cNvPr>
        <xdr:cNvSpPr txBox="1"/>
      </xdr:nvSpPr>
      <xdr:spPr>
        <a:xfrm>
          <a:off x="5422900" y="2917825"/>
          <a:ext cx="13462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2</a:t>
          </a:r>
        </a:p>
      </xdr:txBody>
    </xdr:sp>
    <xdr:clientData/>
  </xdr:twoCellAnchor>
  <xdr:twoCellAnchor>
    <xdr:from>
      <xdr:col>7</xdr:col>
      <xdr:colOff>177800</xdr:colOff>
      <xdr:row>20</xdr:row>
      <xdr:rowOff>152400</xdr:rowOff>
    </xdr:from>
    <xdr:to>
      <xdr:col>8</xdr:col>
      <xdr:colOff>577850</xdr:colOff>
      <xdr:row>22</xdr:row>
      <xdr:rowOff>9525</xdr:rowOff>
    </xdr:to>
    <xdr:sp macro="[0]!ThisWorkbook.GoTo_ELT3" textlink="">
      <xdr:nvSpPr>
        <xdr:cNvPr id="27" name="ZoneTexte 26">
          <a:extLst>
            <a:ext uri="{FF2B5EF4-FFF2-40B4-BE49-F238E27FC236}">
              <a16:creationId xmlns:a16="http://schemas.microsoft.com/office/drawing/2014/main" id="{00000000-0008-0000-0900-00001B000000}"/>
            </a:ext>
          </a:extLst>
        </xdr:cNvPr>
        <xdr:cNvSpPr txBox="1"/>
      </xdr:nvSpPr>
      <xdr:spPr>
        <a:xfrm>
          <a:off x="5511800" y="3286125"/>
          <a:ext cx="11620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3</a:t>
          </a:r>
        </a:p>
      </xdr:txBody>
    </xdr:sp>
    <xdr:clientData/>
  </xdr:twoCellAnchor>
  <xdr:oneCellAnchor>
    <xdr:from>
      <xdr:col>7</xdr:col>
      <xdr:colOff>0</xdr:colOff>
      <xdr:row>23</xdr:row>
      <xdr:rowOff>0</xdr:rowOff>
    </xdr:from>
    <xdr:ext cx="1517650" cy="323850"/>
    <xdr:pic>
      <xdr:nvPicPr>
        <xdr:cNvPr id="28" name="Image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3689350"/>
          <a:ext cx="1517650" cy="323850"/>
        </a:xfrm>
        <a:prstGeom prst="rect">
          <a:avLst/>
        </a:prstGeom>
      </xdr:spPr>
    </xdr:pic>
    <xdr:clientData/>
  </xdr:oneCellAnchor>
  <xdr:oneCellAnchor>
    <xdr:from>
      <xdr:col>7</xdr:col>
      <xdr:colOff>0</xdr:colOff>
      <xdr:row>25</xdr:row>
      <xdr:rowOff>0</xdr:rowOff>
    </xdr:from>
    <xdr:ext cx="1517650" cy="323850"/>
    <xdr:pic>
      <xdr:nvPicPr>
        <xdr:cNvPr id="29" name="Image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019550"/>
          <a:ext cx="1517650" cy="323850"/>
        </a:xfrm>
        <a:prstGeom prst="rect">
          <a:avLst/>
        </a:prstGeom>
      </xdr:spPr>
    </xdr:pic>
    <xdr:clientData/>
  </xdr:oneCellAnchor>
  <xdr:oneCellAnchor>
    <xdr:from>
      <xdr:col>7</xdr:col>
      <xdr:colOff>0</xdr:colOff>
      <xdr:row>27</xdr:row>
      <xdr:rowOff>0</xdr:rowOff>
    </xdr:from>
    <xdr:ext cx="1517650" cy="323850"/>
    <xdr:pic>
      <xdr:nvPicPr>
        <xdr:cNvPr id="30" name="Image 29">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349750"/>
          <a:ext cx="1517650" cy="323850"/>
        </a:xfrm>
        <a:prstGeom prst="rect">
          <a:avLst/>
        </a:prstGeom>
      </xdr:spPr>
    </xdr:pic>
    <xdr:clientData/>
  </xdr:oneCellAnchor>
  <xdr:oneCellAnchor>
    <xdr:from>
      <xdr:col>7</xdr:col>
      <xdr:colOff>0</xdr:colOff>
      <xdr:row>29</xdr:row>
      <xdr:rowOff>0</xdr:rowOff>
    </xdr:from>
    <xdr:ext cx="1517650" cy="323850"/>
    <xdr:pic>
      <xdr:nvPicPr>
        <xdr:cNvPr id="31" name="Imag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00" y="4679950"/>
          <a:ext cx="1517650" cy="323850"/>
        </a:xfrm>
        <a:prstGeom prst="rect">
          <a:avLst/>
        </a:prstGeom>
      </xdr:spPr>
    </xdr:pic>
    <xdr:clientData/>
  </xdr:oneCellAnchor>
  <xdr:twoCellAnchor>
    <xdr:from>
      <xdr:col>7</xdr:col>
      <xdr:colOff>190500</xdr:colOff>
      <xdr:row>23</xdr:row>
      <xdr:rowOff>63500</xdr:rowOff>
    </xdr:from>
    <xdr:to>
      <xdr:col>8</xdr:col>
      <xdr:colOff>590550</xdr:colOff>
      <xdr:row>24</xdr:row>
      <xdr:rowOff>85725</xdr:rowOff>
    </xdr:to>
    <xdr:sp macro="[0]!ThisWorkbook.GoTo_ELT4" textlink="">
      <xdr:nvSpPr>
        <xdr:cNvPr id="32" name="ZoneTexte 31">
          <a:extLst>
            <a:ext uri="{FF2B5EF4-FFF2-40B4-BE49-F238E27FC236}">
              <a16:creationId xmlns:a16="http://schemas.microsoft.com/office/drawing/2014/main" id="{00000000-0008-0000-0900-000020000000}"/>
            </a:ext>
          </a:extLst>
        </xdr:cNvPr>
        <xdr:cNvSpPr txBox="1"/>
      </xdr:nvSpPr>
      <xdr:spPr>
        <a:xfrm>
          <a:off x="5524500" y="37528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4</a:t>
          </a:r>
        </a:p>
      </xdr:txBody>
    </xdr:sp>
    <xdr:clientData/>
  </xdr:twoCellAnchor>
  <xdr:twoCellAnchor>
    <xdr:from>
      <xdr:col>7</xdr:col>
      <xdr:colOff>190500</xdr:colOff>
      <xdr:row>25</xdr:row>
      <xdr:rowOff>57150</xdr:rowOff>
    </xdr:from>
    <xdr:to>
      <xdr:col>8</xdr:col>
      <xdr:colOff>590550</xdr:colOff>
      <xdr:row>26</xdr:row>
      <xdr:rowOff>79375</xdr:rowOff>
    </xdr:to>
    <xdr:sp macro="[0]!ThisWorkbook.GoTo_ELT5" textlink="">
      <xdr:nvSpPr>
        <xdr:cNvPr id="33" name="ZoneTexte 32">
          <a:extLst>
            <a:ext uri="{FF2B5EF4-FFF2-40B4-BE49-F238E27FC236}">
              <a16:creationId xmlns:a16="http://schemas.microsoft.com/office/drawing/2014/main" id="{00000000-0008-0000-0900-000021000000}"/>
            </a:ext>
          </a:extLst>
        </xdr:cNvPr>
        <xdr:cNvSpPr txBox="1"/>
      </xdr:nvSpPr>
      <xdr:spPr>
        <a:xfrm>
          <a:off x="5524500" y="40767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5</a:t>
          </a:r>
        </a:p>
      </xdr:txBody>
    </xdr:sp>
    <xdr:clientData/>
  </xdr:twoCellAnchor>
  <xdr:twoCellAnchor>
    <xdr:from>
      <xdr:col>7</xdr:col>
      <xdr:colOff>203200</xdr:colOff>
      <xdr:row>27</xdr:row>
      <xdr:rowOff>50800</xdr:rowOff>
    </xdr:from>
    <xdr:to>
      <xdr:col>8</xdr:col>
      <xdr:colOff>603250</xdr:colOff>
      <xdr:row>28</xdr:row>
      <xdr:rowOff>73025</xdr:rowOff>
    </xdr:to>
    <xdr:sp macro="[0]!ThisWorkbook.GoTo_ELT6" textlink="">
      <xdr:nvSpPr>
        <xdr:cNvPr id="34" name="ZoneTexte 33">
          <a:extLst>
            <a:ext uri="{FF2B5EF4-FFF2-40B4-BE49-F238E27FC236}">
              <a16:creationId xmlns:a16="http://schemas.microsoft.com/office/drawing/2014/main" id="{00000000-0008-0000-0900-000022000000}"/>
            </a:ext>
          </a:extLst>
        </xdr:cNvPr>
        <xdr:cNvSpPr txBox="1"/>
      </xdr:nvSpPr>
      <xdr:spPr>
        <a:xfrm>
          <a:off x="5537200" y="44005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6</a:t>
          </a:r>
        </a:p>
      </xdr:txBody>
    </xdr:sp>
    <xdr:clientData/>
  </xdr:twoCellAnchor>
  <xdr:twoCellAnchor>
    <xdr:from>
      <xdr:col>7</xdr:col>
      <xdr:colOff>165100</xdr:colOff>
      <xdr:row>29</xdr:row>
      <xdr:rowOff>57150</xdr:rowOff>
    </xdr:from>
    <xdr:to>
      <xdr:col>8</xdr:col>
      <xdr:colOff>565150</xdr:colOff>
      <xdr:row>30</xdr:row>
      <xdr:rowOff>79375</xdr:rowOff>
    </xdr:to>
    <xdr:sp macro="[0]!ThisWorkbook.GoTo_ELT7" textlink="">
      <xdr:nvSpPr>
        <xdr:cNvPr id="35" name="ZoneTexte 34">
          <a:extLst>
            <a:ext uri="{FF2B5EF4-FFF2-40B4-BE49-F238E27FC236}">
              <a16:creationId xmlns:a16="http://schemas.microsoft.com/office/drawing/2014/main" id="{00000000-0008-0000-0900-000023000000}"/>
            </a:ext>
          </a:extLst>
        </xdr:cNvPr>
        <xdr:cNvSpPr txBox="1"/>
      </xdr:nvSpPr>
      <xdr:spPr>
        <a:xfrm>
          <a:off x="5499100" y="47371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7</a:t>
          </a:r>
        </a:p>
      </xdr:txBody>
    </xdr:sp>
    <xdr:clientData/>
  </xdr:twoCellAnchor>
  <xdr:twoCellAnchor editAs="oneCell">
    <xdr:from>
      <xdr:col>3</xdr:col>
      <xdr:colOff>534147</xdr:colOff>
      <xdr:row>25</xdr:row>
      <xdr:rowOff>116728</xdr:rowOff>
    </xdr:from>
    <xdr:to>
      <xdr:col>5</xdr:col>
      <xdr:colOff>528184</xdr:colOff>
      <xdr:row>27</xdr:row>
      <xdr:rowOff>110151</xdr:rowOff>
    </xdr:to>
    <xdr:pic>
      <xdr:nvPicPr>
        <xdr:cNvPr id="39" name="Image 38">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stretch>
          <a:fillRect/>
        </a:stretch>
      </xdr:blipFill>
      <xdr:spPr>
        <a:xfrm>
          <a:off x="2831353" y="3982757"/>
          <a:ext cx="1525507" cy="310923"/>
        </a:xfrm>
        <a:prstGeom prst="rect">
          <a:avLst/>
        </a:prstGeom>
      </xdr:spPr>
    </xdr:pic>
    <xdr:clientData/>
  </xdr:twoCellAnchor>
  <xdr:twoCellAnchor>
    <xdr:from>
      <xdr:col>3</xdr:col>
      <xdr:colOff>757611</xdr:colOff>
      <xdr:row>26</xdr:row>
      <xdr:rowOff>21477</xdr:rowOff>
    </xdr:from>
    <xdr:to>
      <xdr:col>5</xdr:col>
      <xdr:colOff>277347</xdr:colOff>
      <xdr:row>27</xdr:row>
      <xdr:rowOff>29414</xdr:rowOff>
    </xdr:to>
    <xdr:sp macro="[0]!ThisWorkbook.GoTo_SUBV" textlink="">
      <xdr:nvSpPr>
        <xdr:cNvPr id="37" name="ZoneTexte 36">
          <a:extLst>
            <a:ext uri="{FF2B5EF4-FFF2-40B4-BE49-F238E27FC236}">
              <a16:creationId xmlns:a16="http://schemas.microsoft.com/office/drawing/2014/main" id="{00000000-0008-0000-0900-000025000000}"/>
            </a:ext>
          </a:extLst>
        </xdr:cNvPr>
        <xdr:cNvSpPr txBox="1"/>
      </xdr:nvSpPr>
      <xdr:spPr>
        <a:xfrm>
          <a:off x="3054817" y="4046256"/>
          <a:ext cx="1051206" cy="166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baseline="0">
              <a:solidFill>
                <a:schemeClr val="bg1"/>
              </a:solidFill>
            </a:rPr>
            <a:t>SUBVENTIONS</a:t>
          </a:r>
        </a:p>
      </xdr:txBody>
    </xdr:sp>
    <xdr:clientData/>
  </xdr:twoCellAnchor>
  <xdr:twoCellAnchor>
    <xdr:from>
      <xdr:col>3</xdr:col>
      <xdr:colOff>267538</xdr:colOff>
      <xdr:row>22</xdr:row>
      <xdr:rowOff>117663</xdr:rowOff>
    </xdr:from>
    <xdr:to>
      <xdr:col>6</xdr:col>
      <xdr:colOff>140539</xdr:colOff>
      <xdr:row>24</xdr:row>
      <xdr:rowOff>149413</xdr:rowOff>
    </xdr:to>
    <xdr:sp macro="" textlink="">
      <xdr:nvSpPr>
        <xdr:cNvPr id="47" name="ZoneTexte 46">
          <a:extLst>
            <a:ext uri="{FF2B5EF4-FFF2-40B4-BE49-F238E27FC236}">
              <a16:creationId xmlns:a16="http://schemas.microsoft.com/office/drawing/2014/main" id="{00000000-0008-0000-0900-00002F000000}"/>
            </a:ext>
          </a:extLst>
        </xdr:cNvPr>
        <xdr:cNvSpPr txBox="1"/>
      </xdr:nvSpPr>
      <xdr:spPr>
        <a:xfrm>
          <a:off x="2564744" y="3507442"/>
          <a:ext cx="2170207" cy="34925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000" b="1" i="0" u="none" strike="noStrike" kern="0" cap="none" spc="0" normalizeH="0" baseline="0" noProof="0">
              <a:ln>
                <a:noFill/>
              </a:ln>
              <a:solidFill>
                <a:sysClr val="windowText" lastClr="000000"/>
              </a:solidFill>
              <a:effectLst/>
              <a:uLnTx/>
              <a:uFillTx/>
              <a:latin typeface="Calibri"/>
              <a:ea typeface="+mn-ea"/>
              <a:cs typeface="+mn-cs"/>
            </a:rPr>
            <a:t>FINANCEMENT NON REMBOURSABLE</a:t>
          </a:r>
        </a:p>
      </xdr:txBody>
    </xdr:sp>
    <xdr:clientData/>
  </xdr:twoCellAnchor>
  <xdr:twoCellAnchor editAs="oneCell">
    <xdr:from>
      <xdr:col>4</xdr:col>
      <xdr:colOff>112059</xdr:colOff>
      <xdr:row>0</xdr:row>
      <xdr:rowOff>74705</xdr:rowOff>
    </xdr:from>
    <xdr:to>
      <xdr:col>4</xdr:col>
      <xdr:colOff>588308</xdr:colOff>
      <xdr:row>3</xdr:row>
      <xdr:rowOff>29726</xdr:rowOff>
    </xdr:to>
    <xdr:pic macro="[0]!ThisWorkbook.ACCUEIL">
      <xdr:nvPicPr>
        <xdr:cNvPr id="40" name="Image 39">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75000" y="74705"/>
          <a:ext cx="476249" cy="431271"/>
        </a:xfrm>
        <a:prstGeom prst="rect">
          <a:avLst/>
        </a:prstGeom>
      </xdr:spPr>
    </xdr:pic>
    <xdr:clientData fPrintsWithSheet="0"/>
  </xdr:twoCellAnchor>
  <xdr:twoCellAnchor editAs="oneCell">
    <xdr:from>
      <xdr:col>0</xdr:col>
      <xdr:colOff>149225</xdr:colOff>
      <xdr:row>9</xdr:row>
      <xdr:rowOff>152400</xdr:rowOff>
    </xdr:from>
    <xdr:to>
      <xdr:col>0</xdr:col>
      <xdr:colOff>149225</xdr:colOff>
      <xdr:row>13</xdr:row>
      <xdr:rowOff>155575</xdr:rowOff>
    </xdr:to>
    <xdr:pic>
      <xdr:nvPicPr>
        <xdr:cNvPr id="45" name="Image 44">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xdr:from>
      <xdr:col>0</xdr:col>
      <xdr:colOff>345514</xdr:colOff>
      <xdr:row>10</xdr:row>
      <xdr:rowOff>140074</xdr:rowOff>
    </xdr:from>
    <xdr:to>
      <xdr:col>2</xdr:col>
      <xdr:colOff>513602</xdr:colOff>
      <xdr:row>13</xdr:row>
      <xdr:rowOff>13074</xdr:rowOff>
    </xdr:to>
    <xdr:sp macro="" textlink="">
      <xdr:nvSpPr>
        <xdr:cNvPr id="46" name="ZoneTexte 45">
          <a:extLst>
            <a:ext uri="{FF2B5EF4-FFF2-40B4-BE49-F238E27FC236}">
              <a16:creationId xmlns:a16="http://schemas.microsoft.com/office/drawing/2014/main" id="{00000000-0008-0000-0900-00002E000000}"/>
            </a:ext>
          </a:extLst>
        </xdr:cNvPr>
        <xdr:cNvSpPr txBox="1"/>
      </xdr:nvSpPr>
      <xdr:spPr>
        <a:xfrm>
          <a:off x="345514" y="1624853"/>
          <a:ext cx="1699559"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MON COÛT DE PROJET</a:t>
          </a:r>
        </a:p>
      </xdr:txBody>
    </xdr:sp>
    <xdr:clientData/>
  </xdr:twoCellAnchor>
  <xdr:twoCellAnchor editAs="oneCell">
    <xdr:from>
      <xdr:col>0</xdr:col>
      <xdr:colOff>336176</xdr:colOff>
      <xdr:row>13</xdr:row>
      <xdr:rowOff>130736</xdr:rowOff>
    </xdr:from>
    <xdr:to>
      <xdr:col>2</xdr:col>
      <xdr:colOff>336176</xdr:colOff>
      <xdr:row>16</xdr:row>
      <xdr:rowOff>84045</xdr:rowOff>
    </xdr:to>
    <xdr:pic>
      <xdr:nvPicPr>
        <xdr:cNvPr id="48" name="Image 47">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176" y="2130986"/>
          <a:ext cx="1524000" cy="439084"/>
        </a:xfrm>
        <a:prstGeom prst="rect">
          <a:avLst/>
        </a:prstGeom>
      </xdr:spPr>
    </xdr:pic>
    <xdr:clientData/>
  </xdr:twoCellAnchor>
  <xdr:twoCellAnchor>
    <xdr:from>
      <xdr:col>0</xdr:col>
      <xdr:colOff>485588</xdr:colOff>
      <xdr:row>13</xdr:row>
      <xdr:rowOff>149412</xdr:rowOff>
    </xdr:from>
    <xdr:to>
      <xdr:col>2</xdr:col>
      <xdr:colOff>214778</xdr:colOff>
      <xdr:row>16</xdr:row>
      <xdr:rowOff>28015</xdr:rowOff>
    </xdr:to>
    <xdr:sp macro="[0]!ThisWorkbook.GoTo_CF_FINANCEMENT" textlink="">
      <xdr:nvSpPr>
        <xdr:cNvPr id="49" name="ZoneTexte 48">
          <a:extLst>
            <a:ext uri="{FF2B5EF4-FFF2-40B4-BE49-F238E27FC236}">
              <a16:creationId xmlns:a16="http://schemas.microsoft.com/office/drawing/2014/main" id="{00000000-0008-0000-0900-000031000000}"/>
            </a:ext>
          </a:extLst>
        </xdr:cNvPr>
        <xdr:cNvSpPr txBox="1"/>
      </xdr:nvSpPr>
      <xdr:spPr>
        <a:xfrm>
          <a:off x="485588" y="2149662"/>
          <a:ext cx="1253190" cy="364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TABLEAU COÛT VS FINANCEMENT</a:t>
          </a:r>
        </a:p>
      </xdr:txBody>
    </xdr:sp>
    <xdr:clientData/>
  </xdr:twoCellAnchor>
  <xdr:twoCellAnchor editAs="oneCell">
    <xdr:from>
      <xdr:col>6</xdr:col>
      <xdr:colOff>298824</xdr:colOff>
      <xdr:row>0</xdr:row>
      <xdr:rowOff>46692</xdr:rowOff>
    </xdr:from>
    <xdr:to>
      <xdr:col>9</xdr:col>
      <xdr:colOff>691030</xdr:colOff>
      <xdr:row>3</xdr:row>
      <xdr:rowOff>54232</xdr:rowOff>
    </xdr:to>
    <xdr:pic>
      <xdr:nvPicPr>
        <xdr:cNvPr id="36" name="Image 35">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4"/>
        <a:stretch>
          <a:fillRect/>
        </a:stretch>
      </xdr:blipFill>
      <xdr:spPr>
        <a:xfrm>
          <a:off x="4893236" y="46692"/>
          <a:ext cx="2689412" cy="4837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4</xdr:row>
      <xdr:rowOff>0</xdr:rowOff>
    </xdr:from>
    <xdr:to>
      <xdr:col>10</xdr:col>
      <xdr:colOff>0</xdr:colOff>
      <xdr:row>9</xdr:row>
      <xdr:rowOff>0</xdr:rowOff>
    </xdr:to>
    <xdr:sp macro="" textlink="">
      <xdr:nvSpPr>
        <xdr:cNvPr id="6" name="ZoneTexte 5">
          <a:extLst>
            <a:ext uri="{FF2B5EF4-FFF2-40B4-BE49-F238E27FC236}">
              <a16:creationId xmlns:a16="http://schemas.microsoft.com/office/drawing/2014/main" id="{00000000-0008-0000-0A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Voici quelques graphiques que vous pouvez imprimer afin d'imager</a:t>
          </a:r>
          <a:r>
            <a:rPr lang="fr-CA" sz="1200" baseline="0"/>
            <a:t> les rendements prévus dans votre plan d'affaires.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43811</xdr:colOff>
      <xdr:row>0</xdr:row>
      <xdr:rowOff>25314</xdr:rowOff>
    </xdr:from>
    <xdr:to>
      <xdr:col>3</xdr:col>
      <xdr:colOff>274883</xdr:colOff>
      <xdr:row>3</xdr:row>
      <xdr:rowOff>126914</xdr:rowOff>
    </xdr:to>
    <xdr:sp macro="" textlink="">
      <xdr:nvSpPr>
        <xdr:cNvPr id="9" name="Text Box 429">
          <a:extLst>
            <a:ext uri="{FF2B5EF4-FFF2-40B4-BE49-F238E27FC236}">
              <a16:creationId xmlns:a16="http://schemas.microsoft.com/office/drawing/2014/main" id="{00000000-0008-0000-0A00-000009000000}"/>
            </a:ext>
          </a:extLst>
        </xdr:cNvPr>
        <xdr:cNvSpPr txBox="1">
          <a:spLocks noChangeArrowheads="1"/>
        </xdr:cNvSpPr>
      </xdr:nvSpPr>
      <xdr:spPr bwMode="auto">
        <a:xfrm>
          <a:off x="43811" y="25314"/>
          <a:ext cx="2513236"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666748</xdr:colOff>
      <xdr:row>9</xdr:row>
      <xdr:rowOff>149678</xdr:rowOff>
    </xdr:from>
    <xdr:to>
      <xdr:col>2</xdr:col>
      <xdr:colOff>646337</xdr:colOff>
      <xdr:row>17</xdr:row>
      <xdr:rowOff>112815</xdr:rowOff>
    </xdr:to>
    <xdr:pic macro="[0]!ThisWorkbook.GoTo_GV">
      <xdr:nvPicPr>
        <xdr:cNvPr id="11" name="Imag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48" y="1836964"/>
          <a:ext cx="1503589" cy="1269423"/>
        </a:xfrm>
        <a:prstGeom prst="rect">
          <a:avLst/>
        </a:prstGeom>
      </xdr:spPr>
    </xdr:pic>
    <xdr:clientData/>
  </xdr:twoCellAnchor>
  <xdr:twoCellAnchor editAs="oneCell">
    <xdr:from>
      <xdr:col>4</xdr:col>
      <xdr:colOff>496659</xdr:colOff>
      <xdr:row>10</xdr:row>
      <xdr:rowOff>40822</xdr:rowOff>
    </xdr:from>
    <xdr:to>
      <xdr:col>5</xdr:col>
      <xdr:colOff>496658</xdr:colOff>
      <xdr:row>17</xdr:row>
      <xdr:rowOff>109804</xdr:rowOff>
    </xdr:to>
    <xdr:pic macro="[0]!ThisWorkbook.GoTo_GR">
      <xdr:nvPicPr>
        <xdr:cNvPr id="12" name="Imag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44659" y="1891393"/>
          <a:ext cx="1435553" cy="1211982"/>
        </a:xfrm>
        <a:prstGeom prst="rect">
          <a:avLst/>
        </a:prstGeom>
      </xdr:spPr>
    </xdr:pic>
    <xdr:clientData/>
  </xdr:twoCellAnchor>
  <xdr:twoCellAnchor editAs="oneCell">
    <xdr:from>
      <xdr:col>7</xdr:col>
      <xdr:colOff>353784</xdr:colOff>
      <xdr:row>10</xdr:row>
      <xdr:rowOff>6804</xdr:rowOff>
    </xdr:from>
    <xdr:to>
      <xdr:col>9</xdr:col>
      <xdr:colOff>299356</xdr:colOff>
      <xdr:row>17</xdr:row>
      <xdr:rowOff>104507</xdr:rowOff>
    </xdr:to>
    <xdr:pic macro="[0]!ThisWorkbook.GoTo_GPM">
      <xdr:nvPicPr>
        <xdr:cNvPr id="13" name="Imag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61338" y="1857375"/>
          <a:ext cx="1469572" cy="1240703"/>
        </a:xfrm>
        <a:prstGeom prst="rect">
          <a:avLst/>
        </a:prstGeom>
      </xdr:spPr>
    </xdr:pic>
    <xdr:clientData/>
  </xdr:twoCellAnchor>
  <xdr:twoCellAnchor editAs="oneCell">
    <xdr:from>
      <xdr:col>5</xdr:col>
      <xdr:colOff>549765</xdr:colOff>
      <xdr:row>0</xdr:row>
      <xdr:rowOff>19178</xdr:rowOff>
    </xdr:from>
    <xdr:to>
      <xdr:col>9</xdr:col>
      <xdr:colOff>705204</xdr:colOff>
      <xdr:row>3</xdr:row>
      <xdr:rowOff>115068</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3"/>
        <a:stretch>
          <a:fillRect/>
        </a:stretch>
      </xdr:blipFill>
      <xdr:spPr>
        <a:xfrm>
          <a:off x="5030990" y="19178"/>
          <a:ext cx="3198325" cy="5753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561975</xdr:colOff>
      <xdr:row>15</xdr:row>
      <xdr:rowOff>209550</xdr:rowOff>
    </xdr:from>
    <xdr:to>
      <xdr:col>6</xdr:col>
      <xdr:colOff>141724</xdr:colOff>
      <xdr:row>18</xdr:row>
      <xdr:rowOff>155134</xdr:rowOff>
    </xdr:to>
    <xdr:pic>
      <xdr:nvPicPr>
        <xdr:cNvPr id="3" name="Imag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561975" y="3895725"/>
          <a:ext cx="4304149" cy="77425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272142</xdr:colOff>
      <xdr:row>3</xdr:row>
      <xdr:rowOff>177800</xdr:rowOff>
    </xdr:from>
    <xdr:to>
      <xdr:col>2</xdr:col>
      <xdr:colOff>1574800</xdr:colOff>
      <xdr:row>5</xdr:row>
      <xdr:rowOff>177800</xdr:rowOff>
    </xdr:to>
    <xdr:pic macro="[0]!ThisWorkbook.Imprimer_HISTOB">
      <xdr:nvPicPr>
        <xdr:cNvPr id="9" name="Imag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342" y="762000"/>
          <a:ext cx="1302658" cy="508000"/>
        </a:xfrm>
        <a:prstGeom prst="rect">
          <a:avLst/>
        </a:prstGeom>
      </xdr:spPr>
    </xdr:pic>
    <xdr:clientData fPrintsWithSheet="0"/>
  </xdr:twoCellAnchor>
  <xdr:twoCellAnchor editAs="oneCell">
    <xdr:from>
      <xdr:col>0</xdr:col>
      <xdr:colOff>177800</xdr:colOff>
      <xdr:row>3</xdr:row>
      <xdr:rowOff>139700</xdr:rowOff>
    </xdr:from>
    <xdr:to>
      <xdr:col>1</xdr:col>
      <xdr:colOff>362143</xdr:colOff>
      <xdr:row>5</xdr:row>
      <xdr:rowOff>154158</xdr:rowOff>
    </xdr:to>
    <xdr:pic macro="[0]!ThisWorkbook.ACCUEIL">
      <xdr:nvPicPr>
        <xdr:cNvPr id="11" name="Image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7800" y="723900"/>
          <a:ext cx="514543" cy="522458"/>
        </a:xfrm>
        <a:prstGeom prst="rect">
          <a:avLst/>
        </a:prstGeom>
      </xdr:spPr>
    </xdr:pic>
    <xdr:clientData fPrintsWithSheet="0"/>
  </xdr:twoCellAnchor>
  <xdr:twoCellAnchor>
    <xdr:from>
      <xdr:col>0</xdr:col>
      <xdr:colOff>0</xdr:colOff>
      <xdr:row>0</xdr:row>
      <xdr:rowOff>139700</xdr:rowOff>
    </xdr:from>
    <xdr:to>
      <xdr:col>3</xdr:col>
      <xdr:colOff>190500</xdr:colOff>
      <xdr:row>3</xdr:row>
      <xdr:rowOff>50800</xdr:rowOff>
    </xdr:to>
    <xdr:sp macro="" textlink="">
      <xdr:nvSpPr>
        <xdr:cNvPr id="15" name="Text Box 429">
          <a:extLst>
            <a:ext uri="{FF2B5EF4-FFF2-40B4-BE49-F238E27FC236}">
              <a16:creationId xmlns:a16="http://schemas.microsoft.com/office/drawing/2014/main" id="{00000000-0008-0000-0C00-00000F000000}"/>
            </a:ext>
          </a:extLst>
        </xdr:cNvPr>
        <xdr:cNvSpPr txBox="1">
          <a:spLocks noChangeArrowheads="1"/>
        </xdr:cNvSpPr>
      </xdr:nvSpPr>
      <xdr:spPr bwMode="auto">
        <a:xfrm>
          <a:off x="0" y="139700"/>
          <a:ext cx="3949700" cy="495300"/>
        </a:xfrm>
        <a:prstGeom prst="rect">
          <a:avLst/>
        </a:prstGeom>
        <a:noFill/>
        <a:ln w="9525">
          <a:noFill/>
          <a:miter lim="800000"/>
          <a:headEnd/>
          <a:tailEnd/>
        </a:ln>
      </xdr:spPr>
      <xdr:txBody>
        <a:bodyPr vertOverflow="clip" wrap="square" lIns="36576" tIns="32004" rIns="0" bIns="0"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fPrintsWithSheet="0"/>
  </xdr:twoCellAnchor>
  <xdr:twoCellAnchor editAs="oneCell">
    <xdr:from>
      <xdr:col>2</xdr:col>
      <xdr:colOff>2082800</xdr:colOff>
      <xdr:row>3</xdr:row>
      <xdr:rowOff>114300</xdr:rowOff>
    </xdr:from>
    <xdr:to>
      <xdr:col>2</xdr:col>
      <xdr:colOff>2717800</xdr:colOff>
      <xdr:row>5</xdr:row>
      <xdr:rowOff>241300</xdr:rowOff>
    </xdr:to>
    <xdr:pic macro="[0]!ThisWorkbook.RETOUR_COMPLEMENTS">
      <xdr:nvPicPr>
        <xdr:cNvPr id="7" name="Imag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4000" y="698500"/>
          <a:ext cx="635000" cy="635000"/>
        </a:xfrm>
        <a:prstGeom prst="rect">
          <a:avLst/>
        </a:prstGeom>
      </xdr:spPr>
    </xdr:pic>
    <xdr:clientData fPrintsWithSheet="0"/>
  </xdr:twoCellAnchor>
  <xdr:twoCellAnchor editAs="oneCell">
    <xdr:from>
      <xdr:col>4</xdr:col>
      <xdr:colOff>965200</xdr:colOff>
      <xdr:row>0</xdr:row>
      <xdr:rowOff>114300</xdr:rowOff>
    </xdr:from>
    <xdr:to>
      <xdr:col>8</xdr:col>
      <xdr:colOff>849749</xdr:colOff>
      <xdr:row>4</xdr:row>
      <xdr:rowOff>50359</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4"/>
        <a:stretch>
          <a:fillRect/>
        </a:stretch>
      </xdr:blipFill>
      <xdr:spPr>
        <a:xfrm>
          <a:off x="5207000" y="114300"/>
          <a:ext cx="4304149" cy="774259"/>
        </a:xfrm>
        <a:prstGeom prst="rect">
          <a:avLst/>
        </a:prstGeom>
      </xdr:spPr>
    </xdr:pic>
    <xdr:clientData/>
  </xdr:twoCellAnchor>
  <xdr:twoCellAnchor editAs="oneCell">
    <xdr:from>
      <xdr:col>7</xdr:col>
      <xdr:colOff>279401</xdr:colOff>
      <xdr:row>73</xdr:row>
      <xdr:rowOff>101600</xdr:rowOff>
    </xdr:from>
    <xdr:to>
      <xdr:col>8</xdr:col>
      <xdr:colOff>1714501</xdr:colOff>
      <xdr:row>75</xdr:row>
      <xdr:rowOff>14769</xdr:rowOff>
    </xdr:to>
    <xdr:pic>
      <xdr:nvPicPr>
        <xdr:cNvPr id="4" name="Imag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5"/>
        <a:stretch>
          <a:fillRect/>
        </a:stretch>
      </xdr:blipFill>
      <xdr:spPr>
        <a:xfrm>
          <a:off x="8458201" y="17564100"/>
          <a:ext cx="1917700" cy="3449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76200</xdr:rowOff>
    </xdr:from>
    <xdr:to>
      <xdr:col>1</xdr:col>
      <xdr:colOff>3698875</xdr:colOff>
      <xdr:row>3</xdr:row>
      <xdr:rowOff>133350</xdr:rowOff>
    </xdr:to>
    <xdr:sp macro="" textlink="">
      <xdr:nvSpPr>
        <xdr:cNvPr id="5" name="Text Box 429">
          <a:extLst>
            <a:ext uri="{FF2B5EF4-FFF2-40B4-BE49-F238E27FC236}">
              <a16:creationId xmlns:a16="http://schemas.microsoft.com/office/drawing/2014/main" id="{00000000-0008-0000-0D00-000005000000}"/>
            </a:ext>
          </a:extLst>
        </xdr:cNvPr>
        <xdr:cNvSpPr txBox="1">
          <a:spLocks noChangeArrowheads="1"/>
        </xdr:cNvSpPr>
      </xdr:nvSpPr>
      <xdr:spPr bwMode="auto">
        <a:xfrm>
          <a:off x="0" y="76200"/>
          <a:ext cx="4029075"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76200</xdr:colOff>
      <xdr:row>4</xdr:row>
      <xdr:rowOff>0</xdr:rowOff>
    </xdr:from>
    <xdr:to>
      <xdr:col>1</xdr:col>
      <xdr:colOff>590743</xdr:colOff>
      <xdr:row>7</xdr:row>
      <xdr:rowOff>27158</xdr:rowOff>
    </xdr:to>
    <xdr:pic macro="[0]!ThisWorkbook.ACCUEIL">
      <xdr:nvPicPr>
        <xdr:cNvPr id="6" name="Imag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 y="660400"/>
          <a:ext cx="514543" cy="522458"/>
        </a:xfrm>
        <a:prstGeom prst="rect">
          <a:avLst/>
        </a:prstGeom>
      </xdr:spPr>
    </xdr:pic>
    <xdr:clientData fPrintsWithSheet="0"/>
  </xdr:twoCellAnchor>
  <xdr:twoCellAnchor editAs="oneCell">
    <xdr:from>
      <xdr:col>1</xdr:col>
      <xdr:colOff>1041399</xdr:colOff>
      <xdr:row>3</xdr:row>
      <xdr:rowOff>114300</xdr:rowOff>
    </xdr:from>
    <xdr:to>
      <xdr:col>1</xdr:col>
      <xdr:colOff>2539456</xdr:colOff>
      <xdr:row>7</xdr:row>
      <xdr:rowOff>38100</xdr:rowOff>
    </xdr:to>
    <xdr:pic macro="[0]!ThisWorkbook.Imprimer_HISTOER">
      <xdr:nvPicPr>
        <xdr:cNvPr id="7" name="Imag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1599" y="609600"/>
          <a:ext cx="1498057" cy="584200"/>
        </a:xfrm>
        <a:prstGeom prst="rect">
          <a:avLst/>
        </a:prstGeom>
      </xdr:spPr>
    </xdr:pic>
    <xdr:clientData fPrintsWithSheet="0"/>
  </xdr:twoCellAnchor>
  <xdr:twoCellAnchor editAs="oneCell">
    <xdr:from>
      <xdr:col>1</xdr:col>
      <xdr:colOff>2997200</xdr:colOff>
      <xdr:row>3</xdr:row>
      <xdr:rowOff>114300</xdr:rowOff>
    </xdr:from>
    <xdr:to>
      <xdr:col>1</xdr:col>
      <xdr:colOff>3632200</xdr:colOff>
      <xdr:row>7</xdr:row>
      <xdr:rowOff>88900</xdr:rowOff>
    </xdr:to>
    <xdr:pic macro="[0]!ThisWorkbook.RETOUR_COMPLEMENTS">
      <xdr:nvPicPr>
        <xdr:cNvPr id="8" name="Imag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27400" y="609600"/>
          <a:ext cx="635000" cy="635000"/>
        </a:xfrm>
        <a:prstGeom prst="rect">
          <a:avLst/>
        </a:prstGeom>
      </xdr:spPr>
    </xdr:pic>
    <xdr:clientData fPrintsWithSheet="0"/>
  </xdr:twoCellAnchor>
  <xdr:twoCellAnchor editAs="oneCell">
    <xdr:from>
      <xdr:col>2</xdr:col>
      <xdr:colOff>1193800</xdr:colOff>
      <xdr:row>0</xdr:row>
      <xdr:rowOff>127000</xdr:rowOff>
    </xdr:from>
    <xdr:to>
      <xdr:col>6</xdr:col>
      <xdr:colOff>1129149</xdr:colOff>
      <xdr:row>5</xdr:row>
      <xdr:rowOff>75759</xdr:rowOff>
    </xdr:to>
    <xdr:pic>
      <xdr:nvPicPr>
        <xdr:cNvPr id="2" name="Imag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4"/>
        <a:stretch>
          <a:fillRect/>
        </a:stretch>
      </xdr:blipFill>
      <xdr:spPr>
        <a:xfrm>
          <a:off x="5397500" y="127000"/>
          <a:ext cx="4304149" cy="774259"/>
        </a:xfrm>
        <a:prstGeom prst="rect">
          <a:avLst/>
        </a:prstGeom>
      </xdr:spPr>
    </xdr:pic>
    <xdr:clientData/>
  </xdr:twoCellAnchor>
  <xdr:twoCellAnchor editAs="oneCell">
    <xdr:from>
      <xdr:col>6</xdr:col>
      <xdr:colOff>101600</xdr:colOff>
      <xdr:row>83</xdr:row>
      <xdr:rowOff>63500</xdr:rowOff>
    </xdr:from>
    <xdr:to>
      <xdr:col>7</xdr:col>
      <xdr:colOff>314110</xdr:colOff>
      <xdr:row>85</xdr:row>
      <xdr:rowOff>68102</xdr:rowOff>
    </xdr:to>
    <xdr:pic>
      <xdr:nvPicPr>
        <xdr:cNvPr id="4" name="Imag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5"/>
        <a:stretch>
          <a:fillRect/>
        </a:stretch>
      </xdr:blipFill>
      <xdr:spPr>
        <a:xfrm>
          <a:off x="8674100" y="18884900"/>
          <a:ext cx="1914310" cy="347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812801</xdr:colOff>
      <xdr:row>3</xdr:row>
      <xdr:rowOff>12700</xdr:rowOff>
    </xdr:to>
    <xdr:sp macro="" textlink="">
      <xdr:nvSpPr>
        <xdr:cNvPr id="8" name="Text Box 429">
          <a:extLst>
            <a:ext uri="{FF2B5EF4-FFF2-40B4-BE49-F238E27FC236}">
              <a16:creationId xmlns:a16="http://schemas.microsoft.com/office/drawing/2014/main" id="{00000000-0008-0000-0E00-000008000000}"/>
            </a:ext>
          </a:extLst>
        </xdr:cNvPr>
        <xdr:cNvSpPr txBox="1">
          <a:spLocks noChangeArrowheads="1"/>
        </xdr:cNvSpPr>
      </xdr:nvSpPr>
      <xdr:spPr bwMode="auto">
        <a:xfrm>
          <a:off x="1" y="0"/>
          <a:ext cx="3606800" cy="5080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304800</xdr:colOff>
      <xdr:row>3</xdr:row>
      <xdr:rowOff>76200</xdr:rowOff>
    </xdr:from>
    <xdr:to>
      <xdr:col>1</xdr:col>
      <xdr:colOff>19243</xdr:colOff>
      <xdr:row>6</xdr:row>
      <xdr:rowOff>103358</xdr:rowOff>
    </xdr:to>
    <xdr:pic macro="[0]!ThisWorkbook.ACCUEIL">
      <xdr:nvPicPr>
        <xdr:cNvPr id="7" name="Imag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571500"/>
          <a:ext cx="514543" cy="522458"/>
        </a:xfrm>
        <a:prstGeom prst="rect">
          <a:avLst/>
        </a:prstGeom>
      </xdr:spPr>
    </xdr:pic>
    <xdr:clientData fPrintsWithSheet="0"/>
  </xdr:twoCellAnchor>
  <xdr:twoCellAnchor editAs="oneCell">
    <xdr:from>
      <xdr:col>1</xdr:col>
      <xdr:colOff>584200</xdr:colOff>
      <xdr:row>3</xdr:row>
      <xdr:rowOff>50800</xdr:rowOff>
    </xdr:from>
    <xdr:to>
      <xdr:col>3</xdr:col>
      <xdr:colOff>88357</xdr:colOff>
      <xdr:row>6</xdr:row>
      <xdr:rowOff>139700</xdr:rowOff>
    </xdr:to>
    <xdr:pic macro="[0]!ThisWorkbook.Imprimer_HISTORF">
      <xdr:nvPicPr>
        <xdr:cNvPr id="10" name="Imag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4300" y="546100"/>
          <a:ext cx="1498057" cy="584200"/>
        </a:xfrm>
        <a:prstGeom prst="rect">
          <a:avLst/>
        </a:prstGeom>
      </xdr:spPr>
    </xdr:pic>
    <xdr:clientData fPrintsWithSheet="0"/>
  </xdr:twoCellAnchor>
  <xdr:twoCellAnchor editAs="oneCell">
    <xdr:from>
      <xdr:col>3</xdr:col>
      <xdr:colOff>622300</xdr:colOff>
      <xdr:row>3</xdr:row>
      <xdr:rowOff>25400</xdr:rowOff>
    </xdr:from>
    <xdr:to>
      <xdr:col>4</xdr:col>
      <xdr:colOff>292100</xdr:colOff>
      <xdr:row>7</xdr:row>
      <xdr:rowOff>0</xdr:rowOff>
    </xdr:to>
    <xdr:pic macro="[0]!ThisWorkbook.RETOUR_COMPLEMENTS">
      <xdr:nvPicPr>
        <xdr:cNvPr id="9" name="Imag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16300" y="520700"/>
          <a:ext cx="635000" cy="635000"/>
        </a:xfrm>
        <a:prstGeom prst="rect">
          <a:avLst/>
        </a:prstGeom>
      </xdr:spPr>
    </xdr:pic>
    <xdr:clientData fPrintsWithSheet="0"/>
  </xdr:twoCellAnchor>
  <xdr:twoCellAnchor editAs="oneCell">
    <xdr:from>
      <xdr:col>4</xdr:col>
      <xdr:colOff>1866900</xdr:colOff>
      <xdr:row>1</xdr:row>
      <xdr:rowOff>0</xdr:rowOff>
    </xdr:from>
    <xdr:to>
      <xdr:col>11</xdr:col>
      <xdr:colOff>265549</xdr:colOff>
      <xdr:row>5</xdr:row>
      <xdr:rowOff>113859</xdr:rowOff>
    </xdr:to>
    <xdr:pic>
      <xdr:nvPicPr>
        <xdr:cNvPr id="2" name="Imag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4"/>
        <a:stretch>
          <a:fillRect/>
        </a:stretch>
      </xdr:blipFill>
      <xdr:spPr>
        <a:xfrm>
          <a:off x="5626100" y="165100"/>
          <a:ext cx="4304149" cy="774259"/>
        </a:xfrm>
        <a:prstGeom prst="rect">
          <a:avLst/>
        </a:prstGeom>
      </xdr:spPr>
    </xdr:pic>
    <xdr:clientData/>
  </xdr:twoCellAnchor>
  <xdr:twoCellAnchor editAs="oneCell">
    <xdr:from>
      <xdr:col>8</xdr:col>
      <xdr:colOff>431800</xdr:colOff>
      <xdr:row>67</xdr:row>
      <xdr:rowOff>76200</xdr:rowOff>
    </xdr:from>
    <xdr:to>
      <xdr:col>11</xdr:col>
      <xdr:colOff>9310</xdr:colOff>
      <xdr:row>69</xdr:row>
      <xdr:rowOff>55402</xdr:rowOff>
    </xdr:to>
    <xdr:pic>
      <xdr:nvPicPr>
        <xdr:cNvPr id="3" name="Imag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5"/>
        <a:stretch>
          <a:fillRect/>
        </a:stretch>
      </xdr:blipFill>
      <xdr:spPr>
        <a:xfrm>
          <a:off x="7759700" y="13703300"/>
          <a:ext cx="1914310" cy="3475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80962</xdr:colOff>
      <xdr:row>3</xdr:row>
      <xdr:rowOff>75406</xdr:rowOff>
    </xdr:from>
    <xdr:to>
      <xdr:col>2</xdr:col>
      <xdr:colOff>271462</xdr:colOff>
      <xdr:row>7</xdr:row>
      <xdr:rowOff>34132</xdr:rowOff>
    </xdr:to>
    <xdr:pic macro="[0]!ThisWorkbook.ACCUEIL">
      <xdr:nvPicPr>
        <xdr:cNvPr id="4" name="Imag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4337" y="561181"/>
          <a:ext cx="571500" cy="606426"/>
        </a:xfrm>
        <a:prstGeom prst="rect">
          <a:avLst/>
        </a:prstGeom>
      </xdr:spPr>
    </xdr:pic>
    <xdr:clientData fPrintsWithSheet="0"/>
  </xdr:twoCellAnchor>
  <xdr:twoCellAnchor>
    <xdr:from>
      <xdr:col>0</xdr:col>
      <xdr:colOff>0</xdr:colOff>
      <xdr:row>0</xdr:row>
      <xdr:rowOff>19051</xdr:rowOff>
    </xdr:from>
    <xdr:to>
      <xdr:col>3</xdr:col>
      <xdr:colOff>828675</xdr:colOff>
      <xdr:row>3</xdr:row>
      <xdr:rowOff>85726</xdr:rowOff>
    </xdr:to>
    <xdr:sp macro="" textlink="">
      <xdr:nvSpPr>
        <xdr:cNvPr id="6" name="Text Box 429">
          <a:extLst>
            <a:ext uri="{FF2B5EF4-FFF2-40B4-BE49-F238E27FC236}">
              <a16:creationId xmlns:a16="http://schemas.microsoft.com/office/drawing/2014/main" id="{00000000-0008-0000-0F00-000006000000}"/>
            </a:ext>
          </a:extLst>
        </xdr:cNvPr>
        <xdr:cNvSpPr txBox="1">
          <a:spLocks noChangeArrowheads="1"/>
        </xdr:cNvSpPr>
      </xdr:nvSpPr>
      <xdr:spPr bwMode="auto">
        <a:xfrm>
          <a:off x="0" y="19051"/>
          <a:ext cx="4029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542925</xdr:colOff>
      <xdr:row>4</xdr:row>
      <xdr:rowOff>47625</xdr:rowOff>
    </xdr:from>
    <xdr:to>
      <xdr:col>2</xdr:col>
      <xdr:colOff>1647825</xdr:colOff>
      <xdr:row>6</xdr:row>
      <xdr:rowOff>154655</xdr:rowOff>
    </xdr:to>
    <xdr:pic macro="[0]!ThisWorkbook.Imprimer_BILANMENSUEL">
      <xdr:nvPicPr>
        <xdr:cNvPr id="7" name="Imag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57300" y="695325"/>
          <a:ext cx="1104900" cy="430880"/>
        </a:xfrm>
        <a:prstGeom prst="rect">
          <a:avLst/>
        </a:prstGeom>
      </xdr:spPr>
    </xdr:pic>
    <xdr:clientData fPrintsWithSheet="0"/>
  </xdr:twoCellAnchor>
  <xdr:twoCellAnchor editAs="oneCell">
    <xdr:from>
      <xdr:col>2</xdr:col>
      <xdr:colOff>2181225</xdr:colOff>
      <xdr:row>3</xdr:row>
      <xdr:rowOff>28575</xdr:rowOff>
    </xdr:from>
    <xdr:to>
      <xdr:col>3</xdr:col>
      <xdr:colOff>390525</xdr:colOff>
      <xdr:row>7</xdr:row>
      <xdr:rowOff>76200</xdr:rowOff>
    </xdr:to>
    <xdr:pic macro="[0]!ThisWorkbook.RETOUR_OUTILSDEGESTION">
      <xdr:nvPicPr>
        <xdr:cNvPr id="8" name="Imag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95600" y="514350"/>
          <a:ext cx="695325" cy="695325"/>
        </a:xfrm>
        <a:prstGeom prst="rect">
          <a:avLst/>
        </a:prstGeom>
      </xdr:spPr>
    </xdr:pic>
    <xdr:clientData/>
  </xdr:twoCellAnchor>
  <xdr:twoCellAnchor editAs="oneCell">
    <xdr:from>
      <xdr:col>8</xdr:col>
      <xdr:colOff>0</xdr:colOff>
      <xdr:row>1</xdr:row>
      <xdr:rowOff>0</xdr:rowOff>
    </xdr:from>
    <xdr:to>
      <xdr:col>12</xdr:col>
      <xdr:colOff>494149</xdr:colOff>
      <xdr:row>5</xdr:row>
      <xdr:rowOff>107509</xdr:rowOff>
    </xdr:to>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4"/>
        <a:stretch>
          <a:fillRect/>
        </a:stretch>
      </xdr:blipFill>
      <xdr:spPr>
        <a:xfrm>
          <a:off x="7965281" y="166688"/>
          <a:ext cx="4304149" cy="774259"/>
        </a:xfrm>
        <a:prstGeom prst="rect">
          <a:avLst/>
        </a:prstGeom>
      </xdr:spPr>
    </xdr:pic>
    <xdr:clientData/>
  </xdr:twoCellAnchor>
  <xdr:twoCellAnchor editAs="oneCell">
    <xdr:from>
      <xdr:col>14</xdr:col>
      <xdr:colOff>0</xdr:colOff>
      <xdr:row>72</xdr:row>
      <xdr:rowOff>83344</xdr:rowOff>
    </xdr:from>
    <xdr:to>
      <xdr:col>16</xdr:col>
      <xdr:colOff>9310</xdr:colOff>
      <xdr:row>74</xdr:row>
      <xdr:rowOff>14128</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5"/>
        <a:stretch>
          <a:fillRect/>
        </a:stretch>
      </xdr:blipFill>
      <xdr:spPr>
        <a:xfrm>
          <a:off x="13680281" y="12394407"/>
          <a:ext cx="1914310" cy="34750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xdr:colOff>
      <xdr:row>3</xdr:row>
      <xdr:rowOff>75406</xdr:rowOff>
    </xdr:from>
    <xdr:to>
      <xdr:col>1</xdr:col>
      <xdr:colOff>576262</xdr:colOff>
      <xdr:row>7</xdr:row>
      <xdr:rowOff>34132</xdr:rowOff>
    </xdr:to>
    <xdr:pic macro="[0]!ThisWorkbook.ACCUEIL">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8137" y="561181"/>
          <a:ext cx="571500" cy="606426"/>
        </a:xfrm>
        <a:prstGeom prst="rect">
          <a:avLst/>
        </a:prstGeom>
      </xdr:spPr>
    </xdr:pic>
    <xdr:clientData fPrintsWithSheet="0"/>
  </xdr:twoCellAnchor>
  <xdr:twoCellAnchor>
    <xdr:from>
      <xdr:col>0</xdr:col>
      <xdr:colOff>1</xdr:colOff>
      <xdr:row>0</xdr:row>
      <xdr:rowOff>19051</xdr:rowOff>
    </xdr:from>
    <xdr:to>
      <xdr:col>1</xdr:col>
      <xdr:colOff>1915583</xdr:colOff>
      <xdr:row>3</xdr:row>
      <xdr:rowOff>52916</xdr:rowOff>
    </xdr:to>
    <xdr:sp macro="" textlink="">
      <xdr:nvSpPr>
        <xdr:cNvPr id="6" name="Text Box 429">
          <a:extLst>
            <a:ext uri="{FF2B5EF4-FFF2-40B4-BE49-F238E27FC236}">
              <a16:creationId xmlns:a16="http://schemas.microsoft.com/office/drawing/2014/main" id="{00000000-0008-0000-1000-000006000000}"/>
            </a:ext>
          </a:extLst>
        </xdr:cNvPr>
        <xdr:cNvSpPr txBox="1">
          <a:spLocks noChangeArrowheads="1"/>
        </xdr:cNvSpPr>
      </xdr:nvSpPr>
      <xdr:spPr bwMode="auto">
        <a:xfrm>
          <a:off x="1" y="19051"/>
          <a:ext cx="2254249" cy="51011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962025</xdr:colOff>
      <xdr:row>4</xdr:row>
      <xdr:rowOff>38100</xdr:rowOff>
    </xdr:from>
    <xdr:to>
      <xdr:col>1</xdr:col>
      <xdr:colOff>2066925</xdr:colOff>
      <xdr:row>6</xdr:row>
      <xdr:rowOff>145130</xdr:rowOff>
    </xdr:to>
    <xdr:pic macro="[0]!ThisWorkbook.Imprimer_RESULTATMENSUEL">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0" y="685800"/>
          <a:ext cx="1104900" cy="430880"/>
        </a:xfrm>
        <a:prstGeom prst="rect">
          <a:avLst/>
        </a:prstGeom>
      </xdr:spPr>
    </xdr:pic>
    <xdr:clientData fPrintsWithSheet="0"/>
  </xdr:twoCellAnchor>
  <xdr:twoCellAnchor editAs="oneCell">
    <xdr:from>
      <xdr:col>1</xdr:col>
      <xdr:colOff>2562225</xdr:colOff>
      <xdr:row>3</xdr:row>
      <xdr:rowOff>66675</xdr:rowOff>
    </xdr:from>
    <xdr:to>
      <xdr:col>1</xdr:col>
      <xdr:colOff>3257550</xdr:colOff>
      <xdr:row>7</xdr:row>
      <xdr:rowOff>114300</xdr:rowOff>
    </xdr:to>
    <xdr:pic macro="[0]!ThisWorkbook.RETOUR_OUTILSDEGESTION">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95600" y="552450"/>
          <a:ext cx="695325" cy="695325"/>
        </a:xfrm>
        <a:prstGeom prst="rect">
          <a:avLst/>
        </a:prstGeom>
      </xdr:spPr>
    </xdr:pic>
    <xdr:clientData fPrintsWithSheet="0"/>
  </xdr:twoCellAnchor>
  <xdr:twoCellAnchor editAs="oneCell">
    <xdr:from>
      <xdr:col>1</xdr:col>
      <xdr:colOff>2116668</xdr:colOff>
      <xdr:row>0</xdr:row>
      <xdr:rowOff>116417</xdr:rowOff>
    </xdr:from>
    <xdr:to>
      <xdr:col>1</xdr:col>
      <xdr:colOff>4234668</xdr:colOff>
      <xdr:row>3</xdr:row>
      <xdr:rowOff>21167</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4"/>
        <a:stretch>
          <a:fillRect/>
        </a:stretch>
      </xdr:blipFill>
      <xdr:spPr>
        <a:xfrm>
          <a:off x="2455335" y="116417"/>
          <a:ext cx="2118000" cy="381000"/>
        </a:xfrm>
        <a:prstGeom prst="rect">
          <a:avLst/>
        </a:prstGeom>
      </xdr:spPr>
    </xdr:pic>
    <xdr:clientData/>
  </xdr:twoCellAnchor>
  <xdr:twoCellAnchor editAs="oneCell">
    <xdr:from>
      <xdr:col>51</xdr:col>
      <xdr:colOff>338666</xdr:colOff>
      <xdr:row>90</xdr:row>
      <xdr:rowOff>31750</xdr:rowOff>
    </xdr:from>
    <xdr:to>
      <xdr:col>53</xdr:col>
      <xdr:colOff>347976</xdr:colOff>
      <xdr:row>92</xdr:row>
      <xdr:rowOff>51168</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5"/>
        <a:stretch>
          <a:fillRect/>
        </a:stretch>
      </xdr:blipFill>
      <xdr:spPr>
        <a:xfrm>
          <a:off x="45402499" y="15060083"/>
          <a:ext cx="1914310" cy="34750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152400</xdr:colOff>
      <xdr:row>14</xdr:row>
      <xdr:rowOff>38325</xdr:rowOff>
    </xdr:from>
    <xdr:to>
      <xdr:col>1</xdr:col>
      <xdr:colOff>511207</xdr:colOff>
      <xdr:row>18</xdr:row>
      <xdr:rowOff>19049</xdr:rowOff>
    </xdr:to>
    <xdr:pic>
      <xdr:nvPicPr>
        <xdr:cNvPr id="12" name="Image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333725"/>
          <a:ext cx="577882" cy="656999"/>
        </a:xfrm>
        <a:prstGeom prst="rect">
          <a:avLst/>
        </a:prstGeom>
      </xdr:spPr>
    </xdr:pic>
    <xdr:clientData fPrintsWithSheet="0"/>
  </xdr:twoCellAnchor>
  <xdr:twoCellAnchor>
    <xdr:from>
      <xdr:col>0</xdr:col>
      <xdr:colOff>38100</xdr:colOff>
      <xdr:row>0</xdr:row>
      <xdr:rowOff>66675</xdr:rowOff>
    </xdr:from>
    <xdr:to>
      <xdr:col>4</xdr:col>
      <xdr:colOff>28574</xdr:colOff>
      <xdr:row>2</xdr:row>
      <xdr:rowOff>161924</xdr:rowOff>
    </xdr:to>
    <xdr:sp macro="" textlink="">
      <xdr:nvSpPr>
        <xdr:cNvPr id="15" name="Text Box 429">
          <a:extLst>
            <a:ext uri="{FF2B5EF4-FFF2-40B4-BE49-F238E27FC236}">
              <a16:creationId xmlns:a16="http://schemas.microsoft.com/office/drawing/2014/main" id="{00000000-0008-0000-1100-00000F000000}"/>
            </a:ext>
          </a:extLst>
        </xdr:cNvPr>
        <xdr:cNvSpPr txBox="1">
          <a:spLocks noChangeArrowheads="1"/>
        </xdr:cNvSpPr>
      </xdr:nvSpPr>
      <xdr:spPr bwMode="auto">
        <a:xfrm>
          <a:off x="38100" y="66675"/>
          <a:ext cx="2495549"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28575</xdr:colOff>
      <xdr:row>23</xdr:row>
      <xdr:rowOff>9525</xdr:rowOff>
    </xdr:from>
    <xdr:to>
      <xdr:col>1</xdr:col>
      <xdr:colOff>647700</xdr:colOff>
      <xdr:row>25</xdr:row>
      <xdr:rowOff>133350</xdr:rowOff>
    </xdr:to>
    <xdr:pic>
      <xdr:nvPicPr>
        <xdr:cNvPr id="16" name="Image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75" y="2790825"/>
          <a:ext cx="838200" cy="485775"/>
        </a:xfrm>
        <a:prstGeom prst="rect">
          <a:avLst/>
        </a:prstGeom>
      </xdr:spPr>
    </xdr:pic>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17" name="Image 16">
          <a:extLst>
            <a:ext uri="{FF2B5EF4-FFF2-40B4-BE49-F238E27FC236}">
              <a16:creationId xmlns:a16="http://schemas.microsoft.com/office/drawing/2014/main" id="{00000000-0008-0000-1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0</xdr:col>
      <xdr:colOff>142876</xdr:colOff>
      <xdr:row>18</xdr:row>
      <xdr:rowOff>68098</xdr:rowOff>
    </xdr:from>
    <xdr:to>
      <xdr:col>1</xdr:col>
      <xdr:colOff>569315</xdr:colOff>
      <xdr:row>22</xdr:row>
      <xdr:rowOff>9525</xdr:rowOff>
    </xdr:to>
    <xdr:pic>
      <xdr:nvPicPr>
        <xdr:cNvPr id="21" name="Image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76" y="2039773"/>
          <a:ext cx="645514" cy="636752"/>
        </a:xfrm>
        <a:prstGeom prst="rect">
          <a:avLst/>
        </a:prstGeom>
      </xdr:spPr>
    </xdr:pic>
    <xdr:clientData fPrintsWithSheet="0"/>
  </xdr:twoCellAnchor>
  <xdr:twoCellAnchor editAs="oneCell">
    <xdr:from>
      <xdr:col>2</xdr:col>
      <xdr:colOff>7938</xdr:colOff>
      <xdr:row>64</xdr:row>
      <xdr:rowOff>134938</xdr:rowOff>
    </xdr:from>
    <xdr:to>
      <xdr:col>4</xdr:col>
      <xdr:colOff>141287</xdr:colOff>
      <xdr:row>69</xdr:row>
      <xdr:rowOff>58738</xdr:rowOff>
    </xdr:to>
    <xdr:pic>
      <xdr:nvPicPr>
        <xdr:cNvPr id="26" name="Image 25">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055938" y="3106738"/>
          <a:ext cx="1657349" cy="714375"/>
        </a:xfrm>
        <a:prstGeom prst="rect">
          <a:avLst/>
        </a:prstGeom>
      </xdr:spPr>
    </xdr:pic>
    <xdr:clientData/>
  </xdr:twoCellAnchor>
  <xdr:twoCellAnchor>
    <xdr:from>
      <xdr:col>2</xdr:col>
      <xdr:colOff>209550</xdr:colOff>
      <xdr:row>65</xdr:row>
      <xdr:rowOff>19050</xdr:rowOff>
    </xdr:from>
    <xdr:to>
      <xdr:col>3</xdr:col>
      <xdr:colOff>714375</xdr:colOff>
      <xdr:row>68</xdr:row>
      <xdr:rowOff>95250</xdr:rowOff>
    </xdr:to>
    <xdr:sp macro="" textlink="">
      <xdr:nvSpPr>
        <xdr:cNvPr id="27" name="ZoneTexte 26">
          <a:extLst>
            <a:ext uri="{FF2B5EF4-FFF2-40B4-BE49-F238E27FC236}">
              <a16:creationId xmlns:a16="http://schemas.microsoft.com/office/drawing/2014/main" id="{00000000-0008-0000-1100-00001B000000}"/>
            </a:ext>
          </a:extLst>
        </xdr:cNvPr>
        <xdr:cNvSpPr txBox="1"/>
      </xdr:nvSpPr>
      <xdr:spPr>
        <a:xfrm>
          <a:off x="1190625" y="7477125"/>
          <a:ext cx="126682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MON PLAN FINANCIER</a:t>
          </a:r>
        </a:p>
      </xdr:txBody>
    </xdr:sp>
    <xdr:clientData/>
  </xdr:twoCellAnchor>
  <xdr:twoCellAnchor editAs="oneCell">
    <xdr:from>
      <xdr:col>1</xdr:col>
      <xdr:colOff>657225</xdr:colOff>
      <xdr:row>83</xdr:row>
      <xdr:rowOff>196850</xdr:rowOff>
    </xdr:from>
    <xdr:to>
      <xdr:col>4</xdr:col>
      <xdr:colOff>114299</xdr:colOff>
      <xdr:row>88</xdr:row>
      <xdr:rowOff>120650</xdr:rowOff>
    </xdr:to>
    <xdr:pic>
      <xdr:nvPicPr>
        <xdr:cNvPr id="28" name="Image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6300" y="10855325"/>
          <a:ext cx="1743074" cy="923925"/>
        </a:xfrm>
        <a:prstGeom prst="rect">
          <a:avLst/>
        </a:prstGeom>
      </xdr:spPr>
    </xdr:pic>
    <xdr:clientData/>
  </xdr:twoCellAnchor>
  <xdr:twoCellAnchor>
    <xdr:from>
      <xdr:col>2</xdr:col>
      <xdr:colOff>142875</xdr:colOff>
      <xdr:row>84</xdr:row>
      <xdr:rowOff>85725</xdr:rowOff>
    </xdr:from>
    <xdr:to>
      <xdr:col>3</xdr:col>
      <xdr:colOff>571500</xdr:colOff>
      <xdr:row>87</xdr:row>
      <xdr:rowOff>152400</xdr:rowOff>
    </xdr:to>
    <xdr:sp macro="" textlink="">
      <xdr:nvSpPr>
        <xdr:cNvPr id="29" name="ZoneTexte 28">
          <a:extLst>
            <a:ext uri="{FF2B5EF4-FFF2-40B4-BE49-F238E27FC236}">
              <a16:creationId xmlns:a16="http://schemas.microsoft.com/office/drawing/2014/main" id="{00000000-0008-0000-1100-00001D000000}"/>
            </a:ext>
          </a:extLst>
        </xdr:cNvPr>
        <xdr:cNvSpPr txBox="1"/>
      </xdr:nvSpPr>
      <xdr:spPr>
        <a:xfrm>
          <a:off x="1123950" y="10944225"/>
          <a:ext cx="11906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TOUS</a:t>
          </a:r>
          <a:r>
            <a:rPr lang="fr-CA" sz="1200" b="1" baseline="0">
              <a:solidFill>
                <a:schemeClr val="bg1"/>
              </a:solidFill>
            </a:rPr>
            <a:t> MES ANNEXES</a:t>
          </a:r>
          <a:endParaRPr lang="fr-CA" sz="1200" b="1">
            <a:solidFill>
              <a:schemeClr val="bg1"/>
            </a:solidFill>
          </a:endParaRPr>
        </a:p>
      </xdr:txBody>
    </xdr:sp>
    <xdr:clientData/>
  </xdr:twoCellAnchor>
  <xdr:twoCellAnchor editAs="oneCell">
    <xdr:from>
      <xdr:col>1</xdr:col>
      <xdr:colOff>0</xdr:colOff>
      <xdr:row>3</xdr:row>
      <xdr:rowOff>0</xdr:rowOff>
    </xdr:from>
    <xdr:to>
      <xdr:col>1</xdr:col>
      <xdr:colOff>452411</xdr:colOff>
      <xdr:row>6</xdr:row>
      <xdr:rowOff>28575</xdr:rowOff>
    </xdr:to>
    <xdr:pic macro="[0]!ThisWorkbook.ACCUEIL">
      <xdr:nvPicPr>
        <xdr:cNvPr id="32" name="Image 31">
          <a:extLst>
            <a:ext uri="{FF2B5EF4-FFF2-40B4-BE49-F238E27FC236}">
              <a16:creationId xmlns:a16="http://schemas.microsoft.com/office/drawing/2014/main" id="{00000000-0008-0000-11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9075" y="485775"/>
          <a:ext cx="452411" cy="514350"/>
        </a:xfrm>
        <a:prstGeom prst="rect">
          <a:avLst/>
        </a:prstGeom>
      </xdr:spPr>
    </xdr:pic>
    <xdr:clientData fPrintsWithSheet="0"/>
  </xdr:twoCellAnchor>
  <xdr:twoCellAnchor editAs="oneCell">
    <xdr:from>
      <xdr:col>1</xdr:col>
      <xdr:colOff>28574</xdr:colOff>
      <xdr:row>27</xdr:row>
      <xdr:rowOff>104775</xdr:rowOff>
    </xdr:from>
    <xdr:to>
      <xdr:col>1</xdr:col>
      <xdr:colOff>419099</xdr:colOff>
      <xdr:row>29</xdr:row>
      <xdr:rowOff>159246</xdr:rowOff>
    </xdr:to>
    <xdr:pic>
      <xdr:nvPicPr>
        <xdr:cNvPr id="20" name="Image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7649" y="3876675"/>
          <a:ext cx="390525" cy="378321"/>
        </a:xfrm>
        <a:prstGeom prst="rect">
          <a:avLst/>
        </a:prstGeom>
      </xdr:spPr>
    </xdr:pic>
    <xdr:clientData fPrintsWithSheet="0"/>
  </xdr:twoCellAnchor>
  <xdr:twoCellAnchor editAs="oneCell">
    <xdr:from>
      <xdr:col>1</xdr:col>
      <xdr:colOff>57150</xdr:colOff>
      <xdr:row>30</xdr:row>
      <xdr:rowOff>142875</xdr:rowOff>
    </xdr:from>
    <xdr:to>
      <xdr:col>1</xdr:col>
      <xdr:colOff>447857</xdr:colOff>
      <xdr:row>32</xdr:row>
      <xdr:rowOff>95251</xdr:rowOff>
    </xdr:to>
    <xdr:pic>
      <xdr:nvPicPr>
        <xdr:cNvPr id="23" name="Image 22">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76225" y="4400550"/>
          <a:ext cx="390707" cy="390526"/>
        </a:xfrm>
        <a:prstGeom prst="rect">
          <a:avLst/>
        </a:prstGeom>
      </xdr:spPr>
    </xdr:pic>
    <xdr:clientData fPrintsWithSheet="0"/>
  </xdr:twoCellAnchor>
  <xdr:twoCellAnchor editAs="oneCell">
    <xdr:from>
      <xdr:col>1</xdr:col>
      <xdr:colOff>47625</xdr:colOff>
      <xdr:row>33</xdr:row>
      <xdr:rowOff>95250</xdr:rowOff>
    </xdr:from>
    <xdr:to>
      <xdr:col>1</xdr:col>
      <xdr:colOff>476250</xdr:colOff>
      <xdr:row>35</xdr:row>
      <xdr:rowOff>122654</xdr:rowOff>
    </xdr:to>
    <xdr:pic>
      <xdr:nvPicPr>
        <xdr:cNvPr id="3" name="Imag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8"/>
        <a:stretch>
          <a:fillRect/>
        </a:stretch>
      </xdr:blipFill>
      <xdr:spPr>
        <a:xfrm>
          <a:off x="266700" y="4991100"/>
          <a:ext cx="428625" cy="465554"/>
        </a:xfrm>
        <a:prstGeom prst="rect">
          <a:avLst/>
        </a:prstGeom>
      </xdr:spPr>
    </xdr:pic>
    <xdr:clientData/>
  </xdr:twoCellAnchor>
  <xdr:twoCellAnchor editAs="oneCell">
    <xdr:from>
      <xdr:col>8</xdr:col>
      <xdr:colOff>771525</xdr:colOff>
      <xdr:row>71</xdr:row>
      <xdr:rowOff>66675</xdr:rowOff>
    </xdr:from>
    <xdr:to>
      <xdr:col>10</xdr:col>
      <xdr:colOff>63699</xdr:colOff>
      <xdr:row>73</xdr:row>
      <xdr:rowOff>154347</xdr:rowOff>
    </xdr:to>
    <xdr:pic>
      <xdr:nvPicPr>
        <xdr:cNvPr id="4" name="Imag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9"/>
        <a:stretch>
          <a:fillRect/>
        </a:stretch>
      </xdr:blipFill>
      <xdr:spPr>
        <a:xfrm>
          <a:off x="5829300" y="10515600"/>
          <a:ext cx="835224" cy="487722"/>
        </a:xfrm>
        <a:prstGeom prst="rect">
          <a:avLst/>
        </a:prstGeom>
      </xdr:spPr>
    </xdr:pic>
    <xdr:clientData/>
  </xdr:twoCellAnchor>
  <xdr:twoCellAnchor editAs="oneCell">
    <xdr:from>
      <xdr:col>7</xdr:col>
      <xdr:colOff>142876</xdr:colOff>
      <xdr:row>0</xdr:row>
      <xdr:rowOff>85726</xdr:rowOff>
    </xdr:from>
    <xdr:to>
      <xdr:col>10</xdr:col>
      <xdr:colOff>171450</xdr:colOff>
      <xdr:row>3</xdr:row>
      <xdr:rowOff>19739</xdr:rowOff>
    </xdr:to>
    <xdr:pic>
      <xdr:nvPicPr>
        <xdr:cNvPr id="2" name="Imag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0"/>
        <a:stretch>
          <a:fillRect/>
        </a:stretch>
      </xdr:blipFill>
      <xdr:spPr>
        <a:xfrm>
          <a:off x="4438651" y="85726"/>
          <a:ext cx="2333624" cy="41978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28575</xdr:colOff>
      <xdr:row>16</xdr:row>
      <xdr:rowOff>66675</xdr:rowOff>
    </xdr:from>
    <xdr:to>
      <xdr:col>7</xdr:col>
      <xdr:colOff>619125</xdr:colOff>
      <xdr:row>17</xdr:row>
      <xdr:rowOff>47625</xdr:rowOff>
    </xdr:to>
    <xdr:sp macro="" textlink="">
      <xdr:nvSpPr>
        <xdr:cNvPr id="14364" name="Text Box 28">
          <a:extLst>
            <a:ext uri="{FF2B5EF4-FFF2-40B4-BE49-F238E27FC236}">
              <a16:creationId xmlns:a16="http://schemas.microsoft.com/office/drawing/2014/main" id="{00000000-0008-0000-1200-00001C380000}"/>
            </a:ext>
          </a:extLst>
        </xdr:cNvPr>
        <xdr:cNvSpPr txBox="1">
          <a:spLocks noChangeArrowheads="1"/>
        </xdr:cNvSpPr>
      </xdr:nvSpPr>
      <xdr:spPr bwMode="auto">
        <a:xfrm>
          <a:off x="4162425" y="1657350"/>
          <a:ext cx="1447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Forme juridique</a:t>
          </a:r>
        </a:p>
      </xdr:txBody>
    </xdr:sp>
    <xdr:clientData/>
  </xdr:twoCellAnchor>
  <xdr:twoCellAnchor>
    <xdr:from>
      <xdr:col>6</xdr:col>
      <xdr:colOff>28575</xdr:colOff>
      <xdr:row>17</xdr:row>
      <xdr:rowOff>66675</xdr:rowOff>
    </xdr:from>
    <xdr:to>
      <xdr:col>7</xdr:col>
      <xdr:colOff>752475</xdr:colOff>
      <xdr:row>18</xdr:row>
      <xdr:rowOff>47625</xdr:rowOff>
    </xdr:to>
    <xdr:sp macro="" textlink="">
      <xdr:nvSpPr>
        <xdr:cNvPr id="14373" name="Text Box 37">
          <a:extLst>
            <a:ext uri="{FF2B5EF4-FFF2-40B4-BE49-F238E27FC236}">
              <a16:creationId xmlns:a16="http://schemas.microsoft.com/office/drawing/2014/main" id="{00000000-0008-0000-1200-000025380000}"/>
            </a:ext>
          </a:extLst>
        </xdr:cNvPr>
        <xdr:cNvSpPr txBox="1">
          <a:spLocks noChangeArrowheads="1"/>
        </xdr:cNvSpPr>
      </xdr:nvSpPr>
      <xdr:spPr bwMode="auto">
        <a:xfrm>
          <a:off x="4162425" y="1885950"/>
          <a:ext cx="158115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Secteur d'activité</a:t>
          </a:r>
        </a:p>
      </xdr:txBody>
    </xdr:sp>
    <xdr:clientData/>
  </xdr:twoCellAnchor>
  <xdr:twoCellAnchor>
    <xdr:from>
      <xdr:col>6</xdr:col>
      <xdr:colOff>28575</xdr:colOff>
      <xdr:row>18</xdr:row>
      <xdr:rowOff>66675</xdr:rowOff>
    </xdr:from>
    <xdr:to>
      <xdr:col>9</xdr:col>
      <xdr:colOff>390525</xdr:colOff>
      <xdr:row>19</xdr:row>
      <xdr:rowOff>47625</xdr:rowOff>
    </xdr:to>
    <xdr:sp macro="" textlink="">
      <xdr:nvSpPr>
        <xdr:cNvPr id="14374" name="Text Box 38">
          <a:extLst>
            <a:ext uri="{FF2B5EF4-FFF2-40B4-BE49-F238E27FC236}">
              <a16:creationId xmlns:a16="http://schemas.microsoft.com/office/drawing/2014/main" id="{00000000-0008-0000-1200-000026380000}"/>
            </a:ext>
          </a:extLst>
        </xdr:cNvPr>
        <xdr:cNvSpPr txBox="1">
          <a:spLocks noChangeArrowheads="1"/>
        </xdr:cNvSpPr>
      </xdr:nvSpPr>
      <xdr:spPr bwMode="auto">
        <a:xfrm>
          <a:off x="4162425" y="2114550"/>
          <a:ext cx="23622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Enregistrement aux taxes de vente</a:t>
          </a:r>
        </a:p>
      </xdr:txBody>
    </xdr:sp>
    <xdr:clientData/>
  </xdr:twoCellAnchor>
  <xdr:twoCellAnchor>
    <xdr:from>
      <xdr:col>6</xdr:col>
      <xdr:colOff>28575</xdr:colOff>
      <xdr:row>19</xdr:row>
      <xdr:rowOff>66675</xdr:rowOff>
    </xdr:from>
    <xdr:to>
      <xdr:col>7</xdr:col>
      <xdr:colOff>695325</xdr:colOff>
      <xdr:row>20</xdr:row>
      <xdr:rowOff>47625</xdr:rowOff>
    </xdr:to>
    <xdr:sp macro="" textlink="">
      <xdr:nvSpPr>
        <xdr:cNvPr id="14375" name="Text Box 39">
          <a:extLst>
            <a:ext uri="{FF2B5EF4-FFF2-40B4-BE49-F238E27FC236}">
              <a16:creationId xmlns:a16="http://schemas.microsoft.com/office/drawing/2014/main" id="{00000000-0008-0000-1200-000027380000}"/>
            </a:ext>
          </a:extLst>
        </xdr:cNvPr>
        <xdr:cNvSpPr txBox="1">
          <a:spLocks noChangeArrowheads="1"/>
        </xdr:cNvSpPr>
      </xdr:nvSpPr>
      <xdr:spPr bwMode="auto">
        <a:xfrm>
          <a:off x="4162425" y="2343150"/>
          <a:ext cx="15240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Inventaire de départ</a:t>
          </a:r>
        </a:p>
      </xdr:txBody>
    </xdr:sp>
    <xdr:clientData/>
  </xdr:twoCellAnchor>
  <xdr:twoCellAnchor>
    <xdr:from>
      <xdr:col>6</xdr:col>
      <xdr:colOff>47625</xdr:colOff>
      <xdr:row>22</xdr:row>
      <xdr:rowOff>66675</xdr:rowOff>
    </xdr:from>
    <xdr:to>
      <xdr:col>7</xdr:col>
      <xdr:colOff>1028700</xdr:colOff>
      <xdr:row>23</xdr:row>
      <xdr:rowOff>76200</xdr:rowOff>
    </xdr:to>
    <xdr:sp macro="" textlink="">
      <xdr:nvSpPr>
        <xdr:cNvPr id="14385" name="Text Box 49">
          <a:extLst>
            <a:ext uri="{FF2B5EF4-FFF2-40B4-BE49-F238E27FC236}">
              <a16:creationId xmlns:a16="http://schemas.microsoft.com/office/drawing/2014/main" id="{00000000-0008-0000-1200-000031380000}"/>
            </a:ext>
          </a:extLst>
        </xdr:cNvPr>
        <xdr:cNvSpPr txBox="1">
          <a:spLocks noChangeArrowheads="1"/>
        </xdr:cNvSpPr>
      </xdr:nvSpPr>
      <xdr:spPr bwMode="auto">
        <a:xfrm>
          <a:off x="4171950" y="3028950"/>
          <a:ext cx="1847850" cy="2476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Financement  fournisseurs</a:t>
          </a:r>
        </a:p>
      </xdr:txBody>
    </xdr:sp>
    <xdr:clientData/>
  </xdr:twoCellAnchor>
  <xdr:twoCellAnchor>
    <xdr:from>
      <xdr:col>6</xdr:col>
      <xdr:colOff>28575</xdr:colOff>
      <xdr:row>21</xdr:row>
      <xdr:rowOff>66675</xdr:rowOff>
    </xdr:from>
    <xdr:to>
      <xdr:col>7</xdr:col>
      <xdr:colOff>733425</xdr:colOff>
      <xdr:row>22</xdr:row>
      <xdr:rowOff>47625</xdr:rowOff>
    </xdr:to>
    <xdr:sp macro="" textlink="">
      <xdr:nvSpPr>
        <xdr:cNvPr id="14386" name="Text Box 50">
          <a:extLst>
            <a:ext uri="{FF2B5EF4-FFF2-40B4-BE49-F238E27FC236}">
              <a16:creationId xmlns:a16="http://schemas.microsoft.com/office/drawing/2014/main" id="{00000000-0008-0000-1200-000032380000}"/>
            </a:ext>
          </a:extLst>
        </xdr:cNvPr>
        <xdr:cNvSpPr txBox="1">
          <a:spLocks noChangeArrowheads="1"/>
        </xdr:cNvSpPr>
      </xdr:nvSpPr>
      <xdr:spPr bwMode="auto">
        <a:xfrm>
          <a:off x="4162425" y="2800350"/>
          <a:ext cx="15621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Mise de fonds initiale</a:t>
          </a:r>
        </a:p>
      </xdr:txBody>
    </xdr:sp>
    <xdr:clientData/>
  </xdr:twoCellAnchor>
  <xdr:twoCellAnchor>
    <xdr:from>
      <xdr:col>7</xdr:col>
      <xdr:colOff>161925</xdr:colOff>
      <xdr:row>20</xdr:row>
      <xdr:rowOff>38100</xdr:rowOff>
    </xdr:from>
    <xdr:to>
      <xdr:col>7</xdr:col>
      <xdr:colOff>857250</xdr:colOff>
      <xdr:row>21</xdr:row>
      <xdr:rowOff>28575</xdr:rowOff>
    </xdr:to>
    <xdr:sp macro="" textlink="">
      <xdr:nvSpPr>
        <xdr:cNvPr id="14387" name="Text Box 51">
          <a:extLst>
            <a:ext uri="{FF2B5EF4-FFF2-40B4-BE49-F238E27FC236}">
              <a16:creationId xmlns:a16="http://schemas.microsoft.com/office/drawing/2014/main" id="{00000000-0008-0000-1200-000033380000}"/>
            </a:ext>
          </a:extLst>
        </xdr:cNvPr>
        <xdr:cNvSpPr txBox="1">
          <a:spLocks noChangeArrowheads="1"/>
        </xdr:cNvSpPr>
      </xdr:nvSpPr>
      <xdr:spPr bwMode="auto">
        <a:xfrm>
          <a:off x="5162550" y="2552700"/>
          <a:ext cx="685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a:t>
          </a:r>
        </a:p>
      </xdr:txBody>
    </xdr:sp>
    <xdr:clientData/>
  </xdr:twoCellAnchor>
  <xdr:twoCellAnchor>
    <xdr:from>
      <xdr:col>9</xdr:col>
      <xdr:colOff>9525</xdr:colOff>
      <xdr:row>20</xdr:row>
      <xdr:rowOff>0</xdr:rowOff>
    </xdr:from>
    <xdr:to>
      <xdr:col>10</xdr:col>
      <xdr:colOff>9525</xdr:colOff>
      <xdr:row>21</xdr:row>
      <xdr:rowOff>0</xdr:rowOff>
    </xdr:to>
    <xdr:sp macro="" textlink="">
      <xdr:nvSpPr>
        <xdr:cNvPr id="14459" name="Rectangle 52">
          <a:extLst>
            <a:ext uri="{FF2B5EF4-FFF2-40B4-BE49-F238E27FC236}">
              <a16:creationId xmlns:a16="http://schemas.microsoft.com/office/drawing/2014/main" id="{00000000-0008-0000-1200-00007B380000}"/>
            </a:ext>
          </a:extLst>
        </xdr:cNvPr>
        <xdr:cNvSpPr>
          <a:spLocks noChangeArrowheads="1"/>
        </xdr:cNvSpPr>
      </xdr:nvSpPr>
      <xdr:spPr bwMode="auto">
        <a:xfrm>
          <a:off x="6115050" y="1704975"/>
          <a:ext cx="962025" cy="228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28575</xdr:colOff>
      <xdr:row>23</xdr:row>
      <xdr:rowOff>66675</xdr:rowOff>
    </xdr:from>
    <xdr:to>
      <xdr:col>7</xdr:col>
      <xdr:colOff>809625</xdr:colOff>
      <xdr:row>24</xdr:row>
      <xdr:rowOff>47625</xdr:rowOff>
    </xdr:to>
    <xdr:sp macro="" textlink="">
      <xdr:nvSpPr>
        <xdr:cNvPr id="14389" name="Text Box 53">
          <a:extLst>
            <a:ext uri="{FF2B5EF4-FFF2-40B4-BE49-F238E27FC236}">
              <a16:creationId xmlns:a16="http://schemas.microsoft.com/office/drawing/2014/main" id="{00000000-0008-0000-1200-000035380000}"/>
            </a:ext>
          </a:extLst>
        </xdr:cNvPr>
        <xdr:cNvSpPr txBox="1">
          <a:spLocks noChangeArrowheads="1"/>
        </xdr:cNvSpPr>
      </xdr:nvSpPr>
      <xdr:spPr bwMode="auto">
        <a:xfrm>
          <a:off x="4162425" y="3257550"/>
          <a:ext cx="16383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Durée du bail</a:t>
          </a:r>
        </a:p>
      </xdr:txBody>
    </xdr:sp>
    <xdr:clientData/>
  </xdr:twoCellAnchor>
  <xdr:twoCellAnchor>
    <xdr:from>
      <xdr:col>6</xdr:col>
      <xdr:colOff>28575</xdr:colOff>
      <xdr:row>24</xdr:row>
      <xdr:rowOff>66675</xdr:rowOff>
    </xdr:from>
    <xdr:to>
      <xdr:col>7</xdr:col>
      <xdr:colOff>876300</xdr:colOff>
      <xdr:row>25</xdr:row>
      <xdr:rowOff>47625</xdr:rowOff>
    </xdr:to>
    <xdr:sp macro="" textlink="">
      <xdr:nvSpPr>
        <xdr:cNvPr id="14390" name="Text Box 54">
          <a:extLst>
            <a:ext uri="{FF2B5EF4-FFF2-40B4-BE49-F238E27FC236}">
              <a16:creationId xmlns:a16="http://schemas.microsoft.com/office/drawing/2014/main" id="{00000000-0008-0000-1200-000036380000}"/>
            </a:ext>
          </a:extLst>
        </xdr:cNvPr>
        <xdr:cNvSpPr txBox="1">
          <a:spLocks noChangeArrowheads="1"/>
        </xdr:cNvSpPr>
      </xdr:nvSpPr>
      <xdr:spPr bwMode="auto">
        <a:xfrm>
          <a:off x="4162425" y="3486150"/>
          <a:ext cx="1704975"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Taux d'intérêt sur marge</a:t>
          </a:r>
        </a:p>
      </xdr:txBody>
    </xdr:sp>
    <xdr:clientData/>
  </xdr:twoCellAnchor>
  <xdr:twoCellAnchor>
    <xdr:from>
      <xdr:col>5</xdr:col>
      <xdr:colOff>666750</xdr:colOff>
      <xdr:row>26</xdr:row>
      <xdr:rowOff>38100</xdr:rowOff>
    </xdr:from>
    <xdr:to>
      <xdr:col>7</xdr:col>
      <xdr:colOff>1076325</xdr:colOff>
      <xdr:row>27</xdr:row>
      <xdr:rowOff>95250</xdr:rowOff>
    </xdr:to>
    <xdr:sp macro="" textlink="">
      <xdr:nvSpPr>
        <xdr:cNvPr id="14391" name="Text Box 55">
          <a:extLst>
            <a:ext uri="{FF2B5EF4-FFF2-40B4-BE49-F238E27FC236}">
              <a16:creationId xmlns:a16="http://schemas.microsoft.com/office/drawing/2014/main" id="{00000000-0008-0000-1200-000037380000}"/>
            </a:ext>
          </a:extLst>
        </xdr:cNvPr>
        <xdr:cNvSpPr txBox="1">
          <a:spLocks noChangeArrowheads="1"/>
        </xdr:cNvSpPr>
      </xdr:nvSpPr>
      <xdr:spPr bwMode="auto">
        <a:xfrm>
          <a:off x="4067175" y="3924300"/>
          <a:ext cx="2000250" cy="2857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 du marché potentiel</a:t>
          </a:r>
        </a:p>
      </xdr:txBody>
    </xdr:sp>
    <xdr:clientData/>
  </xdr:twoCellAnchor>
  <xdr:twoCellAnchor>
    <xdr:from>
      <xdr:col>4</xdr:col>
      <xdr:colOff>152400</xdr:colOff>
      <xdr:row>291</xdr:row>
      <xdr:rowOff>9525</xdr:rowOff>
    </xdr:from>
    <xdr:to>
      <xdr:col>4</xdr:col>
      <xdr:colOff>752475</xdr:colOff>
      <xdr:row>292</xdr:row>
      <xdr:rowOff>28575</xdr:rowOff>
    </xdr:to>
    <xdr:sp macro="[0]!ThisWorkbook.Masquer_45" textlink="">
      <xdr:nvSpPr>
        <xdr:cNvPr id="19" name="Text Box 68">
          <a:extLst>
            <a:ext uri="{FF2B5EF4-FFF2-40B4-BE49-F238E27FC236}">
              <a16:creationId xmlns:a16="http://schemas.microsoft.com/office/drawing/2014/main" id="{00000000-0008-0000-1200-000013000000}"/>
            </a:ext>
          </a:extLst>
        </xdr:cNvPr>
        <xdr:cNvSpPr txBox="1">
          <a:spLocks noChangeArrowheads="1"/>
        </xdr:cNvSpPr>
      </xdr:nvSpPr>
      <xdr:spPr bwMode="auto">
        <a:xfrm>
          <a:off x="2790825" y="6429375"/>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3</a:t>
          </a:r>
          <a:r>
            <a:rPr lang="fr-CA" sz="1000" b="0" i="0" u="sng" strike="noStrike" baseline="0">
              <a:solidFill>
                <a:srgbClr val="0000FF"/>
              </a:solidFill>
              <a:latin typeface="Times New Roman CYR"/>
            </a:rPr>
            <a:t> ans</a:t>
          </a:r>
          <a:endParaRPr lang="fr-CA" sz="1000" b="0" i="0" u="sng" strike="noStrike">
            <a:solidFill>
              <a:srgbClr val="0000FF"/>
            </a:solidFill>
            <a:latin typeface="Times New Roman CYR"/>
          </a:endParaRPr>
        </a:p>
      </xdr:txBody>
    </xdr:sp>
    <xdr:clientData fPrintsWithSheet="0"/>
  </xdr:twoCellAnchor>
  <xdr:twoCellAnchor>
    <xdr:from>
      <xdr:col>5</xdr:col>
      <xdr:colOff>0</xdr:colOff>
      <xdr:row>291</xdr:row>
      <xdr:rowOff>0</xdr:rowOff>
    </xdr:from>
    <xdr:to>
      <xdr:col>5</xdr:col>
      <xdr:colOff>600075</xdr:colOff>
      <xdr:row>292</xdr:row>
      <xdr:rowOff>9525</xdr:rowOff>
    </xdr:to>
    <xdr:sp macro="[0]!ThisWorkbook.Afficher_45" textlink="">
      <xdr:nvSpPr>
        <xdr:cNvPr id="20" name="Text Box 68">
          <a:extLst>
            <a:ext uri="{FF2B5EF4-FFF2-40B4-BE49-F238E27FC236}">
              <a16:creationId xmlns:a16="http://schemas.microsoft.com/office/drawing/2014/main" id="{00000000-0008-0000-1200-000014000000}"/>
            </a:ext>
          </a:extLst>
        </xdr:cNvPr>
        <xdr:cNvSpPr txBox="1">
          <a:spLocks noChangeArrowheads="1"/>
        </xdr:cNvSpPr>
      </xdr:nvSpPr>
      <xdr:spPr bwMode="auto">
        <a:xfrm>
          <a:off x="3400425" y="6419850"/>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5 ans</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812800</xdr:colOff>
          <xdr:row>16</xdr:row>
          <xdr:rowOff>12700</xdr:rowOff>
        </xdr:from>
        <xdr:to>
          <xdr:col>10</xdr:col>
          <xdr:colOff>38100</xdr:colOff>
          <xdr:row>17</xdr:row>
          <xdr:rowOff>0</xdr:rowOff>
        </xdr:to>
        <xdr:sp macro="" textlink="">
          <xdr:nvSpPr>
            <xdr:cNvPr id="14381" name="Drop Down 45" hidden="1">
              <a:extLst>
                <a:ext uri="{63B3BB69-23CF-44E3-9099-C40C66FF867C}">
                  <a14:compatExt spid="_x0000_s14381"/>
                </a:ext>
                <a:ext uri="{FF2B5EF4-FFF2-40B4-BE49-F238E27FC236}">
                  <a16:creationId xmlns:a16="http://schemas.microsoft.com/office/drawing/2014/main" id="{00000000-0008-0000-1200-00002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825500</xdr:colOff>
          <xdr:row>17</xdr:row>
          <xdr:rowOff>12700</xdr:rowOff>
        </xdr:from>
        <xdr:to>
          <xdr:col>10</xdr:col>
          <xdr:colOff>38100</xdr:colOff>
          <xdr:row>17</xdr:row>
          <xdr:rowOff>215900</xdr:rowOff>
        </xdr:to>
        <xdr:sp macro="" textlink="">
          <xdr:nvSpPr>
            <xdr:cNvPr id="14382" name="Drop Down 46" hidden="1">
              <a:extLst>
                <a:ext uri="{63B3BB69-23CF-44E3-9099-C40C66FF867C}">
                  <a14:compatExt spid="_x0000_s14382"/>
                </a:ext>
                <a:ext uri="{FF2B5EF4-FFF2-40B4-BE49-F238E27FC236}">
                  <a16:creationId xmlns:a16="http://schemas.microsoft.com/office/drawing/2014/main" id="{00000000-0008-0000-1200-00002E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18</xdr:row>
          <xdr:rowOff>12700</xdr:rowOff>
        </xdr:from>
        <xdr:to>
          <xdr:col>10</xdr:col>
          <xdr:colOff>25400</xdr:colOff>
          <xdr:row>19</xdr:row>
          <xdr:rowOff>0</xdr:rowOff>
        </xdr:to>
        <xdr:sp macro="" textlink="">
          <xdr:nvSpPr>
            <xdr:cNvPr id="14383" name="Drop Down 47" hidden="1">
              <a:extLst>
                <a:ext uri="{63B3BB69-23CF-44E3-9099-C40C66FF867C}">
                  <a14:compatExt spid="_x0000_s14383"/>
                </a:ext>
                <a:ext uri="{FF2B5EF4-FFF2-40B4-BE49-F238E27FC236}">
                  <a16:creationId xmlns:a16="http://schemas.microsoft.com/office/drawing/2014/main" id="{00000000-0008-0000-1200-00002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19</xdr:row>
          <xdr:rowOff>12700</xdr:rowOff>
        </xdr:from>
        <xdr:to>
          <xdr:col>10</xdr:col>
          <xdr:colOff>38100</xdr:colOff>
          <xdr:row>20</xdr:row>
          <xdr:rowOff>0</xdr:rowOff>
        </xdr:to>
        <xdr:sp macro="" textlink="">
          <xdr:nvSpPr>
            <xdr:cNvPr id="14384" name="Drop Down 48" hidden="1">
              <a:extLst>
                <a:ext uri="{63B3BB69-23CF-44E3-9099-C40C66FF867C}">
                  <a14:compatExt spid="_x0000_s14384"/>
                </a:ext>
                <a:ext uri="{FF2B5EF4-FFF2-40B4-BE49-F238E27FC236}">
                  <a16:creationId xmlns:a16="http://schemas.microsoft.com/office/drawing/2014/main" id="{00000000-0008-0000-1200-000030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23</xdr:row>
          <xdr:rowOff>12700</xdr:rowOff>
        </xdr:from>
        <xdr:to>
          <xdr:col>10</xdr:col>
          <xdr:colOff>25400</xdr:colOff>
          <xdr:row>23</xdr:row>
          <xdr:rowOff>215900</xdr:rowOff>
        </xdr:to>
        <xdr:sp macro="" textlink="">
          <xdr:nvSpPr>
            <xdr:cNvPr id="14392" name="Drop Down 56" hidden="1">
              <a:extLst>
                <a:ext uri="{63B3BB69-23CF-44E3-9099-C40C66FF867C}">
                  <a14:compatExt spid="_x0000_s14392"/>
                </a:ext>
                <a:ext uri="{FF2B5EF4-FFF2-40B4-BE49-F238E27FC236}">
                  <a16:creationId xmlns:a16="http://schemas.microsoft.com/office/drawing/2014/main" id="{00000000-0008-0000-1200-00003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24</xdr:row>
          <xdr:rowOff>12700</xdr:rowOff>
        </xdr:from>
        <xdr:to>
          <xdr:col>10</xdr:col>
          <xdr:colOff>25400</xdr:colOff>
          <xdr:row>24</xdr:row>
          <xdr:rowOff>215900</xdr:rowOff>
        </xdr:to>
        <xdr:sp macro="" textlink="">
          <xdr:nvSpPr>
            <xdr:cNvPr id="14393" name="Drop Down 57" hidden="1">
              <a:extLst>
                <a:ext uri="{63B3BB69-23CF-44E3-9099-C40C66FF867C}">
                  <a14:compatExt spid="_x0000_s14393"/>
                </a:ext>
                <a:ext uri="{FF2B5EF4-FFF2-40B4-BE49-F238E27FC236}">
                  <a16:creationId xmlns:a16="http://schemas.microsoft.com/office/drawing/2014/main" id="{00000000-0008-0000-1200-00003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25</xdr:row>
          <xdr:rowOff>12700</xdr:rowOff>
        </xdr:from>
        <xdr:to>
          <xdr:col>10</xdr:col>
          <xdr:colOff>25400</xdr:colOff>
          <xdr:row>25</xdr:row>
          <xdr:rowOff>215900</xdr:rowOff>
        </xdr:to>
        <xdr:sp macro="" textlink="">
          <xdr:nvSpPr>
            <xdr:cNvPr id="14395" name="Drop Down 59" hidden="1">
              <a:extLst>
                <a:ext uri="{63B3BB69-23CF-44E3-9099-C40C66FF867C}">
                  <a14:compatExt spid="_x0000_s14395"/>
                </a:ext>
                <a:ext uri="{FF2B5EF4-FFF2-40B4-BE49-F238E27FC236}">
                  <a16:creationId xmlns:a16="http://schemas.microsoft.com/office/drawing/2014/main" id="{00000000-0008-0000-1200-00003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28</xdr:row>
          <xdr:rowOff>0</xdr:rowOff>
        </xdr:from>
        <xdr:to>
          <xdr:col>4</xdr:col>
          <xdr:colOff>533400</xdr:colOff>
          <xdr:row>29</xdr:row>
          <xdr:rowOff>12700</xdr:rowOff>
        </xdr:to>
        <xdr:sp macro="" textlink="">
          <xdr:nvSpPr>
            <xdr:cNvPr id="14402" name="Drop Down 66" hidden="1">
              <a:extLst>
                <a:ext uri="{63B3BB69-23CF-44E3-9099-C40C66FF867C}">
                  <a14:compatExt spid="_x0000_s14402"/>
                </a:ext>
                <a:ext uri="{FF2B5EF4-FFF2-40B4-BE49-F238E27FC236}">
                  <a16:creationId xmlns:a16="http://schemas.microsoft.com/office/drawing/2014/main" id="{00000000-0008-0000-1200-00004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0</xdr:col>
      <xdr:colOff>190500</xdr:colOff>
      <xdr:row>3</xdr:row>
      <xdr:rowOff>130175</xdr:rowOff>
    </xdr:from>
    <xdr:to>
      <xdr:col>1</xdr:col>
      <xdr:colOff>221319</xdr:colOff>
      <xdr:row>6</xdr:row>
      <xdr:rowOff>47626</xdr:rowOff>
    </xdr:to>
    <xdr:pic macro="[0]!ThisWorkbook.ACCUEIL">
      <xdr:nvPicPr>
        <xdr:cNvPr id="24" name="Image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15950"/>
          <a:ext cx="354669" cy="403226"/>
        </a:xfrm>
        <a:prstGeom prst="rect">
          <a:avLst/>
        </a:prstGeom>
      </xdr:spPr>
    </xdr:pic>
    <xdr:clientData fPrintsWithSheet="0"/>
  </xdr:twoCellAnchor>
  <xdr:twoCellAnchor>
    <xdr:from>
      <xdr:col>0</xdr:col>
      <xdr:colOff>38101</xdr:colOff>
      <xdr:row>0</xdr:row>
      <xdr:rowOff>66675</xdr:rowOff>
    </xdr:from>
    <xdr:to>
      <xdr:col>3</xdr:col>
      <xdr:colOff>771525</xdr:colOff>
      <xdr:row>4</xdr:row>
      <xdr:rowOff>19050</xdr:rowOff>
    </xdr:to>
    <xdr:sp macro="" textlink="">
      <xdr:nvSpPr>
        <xdr:cNvPr id="26" name="Text Box 429">
          <a:extLst>
            <a:ext uri="{FF2B5EF4-FFF2-40B4-BE49-F238E27FC236}">
              <a16:creationId xmlns:a16="http://schemas.microsoft.com/office/drawing/2014/main" id="{00000000-0008-0000-1200-00001A000000}"/>
            </a:ext>
          </a:extLst>
        </xdr:cNvPr>
        <xdr:cNvSpPr txBox="1">
          <a:spLocks noChangeArrowheads="1"/>
        </xdr:cNvSpPr>
      </xdr:nvSpPr>
      <xdr:spPr bwMode="auto">
        <a:xfrm>
          <a:off x="38101" y="66675"/>
          <a:ext cx="2514599" cy="6000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5</xdr:col>
      <xdr:colOff>914400</xdr:colOff>
      <xdr:row>0</xdr:row>
      <xdr:rowOff>123825</xdr:rowOff>
    </xdr:from>
    <xdr:to>
      <xdr:col>6</xdr:col>
      <xdr:colOff>1172</xdr:colOff>
      <xdr:row>3</xdr:row>
      <xdr:rowOff>85725</xdr:rowOff>
    </xdr:to>
    <xdr:pic>
      <xdr:nvPicPr>
        <xdr:cNvPr id="28" name="Image 27">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6</xdr:col>
      <xdr:colOff>1</xdr:colOff>
      <xdr:row>1</xdr:row>
      <xdr:rowOff>0</xdr:rowOff>
    </xdr:from>
    <xdr:to>
      <xdr:col>9</xdr:col>
      <xdr:colOff>478876</xdr:colOff>
      <xdr:row>3</xdr:row>
      <xdr:rowOff>123825</xdr:rowOff>
    </xdr:to>
    <xdr:pic>
      <xdr:nvPicPr>
        <xdr:cNvPr id="2" name="Imag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3"/>
        <a:stretch>
          <a:fillRect/>
        </a:stretch>
      </xdr:blipFill>
      <xdr:spPr>
        <a:xfrm>
          <a:off x="4095751" y="161925"/>
          <a:ext cx="2488650" cy="4476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558800</xdr:colOff>
          <xdr:row>13</xdr:row>
          <xdr:rowOff>38100</xdr:rowOff>
        </xdr:from>
        <xdr:to>
          <xdr:col>4</xdr:col>
          <xdr:colOff>139700</xdr:colOff>
          <xdr:row>14</xdr:row>
          <xdr:rowOff>25400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15</xdr:row>
          <xdr:rowOff>12700</xdr:rowOff>
        </xdr:from>
        <xdr:to>
          <xdr:col>4</xdr:col>
          <xdr:colOff>139700</xdr:colOff>
          <xdr:row>16</xdr:row>
          <xdr:rowOff>0</xdr:rowOff>
        </xdr:to>
        <xdr:sp macro="" textlink="">
          <xdr:nvSpPr>
            <xdr:cNvPr id="26628" name="Drop Down 4" hidden="1">
              <a:extLst>
                <a:ext uri="{63B3BB69-23CF-44E3-9099-C40C66FF867C}">
                  <a14:compatExt spid="_x0000_s26628"/>
                </a:ext>
                <a:ext uri="{FF2B5EF4-FFF2-40B4-BE49-F238E27FC236}">
                  <a16:creationId xmlns:a16="http://schemas.microsoft.com/office/drawing/2014/main" id="{00000000-0008-0000-1300-000004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17</xdr:row>
          <xdr:rowOff>12700</xdr:rowOff>
        </xdr:from>
        <xdr:to>
          <xdr:col>4</xdr:col>
          <xdr:colOff>139700</xdr:colOff>
          <xdr:row>18</xdr:row>
          <xdr:rowOff>0</xdr:rowOff>
        </xdr:to>
        <xdr:sp macro="" textlink="">
          <xdr:nvSpPr>
            <xdr:cNvPr id="26658" name="Drop Down 34" hidden="1">
              <a:extLst>
                <a:ext uri="{63B3BB69-23CF-44E3-9099-C40C66FF867C}">
                  <a14:compatExt spid="_x0000_s26658"/>
                </a:ext>
                <a:ext uri="{FF2B5EF4-FFF2-40B4-BE49-F238E27FC236}">
                  <a16:creationId xmlns:a16="http://schemas.microsoft.com/office/drawing/2014/main" id="{00000000-0008-0000-1300-000022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19</xdr:row>
          <xdr:rowOff>12700</xdr:rowOff>
        </xdr:from>
        <xdr:to>
          <xdr:col>4</xdr:col>
          <xdr:colOff>139700</xdr:colOff>
          <xdr:row>20</xdr:row>
          <xdr:rowOff>0</xdr:rowOff>
        </xdr:to>
        <xdr:sp macro="" textlink="">
          <xdr:nvSpPr>
            <xdr:cNvPr id="26659" name="Drop Down 35" hidden="1">
              <a:extLst>
                <a:ext uri="{63B3BB69-23CF-44E3-9099-C40C66FF867C}">
                  <a14:compatExt spid="_x0000_s26659"/>
                </a:ext>
                <a:ext uri="{FF2B5EF4-FFF2-40B4-BE49-F238E27FC236}">
                  <a16:creationId xmlns:a16="http://schemas.microsoft.com/office/drawing/2014/main" id="{00000000-0008-0000-1300-000023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21</xdr:row>
          <xdr:rowOff>12700</xdr:rowOff>
        </xdr:from>
        <xdr:to>
          <xdr:col>4</xdr:col>
          <xdr:colOff>139700</xdr:colOff>
          <xdr:row>22</xdr:row>
          <xdr:rowOff>0</xdr:rowOff>
        </xdr:to>
        <xdr:sp macro="" textlink="">
          <xdr:nvSpPr>
            <xdr:cNvPr id="26660" name="Drop Down 36" hidden="1">
              <a:extLst>
                <a:ext uri="{63B3BB69-23CF-44E3-9099-C40C66FF867C}">
                  <a14:compatExt spid="_x0000_s26660"/>
                </a:ext>
                <a:ext uri="{FF2B5EF4-FFF2-40B4-BE49-F238E27FC236}">
                  <a16:creationId xmlns:a16="http://schemas.microsoft.com/office/drawing/2014/main" id="{00000000-0008-0000-1300-000024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23</xdr:row>
          <xdr:rowOff>12700</xdr:rowOff>
        </xdr:from>
        <xdr:to>
          <xdr:col>4</xdr:col>
          <xdr:colOff>139700</xdr:colOff>
          <xdr:row>24</xdr:row>
          <xdr:rowOff>0</xdr:rowOff>
        </xdr:to>
        <xdr:sp macro="" textlink="">
          <xdr:nvSpPr>
            <xdr:cNvPr id="26661" name="Drop Down 37" hidden="1">
              <a:extLst>
                <a:ext uri="{63B3BB69-23CF-44E3-9099-C40C66FF867C}">
                  <a14:compatExt spid="_x0000_s26661"/>
                </a:ext>
                <a:ext uri="{FF2B5EF4-FFF2-40B4-BE49-F238E27FC236}">
                  <a16:creationId xmlns:a16="http://schemas.microsoft.com/office/drawing/2014/main" id="{00000000-0008-0000-1300-000025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25</xdr:row>
          <xdr:rowOff>12700</xdr:rowOff>
        </xdr:from>
        <xdr:to>
          <xdr:col>4</xdr:col>
          <xdr:colOff>139700</xdr:colOff>
          <xdr:row>26</xdr:row>
          <xdr:rowOff>0</xdr:rowOff>
        </xdr:to>
        <xdr:sp macro="" textlink="">
          <xdr:nvSpPr>
            <xdr:cNvPr id="26662" name="Drop Down 38" hidden="1">
              <a:extLst>
                <a:ext uri="{63B3BB69-23CF-44E3-9099-C40C66FF867C}">
                  <a14:compatExt spid="_x0000_s26662"/>
                </a:ext>
                <a:ext uri="{FF2B5EF4-FFF2-40B4-BE49-F238E27FC236}">
                  <a16:creationId xmlns:a16="http://schemas.microsoft.com/office/drawing/2014/main" id="{00000000-0008-0000-1300-000026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27</xdr:row>
          <xdr:rowOff>12700</xdr:rowOff>
        </xdr:from>
        <xdr:to>
          <xdr:col>4</xdr:col>
          <xdr:colOff>139700</xdr:colOff>
          <xdr:row>28</xdr:row>
          <xdr:rowOff>0</xdr:rowOff>
        </xdr:to>
        <xdr:sp macro="" textlink="">
          <xdr:nvSpPr>
            <xdr:cNvPr id="26663" name="Drop Down 39" hidden="1">
              <a:extLst>
                <a:ext uri="{63B3BB69-23CF-44E3-9099-C40C66FF867C}">
                  <a14:compatExt spid="_x0000_s26663"/>
                </a:ext>
                <a:ext uri="{FF2B5EF4-FFF2-40B4-BE49-F238E27FC236}">
                  <a16:creationId xmlns:a16="http://schemas.microsoft.com/office/drawing/2014/main" id="{00000000-0008-0000-1300-000027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29</xdr:row>
          <xdr:rowOff>12700</xdr:rowOff>
        </xdr:from>
        <xdr:to>
          <xdr:col>4</xdr:col>
          <xdr:colOff>139700</xdr:colOff>
          <xdr:row>30</xdr:row>
          <xdr:rowOff>12700</xdr:rowOff>
        </xdr:to>
        <xdr:sp macro="" textlink="">
          <xdr:nvSpPr>
            <xdr:cNvPr id="26664" name="Drop Down 40" hidden="1">
              <a:extLst>
                <a:ext uri="{63B3BB69-23CF-44E3-9099-C40C66FF867C}">
                  <a14:compatExt spid="_x0000_s26664"/>
                </a:ext>
                <a:ext uri="{FF2B5EF4-FFF2-40B4-BE49-F238E27FC236}">
                  <a16:creationId xmlns:a16="http://schemas.microsoft.com/office/drawing/2014/main" id="{00000000-0008-0000-1300-000028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31</xdr:row>
          <xdr:rowOff>12700</xdr:rowOff>
        </xdr:from>
        <xdr:to>
          <xdr:col>4</xdr:col>
          <xdr:colOff>139700</xdr:colOff>
          <xdr:row>32</xdr:row>
          <xdr:rowOff>0</xdr:rowOff>
        </xdr:to>
        <xdr:sp macro="" textlink="">
          <xdr:nvSpPr>
            <xdr:cNvPr id="26665" name="Drop Down 41" hidden="1">
              <a:extLst>
                <a:ext uri="{63B3BB69-23CF-44E3-9099-C40C66FF867C}">
                  <a14:compatExt spid="_x0000_s26665"/>
                </a:ext>
                <a:ext uri="{FF2B5EF4-FFF2-40B4-BE49-F238E27FC236}">
                  <a16:creationId xmlns:a16="http://schemas.microsoft.com/office/drawing/2014/main" id="{00000000-0008-0000-1300-000029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12700</xdr:rowOff>
        </xdr:from>
        <xdr:to>
          <xdr:col>4</xdr:col>
          <xdr:colOff>139700</xdr:colOff>
          <xdr:row>34</xdr:row>
          <xdr:rowOff>0</xdr:rowOff>
        </xdr:to>
        <xdr:sp macro="" textlink="">
          <xdr:nvSpPr>
            <xdr:cNvPr id="26666" name="Drop Down 42" hidden="1">
              <a:extLst>
                <a:ext uri="{63B3BB69-23CF-44E3-9099-C40C66FF867C}">
                  <a14:compatExt spid="_x0000_s26666"/>
                </a:ext>
                <a:ext uri="{FF2B5EF4-FFF2-40B4-BE49-F238E27FC236}">
                  <a16:creationId xmlns:a16="http://schemas.microsoft.com/office/drawing/2014/main" id="{00000000-0008-0000-1300-00002A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12700</xdr:rowOff>
        </xdr:from>
        <xdr:to>
          <xdr:col>4</xdr:col>
          <xdr:colOff>139700</xdr:colOff>
          <xdr:row>36</xdr:row>
          <xdr:rowOff>0</xdr:rowOff>
        </xdr:to>
        <xdr:sp macro="" textlink="">
          <xdr:nvSpPr>
            <xdr:cNvPr id="26667" name="Drop Down 43" hidden="1">
              <a:extLst>
                <a:ext uri="{63B3BB69-23CF-44E3-9099-C40C66FF867C}">
                  <a14:compatExt spid="_x0000_s26667"/>
                </a:ext>
                <a:ext uri="{FF2B5EF4-FFF2-40B4-BE49-F238E27FC236}">
                  <a16:creationId xmlns:a16="http://schemas.microsoft.com/office/drawing/2014/main" id="{00000000-0008-0000-1300-00002B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37</xdr:row>
          <xdr:rowOff>12700</xdr:rowOff>
        </xdr:from>
        <xdr:to>
          <xdr:col>4</xdr:col>
          <xdr:colOff>139700</xdr:colOff>
          <xdr:row>38</xdr:row>
          <xdr:rowOff>0</xdr:rowOff>
        </xdr:to>
        <xdr:sp macro="" textlink="">
          <xdr:nvSpPr>
            <xdr:cNvPr id="26668" name="Drop Down 44" hidden="1">
              <a:extLst>
                <a:ext uri="{63B3BB69-23CF-44E3-9099-C40C66FF867C}">
                  <a14:compatExt spid="_x0000_s26668"/>
                </a:ext>
                <a:ext uri="{FF2B5EF4-FFF2-40B4-BE49-F238E27FC236}">
                  <a16:creationId xmlns:a16="http://schemas.microsoft.com/office/drawing/2014/main" id="{00000000-0008-0000-1300-00002C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12700</xdr:rowOff>
        </xdr:from>
        <xdr:to>
          <xdr:col>4</xdr:col>
          <xdr:colOff>139700</xdr:colOff>
          <xdr:row>40</xdr:row>
          <xdr:rowOff>0</xdr:rowOff>
        </xdr:to>
        <xdr:sp macro="" textlink="">
          <xdr:nvSpPr>
            <xdr:cNvPr id="26669" name="Drop Down 45" hidden="1">
              <a:extLst>
                <a:ext uri="{63B3BB69-23CF-44E3-9099-C40C66FF867C}">
                  <a14:compatExt spid="_x0000_s26669"/>
                </a:ext>
                <a:ext uri="{FF2B5EF4-FFF2-40B4-BE49-F238E27FC236}">
                  <a16:creationId xmlns:a16="http://schemas.microsoft.com/office/drawing/2014/main" id="{00000000-0008-0000-1300-00002D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41</xdr:row>
          <xdr:rowOff>12700</xdr:rowOff>
        </xdr:from>
        <xdr:to>
          <xdr:col>4</xdr:col>
          <xdr:colOff>139700</xdr:colOff>
          <xdr:row>42</xdr:row>
          <xdr:rowOff>0</xdr:rowOff>
        </xdr:to>
        <xdr:sp macro="" textlink="">
          <xdr:nvSpPr>
            <xdr:cNvPr id="26670" name="Drop Down 46" hidden="1">
              <a:extLst>
                <a:ext uri="{63B3BB69-23CF-44E3-9099-C40C66FF867C}">
                  <a14:compatExt spid="_x0000_s26670"/>
                </a:ext>
                <a:ext uri="{FF2B5EF4-FFF2-40B4-BE49-F238E27FC236}">
                  <a16:creationId xmlns:a16="http://schemas.microsoft.com/office/drawing/2014/main" id="{00000000-0008-0000-1300-00002E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43</xdr:row>
          <xdr:rowOff>12700</xdr:rowOff>
        </xdr:from>
        <xdr:to>
          <xdr:col>4</xdr:col>
          <xdr:colOff>139700</xdr:colOff>
          <xdr:row>44</xdr:row>
          <xdr:rowOff>0</xdr:rowOff>
        </xdr:to>
        <xdr:sp macro="" textlink="">
          <xdr:nvSpPr>
            <xdr:cNvPr id="26671" name="Drop Down 47" hidden="1">
              <a:extLst>
                <a:ext uri="{63B3BB69-23CF-44E3-9099-C40C66FF867C}">
                  <a14:compatExt spid="_x0000_s26671"/>
                </a:ext>
                <a:ext uri="{FF2B5EF4-FFF2-40B4-BE49-F238E27FC236}">
                  <a16:creationId xmlns:a16="http://schemas.microsoft.com/office/drawing/2014/main" id="{00000000-0008-0000-1300-00002F6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0</xdr:col>
      <xdr:colOff>106363</xdr:colOff>
      <xdr:row>3</xdr:row>
      <xdr:rowOff>46036</xdr:rowOff>
    </xdr:from>
    <xdr:to>
      <xdr:col>1</xdr:col>
      <xdr:colOff>146050</xdr:colOff>
      <xdr:row>5</xdr:row>
      <xdr:rowOff>79544</xdr:rowOff>
    </xdr:to>
    <xdr:pic macro="[0]!ThisWorkbook.ACCUEIL">
      <xdr:nvPicPr>
        <xdr:cNvPr id="19" name="Image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3" y="522286"/>
          <a:ext cx="317500" cy="351008"/>
        </a:xfrm>
        <a:prstGeom prst="rect">
          <a:avLst/>
        </a:prstGeom>
      </xdr:spPr>
    </xdr:pic>
    <xdr:clientData fPrintsWithSheet="0"/>
  </xdr:twoCellAnchor>
  <xdr:twoCellAnchor>
    <xdr:from>
      <xdr:col>0</xdr:col>
      <xdr:colOff>0</xdr:colOff>
      <xdr:row>0</xdr:row>
      <xdr:rowOff>85725</xdr:rowOff>
    </xdr:from>
    <xdr:to>
      <xdr:col>3</xdr:col>
      <xdr:colOff>1019174</xdr:colOff>
      <xdr:row>3</xdr:row>
      <xdr:rowOff>38100</xdr:rowOff>
    </xdr:to>
    <xdr:sp macro="" textlink="">
      <xdr:nvSpPr>
        <xdr:cNvPr id="21" name="Text Box 429">
          <a:extLst>
            <a:ext uri="{FF2B5EF4-FFF2-40B4-BE49-F238E27FC236}">
              <a16:creationId xmlns:a16="http://schemas.microsoft.com/office/drawing/2014/main" id="{00000000-0008-0000-1300-000015000000}"/>
            </a:ext>
          </a:extLst>
        </xdr:cNvPr>
        <xdr:cNvSpPr txBox="1">
          <a:spLocks noChangeArrowheads="1"/>
        </xdr:cNvSpPr>
      </xdr:nvSpPr>
      <xdr:spPr bwMode="auto">
        <a:xfrm>
          <a:off x="0" y="85725"/>
          <a:ext cx="2314574" cy="4381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2</xdr:col>
      <xdr:colOff>180975</xdr:colOff>
      <xdr:row>3</xdr:row>
      <xdr:rowOff>58738</xdr:rowOff>
    </xdr:from>
    <xdr:to>
      <xdr:col>2</xdr:col>
      <xdr:colOff>531812</xdr:colOff>
      <xdr:row>5</xdr:row>
      <xdr:rowOff>87313</xdr:rowOff>
    </xdr:to>
    <xdr:pic macro="[0]!ThisWorkbook.RETOUR_COUTDUPROJET">
      <xdr:nvPicPr>
        <xdr:cNvPr id="24" name="Image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4538" y="534988"/>
          <a:ext cx="350837" cy="346075"/>
        </a:xfrm>
        <a:prstGeom prst="rect">
          <a:avLst/>
        </a:prstGeom>
      </xdr:spPr>
    </xdr:pic>
    <xdr:clientData fPrintsWithSheet="0"/>
  </xdr:twoCellAnchor>
  <xdr:twoCellAnchor editAs="oneCell">
    <xdr:from>
      <xdr:col>5</xdr:col>
      <xdr:colOff>309563</xdr:colOff>
      <xdr:row>0</xdr:row>
      <xdr:rowOff>130970</xdr:rowOff>
    </xdr:from>
    <xdr:to>
      <xdr:col>8</xdr:col>
      <xdr:colOff>11907</xdr:colOff>
      <xdr:row>3</xdr:row>
      <xdr:rowOff>78538</xdr:rowOff>
    </xdr:to>
    <xdr:pic>
      <xdr:nvPicPr>
        <xdr:cNvPr id="2" name="Imag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3"/>
        <a:stretch>
          <a:fillRect/>
        </a:stretch>
      </xdr:blipFill>
      <xdr:spPr>
        <a:xfrm>
          <a:off x="2988469" y="130970"/>
          <a:ext cx="2488407" cy="44763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1549400</xdr:colOff>
          <xdr:row>10</xdr:row>
          <xdr:rowOff>203200</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00000000-0008-0000-14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0</xdr:colOff>
          <xdr:row>11</xdr:row>
          <xdr:rowOff>25400</xdr:rowOff>
        </xdr:to>
        <xdr:sp macro="" textlink="">
          <xdr:nvSpPr>
            <xdr:cNvPr id="28689" name="Drop Down 17" hidden="1">
              <a:extLst>
                <a:ext uri="{63B3BB69-23CF-44E3-9099-C40C66FF867C}">
                  <a14:compatExt spid="_x0000_s28689"/>
                </a:ext>
                <a:ext uri="{FF2B5EF4-FFF2-40B4-BE49-F238E27FC236}">
                  <a16:creationId xmlns:a16="http://schemas.microsoft.com/office/drawing/2014/main" id="{00000000-0008-0000-1400-00001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0</xdr:colOff>
          <xdr:row>13</xdr:row>
          <xdr:rowOff>25400</xdr:rowOff>
        </xdr:to>
        <xdr:sp macro="" textlink="">
          <xdr:nvSpPr>
            <xdr:cNvPr id="28706" name="Drop Down 34" hidden="1">
              <a:extLst>
                <a:ext uri="{63B3BB69-23CF-44E3-9099-C40C66FF867C}">
                  <a14:compatExt spid="_x0000_s28706"/>
                </a:ext>
                <a:ext uri="{FF2B5EF4-FFF2-40B4-BE49-F238E27FC236}">
                  <a16:creationId xmlns:a16="http://schemas.microsoft.com/office/drawing/2014/main" id="{00000000-0008-0000-1400-000022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5</xdr:col>
          <xdr:colOff>0</xdr:colOff>
          <xdr:row>15</xdr:row>
          <xdr:rowOff>25400</xdr:rowOff>
        </xdr:to>
        <xdr:sp macro="" textlink="">
          <xdr:nvSpPr>
            <xdr:cNvPr id="28707" name="Drop Down 35" hidden="1">
              <a:extLst>
                <a:ext uri="{63B3BB69-23CF-44E3-9099-C40C66FF867C}">
                  <a14:compatExt spid="_x0000_s28707"/>
                </a:ext>
                <a:ext uri="{FF2B5EF4-FFF2-40B4-BE49-F238E27FC236}">
                  <a16:creationId xmlns:a16="http://schemas.microsoft.com/office/drawing/2014/main" id="{00000000-0008-0000-1400-000023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0</xdr:colOff>
          <xdr:row>17</xdr:row>
          <xdr:rowOff>25400</xdr:rowOff>
        </xdr:to>
        <xdr:sp macro="" textlink="">
          <xdr:nvSpPr>
            <xdr:cNvPr id="28708" name="Drop Down 36" hidden="1">
              <a:extLst>
                <a:ext uri="{63B3BB69-23CF-44E3-9099-C40C66FF867C}">
                  <a14:compatExt spid="_x0000_s28708"/>
                </a:ext>
                <a:ext uri="{FF2B5EF4-FFF2-40B4-BE49-F238E27FC236}">
                  <a16:creationId xmlns:a16="http://schemas.microsoft.com/office/drawing/2014/main" id="{00000000-0008-0000-1400-000024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0</xdr:colOff>
          <xdr:row>19</xdr:row>
          <xdr:rowOff>25400</xdr:rowOff>
        </xdr:to>
        <xdr:sp macro="" textlink="">
          <xdr:nvSpPr>
            <xdr:cNvPr id="28709" name="Drop Down 37" hidden="1">
              <a:extLst>
                <a:ext uri="{63B3BB69-23CF-44E3-9099-C40C66FF867C}">
                  <a14:compatExt spid="_x0000_s28709"/>
                </a:ext>
                <a:ext uri="{FF2B5EF4-FFF2-40B4-BE49-F238E27FC236}">
                  <a16:creationId xmlns:a16="http://schemas.microsoft.com/office/drawing/2014/main" id="{00000000-0008-0000-1400-000025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0</xdr:colOff>
          <xdr:row>21</xdr:row>
          <xdr:rowOff>25400</xdr:rowOff>
        </xdr:to>
        <xdr:sp macro="" textlink="">
          <xdr:nvSpPr>
            <xdr:cNvPr id="28710" name="Drop Down 38" hidden="1">
              <a:extLst>
                <a:ext uri="{63B3BB69-23CF-44E3-9099-C40C66FF867C}">
                  <a14:compatExt spid="_x0000_s28710"/>
                </a:ext>
                <a:ext uri="{FF2B5EF4-FFF2-40B4-BE49-F238E27FC236}">
                  <a16:creationId xmlns:a16="http://schemas.microsoft.com/office/drawing/2014/main" id="{00000000-0008-0000-1400-000026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5</xdr:col>
          <xdr:colOff>0</xdr:colOff>
          <xdr:row>23</xdr:row>
          <xdr:rowOff>25400</xdr:rowOff>
        </xdr:to>
        <xdr:sp macro="" textlink="">
          <xdr:nvSpPr>
            <xdr:cNvPr id="28711" name="Drop Down 39" hidden="1">
              <a:extLst>
                <a:ext uri="{63B3BB69-23CF-44E3-9099-C40C66FF867C}">
                  <a14:compatExt spid="_x0000_s28711"/>
                </a:ext>
                <a:ext uri="{FF2B5EF4-FFF2-40B4-BE49-F238E27FC236}">
                  <a16:creationId xmlns:a16="http://schemas.microsoft.com/office/drawing/2014/main" id="{00000000-0008-0000-1400-000027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0</xdr:colOff>
          <xdr:row>25</xdr:row>
          <xdr:rowOff>25400</xdr:rowOff>
        </xdr:to>
        <xdr:sp macro="" textlink="">
          <xdr:nvSpPr>
            <xdr:cNvPr id="28712" name="Drop Down 40" hidden="1">
              <a:extLst>
                <a:ext uri="{63B3BB69-23CF-44E3-9099-C40C66FF867C}">
                  <a14:compatExt spid="_x0000_s28712"/>
                </a:ext>
                <a:ext uri="{FF2B5EF4-FFF2-40B4-BE49-F238E27FC236}">
                  <a16:creationId xmlns:a16="http://schemas.microsoft.com/office/drawing/2014/main" id="{00000000-0008-0000-1400-000028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0</xdr:colOff>
          <xdr:row>27</xdr:row>
          <xdr:rowOff>25400</xdr:rowOff>
        </xdr:to>
        <xdr:sp macro="" textlink="">
          <xdr:nvSpPr>
            <xdr:cNvPr id="28713" name="Drop Down 41" hidden="1">
              <a:extLst>
                <a:ext uri="{63B3BB69-23CF-44E3-9099-C40C66FF867C}">
                  <a14:compatExt spid="_x0000_s28713"/>
                </a:ext>
                <a:ext uri="{FF2B5EF4-FFF2-40B4-BE49-F238E27FC236}">
                  <a16:creationId xmlns:a16="http://schemas.microsoft.com/office/drawing/2014/main" id="{00000000-0008-0000-1400-000029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5</xdr:col>
          <xdr:colOff>0</xdr:colOff>
          <xdr:row>29</xdr:row>
          <xdr:rowOff>25400</xdr:rowOff>
        </xdr:to>
        <xdr:sp macro="" textlink="">
          <xdr:nvSpPr>
            <xdr:cNvPr id="28714" name="Drop Down 42" hidden="1">
              <a:extLst>
                <a:ext uri="{63B3BB69-23CF-44E3-9099-C40C66FF867C}">
                  <a14:compatExt spid="_x0000_s28714"/>
                </a:ext>
                <a:ext uri="{FF2B5EF4-FFF2-40B4-BE49-F238E27FC236}">
                  <a16:creationId xmlns:a16="http://schemas.microsoft.com/office/drawing/2014/main" id="{00000000-0008-0000-1400-00002A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0</xdr:colOff>
          <xdr:row>31</xdr:row>
          <xdr:rowOff>25400</xdr:rowOff>
        </xdr:to>
        <xdr:sp macro="" textlink="">
          <xdr:nvSpPr>
            <xdr:cNvPr id="28715" name="Drop Down 43" hidden="1">
              <a:extLst>
                <a:ext uri="{63B3BB69-23CF-44E3-9099-C40C66FF867C}">
                  <a14:compatExt spid="_x0000_s28715"/>
                </a:ext>
                <a:ext uri="{FF2B5EF4-FFF2-40B4-BE49-F238E27FC236}">
                  <a16:creationId xmlns:a16="http://schemas.microsoft.com/office/drawing/2014/main" id="{00000000-0008-0000-1400-00002B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1</xdr:col>
          <xdr:colOff>1549400</xdr:colOff>
          <xdr:row>12</xdr:row>
          <xdr:rowOff>203200</xdr:rowOff>
        </xdr:to>
        <xdr:sp macro="" textlink="">
          <xdr:nvSpPr>
            <xdr:cNvPr id="28716" name="Drop Down 44" hidden="1">
              <a:extLst>
                <a:ext uri="{63B3BB69-23CF-44E3-9099-C40C66FF867C}">
                  <a14:compatExt spid="_x0000_s28716"/>
                </a:ext>
                <a:ext uri="{FF2B5EF4-FFF2-40B4-BE49-F238E27FC236}">
                  <a16:creationId xmlns:a16="http://schemas.microsoft.com/office/drawing/2014/main" id="{00000000-0008-0000-1400-00002C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xdr:col>
          <xdr:colOff>1549400</xdr:colOff>
          <xdr:row>14</xdr:row>
          <xdr:rowOff>203200</xdr:rowOff>
        </xdr:to>
        <xdr:sp macro="" textlink="">
          <xdr:nvSpPr>
            <xdr:cNvPr id="28717" name="Drop Down 45" hidden="1">
              <a:extLst>
                <a:ext uri="{63B3BB69-23CF-44E3-9099-C40C66FF867C}">
                  <a14:compatExt spid="_x0000_s28717"/>
                </a:ext>
                <a:ext uri="{FF2B5EF4-FFF2-40B4-BE49-F238E27FC236}">
                  <a16:creationId xmlns:a16="http://schemas.microsoft.com/office/drawing/2014/main" id="{00000000-0008-0000-1400-00002D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1549400</xdr:colOff>
          <xdr:row>16</xdr:row>
          <xdr:rowOff>203200</xdr:rowOff>
        </xdr:to>
        <xdr:sp macro="" textlink="">
          <xdr:nvSpPr>
            <xdr:cNvPr id="28718" name="Drop Down 46" hidden="1">
              <a:extLst>
                <a:ext uri="{63B3BB69-23CF-44E3-9099-C40C66FF867C}">
                  <a14:compatExt spid="_x0000_s28718"/>
                </a:ext>
                <a:ext uri="{FF2B5EF4-FFF2-40B4-BE49-F238E27FC236}">
                  <a16:creationId xmlns:a16="http://schemas.microsoft.com/office/drawing/2014/main" id="{00000000-0008-0000-1400-00002E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1549400</xdr:colOff>
          <xdr:row>18</xdr:row>
          <xdr:rowOff>203200</xdr:rowOff>
        </xdr:to>
        <xdr:sp macro="" textlink="">
          <xdr:nvSpPr>
            <xdr:cNvPr id="28719" name="Drop Down 47" hidden="1">
              <a:extLst>
                <a:ext uri="{63B3BB69-23CF-44E3-9099-C40C66FF867C}">
                  <a14:compatExt spid="_x0000_s28719"/>
                </a:ext>
                <a:ext uri="{FF2B5EF4-FFF2-40B4-BE49-F238E27FC236}">
                  <a16:creationId xmlns:a16="http://schemas.microsoft.com/office/drawing/2014/main" id="{00000000-0008-0000-1400-00002F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1549400</xdr:colOff>
          <xdr:row>20</xdr:row>
          <xdr:rowOff>203200</xdr:rowOff>
        </xdr:to>
        <xdr:sp macro="" textlink="">
          <xdr:nvSpPr>
            <xdr:cNvPr id="28720" name="Drop Down 48" hidden="1">
              <a:extLst>
                <a:ext uri="{63B3BB69-23CF-44E3-9099-C40C66FF867C}">
                  <a14:compatExt spid="_x0000_s28720"/>
                </a:ext>
                <a:ext uri="{FF2B5EF4-FFF2-40B4-BE49-F238E27FC236}">
                  <a16:creationId xmlns:a16="http://schemas.microsoft.com/office/drawing/2014/main" id="{00000000-0008-0000-1400-000030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1549400</xdr:colOff>
          <xdr:row>22</xdr:row>
          <xdr:rowOff>203200</xdr:rowOff>
        </xdr:to>
        <xdr:sp macro="" textlink="">
          <xdr:nvSpPr>
            <xdr:cNvPr id="28721" name="Drop Down 49" hidden="1">
              <a:extLst>
                <a:ext uri="{63B3BB69-23CF-44E3-9099-C40C66FF867C}">
                  <a14:compatExt spid="_x0000_s28721"/>
                </a:ext>
                <a:ext uri="{FF2B5EF4-FFF2-40B4-BE49-F238E27FC236}">
                  <a16:creationId xmlns:a16="http://schemas.microsoft.com/office/drawing/2014/main" id="{00000000-0008-0000-1400-00003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1549400</xdr:colOff>
          <xdr:row>24</xdr:row>
          <xdr:rowOff>203200</xdr:rowOff>
        </xdr:to>
        <xdr:sp macro="" textlink="">
          <xdr:nvSpPr>
            <xdr:cNvPr id="28722" name="Drop Down 50" hidden="1">
              <a:extLst>
                <a:ext uri="{63B3BB69-23CF-44E3-9099-C40C66FF867C}">
                  <a14:compatExt spid="_x0000_s28722"/>
                </a:ext>
                <a:ext uri="{FF2B5EF4-FFF2-40B4-BE49-F238E27FC236}">
                  <a16:creationId xmlns:a16="http://schemas.microsoft.com/office/drawing/2014/main" id="{00000000-0008-0000-1400-000032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1549400</xdr:colOff>
          <xdr:row>26</xdr:row>
          <xdr:rowOff>203200</xdr:rowOff>
        </xdr:to>
        <xdr:sp macro="" textlink="">
          <xdr:nvSpPr>
            <xdr:cNvPr id="28723" name="Drop Down 51" hidden="1">
              <a:extLst>
                <a:ext uri="{63B3BB69-23CF-44E3-9099-C40C66FF867C}">
                  <a14:compatExt spid="_x0000_s28723"/>
                </a:ext>
                <a:ext uri="{FF2B5EF4-FFF2-40B4-BE49-F238E27FC236}">
                  <a16:creationId xmlns:a16="http://schemas.microsoft.com/office/drawing/2014/main" id="{00000000-0008-0000-1400-000033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1549400</xdr:colOff>
          <xdr:row>28</xdr:row>
          <xdr:rowOff>203200</xdr:rowOff>
        </xdr:to>
        <xdr:sp macro="" textlink="">
          <xdr:nvSpPr>
            <xdr:cNvPr id="28724" name="Drop Down 52" hidden="1">
              <a:extLst>
                <a:ext uri="{63B3BB69-23CF-44E3-9099-C40C66FF867C}">
                  <a14:compatExt spid="_x0000_s28724"/>
                </a:ext>
                <a:ext uri="{FF2B5EF4-FFF2-40B4-BE49-F238E27FC236}">
                  <a16:creationId xmlns:a16="http://schemas.microsoft.com/office/drawing/2014/main" id="{00000000-0008-0000-1400-000034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1549400</xdr:colOff>
          <xdr:row>30</xdr:row>
          <xdr:rowOff>203200</xdr:rowOff>
        </xdr:to>
        <xdr:sp macro="" textlink="">
          <xdr:nvSpPr>
            <xdr:cNvPr id="28725" name="Drop Down 53" hidden="1">
              <a:extLst>
                <a:ext uri="{63B3BB69-23CF-44E3-9099-C40C66FF867C}">
                  <a14:compatExt spid="_x0000_s28725"/>
                </a:ext>
                <a:ext uri="{FF2B5EF4-FFF2-40B4-BE49-F238E27FC236}">
                  <a16:creationId xmlns:a16="http://schemas.microsoft.com/office/drawing/2014/main" id="{00000000-0008-0000-1400-000035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0</xdr:col>
      <xdr:colOff>219075</xdr:colOff>
      <xdr:row>3</xdr:row>
      <xdr:rowOff>15874</xdr:rowOff>
    </xdr:from>
    <xdr:to>
      <xdr:col>1</xdr:col>
      <xdr:colOff>28525</xdr:colOff>
      <xdr:row>5</xdr:row>
      <xdr:rowOff>114300</xdr:rowOff>
    </xdr:to>
    <xdr:pic macro="[0]!ThisWorkbook.ACCUEIL">
      <xdr:nvPicPr>
        <xdr:cNvPr id="25" name="Image 24">
          <a:extLst>
            <a:ext uri="{FF2B5EF4-FFF2-40B4-BE49-F238E27FC236}">
              <a16:creationId xmlns:a16="http://schemas.microsoft.com/office/drawing/2014/main" id="{00000000-0008-0000-14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501649"/>
          <a:ext cx="371425" cy="422276"/>
        </a:xfrm>
        <a:prstGeom prst="rect">
          <a:avLst/>
        </a:prstGeom>
      </xdr:spPr>
    </xdr:pic>
    <xdr:clientData fPrintsWithSheet="0"/>
  </xdr:twoCellAnchor>
  <xdr:twoCellAnchor>
    <xdr:from>
      <xdr:col>0</xdr:col>
      <xdr:colOff>0</xdr:colOff>
      <xdr:row>0</xdr:row>
      <xdr:rowOff>76200</xdr:rowOff>
    </xdr:from>
    <xdr:to>
      <xdr:col>2</xdr:col>
      <xdr:colOff>457200</xdr:colOff>
      <xdr:row>3</xdr:row>
      <xdr:rowOff>9524</xdr:rowOff>
    </xdr:to>
    <xdr:sp macro="" textlink="">
      <xdr:nvSpPr>
        <xdr:cNvPr id="27" name="Text Box 429">
          <a:extLst>
            <a:ext uri="{FF2B5EF4-FFF2-40B4-BE49-F238E27FC236}">
              <a16:creationId xmlns:a16="http://schemas.microsoft.com/office/drawing/2014/main" id="{00000000-0008-0000-1400-00001B000000}"/>
            </a:ext>
          </a:extLst>
        </xdr:cNvPr>
        <xdr:cNvSpPr txBox="1">
          <a:spLocks noChangeArrowheads="1"/>
        </xdr:cNvSpPr>
      </xdr:nvSpPr>
      <xdr:spPr bwMode="auto">
        <a:xfrm>
          <a:off x="0" y="76200"/>
          <a:ext cx="2676525"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1</xdr:col>
      <xdr:colOff>238125</xdr:colOff>
      <xdr:row>3</xdr:row>
      <xdr:rowOff>114300</xdr:rowOff>
    </xdr:from>
    <xdr:to>
      <xdr:col>1</xdr:col>
      <xdr:colOff>885383</xdr:colOff>
      <xdr:row>5</xdr:row>
      <xdr:rowOff>66675</xdr:rowOff>
    </xdr:to>
    <xdr:pic macro="[0]!ThisWorkbook.Imprimer_IMMO">
      <xdr:nvPicPr>
        <xdr:cNvPr id="28" name="Image 27">
          <a:extLst>
            <a:ext uri="{FF2B5EF4-FFF2-40B4-BE49-F238E27FC236}">
              <a16:creationId xmlns:a16="http://schemas.microsoft.com/office/drawing/2014/main" id="{00000000-0008-0000-14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0100" y="600075"/>
          <a:ext cx="647258" cy="276225"/>
        </a:xfrm>
        <a:prstGeom prst="rect">
          <a:avLst/>
        </a:prstGeom>
      </xdr:spPr>
    </xdr:pic>
    <xdr:clientData fPrintsWithSheet="0"/>
  </xdr:twoCellAnchor>
  <xdr:twoCellAnchor editAs="oneCell">
    <xdr:from>
      <xdr:col>1</xdr:col>
      <xdr:colOff>1247776</xdr:colOff>
      <xdr:row>3</xdr:row>
      <xdr:rowOff>38101</xdr:rowOff>
    </xdr:from>
    <xdr:to>
      <xdr:col>1</xdr:col>
      <xdr:colOff>1628776</xdr:colOff>
      <xdr:row>5</xdr:row>
      <xdr:rowOff>95251</xdr:rowOff>
    </xdr:to>
    <xdr:pic macro="[0]!ThisWorkbook.RETOUR_COUTDUPROJET">
      <xdr:nvPicPr>
        <xdr:cNvPr id="36" name="Image 35">
          <a:extLst>
            <a:ext uri="{FF2B5EF4-FFF2-40B4-BE49-F238E27FC236}">
              <a16:creationId xmlns:a16="http://schemas.microsoft.com/office/drawing/2014/main" id="{00000000-0008-0000-1400-00002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1" y="523876"/>
          <a:ext cx="381000" cy="381000"/>
        </a:xfrm>
        <a:prstGeom prst="rect">
          <a:avLst/>
        </a:prstGeom>
      </xdr:spPr>
    </xdr:pic>
    <xdr:clientData fPrintsWithSheet="0"/>
  </xdr:twoCellAnchor>
  <xdr:twoCellAnchor editAs="oneCell">
    <xdr:from>
      <xdr:col>6</xdr:col>
      <xdr:colOff>1</xdr:colOff>
      <xdr:row>1</xdr:row>
      <xdr:rowOff>1</xdr:rowOff>
    </xdr:from>
    <xdr:to>
      <xdr:col>8</xdr:col>
      <xdr:colOff>968375</xdr:colOff>
      <xdr:row>3</xdr:row>
      <xdr:rowOff>136557</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4"/>
        <a:stretch>
          <a:fillRect/>
        </a:stretch>
      </xdr:blipFill>
      <xdr:spPr>
        <a:xfrm>
          <a:off x="4286251" y="158751"/>
          <a:ext cx="2524124" cy="45405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255</xdr:col>
      <xdr:colOff>114300</xdr:colOff>
      <xdr:row>0</xdr:row>
      <xdr:rowOff>85725</xdr:rowOff>
    </xdr:from>
    <xdr:to>
      <xdr:col>255</xdr:col>
      <xdr:colOff>523875</xdr:colOff>
      <xdr:row>1</xdr:row>
      <xdr:rowOff>161925</xdr:rowOff>
    </xdr:to>
    <xdr:pic macro="[0]!ThisWorkbook.TRAVAIL">
      <xdr:nvPicPr>
        <xdr:cNvPr id="62468" name="Picture 1">
          <a:extLst>
            <a:ext uri="{FF2B5EF4-FFF2-40B4-BE49-F238E27FC236}">
              <a16:creationId xmlns:a16="http://schemas.microsoft.com/office/drawing/2014/main" id="{00000000-0008-0000-1500-000004F40000}"/>
            </a:ext>
          </a:extLst>
        </xdr:cNvPr>
        <xdr:cNvPicPr>
          <a:picLocks noChangeAspect="1" noChangeArrowheads="1"/>
        </xdr:cNvPicPr>
      </xdr:nvPicPr>
      <xdr:blipFill>
        <a:blip xmlns:r="http://schemas.openxmlformats.org/officeDocument/2006/relationships" r:embed="rId1" cstate="print">
          <a:lum contrast="40000"/>
          <a:extLst>
            <a:ext uri="{28A0092B-C50C-407E-A947-70E740481C1C}">
              <a14:useLocalDpi xmlns:a14="http://schemas.microsoft.com/office/drawing/2010/main" val="0"/>
            </a:ext>
          </a:extLst>
        </a:blip>
        <a:srcRect/>
        <a:stretch>
          <a:fillRect/>
        </a:stretch>
      </xdr:blipFill>
      <xdr:spPr bwMode="auto">
        <a:xfrm>
          <a:off x="216655650" y="85725"/>
          <a:ext cx="409575" cy="238125"/>
        </a:xfrm>
        <a:prstGeom prst="rect">
          <a:avLst/>
        </a:prstGeom>
        <a:solidFill>
          <a:srgbClr val="FF0000"/>
        </a:solidFill>
        <a:ln w="9525">
          <a:solidFill>
            <a:srgbClr val="000000"/>
          </a:solidFill>
          <a:miter lim="800000"/>
          <a:headEnd/>
          <a:tailEnd/>
        </a:ln>
      </xdr:spPr>
    </xdr:pic>
    <xdr:clientData fPrintsWithSheet="0"/>
  </xdr:twoCellAnchor>
  <xdr:twoCellAnchor>
    <xdr:from>
      <xdr:col>255</xdr:col>
      <xdr:colOff>190500</xdr:colOff>
      <xdr:row>3</xdr:row>
      <xdr:rowOff>95250</xdr:rowOff>
    </xdr:from>
    <xdr:to>
      <xdr:col>255</xdr:col>
      <xdr:colOff>485775</xdr:colOff>
      <xdr:row>5</xdr:row>
      <xdr:rowOff>66675</xdr:rowOff>
    </xdr:to>
    <xdr:pic macro="[0]!ThisWorkbook.deprotec">
      <xdr:nvPicPr>
        <xdr:cNvPr id="2" name="Imag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113350" y="590550"/>
          <a:ext cx="295275" cy="295275"/>
        </a:xfrm>
        <a:prstGeom prst="rect">
          <a:avLst/>
        </a:prstGeom>
      </xdr:spPr>
    </xdr:pic>
    <xdr:clientData fPrintsWithSheet="0"/>
  </xdr:twoCellAnchor>
  <xdr:twoCellAnchor>
    <xdr:from>
      <xdr:col>255</xdr:col>
      <xdr:colOff>180975</xdr:colOff>
      <xdr:row>6</xdr:row>
      <xdr:rowOff>76200</xdr:rowOff>
    </xdr:from>
    <xdr:to>
      <xdr:col>255</xdr:col>
      <xdr:colOff>485775</xdr:colOff>
      <xdr:row>8</xdr:row>
      <xdr:rowOff>57150</xdr:rowOff>
    </xdr:to>
    <xdr:pic macro="[0]!ThisWorkbook.protec">
      <xdr:nvPicPr>
        <xdr:cNvPr id="3" name="Imag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103825" y="1057275"/>
          <a:ext cx="304800" cy="304800"/>
        </a:xfrm>
        <a:prstGeom prst="rect">
          <a:avLst/>
        </a:prstGeom>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1866900</xdr:colOff>
      <xdr:row>10</xdr:row>
      <xdr:rowOff>0</xdr:rowOff>
    </xdr:from>
    <xdr:to>
      <xdr:col>5</xdr:col>
      <xdr:colOff>1000125</xdr:colOff>
      <xdr:row>11</xdr:row>
      <xdr:rowOff>85725</xdr:rowOff>
    </xdr:to>
    <xdr:sp macro="" textlink="">
      <xdr:nvSpPr>
        <xdr:cNvPr id="13344" name="Text Box 32">
          <a:extLst>
            <a:ext uri="{FF2B5EF4-FFF2-40B4-BE49-F238E27FC236}">
              <a16:creationId xmlns:a16="http://schemas.microsoft.com/office/drawing/2014/main" id="{00000000-0008-0000-1600-000020340000}"/>
            </a:ext>
          </a:extLst>
        </xdr:cNvPr>
        <xdr:cNvSpPr txBox="1">
          <a:spLocks noChangeArrowheads="1"/>
        </xdr:cNvSpPr>
      </xdr:nvSpPr>
      <xdr:spPr bwMode="auto">
        <a:xfrm>
          <a:off x="1876425" y="1600200"/>
          <a:ext cx="3895725" cy="285750"/>
        </a:xfrm>
        <a:prstGeom prst="rect">
          <a:avLst/>
        </a:prstGeom>
        <a:noFill/>
        <a:ln w="9525">
          <a:noFill/>
          <a:miter lim="800000"/>
          <a:headEnd/>
          <a:tailEnd/>
        </a:ln>
      </xdr:spPr>
      <xdr:txBody>
        <a:bodyPr vertOverflow="clip" wrap="square" lIns="36576" tIns="32004" rIns="36576" bIns="0" anchor="t" upright="1"/>
        <a:lstStyle/>
        <a:p>
          <a:pPr algn="ctr" rtl="0">
            <a:defRPr sz="1000"/>
          </a:pPr>
          <a:r>
            <a:rPr lang="fr-CA" sz="1400" b="1" i="0" u="sng" strike="noStrike">
              <a:solidFill>
                <a:srgbClr val="000000"/>
              </a:solidFill>
              <a:latin typeface="Times New Roman CYR"/>
            </a:rPr>
            <a:t>DÉTAILS DES SUBVENTIONS PRÉVUES</a:t>
          </a:r>
        </a:p>
      </xdr:txBody>
    </xdr:sp>
    <xdr:clientData/>
  </xdr:twoCellAnchor>
  <xdr:twoCellAnchor>
    <xdr:from>
      <xdr:col>0</xdr:col>
      <xdr:colOff>1838325</xdr:colOff>
      <xdr:row>11</xdr:row>
      <xdr:rowOff>190500</xdr:rowOff>
    </xdr:from>
    <xdr:to>
      <xdr:col>5</xdr:col>
      <xdr:colOff>971550</xdr:colOff>
      <xdr:row>13</xdr:row>
      <xdr:rowOff>104775</xdr:rowOff>
    </xdr:to>
    <xdr:sp macro="" textlink="">
      <xdr:nvSpPr>
        <xdr:cNvPr id="13345" name="Text Box 33">
          <a:extLst>
            <a:ext uri="{FF2B5EF4-FFF2-40B4-BE49-F238E27FC236}">
              <a16:creationId xmlns:a16="http://schemas.microsoft.com/office/drawing/2014/main" id="{00000000-0008-0000-1600-000021340000}"/>
            </a:ext>
          </a:extLst>
        </xdr:cNvPr>
        <xdr:cNvSpPr txBox="1">
          <a:spLocks noChangeArrowheads="1"/>
        </xdr:cNvSpPr>
      </xdr:nvSpPr>
      <xdr:spPr bwMode="auto">
        <a:xfrm>
          <a:off x="1847850" y="1990725"/>
          <a:ext cx="3895725" cy="314325"/>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SUBVENTION (Soutien au travailleur autonome STA)</a:t>
          </a:r>
        </a:p>
      </xdr:txBody>
    </xdr:sp>
    <xdr:clientData/>
  </xdr:twoCellAnchor>
  <mc:AlternateContent xmlns:mc="http://schemas.openxmlformats.org/markup-compatibility/2006">
    <mc:Choice xmlns:a14="http://schemas.microsoft.com/office/drawing/2010/main" Requires="a14">
      <xdr:twoCellAnchor editAs="oneCell">
        <xdr:from>
          <xdr:col>6</xdr:col>
          <xdr:colOff>63500</xdr:colOff>
          <xdr:row>14</xdr:row>
          <xdr:rowOff>0</xdr:rowOff>
        </xdr:from>
        <xdr:to>
          <xdr:col>8</xdr:col>
          <xdr:colOff>25400</xdr:colOff>
          <xdr:row>15</xdr:row>
          <xdr:rowOff>25400</xdr:rowOff>
        </xdr:to>
        <xdr:sp macro="" textlink="">
          <xdr:nvSpPr>
            <xdr:cNvPr id="13364" name="Drop Down 52" hidden="1">
              <a:extLst>
                <a:ext uri="{63B3BB69-23CF-44E3-9099-C40C66FF867C}">
                  <a14:compatExt spid="_x0000_s13364"/>
                </a:ext>
                <a:ext uri="{FF2B5EF4-FFF2-40B4-BE49-F238E27FC236}">
                  <a16:creationId xmlns:a16="http://schemas.microsoft.com/office/drawing/2014/main" id="{00000000-0008-0000-1600-000034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0</xdr:col>
      <xdr:colOff>323851</xdr:colOff>
      <xdr:row>3</xdr:row>
      <xdr:rowOff>92074</xdr:rowOff>
    </xdr:from>
    <xdr:to>
      <xdr:col>0</xdr:col>
      <xdr:colOff>800100</xdr:colOff>
      <xdr:row>6</xdr:row>
      <xdr:rowOff>37570</xdr:rowOff>
    </xdr:to>
    <xdr:pic macro="[0]!ThisWorkbook.ACCUEIL">
      <xdr:nvPicPr>
        <xdr:cNvPr id="6" name="Imag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1" y="577849"/>
          <a:ext cx="476249" cy="431271"/>
        </a:xfrm>
        <a:prstGeom prst="rect">
          <a:avLst/>
        </a:prstGeom>
      </xdr:spPr>
    </xdr:pic>
    <xdr:clientData fPrintsWithSheet="0"/>
  </xdr:twoCellAnchor>
  <xdr:twoCellAnchor>
    <xdr:from>
      <xdr:col>0</xdr:col>
      <xdr:colOff>0</xdr:colOff>
      <xdr:row>0</xdr:row>
      <xdr:rowOff>76200</xdr:rowOff>
    </xdr:from>
    <xdr:to>
      <xdr:col>2</xdr:col>
      <xdr:colOff>695325</xdr:colOff>
      <xdr:row>3</xdr:row>
      <xdr:rowOff>9524</xdr:rowOff>
    </xdr:to>
    <xdr:sp macro="" textlink="">
      <xdr:nvSpPr>
        <xdr:cNvPr id="8" name="Text Box 429">
          <a:extLst>
            <a:ext uri="{FF2B5EF4-FFF2-40B4-BE49-F238E27FC236}">
              <a16:creationId xmlns:a16="http://schemas.microsoft.com/office/drawing/2014/main" id="{00000000-0008-0000-1600-000008000000}"/>
            </a:ext>
          </a:extLst>
        </xdr:cNvPr>
        <xdr:cNvSpPr txBox="1">
          <a:spLocks noChangeArrowheads="1"/>
        </xdr:cNvSpPr>
      </xdr:nvSpPr>
      <xdr:spPr bwMode="auto">
        <a:xfrm>
          <a:off x="0" y="76200"/>
          <a:ext cx="30861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962025</xdr:colOff>
      <xdr:row>4</xdr:row>
      <xdr:rowOff>0</xdr:rowOff>
    </xdr:from>
    <xdr:to>
      <xdr:col>0</xdr:col>
      <xdr:colOff>2009775</xdr:colOff>
      <xdr:row>6</xdr:row>
      <xdr:rowOff>52315</xdr:rowOff>
    </xdr:to>
    <xdr:pic macro="[0]!ThisWorkbook.Imprimer_SUBV">
      <xdr:nvPicPr>
        <xdr:cNvPr id="9" name="Image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 y="647700"/>
          <a:ext cx="1047750" cy="376165"/>
        </a:xfrm>
        <a:prstGeom prst="rect">
          <a:avLst/>
        </a:prstGeom>
      </xdr:spPr>
    </xdr:pic>
    <xdr:clientData fPrintsWithSheet="0"/>
  </xdr:twoCellAnchor>
  <xdr:twoCellAnchor editAs="oneCell">
    <xdr:from>
      <xdr:col>0</xdr:col>
      <xdr:colOff>2200275</xdr:colOff>
      <xdr:row>3</xdr:row>
      <xdr:rowOff>114300</xdr:rowOff>
    </xdr:from>
    <xdr:to>
      <xdr:col>2</xdr:col>
      <xdr:colOff>257175</xdr:colOff>
      <xdr:row>6</xdr:row>
      <xdr:rowOff>76200</xdr:rowOff>
    </xdr:to>
    <xdr:pic macro="[0]!ThisWorkbook.RETOUR_FINANCEMENT">
      <xdr:nvPicPr>
        <xdr:cNvPr id="10" name="Imag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00275" y="600075"/>
          <a:ext cx="447675" cy="447675"/>
        </a:xfrm>
        <a:prstGeom prst="rect">
          <a:avLst/>
        </a:prstGeom>
      </xdr:spPr>
    </xdr:pic>
    <xdr:clientData fPrintsWithSheet="0"/>
  </xdr:twoCellAnchor>
  <xdr:twoCellAnchor editAs="oneCell">
    <xdr:from>
      <xdr:col>5</xdr:col>
      <xdr:colOff>28576</xdr:colOff>
      <xdr:row>1</xdr:row>
      <xdr:rowOff>0</xdr:rowOff>
    </xdr:from>
    <xdr:to>
      <xdr:col>7</xdr:col>
      <xdr:colOff>1031326</xdr:colOff>
      <xdr:row>3</xdr:row>
      <xdr:rowOff>123825</xdr:rowOff>
    </xdr:to>
    <xdr:pic>
      <xdr:nvPicPr>
        <xdr:cNvPr id="2" name="Imag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4"/>
        <a:stretch>
          <a:fillRect/>
        </a:stretch>
      </xdr:blipFill>
      <xdr:spPr>
        <a:xfrm>
          <a:off x="4791076" y="161925"/>
          <a:ext cx="2488650" cy="4476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933450</xdr:colOff>
      <xdr:row>13</xdr:row>
      <xdr:rowOff>38100</xdr:rowOff>
    </xdr:from>
    <xdr:to>
      <xdr:col>2</xdr:col>
      <xdr:colOff>895350</xdr:colOff>
      <xdr:row>15</xdr:row>
      <xdr:rowOff>66675</xdr:rowOff>
    </xdr:to>
    <xdr:sp macro="" textlink="">
      <xdr:nvSpPr>
        <xdr:cNvPr id="3121" name="Text Box 49">
          <a:extLst>
            <a:ext uri="{FF2B5EF4-FFF2-40B4-BE49-F238E27FC236}">
              <a16:creationId xmlns:a16="http://schemas.microsoft.com/office/drawing/2014/main" id="{00000000-0008-0000-1700-0000310C0000}"/>
            </a:ext>
          </a:extLst>
        </xdr:cNvPr>
        <xdr:cNvSpPr txBox="1">
          <a:spLocks noChangeArrowheads="1"/>
        </xdr:cNvSpPr>
      </xdr:nvSpPr>
      <xdr:spPr bwMode="auto">
        <a:xfrm>
          <a:off x="1009650" y="170497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COÛTS DU PROJET</a:t>
          </a:r>
        </a:p>
      </xdr:txBody>
    </xdr:sp>
    <xdr:clientData/>
  </xdr:twoCellAnchor>
  <xdr:twoCellAnchor>
    <xdr:from>
      <xdr:col>5</xdr:col>
      <xdr:colOff>1019175</xdr:colOff>
      <xdr:row>13</xdr:row>
      <xdr:rowOff>28575</xdr:rowOff>
    </xdr:from>
    <xdr:to>
      <xdr:col>8</xdr:col>
      <xdr:colOff>333375</xdr:colOff>
      <xdr:row>15</xdr:row>
      <xdr:rowOff>38100</xdr:rowOff>
    </xdr:to>
    <xdr:sp macro="" textlink="">
      <xdr:nvSpPr>
        <xdr:cNvPr id="3122" name="Text Box 50">
          <a:extLst>
            <a:ext uri="{FF2B5EF4-FFF2-40B4-BE49-F238E27FC236}">
              <a16:creationId xmlns:a16="http://schemas.microsoft.com/office/drawing/2014/main" id="{00000000-0008-0000-1700-0000320C0000}"/>
            </a:ext>
          </a:extLst>
        </xdr:cNvPr>
        <xdr:cNvSpPr txBox="1">
          <a:spLocks noChangeArrowheads="1"/>
        </xdr:cNvSpPr>
      </xdr:nvSpPr>
      <xdr:spPr bwMode="auto">
        <a:xfrm>
          <a:off x="5038725" y="168592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FINANCEMENT</a:t>
          </a:r>
        </a:p>
      </xdr:txBody>
    </xdr:sp>
    <xdr:clientData/>
  </xdr:twoCellAnchor>
  <xdr:twoCellAnchor editAs="absolute">
    <xdr:from>
      <xdr:col>7</xdr:col>
      <xdr:colOff>19050</xdr:colOff>
      <xdr:row>58</xdr:row>
      <xdr:rowOff>57150</xdr:rowOff>
    </xdr:from>
    <xdr:to>
      <xdr:col>10</xdr:col>
      <xdr:colOff>0</xdr:colOff>
      <xdr:row>60</xdr:row>
      <xdr:rowOff>66675</xdr:rowOff>
    </xdr:to>
    <xdr:pic>
      <xdr:nvPicPr>
        <xdr:cNvPr id="64628" name="Picture 1" descr="EQ_RGB (1)">
          <a:extLst>
            <a:ext uri="{FF2B5EF4-FFF2-40B4-BE49-F238E27FC236}">
              <a16:creationId xmlns:a16="http://schemas.microsoft.com/office/drawing/2014/main" id="{00000000-0008-0000-1700-000074F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67425" y="9420225"/>
          <a:ext cx="1666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152401</xdr:colOff>
      <xdr:row>3</xdr:row>
      <xdr:rowOff>63499</xdr:rowOff>
    </xdr:from>
    <xdr:to>
      <xdr:col>1</xdr:col>
      <xdr:colOff>602969</xdr:colOff>
      <xdr:row>6</xdr:row>
      <xdr:rowOff>19050</xdr:rowOff>
    </xdr:to>
    <xdr:pic macro="[0]!ThisWorkbook.ACCUEIL">
      <xdr:nvPicPr>
        <xdr:cNvPr id="53" name="Image 52">
          <a:extLst>
            <a:ext uri="{FF2B5EF4-FFF2-40B4-BE49-F238E27FC236}">
              <a16:creationId xmlns:a16="http://schemas.microsoft.com/office/drawing/2014/main" id="{00000000-0008-0000-17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1" y="549274"/>
          <a:ext cx="450568" cy="441326"/>
        </a:xfrm>
        <a:prstGeom prst="rect">
          <a:avLst/>
        </a:prstGeom>
      </xdr:spPr>
    </xdr:pic>
    <xdr:clientData fPrintsWithSheet="0"/>
  </xdr:twoCellAnchor>
  <xdr:twoCellAnchor>
    <xdr:from>
      <xdr:col>0</xdr:col>
      <xdr:colOff>38101</xdr:colOff>
      <xdr:row>0</xdr:row>
      <xdr:rowOff>66675</xdr:rowOff>
    </xdr:from>
    <xdr:to>
      <xdr:col>2</xdr:col>
      <xdr:colOff>733426</xdr:colOff>
      <xdr:row>2</xdr:row>
      <xdr:rowOff>161924</xdr:rowOff>
    </xdr:to>
    <xdr:sp macro="" textlink="">
      <xdr:nvSpPr>
        <xdr:cNvPr id="55" name="Text Box 429">
          <a:extLst>
            <a:ext uri="{FF2B5EF4-FFF2-40B4-BE49-F238E27FC236}">
              <a16:creationId xmlns:a16="http://schemas.microsoft.com/office/drawing/2014/main" id="{00000000-0008-0000-1700-000037000000}"/>
            </a:ext>
          </a:extLst>
        </xdr:cNvPr>
        <xdr:cNvSpPr txBox="1">
          <a:spLocks noChangeArrowheads="1"/>
        </xdr:cNvSpPr>
      </xdr:nvSpPr>
      <xdr:spPr bwMode="auto">
        <a:xfrm>
          <a:off x="38101" y="66675"/>
          <a:ext cx="25527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762000</xdr:colOff>
      <xdr:row>3</xdr:row>
      <xdr:rowOff>114300</xdr:rowOff>
    </xdr:from>
    <xdr:to>
      <xdr:col>1</xdr:col>
      <xdr:colOff>1714569</xdr:colOff>
      <xdr:row>6</xdr:row>
      <xdr:rowOff>0</xdr:rowOff>
    </xdr:to>
    <xdr:pic macro="[0]!ThisWorkbook.Imprimer_CF">
      <xdr:nvPicPr>
        <xdr:cNvPr id="57" name="Image 56">
          <a:extLst>
            <a:ext uri="{FF2B5EF4-FFF2-40B4-BE49-F238E27FC236}">
              <a16:creationId xmlns:a16="http://schemas.microsoft.com/office/drawing/2014/main" id="{00000000-0008-0000-17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0" y="600075"/>
          <a:ext cx="952569" cy="371475"/>
        </a:xfrm>
        <a:prstGeom prst="rect">
          <a:avLst/>
        </a:prstGeom>
      </xdr:spPr>
    </xdr:pic>
    <xdr:clientData fPrintsWithSheet="0"/>
  </xdr:twoCellAnchor>
  <xdr:twoCellAnchor editAs="oneCell">
    <xdr:from>
      <xdr:col>2</xdr:col>
      <xdr:colOff>114300</xdr:colOff>
      <xdr:row>3</xdr:row>
      <xdr:rowOff>66675</xdr:rowOff>
    </xdr:from>
    <xdr:to>
      <xdr:col>2</xdr:col>
      <xdr:colOff>561975</xdr:colOff>
      <xdr:row>6</xdr:row>
      <xdr:rowOff>28575</xdr:rowOff>
    </xdr:to>
    <xdr:pic macro="[0]!ThisWorkbook.RETOUR_PLANFINANCIER">
      <xdr:nvPicPr>
        <xdr:cNvPr id="3" name="Imag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71675" y="552450"/>
          <a:ext cx="447675" cy="447675"/>
        </a:xfrm>
        <a:prstGeom prst="rect">
          <a:avLst/>
        </a:prstGeom>
      </xdr:spPr>
    </xdr:pic>
    <xdr:clientData fPrintsWithSheet="0"/>
  </xdr:twoCellAnchor>
  <xdr:twoCellAnchor editAs="oneCell">
    <xdr:from>
      <xdr:col>10</xdr:col>
      <xdr:colOff>76200</xdr:colOff>
      <xdr:row>31</xdr:row>
      <xdr:rowOff>66676</xdr:rowOff>
    </xdr:from>
    <xdr:to>
      <xdr:col>10</xdr:col>
      <xdr:colOff>405624</xdr:colOff>
      <xdr:row>33</xdr:row>
      <xdr:rowOff>85726</xdr:rowOff>
    </xdr:to>
    <xdr:pic macro="[0]!ThisWorkbook.RESET_MC">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10500" y="5210176"/>
          <a:ext cx="329424" cy="342900"/>
        </a:xfrm>
        <a:prstGeom prst="rect">
          <a:avLst/>
        </a:prstGeom>
      </xdr:spPr>
    </xdr:pic>
    <xdr:clientData fPrintsWithSheet="0"/>
  </xdr:twoCellAnchor>
  <xdr:twoCellAnchor editAs="oneCell">
    <xdr:from>
      <xdr:col>4</xdr:col>
      <xdr:colOff>66675</xdr:colOff>
      <xdr:row>19</xdr:row>
      <xdr:rowOff>76200</xdr:rowOff>
    </xdr:from>
    <xdr:to>
      <xdr:col>5</xdr:col>
      <xdr:colOff>62513</xdr:colOff>
      <xdr:row>21</xdr:row>
      <xdr:rowOff>93756</xdr:rowOff>
    </xdr:to>
    <xdr:pic macro="[0]!ThisWorkbook.RESET_TPS">
      <xdr:nvPicPr>
        <xdr:cNvPr id="5" name="Imag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6"/>
        <a:stretch>
          <a:fillRect/>
        </a:stretch>
      </xdr:blipFill>
      <xdr:spPr>
        <a:xfrm>
          <a:off x="3752850" y="3276600"/>
          <a:ext cx="329213" cy="341406"/>
        </a:xfrm>
        <a:prstGeom prst="rect">
          <a:avLst/>
        </a:prstGeom>
      </xdr:spPr>
    </xdr:pic>
    <xdr:clientData fPrintsWithSheet="0"/>
  </xdr:twoCellAnchor>
  <xdr:twoCellAnchor editAs="oneCell">
    <xdr:from>
      <xdr:col>6</xdr:col>
      <xdr:colOff>190501</xdr:colOff>
      <xdr:row>27</xdr:row>
      <xdr:rowOff>28575</xdr:rowOff>
    </xdr:from>
    <xdr:to>
      <xdr:col>9</xdr:col>
      <xdr:colOff>8865</xdr:colOff>
      <xdr:row>30</xdr:row>
      <xdr:rowOff>47625</xdr:rowOff>
    </xdr:to>
    <xdr:pic>
      <xdr:nvPicPr>
        <xdr:cNvPr id="17" name="Image 16">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619751" y="4362450"/>
          <a:ext cx="1209014" cy="504825"/>
        </a:xfrm>
        <a:prstGeom prst="rect">
          <a:avLst/>
        </a:prstGeom>
      </xdr:spPr>
    </xdr:pic>
    <xdr:clientData fPrintsWithSheet="0"/>
  </xdr:twoCellAnchor>
  <xdr:twoCellAnchor>
    <xdr:from>
      <xdr:col>6</xdr:col>
      <xdr:colOff>219074</xdr:colOff>
      <xdr:row>27</xdr:row>
      <xdr:rowOff>57150</xdr:rowOff>
    </xdr:from>
    <xdr:to>
      <xdr:col>8</xdr:col>
      <xdr:colOff>333375</xdr:colOff>
      <xdr:row>29</xdr:row>
      <xdr:rowOff>134790</xdr:rowOff>
    </xdr:to>
    <xdr:sp macro="[0]!ThisWorkbook.RETOUR_FINANCEMENT" textlink="">
      <xdr:nvSpPr>
        <xdr:cNvPr id="19" name="ZoneTexte 18">
          <a:extLst>
            <a:ext uri="{FF2B5EF4-FFF2-40B4-BE49-F238E27FC236}">
              <a16:creationId xmlns:a16="http://schemas.microsoft.com/office/drawing/2014/main" id="{00000000-0008-0000-1700-000013000000}"/>
            </a:ext>
          </a:extLst>
        </xdr:cNvPr>
        <xdr:cNvSpPr txBox="1"/>
      </xdr:nvSpPr>
      <xdr:spPr>
        <a:xfrm>
          <a:off x="5648324" y="4391025"/>
          <a:ext cx="1143001" cy="401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700" b="1">
              <a:solidFill>
                <a:schemeClr val="bg1"/>
              </a:solidFill>
            </a:rPr>
            <a:t>RETOUR   </a:t>
          </a:r>
        </a:p>
        <a:p>
          <a:pPr algn="ctr"/>
          <a:r>
            <a:rPr lang="fr-CA" sz="700" b="1">
              <a:solidFill>
                <a:schemeClr val="bg1"/>
              </a:solidFill>
            </a:rPr>
            <a:t>FINANCEMENT</a:t>
          </a:r>
        </a:p>
      </xdr:txBody>
    </xdr:sp>
    <xdr:clientData fPrintsWithSheet="0"/>
  </xdr:twoCellAnchor>
  <xdr:twoCellAnchor editAs="oneCell">
    <xdr:from>
      <xdr:col>4</xdr:col>
      <xdr:colOff>285751</xdr:colOff>
      <xdr:row>1</xdr:row>
      <xdr:rowOff>57151</xdr:rowOff>
    </xdr:from>
    <xdr:to>
      <xdr:col>9</xdr:col>
      <xdr:colOff>695326</xdr:colOff>
      <xdr:row>5</xdr:row>
      <xdr:rowOff>46843</xdr:rowOff>
    </xdr:to>
    <xdr:pic>
      <xdr:nvPicPr>
        <xdr:cNvPr id="4" name="Imag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8"/>
        <a:stretch>
          <a:fillRect/>
        </a:stretch>
      </xdr:blipFill>
      <xdr:spPr>
        <a:xfrm>
          <a:off x="3971926" y="219076"/>
          <a:ext cx="3543300" cy="63739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309562</xdr:colOff>
      <xdr:row>3</xdr:row>
      <xdr:rowOff>113506</xdr:rowOff>
    </xdr:from>
    <xdr:to>
      <xdr:col>0</xdr:col>
      <xdr:colOff>759132</xdr:colOff>
      <xdr:row>6</xdr:row>
      <xdr:rowOff>104775</xdr:rowOff>
    </xdr:to>
    <xdr:pic macro="[0]!ThisWorkbook.ACCUEIL">
      <xdr:nvPicPr>
        <xdr:cNvPr id="11" name="Imag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9562" y="599281"/>
          <a:ext cx="449570" cy="477044"/>
        </a:xfrm>
        <a:prstGeom prst="rect">
          <a:avLst/>
        </a:prstGeom>
      </xdr:spPr>
    </xdr:pic>
    <xdr:clientData fPrintsWithSheet="0"/>
  </xdr:twoCellAnchor>
  <xdr:twoCellAnchor>
    <xdr:from>
      <xdr:col>0</xdr:col>
      <xdr:colOff>1</xdr:colOff>
      <xdr:row>0</xdr:row>
      <xdr:rowOff>19051</xdr:rowOff>
    </xdr:from>
    <xdr:to>
      <xdr:col>3</xdr:col>
      <xdr:colOff>304800</xdr:colOff>
      <xdr:row>3</xdr:row>
      <xdr:rowOff>85726</xdr:rowOff>
    </xdr:to>
    <xdr:sp macro="" textlink="">
      <xdr:nvSpPr>
        <xdr:cNvPr id="13" name="Text Box 429">
          <a:extLst>
            <a:ext uri="{FF2B5EF4-FFF2-40B4-BE49-F238E27FC236}">
              <a16:creationId xmlns:a16="http://schemas.microsoft.com/office/drawing/2014/main" id="{00000000-0008-0000-1800-00000D000000}"/>
            </a:ext>
          </a:extLst>
        </xdr:cNvPr>
        <xdr:cNvSpPr txBox="1">
          <a:spLocks noChangeArrowheads="1"/>
        </xdr:cNvSpPr>
      </xdr:nvSpPr>
      <xdr:spPr bwMode="auto">
        <a:xfrm>
          <a:off x="1" y="19051"/>
          <a:ext cx="38480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1019175</xdr:colOff>
      <xdr:row>4</xdr:row>
      <xdr:rowOff>19050</xdr:rowOff>
    </xdr:from>
    <xdr:to>
      <xdr:col>0</xdr:col>
      <xdr:colOff>2124075</xdr:colOff>
      <xdr:row>6</xdr:row>
      <xdr:rowOff>126080</xdr:rowOff>
    </xdr:to>
    <xdr:pic macro="[0]!ThisWorkbook.Imprimer_V1">
      <xdr:nvPicPr>
        <xdr:cNvPr id="14" name="Imag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9175" y="666750"/>
          <a:ext cx="1104900" cy="430880"/>
        </a:xfrm>
        <a:prstGeom prst="rect">
          <a:avLst/>
        </a:prstGeom>
      </xdr:spPr>
    </xdr:pic>
    <xdr:clientData fPrintsWithSheet="0"/>
  </xdr:twoCellAnchor>
  <xdr:twoCellAnchor editAs="oneCell">
    <xdr:from>
      <xdr:col>0</xdr:col>
      <xdr:colOff>2495551</xdr:colOff>
      <xdr:row>3</xdr:row>
      <xdr:rowOff>66676</xdr:rowOff>
    </xdr:from>
    <xdr:to>
      <xdr:col>2</xdr:col>
      <xdr:colOff>342901</xdr:colOff>
      <xdr:row>7</xdr:row>
      <xdr:rowOff>47626</xdr:rowOff>
    </xdr:to>
    <xdr:pic macro="[0]!ThisWorkbook.RETOUR_MESREVENUS">
      <xdr:nvPicPr>
        <xdr:cNvPr id="15" name="Imag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5551" y="552451"/>
          <a:ext cx="628650" cy="6286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4"/>
        <a:stretch>
          <a:fillRect/>
        </a:stretch>
      </xdr:blipFill>
      <xdr:spPr>
        <a:xfrm>
          <a:off x="7893844" y="166688"/>
          <a:ext cx="4304149" cy="77425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300037</xdr:colOff>
      <xdr:row>3</xdr:row>
      <xdr:rowOff>94456</xdr:rowOff>
    </xdr:from>
    <xdr:to>
      <xdr:col>0</xdr:col>
      <xdr:colOff>740630</xdr:colOff>
      <xdr:row>6</xdr:row>
      <xdr:rowOff>76200</xdr:rowOff>
    </xdr:to>
    <xdr:pic macro="[0]!ThisWorkbook.ACCUEIL">
      <xdr:nvPicPr>
        <xdr:cNvPr id="6" name="Imag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037" y="580231"/>
          <a:ext cx="440593" cy="467519"/>
        </a:xfrm>
        <a:prstGeom prst="rect">
          <a:avLst/>
        </a:prstGeom>
      </xdr:spPr>
    </xdr:pic>
    <xdr:clientData fPrintsWithSheet="0"/>
  </xdr:twoCellAnchor>
  <xdr:twoCellAnchor>
    <xdr:from>
      <xdr:col>0</xdr:col>
      <xdr:colOff>0</xdr:colOff>
      <xdr:row>0</xdr:row>
      <xdr:rowOff>19051</xdr:rowOff>
    </xdr:from>
    <xdr:to>
      <xdr:col>2</xdr:col>
      <xdr:colOff>333375</xdr:colOff>
      <xdr:row>3</xdr:row>
      <xdr:rowOff>85726</xdr:rowOff>
    </xdr:to>
    <xdr:sp macro="" textlink="">
      <xdr:nvSpPr>
        <xdr:cNvPr id="8" name="Text Box 429">
          <a:extLst>
            <a:ext uri="{FF2B5EF4-FFF2-40B4-BE49-F238E27FC236}">
              <a16:creationId xmlns:a16="http://schemas.microsoft.com/office/drawing/2014/main" id="{00000000-0008-0000-1900-000008000000}"/>
            </a:ext>
          </a:extLst>
        </xdr:cNvPr>
        <xdr:cNvSpPr txBox="1">
          <a:spLocks noChangeArrowheads="1"/>
        </xdr:cNvSpPr>
      </xdr:nvSpPr>
      <xdr:spPr bwMode="auto">
        <a:xfrm>
          <a:off x="0" y="19051"/>
          <a:ext cx="3648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1171575</xdr:colOff>
      <xdr:row>3</xdr:row>
      <xdr:rowOff>133350</xdr:rowOff>
    </xdr:from>
    <xdr:to>
      <xdr:col>0</xdr:col>
      <xdr:colOff>2276475</xdr:colOff>
      <xdr:row>6</xdr:row>
      <xdr:rowOff>78455</xdr:rowOff>
    </xdr:to>
    <xdr:pic macro="[0]!ThisWorkbook.Imprimer_V2">
      <xdr:nvPicPr>
        <xdr:cNvPr id="9" name="Image 8">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1575" y="619125"/>
          <a:ext cx="1104900" cy="430880"/>
        </a:xfrm>
        <a:prstGeom prst="rect">
          <a:avLst/>
        </a:prstGeom>
      </xdr:spPr>
    </xdr:pic>
    <xdr:clientData fPrintsWithSheet="0"/>
  </xdr:twoCellAnchor>
  <xdr:twoCellAnchor editAs="oneCell">
    <xdr:from>
      <xdr:col>1</xdr:col>
      <xdr:colOff>57150</xdr:colOff>
      <xdr:row>3</xdr:row>
      <xdr:rowOff>38100</xdr:rowOff>
    </xdr:from>
    <xdr:to>
      <xdr:col>1</xdr:col>
      <xdr:colOff>676275</xdr:colOff>
      <xdr:row>7</xdr:row>
      <xdr:rowOff>9525</xdr:rowOff>
    </xdr:to>
    <xdr:pic macro="[0]!ThisWorkbook.RETOUR_MESREVENUS">
      <xdr:nvPicPr>
        <xdr:cNvPr id="10" name="Image 9">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09850" y="523875"/>
          <a:ext cx="619125" cy="61912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471487</xdr:colOff>
      <xdr:row>3</xdr:row>
      <xdr:rowOff>103981</xdr:rowOff>
    </xdr:from>
    <xdr:to>
      <xdr:col>0</xdr:col>
      <xdr:colOff>947986</xdr:colOff>
      <xdr:row>6</xdr:row>
      <xdr:rowOff>123825</xdr:rowOff>
    </xdr:to>
    <xdr:pic macro="[0]!ThisWorkbook.ACCUEIL">
      <xdr:nvPicPr>
        <xdr:cNvPr id="10" name="Imag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487" y="589756"/>
          <a:ext cx="476499" cy="505619"/>
        </a:xfrm>
        <a:prstGeom prst="rect">
          <a:avLst/>
        </a:prstGeom>
      </xdr:spPr>
    </xdr:pic>
    <xdr:clientData fPrintsWithSheet="0"/>
  </xdr:twoCellAnchor>
  <xdr:twoCellAnchor>
    <xdr:from>
      <xdr:col>0</xdr:col>
      <xdr:colOff>1</xdr:colOff>
      <xdr:row>0</xdr:row>
      <xdr:rowOff>19051</xdr:rowOff>
    </xdr:from>
    <xdr:to>
      <xdr:col>2</xdr:col>
      <xdr:colOff>419100</xdr:colOff>
      <xdr:row>3</xdr:row>
      <xdr:rowOff>85726</xdr:rowOff>
    </xdr:to>
    <xdr:sp macro="" textlink="">
      <xdr:nvSpPr>
        <xdr:cNvPr id="12" name="Text Box 429">
          <a:extLst>
            <a:ext uri="{FF2B5EF4-FFF2-40B4-BE49-F238E27FC236}">
              <a16:creationId xmlns:a16="http://schemas.microsoft.com/office/drawing/2014/main" id="{00000000-0008-0000-1A00-00000C000000}"/>
            </a:ext>
          </a:extLst>
        </xdr:cNvPr>
        <xdr:cNvSpPr txBox="1">
          <a:spLocks noChangeArrowheads="1"/>
        </xdr:cNvSpPr>
      </xdr:nvSpPr>
      <xdr:spPr bwMode="auto">
        <a:xfrm>
          <a:off x="1" y="19051"/>
          <a:ext cx="37337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1400175</xdr:colOff>
      <xdr:row>4</xdr:row>
      <xdr:rowOff>19050</xdr:rowOff>
    </xdr:from>
    <xdr:to>
      <xdr:col>0</xdr:col>
      <xdr:colOff>2505075</xdr:colOff>
      <xdr:row>6</xdr:row>
      <xdr:rowOff>126080</xdr:rowOff>
    </xdr:to>
    <xdr:pic macro="[0]!ThisWorkbook.Imprimer_V3">
      <xdr:nvPicPr>
        <xdr:cNvPr id="14" name="Image 13">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00175" y="666750"/>
          <a:ext cx="1104900" cy="430880"/>
        </a:xfrm>
        <a:prstGeom prst="rect">
          <a:avLst/>
        </a:prstGeom>
      </xdr:spPr>
    </xdr:pic>
    <xdr:clientData fPrintsWithSheet="0"/>
  </xdr:twoCellAnchor>
  <xdr:twoCellAnchor editAs="oneCell">
    <xdr:from>
      <xdr:col>1</xdr:col>
      <xdr:colOff>276226</xdr:colOff>
      <xdr:row>3</xdr:row>
      <xdr:rowOff>95251</xdr:rowOff>
    </xdr:from>
    <xdr:to>
      <xdr:col>2</xdr:col>
      <xdr:colOff>66676</xdr:colOff>
      <xdr:row>7</xdr:row>
      <xdr:rowOff>1</xdr:rowOff>
    </xdr:to>
    <xdr:pic macro="[0]!ThisWorkbook.RETOUR_MESREVENUS">
      <xdr:nvPicPr>
        <xdr:cNvPr id="15" name="Imag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6" y="581026"/>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376237</xdr:colOff>
      <xdr:row>3</xdr:row>
      <xdr:rowOff>123031</xdr:rowOff>
    </xdr:from>
    <xdr:to>
      <xdr:col>0</xdr:col>
      <xdr:colOff>834783</xdr:colOff>
      <xdr:row>6</xdr:row>
      <xdr:rowOff>123825</xdr:rowOff>
    </xdr:to>
    <xdr:pic macro="[0]!ThisWorkbook.ACCUEIL">
      <xdr:nvPicPr>
        <xdr:cNvPr id="12" name="Image 1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6237" y="608806"/>
          <a:ext cx="458546" cy="486569"/>
        </a:xfrm>
        <a:prstGeom prst="rect">
          <a:avLst/>
        </a:prstGeom>
      </xdr:spPr>
    </xdr:pic>
    <xdr:clientData fPrintsWithSheet="0"/>
  </xdr:twoCellAnchor>
  <xdr:twoCellAnchor>
    <xdr:from>
      <xdr:col>0</xdr:col>
      <xdr:colOff>0</xdr:colOff>
      <xdr:row>0</xdr:row>
      <xdr:rowOff>19051</xdr:rowOff>
    </xdr:from>
    <xdr:to>
      <xdr:col>2</xdr:col>
      <xdr:colOff>276225</xdr:colOff>
      <xdr:row>3</xdr:row>
      <xdr:rowOff>85726</xdr:rowOff>
    </xdr:to>
    <xdr:sp macro="" textlink="">
      <xdr:nvSpPr>
        <xdr:cNvPr id="14" name="Text Box 429">
          <a:extLst>
            <a:ext uri="{FF2B5EF4-FFF2-40B4-BE49-F238E27FC236}">
              <a16:creationId xmlns:a16="http://schemas.microsoft.com/office/drawing/2014/main" id="{00000000-0008-0000-1B00-00000E000000}"/>
            </a:ext>
          </a:extLst>
        </xdr:cNvPr>
        <xdr:cNvSpPr txBox="1">
          <a:spLocks noChangeArrowheads="1"/>
        </xdr:cNvSpPr>
      </xdr:nvSpPr>
      <xdr:spPr bwMode="auto">
        <a:xfrm>
          <a:off x="0" y="19051"/>
          <a:ext cx="35909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1228725</xdr:colOff>
      <xdr:row>4</xdr:row>
      <xdr:rowOff>47625</xdr:rowOff>
    </xdr:from>
    <xdr:to>
      <xdr:col>0</xdr:col>
      <xdr:colOff>2190750</xdr:colOff>
      <xdr:row>6</xdr:row>
      <xdr:rowOff>98938</xdr:rowOff>
    </xdr:to>
    <xdr:pic macro="[0]!ThisWorkbook.Imprimer_V4">
      <xdr:nvPicPr>
        <xdr:cNvPr id="15" name="Image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28725" y="695325"/>
          <a:ext cx="962025" cy="375163"/>
        </a:xfrm>
        <a:prstGeom prst="rect">
          <a:avLst/>
        </a:prstGeom>
      </xdr:spPr>
    </xdr:pic>
    <xdr:clientData fPrintsWithSheet="0"/>
  </xdr:twoCellAnchor>
  <xdr:twoCellAnchor editAs="oneCell">
    <xdr:from>
      <xdr:col>1</xdr:col>
      <xdr:colOff>142875</xdr:colOff>
      <xdr:row>3</xdr:row>
      <xdr:rowOff>66675</xdr:rowOff>
    </xdr:from>
    <xdr:to>
      <xdr:col>1</xdr:col>
      <xdr:colOff>742950</xdr:colOff>
      <xdr:row>7</xdr:row>
      <xdr:rowOff>19050</xdr:rowOff>
    </xdr:to>
    <xdr:pic macro="[0]!ThisWorkbook.RETOUR_MESREVENUS">
      <xdr:nvPicPr>
        <xdr:cNvPr id="16" name="Image 15">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95575" y="552450"/>
          <a:ext cx="600075" cy="6000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4"/>
        <a:stretch>
          <a:fillRect/>
        </a:stretch>
      </xdr:blipFill>
      <xdr:spPr>
        <a:xfrm>
          <a:off x="8429625" y="166688"/>
          <a:ext cx="4304149" cy="77425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271462</xdr:colOff>
      <xdr:row>3</xdr:row>
      <xdr:rowOff>123031</xdr:rowOff>
    </xdr:from>
    <xdr:to>
      <xdr:col>0</xdr:col>
      <xdr:colOff>730008</xdr:colOff>
      <xdr:row>6</xdr:row>
      <xdr:rowOff>123825</xdr:rowOff>
    </xdr:to>
    <xdr:pic macro="[0]!ThisWorkbook.ACCUEIL">
      <xdr:nvPicPr>
        <xdr:cNvPr id="7" name="Image 6">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1462" y="608806"/>
          <a:ext cx="458546" cy="486569"/>
        </a:xfrm>
        <a:prstGeom prst="rect">
          <a:avLst/>
        </a:prstGeom>
      </xdr:spPr>
    </xdr:pic>
    <xdr:clientData fPrintsWithSheet="0"/>
  </xdr:twoCellAnchor>
  <xdr:twoCellAnchor>
    <xdr:from>
      <xdr:col>0</xdr:col>
      <xdr:colOff>1</xdr:colOff>
      <xdr:row>0</xdr:row>
      <xdr:rowOff>19051</xdr:rowOff>
    </xdr:from>
    <xdr:to>
      <xdr:col>3</xdr:col>
      <xdr:colOff>57150</xdr:colOff>
      <xdr:row>3</xdr:row>
      <xdr:rowOff>85726</xdr:rowOff>
    </xdr:to>
    <xdr:sp macro="" textlink="">
      <xdr:nvSpPr>
        <xdr:cNvPr id="9" name="Text Box 429">
          <a:extLst>
            <a:ext uri="{FF2B5EF4-FFF2-40B4-BE49-F238E27FC236}">
              <a16:creationId xmlns:a16="http://schemas.microsoft.com/office/drawing/2014/main" id="{00000000-0008-0000-1C00-000009000000}"/>
            </a:ext>
          </a:extLst>
        </xdr:cNvPr>
        <xdr:cNvSpPr txBox="1">
          <a:spLocks noChangeArrowheads="1"/>
        </xdr:cNvSpPr>
      </xdr:nvSpPr>
      <xdr:spPr bwMode="auto">
        <a:xfrm>
          <a:off x="1" y="19051"/>
          <a:ext cx="40576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1219200</xdr:colOff>
      <xdr:row>4</xdr:row>
      <xdr:rowOff>19050</xdr:rowOff>
    </xdr:from>
    <xdr:to>
      <xdr:col>0</xdr:col>
      <xdr:colOff>2220618</xdr:colOff>
      <xdr:row>6</xdr:row>
      <xdr:rowOff>85725</xdr:rowOff>
    </xdr:to>
    <xdr:pic macro="[0]!ThisWorkbook.Imprimer_V5">
      <xdr:nvPicPr>
        <xdr:cNvPr id="10" name="Image 9">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200" y="666750"/>
          <a:ext cx="1001418" cy="390525"/>
        </a:xfrm>
        <a:prstGeom prst="rect">
          <a:avLst/>
        </a:prstGeom>
      </xdr:spPr>
    </xdr:pic>
    <xdr:clientData fPrintsWithSheet="0"/>
  </xdr:twoCellAnchor>
  <xdr:twoCellAnchor editAs="oneCell">
    <xdr:from>
      <xdr:col>1</xdr:col>
      <xdr:colOff>285751</xdr:colOff>
      <xdr:row>3</xdr:row>
      <xdr:rowOff>85726</xdr:rowOff>
    </xdr:from>
    <xdr:to>
      <xdr:col>2</xdr:col>
      <xdr:colOff>76201</xdr:colOff>
      <xdr:row>6</xdr:row>
      <xdr:rowOff>152401</xdr:rowOff>
    </xdr:to>
    <xdr:pic macro="[0]!ThisWorkbook.RETOUR_MESREVENUS">
      <xdr:nvPicPr>
        <xdr:cNvPr id="11" name="Image 10">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38451" y="571501"/>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4"/>
        <a:stretch>
          <a:fillRect/>
        </a:stretch>
      </xdr:blipFill>
      <xdr:spPr>
        <a:xfrm>
          <a:off x="8441531" y="166688"/>
          <a:ext cx="4304149" cy="77425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1" name="Image 10">
          <a:extLst>
            <a:ext uri="{FF2B5EF4-FFF2-40B4-BE49-F238E27FC236}">
              <a16:creationId xmlns:a16="http://schemas.microsoft.com/office/drawing/2014/main" id="{00000000-0008-0000-1D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1">
      <xdr:nvPicPr>
        <xdr:cNvPr id="14" name="Image 13">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5" name="Image 14">
          <a:extLst>
            <a:ext uri="{FF2B5EF4-FFF2-40B4-BE49-F238E27FC236}">
              <a16:creationId xmlns:a16="http://schemas.microsoft.com/office/drawing/2014/main" id="{00000000-0008-0000-1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D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8</xdr:col>
      <xdr:colOff>0</xdr:colOff>
      <xdr:row>1</xdr:row>
      <xdr:rowOff>0</xdr:rowOff>
    </xdr:from>
    <xdr:to>
      <xdr:col>12</xdr:col>
      <xdr:colOff>189349</xdr:colOff>
      <xdr:row>5</xdr:row>
      <xdr:rowOff>113859</xdr:rowOff>
    </xdr:to>
    <xdr:pic>
      <xdr:nvPicPr>
        <xdr:cNvPr id="2" name="Imag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4"/>
        <a:stretch>
          <a:fillRect/>
        </a:stretch>
      </xdr:blipFill>
      <xdr:spPr>
        <a:xfrm>
          <a:off x="8445500" y="165100"/>
          <a:ext cx="4304149" cy="77425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2" name="Image 1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2">
      <xdr:nvPicPr>
        <xdr:cNvPr id="14" name="Image 13">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3</xdr:col>
      <xdr:colOff>109538</xdr:colOff>
      <xdr:row>6</xdr:row>
      <xdr:rowOff>152401</xdr:rowOff>
    </xdr:to>
    <xdr:pic macro="[0]!ThisWorkbook.RETOUR_MESREVENUS">
      <xdr:nvPicPr>
        <xdr:cNvPr id="15" name="Image 14">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E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4"/>
        <a:stretch>
          <a:fillRect/>
        </a:stretch>
      </xdr:blipFill>
      <xdr:spPr>
        <a:xfrm>
          <a:off x="9080500" y="165100"/>
          <a:ext cx="4304149" cy="774259"/>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3">
      <xdr:nvPicPr>
        <xdr:cNvPr id="9" name="Imag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1F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3" name="Imag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4">
      <xdr:nvPicPr>
        <xdr:cNvPr id="9" name="Imag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0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5">
      <xdr:nvPicPr>
        <xdr:cNvPr id="9" name="Image 8">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1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1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4"/>
        <a:stretch>
          <a:fillRect/>
        </a:stretch>
      </xdr:blipFill>
      <xdr:spPr>
        <a:xfrm>
          <a:off x="9474200" y="165100"/>
          <a:ext cx="4304149" cy="77425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25400</xdr:colOff>
          <xdr:row>15</xdr:row>
          <xdr:rowOff>25400</xdr:rowOff>
        </xdr:from>
        <xdr:to>
          <xdr:col>3</xdr:col>
          <xdr:colOff>850900</xdr:colOff>
          <xdr:row>15</xdr:row>
          <xdr:rowOff>190500</xdr:rowOff>
        </xdr:to>
        <xdr:sp macro="" textlink="">
          <xdr:nvSpPr>
            <xdr:cNvPr id="4148" name="Drop Down 52" hidden="1">
              <a:extLst>
                <a:ext uri="{63B3BB69-23CF-44E3-9099-C40C66FF867C}">
                  <a14:compatExt spid="_x0000_s4148"/>
                </a:ext>
                <a:ext uri="{FF2B5EF4-FFF2-40B4-BE49-F238E27FC236}">
                  <a16:creationId xmlns:a16="http://schemas.microsoft.com/office/drawing/2014/main" id="{00000000-0008-0000-2200-00003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28</xdr:row>
          <xdr:rowOff>25400</xdr:rowOff>
        </xdr:from>
        <xdr:to>
          <xdr:col>4</xdr:col>
          <xdr:colOff>0</xdr:colOff>
          <xdr:row>28</xdr:row>
          <xdr:rowOff>190500</xdr:rowOff>
        </xdr:to>
        <xdr:sp macro="" textlink="">
          <xdr:nvSpPr>
            <xdr:cNvPr id="4164" name="Drop Down 68" hidden="1">
              <a:extLst>
                <a:ext uri="{63B3BB69-23CF-44E3-9099-C40C66FF867C}">
                  <a14:compatExt spid="_x0000_s4164"/>
                </a:ext>
                <a:ext uri="{FF2B5EF4-FFF2-40B4-BE49-F238E27FC236}">
                  <a16:creationId xmlns:a16="http://schemas.microsoft.com/office/drawing/2014/main" id="{00000000-0008-0000-2200-00004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40</xdr:row>
          <xdr:rowOff>152400</xdr:rowOff>
        </xdr:from>
        <xdr:to>
          <xdr:col>4</xdr:col>
          <xdr:colOff>12700</xdr:colOff>
          <xdr:row>41</xdr:row>
          <xdr:rowOff>177800</xdr:rowOff>
        </xdr:to>
        <xdr:sp macro="" textlink="">
          <xdr:nvSpPr>
            <xdr:cNvPr id="4165" name="Drop Down 69" hidden="1">
              <a:extLst>
                <a:ext uri="{63B3BB69-23CF-44E3-9099-C40C66FF867C}">
                  <a14:compatExt spid="_x0000_s4165"/>
                </a:ext>
                <a:ext uri="{FF2B5EF4-FFF2-40B4-BE49-F238E27FC236}">
                  <a16:creationId xmlns:a16="http://schemas.microsoft.com/office/drawing/2014/main" id="{00000000-0008-0000-2200-00004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54</xdr:row>
          <xdr:rowOff>12700</xdr:rowOff>
        </xdr:from>
        <xdr:to>
          <xdr:col>3</xdr:col>
          <xdr:colOff>850900</xdr:colOff>
          <xdr:row>54</xdr:row>
          <xdr:rowOff>190500</xdr:rowOff>
        </xdr:to>
        <xdr:sp macro="" textlink="">
          <xdr:nvSpPr>
            <xdr:cNvPr id="4166" name="Drop Down 70" hidden="1">
              <a:extLst>
                <a:ext uri="{63B3BB69-23CF-44E3-9099-C40C66FF867C}">
                  <a14:compatExt spid="_x0000_s4166"/>
                </a:ext>
                <a:ext uri="{FF2B5EF4-FFF2-40B4-BE49-F238E27FC236}">
                  <a16:creationId xmlns:a16="http://schemas.microsoft.com/office/drawing/2014/main" id="{00000000-0008-0000-2200-00004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67</xdr:row>
          <xdr:rowOff>12700</xdr:rowOff>
        </xdr:from>
        <xdr:to>
          <xdr:col>3</xdr:col>
          <xdr:colOff>838200</xdr:colOff>
          <xdr:row>67</xdr:row>
          <xdr:rowOff>203200</xdr:rowOff>
        </xdr:to>
        <xdr:sp macro="" textlink="">
          <xdr:nvSpPr>
            <xdr:cNvPr id="4167" name="Drop Down 71" hidden="1">
              <a:extLst>
                <a:ext uri="{63B3BB69-23CF-44E3-9099-C40C66FF867C}">
                  <a14:compatExt spid="_x0000_s4167"/>
                </a:ext>
                <a:ext uri="{FF2B5EF4-FFF2-40B4-BE49-F238E27FC236}">
                  <a16:creationId xmlns:a16="http://schemas.microsoft.com/office/drawing/2014/main" id="{00000000-0008-0000-2200-00004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80</xdr:row>
          <xdr:rowOff>25400</xdr:rowOff>
        </xdr:from>
        <xdr:to>
          <xdr:col>3</xdr:col>
          <xdr:colOff>850900</xdr:colOff>
          <xdr:row>80</xdr:row>
          <xdr:rowOff>203200</xdr:rowOff>
        </xdr:to>
        <xdr:sp macro="" textlink="">
          <xdr:nvSpPr>
            <xdr:cNvPr id="4168" name="Drop Down 72" hidden="1">
              <a:extLst>
                <a:ext uri="{63B3BB69-23CF-44E3-9099-C40C66FF867C}">
                  <a14:compatExt spid="_x0000_s4168"/>
                </a:ext>
                <a:ext uri="{FF2B5EF4-FFF2-40B4-BE49-F238E27FC236}">
                  <a16:creationId xmlns:a16="http://schemas.microsoft.com/office/drawing/2014/main" id="{00000000-0008-0000-2200-00004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5" name="Text Box 429">
          <a:extLst>
            <a:ext uri="{FF2B5EF4-FFF2-40B4-BE49-F238E27FC236}">
              <a16:creationId xmlns:a16="http://schemas.microsoft.com/office/drawing/2014/main" id="{00000000-0008-0000-2200-00000F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1">
      <xdr:nvPicPr>
        <xdr:cNvPr id="16" name="Image 15">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3</xdr:col>
      <xdr:colOff>825313</xdr:colOff>
      <xdr:row>8</xdr:row>
      <xdr:rowOff>0</xdr:rowOff>
    </xdr:to>
    <xdr:pic macro="[0]!ThisWorkbook.RETOUR_MESDEPENSES">
      <xdr:nvPicPr>
        <xdr:cNvPr id="17" name="Imag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4"/>
        <a:stretch>
          <a:fillRect/>
        </a:stretch>
      </xdr:blipFill>
      <xdr:spPr>
        <a:xfrm>
          <a:off x="7642412" y="156882"/>
          <a:ext cx="4304149" cy="774259"/>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15</xdr:row>
          <xdr:rowOff>25400</xdr:rowOff>
        </xdr:from>
        <xdr:to>
          <xdr:col>3</xdr:col>
          <xdr:colOff>825500</xdr:colOff>
          <xdr:row>15</xdr:row>
          <xdr:rowOff>215900</xdr:rowOff>
        </xdr:to>
        <xdr:sp macro="" textlink="">
          <xdr:nvSpPr>
            <xdr:cNvPr id="41992" name="Drop Down 8" hidden="1">
              <a:extLst>
                <a:ext uri="{63B3BB69-23CF-44E3-9099-C40C66FF867C}">
                  <a14:compatExt spid="_x0000_s41992"/>
                </a:ext>
                <a:ext uri="{FF2B5EF4-FFF2-40B4-BE49-F238E27FC236}">
                  <a16:creationId xmlns:a16="http://schemas.microsoft.com/office/drawing/2014/main" id="{00000000-0008-0000-2300-000008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25400</xdr:rowOff>
        </xdr:from>
        <xdr:to>
          <xdr:col>3</xdr:col>
          <xdr:colOff>825500</xdr:colOff>
          <xdr:row>28</xdr:row>
          <xdr:rowOff>215900</xdr:rowOff>
        </xdr:to>
        <xdr:sp macro="" textlink="">
          <xdr:nvSpPr>
            <xdr:cNvPr id="41993" name="Drop Down 9" hidden="1">
              <a:extLst>
                <a:ext uri="{63B3BB69-23CF-44E3-9099-C40C66FF867C}">
                  <a14:compatExt spid="_x0000_s41993"/>
                </a:ext>
                <a:ext uri="{FF2B5EF4-FFF2-40B4-BE49-F238E27FC236}">
                  <a16:creationId xmlns:a16="http://schemas.microsoft.com/office/drawing/2014/main" id="{00000000-0008-0000-2300-000009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2540000</xdr:colOff>
          <xdr:row>54</xdr:row>
          <xdr:rowOff>25400</xdr:rowOff>
        </xdr:from>
        <xdr:to>
          <xdr:col>3</xdr:col>
          <xdr:colOff>800100</xdr:colOff>
          <xdr:row>54</xdr:row>
          <xdr:rowOff>203200</xdr:rowOff>
        </xdr:to>
        <xdr:sp macro="" textlink="">
          <xdr:nvSpPr>
            <xdr:cNvPr id="41995" name="Drop Down 11" hidden="1">
              <a:extLst>
                <a:ext uri="{63B3BB69-23CF-44E3-9099-C40C66FF867C}">
                  <a14:compatExt spid="_x0000_s41995"/>
                </a:ext>
                <a:ext uri="{FF2B5EF4-FFF2-40B4-BE49-F238E27FC236}">
                  <a16:creationId xmlns:a16="http://schemas.microsoft.com/office/drawing/2014/main" id="{00000000-0008-0000-2300-00000B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12700</xdr:rowOff>
        </xdr:from>
        <xdr:to>
          <xdr:col>3</xdr:col>
          <xdr:colOff>825500</xdr:colOff>
          <xdr:row>67</xdr:row>
          <xdr:rowOff>215900</xdr:rowOff>
        </xdr:to>
        <xdr:sp macro="" textlink="">
          <xdr:nvSpPr>
            <xdr:cNvPr id="41996" name="Drop Down 12" hidden="1">
              <a:extLst>
                <a:ext uri="{63B3BB69-23CF-44E3-9099-C40C66FF867C}">
                  <a14:compatExt spid="_x0000_s41996"/>
                </a:ext>
                <a:ext uri="{FF2B5EF4-FFF2-40B4-BE49-F238E27FC236}">
                  <a16:creationId xmlns:a16="http://schemas.microsoft.com/office/drawing/2014/main" id="{00000000-0008-0000-2300-00000C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12700</xdr:rowOff>
        </xdr:from>
        <xdr:to>
          <xdr:col>3</xdr:col>
          <xdr:colOff>825500</xdr:colOff>
          <xdr:row>80</xdr:row>
          <xdr:rowOff>215900</xdr:rowOff>
        </xdr:to>
        <xdr:sp macro="" textlink="">
          <xdr:nvSpPr>
            <xdr:cNvPr id="41997" name="Drop Down 13" hidden="1">
              <a:extLst>
                <a:ext uri="{63B3BB69-23CF-44E3-9099-C40C66FF867C}">
                  <a14:compatExt spid="_x0000_s41997"/>
                </a:ext>
                <a:ext uri="{FF2B5EF4-FFF2-40B4-BE49-F238E27FC236}">
                  <a16:creationId xmlns:a16="http://schemas.microsoft.com/office/drawing/2014/main" id="{00000000-0008-0000-2300-00000D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12700</xdr:rowOff>
        </xdr:from>
        <xdr:to>
          <xdr:col>3</xdr:col>
          <xdr:colOff>825500</xdr:colOff>
          <xdr:row>41</xdr:row>
          <xdr:rowOff>203200</xdr:rowOff>
        </xdr:to>
        <xdr:sp macro="" textlink="">
          <xdr:nvSpPr>
            <xdr:cNvPr id="41999" name="Drop Down 15" hidden="1">
              <a:extLst>
                <a:ext uri="{63B3BB69-23CF-44E3-9099-C40C66FF867C}">
                  <a14:compatExt spid="_x0000_s41999"/>
                </a:ext>
                <a:ext uri="{FF2B5EF4-FFF2-40B4-BE49-F238E27FC236}">
                  <a16:creationId xmlns:a16="http://schemas.microsoft.com/office/drawing/2014/main" id="{00000000-0008-0000-2300-00000F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4" name="Image 13">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9" name="Text Box 429">
          <a:extLst>
            <a:ext uri="{FF2B5EF4-FFF2-40B4-BE49-F238E27FC236}">
              <a16:creationId xmlns:a16="http://schemas.microsoft.com/office/drawing/2014/main" id="{00000000-0008-0000-2300-000013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2">
      <xdr:nvPicPr>
        <xdr:cNvPr id="20" name="Image 19">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1" name="Imag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15</xdr:row>
          <xdr:rowOff>12700</xdr:rowOff>
        </xdr:from>
        <xdr:to>
          <xdr:col>3</xdr:col>
          <xdr:colOff>825500</xdr:colOff>
          <xdr:row>21</xdr:row>
          <xdr:rowOff>0</xdr:rowOff>
        </xdr:to>
        <xdr:sp macro="" textlink="">
          <xdr:nvSpPr>
            <xdr:cNvPr id="181249" name="Drop Down 1" hidden="1">
              <a:extLst>
                <a:ext uri="{63B3BB69-23CF-44E3-9099-C40C66FF867C}">
                  <a14:compatExt spid="_x0000_s181249"/>
                </a:ext>
                <a:ext uri="{FF2B5EF4-FFF2-40B4-BE49-F238E27FC236}">
                  <a16:creationId xmlns:a16="http://schemas.microsoft.com/office/drawing/2014/main" id="{00000000-0008-0000-2400-000001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12700</xdr:rowOff>
        </xdr:from>
        <xdr:to>
          <xdr:col>3</xdr:col>
          <xdr:colOff>825500</xdr:colOff>
          <xdr:row>28</xdr:row>
          <xdr:rowOff>215900</xdr:rowOff>
        </xdr:to>
        <xdr:sp macro="" textlink="">
          <xdr:nvSpPr>
            <xdr:cNvPr id="181250" name="Drop Down 2" hidden="1">
              <a:extLst>
                <a:ext uri="{63B3BB69-23CF-44E3-9099-C40C66FF867C}">
                  <a14:compatExt spid="_x0000_s181250"/>
                </a:ext>
                <a:ext uri="{FF2B5EF4-FFF2-40B4-BE49-F238E27FC236}">
                  <a16:creationId xmlns:a16="http://schemas.microsoft.com/office/drawing/2014/main" id="{00000000-0008-0000-2400-000002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139700</xdr:rowOff>
        </xdr:from>
        <xdr:to>
          <xdr:col>3</xdr:col>
          <xdr:colOff>825500</xdr:colOff>
          <xdr:row>54</xdr:row>
          <xdr:rowOff>215900</xdr:rowOff>
        </xdr:to>
        <xdr:sp macro="" textlink="">
          <xdr:nvSpPr>
            <xdr:cNvPr id="181251" name="Drop Down 3" hidden="1">
              <a:extLst>
                <a:ext uri="{63B3BB69-23CF-44E3-9099-C40C66FF867C}">
                  <a14:compatExt spid="_x0000_s181251"/>
                </a:ext>
                <a:ext uri="{FF2B5EF4-FFF2-40B4-BE49-F238E27FC236}">
                  <a16:creationId xmlns:a16="http://schemas.microsoft.com/office/drawing/2014/main" id="{00000000-0008-0000-2400-000003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2540000</xdr:colOff>
          <xdr:row>66</xdr:row>
          <xdr:rowOff>152400</xdr:rowOff>
        </xdr:from>
        <xdr:to>
          <xdr:col>3</xdr:col>
          <xdr:colOff>825500</xdr:colOff>
          <xdr:row>73</xdr:row>
          <xdr:rowOff>0</xdr:rowOff>
        </xdr:to>
        <xdr:sp macro="" textlink="">
          <xdr:nvSpPr>
            <xdr:cNvPr id="181252" name="Drop Down 4" hidden="1">
              <a:extLst>
                <a:ext uri="{63B3BB69-23CF-44E3-9099-C40C66FF867C}">
                  <a14:compatExt spid="_x0000_s181252"/>
                </a:ext>
                <a:ext uri="{FF2B5EF4-FFF2-40B4-BE49-F238E27FC236}">
                  <a16:creationId xmlns:a16="http://schemas.microsoft.com/office/drawing/2014/main" id="{00000000-0008-0000-2400-000004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825500</xdr:colOff>
          <xdr:row>86</xdr:row>
          <xdr:rowOff>0</xdr:rowOff>
        </xdr:to>
        <xdr:sp macro="" textlink="">
          <xdr:nvSpPr>
            <xdr:cNvPr id="181253" name="Drop Down 5" hidden="1">
              <a:extLst>
                <a:ext uri="{63B3BB69-23CF-44E3-9099-C40C66FF867C}">
                  <a14:compatExt spid="_x0000_s181253"/>
                </a:ext>
                <a:ext uri="{FF2B5EF4-FFF2-40B4-BE49-F238E27FC236}">
                  <a16:creationId xmlns:a16="http://schemas.microsoft.com/office/drawing/2014/main" id="{00000000-0008-0000-2400-000005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2527300</xdr:colOff>
          <xdr:row>40</xdr:row>
          <xdr:rowOff>152400</xdr:rowOff>
        </xdr:from>
        <xdr:to>
          <xdr:col>3</xdr:col>
          <xdr:colOff>787400</xdr:colOff>
          <xdr:row>47</xdr:row>
          <xdr:rowOff>0</xdr:rowOff>
        </xdr:to>
        <xdr:sp macro="" textlink="">
          <xdr:nvSpPr>
            <xdr:cNvPr id="181254" name="Drop Down 6" hidden="1">
              <a:extLst>
                <a:ext uri="{63B3BB69-23CF-44E3-9099-C40C66FF867C}">
                  <a14:compatExt spid="_x0000_s181254"/>
                </a:ext>
                <a:ext uri="{FF2B5EF4-FFF2-40B4-BE49-F238E27FC236}">
                  <a16:creationId xmlns:a16="http://schemas.microsoft.com/office/drawing/2014/main" id="{00000000-0008-0000-2400-000006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6" name="Image 15">
          <a:extLst>
            <a:ext uri="{FF2B5EF4-FFF2-40B4-BE49-F238E27FC236}">
              <a16:creationId xmlns:a16="http://schemas.microsoft.com/office/drawing/2014/main" id="{00000000-0008-0000-2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1" name="Text Box 429">
          <a:extLst>
            <a:ext uri="{FF2B5EF4-FFF2-40B4-BE49-F238E27FC236}">
              <a16:creationId xmlns:a16="http://schemas.microsoft.com/office/drawing/2014/main" id="{00000000-0008-0000-2400-000015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3">
      <xdr:nvPicPr>
        <xdr:cNvPr id="22" name="Image 21">
          <a:extLst>
            <a:ext uri="{FF2B5EF4-FFF2-40B4-BE49-F238E27FC236}">
              <a16:creationId xmlns:a16="http://schemas.microsoft.com/office/drawing/2014/main" id="{00000000-0008-0000-24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3" name="Imag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25400</xdr:colOff>
          <xdr:row>15</xdr:row>
          <xdr:rowOff>12700</xdr:rowOff>
        </xdr:from>
        <xdr:to>
          <xdr:col>3</xdr:col>
          <xdr:colOff>838200</xdr:colOff>
          <xdr:row>15</xdr:row>
          <xdr:rowOff>215900</xdr:rowOff>
        </xdr:to>
        <xdr:sp macro="" textlink="">
          <xdr:nvSpPr>
            <xdr:cNvPr id="182273" name="Drop Down 1" hidden="1">
              <a:extLst>
                <a:ext uri="{63B3BB69-23CF-44E3-9099-C40C66FF867C}">
                  <a14:compatExt spid="_x0000_s182273"/>
                </a:ext>
                <a:ext uri="{FF2B5EF4-FFF2-40B4-BE49-F238E27FC236}">
                  <a16:creationId xmlns:a16="http://schemas.microsoft.com/office/drawing/2014/main" id="{00000000-0008-0000-2500-000001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28</xdr:row>
          <xdr:rowOff>0</xdr:rowOff>
        </xdr:from>
        <xdr:to>
          <xdr:col>3</xdr:col>
          <xdr:colOff>838200</xdr:colOff>
          <xdr:row>28</xdr:row>
          <xdr:rowOff>203200</xdr:rowOff>
        </xdr:to>
        <xdr:sp macro="" textlink="">
          <xdr:nvSpPr>
            <xdr:cNvPr id="182274" name="Drop Down 2" hidden="1">
              <a:extLst>
                <a:ext uri="{63B3BB69-23CF-44E3-9099-C40C66FF867C}">
                  <a14:compatExt spid="_x0000_s182274"/>
                </a:ext>
                <a:ext uri="{FF2B5EF4-FFF2-40B4-BE49-F238E27FC236}">
                  <a16:creationId xmlns:a16="http://schemas.microsoft.com/office/drawing/2014/main" id="{00000000-0008-0000-2500-000002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825500</xdr:colOff>
          <xdr:row>80</xdr:row>
          <xdr:rowOff>215900</xdr:rowOff>
        </xdr:to>
        <xdr:sp macro="" textlink="">
          <xdr:nvSpPr>
            <xdr:cNvPr id="182277" name="Drop Down 5" hidden="1">
              <a:extLst>
                <a:ext uri="{63B3BB69-23CF-44E3-9099-C40C66FF867C}">
                  <a14:compatExt spid="_x0000_s182277"/>
                </a:ext>
                <a:ext uri="{FF2B5EF4-FFF2-40B4-BE49-F238E27FC236}">
                  <a16:creationId xmlns:a16="http://schemas.microsoft.com/office/drawing/2014/main" id="{00000000-0008-0000-2500-000005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12700</xdr:rowOff>
        </xdr:from>
        <xdr:to>
          <xdr:col>3</xdr:col>
          <xdr:colOff>825500</xdr:colOff>
          <xdr:row>41</xdr:row>
          <xdr:rowOff>215900</xdr:rowOff>
        </xdr:to>
        <xdr:sp macro="" textlink="">
          <xdr:nvSpPr>
            <xdr:cNvPr id="182278" name="Drop Down 6" hidden="1">
              <a:extLst>
                <a:ext uri="{63B3BB69-23CF-44E3-9099-C40C66FF867C}">
                  <a14:compatExt spid="_x0000_s182278"/>
                </a:ext>
                <a:ext uri="{FF2B5EF4-FFF2-40B4-BE49-F238E27FC236}">
                  <a16:creationId xmlns:a16="http://schemas.microsoft.com/office/drawing/2014/main" id="{00000000-0008-0000-2500-000006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2540000</xdr:colOff>
          <xdr:row>53</xdr:row>
          <xdr:rowOff>152400</xdr:rowOff>
        </xdr:from>
        <xdr:to>
          <xdr:col>3</xdr:col>
          <xdr:colOff>800100</xdr:colOff>
          <xdr:row>54</xdr:row>
          <xdr:rowOff>215900</xdr:rowOff>
        </xdr:to>
        <xdr:sp macro="" textlink="">
          <xdr:nvSpPr>
            <xdr:cNvPr id="182351" name="Drop Down 79" hidden="1">
              <a:extLst>
                <a:ext uri="{63B3BB69-23CF-44E3-9099-C40C66FF867C}">
                  <a14:compatExt spid="_x0000_s182351"/>
                </a:ext>
                <a:ext uri="{FF2B5EF4-FFF2-40B4-BE49-F238E27FC236}">
                  <a16:creationId xmlns:a16="http://schemas.microsoft.com/office/drawing/2014/main" id="{00000000-0008-0000-2500-00004F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139700</xdr:rowOff>
        </xdr:from>
        <xdr:to>
          <xdr:col>3</xdr:col>
          <xdr:colOff>825500</xdr:colOff>
          <xdr:row>73</xdr:row>
          <xdr:rowOff>0</xdr:rowOff>
        </xdr:to>
        <xdr:sp macro="" textlink="">
          <xdr:nvSpPr>
            <xdr:cNvPr id="182352" name="Drop Down 80" hidden="1">
              <a:extLst>
                <a:ext uri="{63B3BB69-23CF-44E3-9099-C40C66FF867C}">
                  <a14:compatExt spid="_x0000_s182352"/>
                </a:ext>
                <a:ext uri="{FF2B5EF4-FFF2-40B4-BE49-F238E27FC236}">
                  <a16:creationId xmlns:a16="http://schemas.microsoft.com/office/drawing/2014/main" id="{00000000-0008-0000-2500-000050C8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0" name="Text Box 429">
          <a:extLst>
            <a:ext uri="{FF2B5EF4-FFF2-40B4-BE49-F238E27FC236}">
              <a16:creationId xmlns:a16="http://schemas.microsoft.com/office/drawing/2014/main" id="{00000000-0008-0000-2500-000014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4">
      <xdr:nvPicPr>
        <xdr:cNvPr id="21" name="Image 20">
          <a:extLst>
            <a:ext uri="{FF2B5EF4-FFF2-40B4-BE49-F238E27FC236}">
              <a16:creationId xmlns:a16="http://schemas.microsoft.com/office/drawing/2014/main" id="{00000000-0008-0000-2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2" name="Image 21">
          <a:extLst>
            <a:ext uri="{FF2B5EF4-FFF2-40B4-BE49-F238E27FC236}">
              <a16:creationId xmlns:a16="http://schemas.microsoft.com/office/drawing/2014/main" id="{00000000-0008-0000-25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15</xdr:row>
          <xdr:rowOff>25400</xdr:rowOff>
        </xdr:from>
        <xdr:to>
          <xdr:col>3</xdr:col>
          <xdr:colOff>825500</xdr:colOff>
          <xdr:row>15</xdr:row>
          <xdr:rowOff>203200</xdr:rowOff>
        </xdr:to>
        <xdr:sp macro="" textlink="">
          <xdr:nvSpPr>
            <xdr:cNvPr id="183297" name="Drop Down 1" hidden="1">
              <a:extLst>
                <a:ext uri="{63B3BB69-23CF-44E3-9099-C40C66FF867C}">
                  <a14:compatExt spid="_x0000_s183297"/>
                </a:ext>
                <a:ext uri="{FF2B5EF4-FFF2-40B4-BE49-F238E27FC236}">
                  <a16:creationId xmlns:a16="http://schemas.microsoft.com/office/drawing/2014/main" id="{00000000-0008-0000-2600-000001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28</xdr:row>
          <xdr:rowOff>25400</xdr:rowOff>
        </xdr:from>
        <xdr:to>
          <xdr:col>3</xdr:col>
          <xdr:colOff>825500</xdr:colOff>
          <xdr:row>28</xdr:row>
          <xdr:rowOff>203200</xdr:rowOff>
        </xdr:to>
        <xdr:sp macro="" textlink="">
          <xdr:nvSpPr>
            <xdr:cNvPr id="183298" name="Drop Down 2" hidden="1">
              <a:extLst>
                <a:ext uri="{63B3BB69-23CF-44E3-9099-C40C66FF867C}">
                  <a14:compatExt spid="_x0000_s183298"/>
                </a:ext>
                <a:ext uri="{FF2B5EF4-FFF2-40B4-BE49-F238E27FC236}">
                  <a16:creationId xmlns:a16="http://schemas.microsoft.com/office/drawing/2014/main" id="{00000000-0008-0000-2600-000002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80</xdr:row>
          <xdr:rowOff>0</xdr:rowOff>
        </xdr:from>
        <xdr:to>
          <xdr:col>3</xdr:col>
          <xdr:colOff>825500</xdr:colOff>
          <xdr:row>80</xdr:row>
          <xdr:rowOff>203200</xdr:rowOff>
        </xdr:to>
        <xdr:sp macro="" textlink="">
          <xdr:nvSpPr>
            <xdr:cNvPr id="183301" name="Drop Down 5" hidden="1">
              <a:extLst>
                <a:ext uri="{63B3BB69-23CF-44E3-9099-C40C66FF867C}">
                  <a14:compatExt spid="_x0000_s183301"/>
                </a:ext>
                <a:ext uri="{FF2B5EF4-FFF2-40B4-BE49-F238E27FC236}">
                  <a16:creationId xmlns:a16="http://schemas.microsoft.com/office/drawing/2014/main" id="{00000000-0008-0000-2600-000005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40</xdr:row>
          <xdr:rowOff>152400</xdr:rowOff>
        </xdr:from>
        <xdr:to>
          <xdr:col>3</xdr:col>
          <xdr:colOff>825500</xdr:colOff>
          <xdr:row>47</xdr:row>
          <xdr:rowOff>12700</xdr:rowOff>
        </xdr:to>
        <xdr:sp macro="" textlink="">
          <xdr:nvSpPr>
            <xdr:cNvPr id="183302" name="Drop Down 6" hidden="1">
              <a:extLst>
                <a:ext uri="{63B3BB69-23CF-44E3-9099-C40C66FF867C}">
                  <a14:compatExt spid="_x0000_s183302"/>
                </a:ext>
                <a:ext uri="{FF2B5EF4-FFF2-40B4-BE49-F238E27FC236}">
                  <a16:creationId xmlns:a16="http://schemas.microsoft.com/office/drawing/2014/main" id="{00000000-0008-0000-2600-000006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2540000</xdr:colOff>
          <xdr:row>53</xdr:row>
          <xdr:rowOff>152400</xdr:rowOff>
        </xdr:from>
        <xdr:to>
          <xdr:col>3</xdr:col>
          <xdr:colOff>812800</xdr:colOff>
          <xdr:row>60</xdr:row>
          <xdr:rowOff>12700</xdr:rowOff>
        </xdr:to>
        <xdr:sp macro="" textlink="">
          <xdr:nvSpPr>
            <xdr:cNvPr id="183375" name="Drop Down 79" hidden="1">
              <a:extLst>
                <a:ext uri="{63B3BB69-23CF-44E3-9099-C40C66FF867C}">
                  <a14:compatExt spid="_x0000_s183375"/>
                </a:ext>
                <a:ext uri="{FF2B5EF4-FFF2-40B4-BE49-F238E27FC236}">
                  <a16:creationId xmlns:a16="http://schemas.microsoft.com/office/drawing/2014/main" id="{00000000-0008-0000-2600-00004F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2540000</xdr:colOff>
          <xdr:row>66</xdr:row>
          <xdr:rowOff>152400</xdr:rowOff>
        </xdr:from>
        <xdr:to>
          <xdr:col>3</xdr:col>
          <xdr:colOff>825500</xdr:colOff>
          <xdr:row>67</xdr:row>
          <xdr:rowOff>215900</xdr:rowOff>
        </xdr:to>
        <xdr:sp macro="" textlink="">
          <xdr:nvSpPr>
            <xdr:cNvPr id="183376" name="Drop Down 80" hidden="1">
              <a:extLst>
                <a:ext uri="{63B3BB69-23CF-44E3-9099-C40C66FF867C}">
                  <a14:compatExt spid="_x0000_s183376"/>
                </a:ext>
                <a:ext uri="{FF2B5EF4-FFF2-40B4-BE49-F238E27FC236}">
                  <a16:creationId xmlns:a16="http://schemas.microsoft.com/office/drawing/2014/main" id="{00000000-0008-0000-2600-000050CC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6" name="Text Box 429">
          <a:extLst>
            <a:ext uri="{FF2B5EF4-FFF2-40B4-BE49-F238E27FC236}">
              <a16:creationId xmlns:a16="http://schemas.microsoft.com/office/drawing/2014/main" id="{00000000-0008-0000-2600-000010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5">
      <xdr:nvPicPr>
        <xdr:cNvPr id="17" name="Image 16">
          <a:extLst>
            <a:ext uri="{FF2B5EF4-FFF2-40B4-BE49-F238E27FC236}">
              <a16:creationId xmlns:a16="http://schemas.microsoft.com/office/drawing/2014/main" id="{00000000-0008-0000-26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18" name="Image 17">
          <a:extLst>
            <a:ext uri="{FF2B5EF4-FFF2-40B4-BE49-F238E27FC236}">
              <a16:creationId xmlns:a16="http://schemas.microsoft.com/office/drawing/2014/main" id="{00000000-0008-0000-2600-00001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4"/>
        <a:stretch>
          <a:fillRect/>
        </a:stretch>
      </xdr:blipFill>
      <xdr:spPr>
        <a:xfrm>
          <a:off x="7720853" y="156882"/>
          <a:ext cx="4304149" cy="774259"/>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5</xdr:col>
      <xdr:colOff>542924</xdr:colOff>
      <xdr:row>14</xdr:row>
      <xdr:rowOff>38100</xdr:rowOff>
    </xdr:from>
    <xdr:to>
      <xdr:col>9</xdr:col>
      <xdr:colOff>438149</xdr:colOff>
      <xdr:row>16</xdr:row>
      <xdr:rowOff>47625</xdr:rowOff>
    </xdr:to>
    <xdr:sp macro="[0]!ThisWorkbook.GoTo_TI_FD" textlink="">
      <xdr:nvSpPr>
        <xdr:cNvPr id="43035" name="Text Box 27">
          <a:extLst>
            <a:ext uri="{FF2B5EF4-FFF2-40B4-BE49-F238E27FC236}">
              <a16:creationId xmlns:a16="http://schemas.microsoft.com/office/drawing/2014/main" id="{00000000-0008-0000-2700-00001BA80000}"/>
            </a:ext>
          </a:extLst>
        </xdr:cNvPr>
        <xdr:cNvSpPr txBox="1">
          <a:spLocks noChangeArrowheads="1"/>
        </xdr:cNvSpPr>
      </xdr:nvSpPr>
      <xdr:spPr bwMode="auto">
        <a:xfrm>
          <a:off x="5495924" y="1266825"/>
          <a:ext cx="2943225" cy="409575"/>
        </a:xfrm>
        <a:prstGeom prst="rect">
          <a:avLst/>
        </a:prstGeom>
        <a:solidFill>
          <a:srgbClr val="FFFFFF"/>
        </a:solidFill>
        <a:ln w="9525">
          <a:noFill/>
          <a:miter lim="800000"/>
          <a:headEnd/>
          <a:tailEnd/>
        </a:ln>
      </xdr:spPr>
      <xdr:txBody>
        <a:bodyPr vertOverflow="clip" wrap="square" lIns="27432" tIns="22860" rIns="0" bIns="0" anchor="ctr" upright="1"/>
        <a:lstStyle/>
        <a:p>
          <a:pPr algn="ctr" rtl="0">
            <a:defRPr sz="1000"/>
          </a:pPr>
          <a:r>
            <a:rPr lang="fr-CA" sz="1400" b="0" i="0" u="sng" strike="noStrike">
              <a:solidFill>
                <a:srgbClr val="0000FF"/>
              </a:solidFill>
              <a:latin typeface="Times New Roman CYR"/>
            </a:rPr>
            <a:t>Modifier les postes de frais variables</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1206500</xdr:colOff>
          <xdr:row>21</xdr:row>
          <xdr:rowOff>25400</xdr:rowOff>
        </xdr:to>
        <xdr:sp macro="" textlink="">
          <xdr:nvSpPr>
            <xdr:cNvPr id="43014" name="Drop Down 6" hidden="1">
              <a:extLst>
                <a:ext uri="{63B3BB69-23CF-44E3-9099-C40C66FF867C}">
                  <a14:compatExt spid="_x0000_s43014"/>
                </a:ext>
                <a:ext uri="{FF2B5EF4-FFF2-40B4-BE49-F238E27FC236}">
                  <a16:creationId xmlns:a16="http://schemas.microsoft.com/office/drawing/2014/main" id="{00000000-0008-0000-2700-000006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1206500</xdr:colOff>
          <xdr:row>22</xdr:row>
          <xdr:rowOff>25400</xdr:rowOff>
        </xdr:to>
        <xdr:sp macro="" textlink="">
          <xdr:nvSpPr>
            <xdr:cNvPr id="43015" name="Drop Down 7" hidden="1">
              <a:extLst>
                <a:ext uri="{63B3BB69-23CF-44E3-9099-C40C66FF867C}">
                  <a14:compatExt spid="_x0000_s43015"/>
                </a:ext>
                <a:ext uri="{FF2B5EF4-FFF2-40B4-BE49-F238E27FC236}">
                  <a16:creationId xmlns:a16="http://schemas.microsoft.com/office/drawing/2014/main" id="{00000000-0008-0000-2700-000007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1206500</xdr:colOff>
          <xdr:row>23</xdr:row>
          <xdr:rowOff>25400</xdr:rowOff>
        </xdr:to>
        <xdr:sp macro="" textlink="">
          <xdr:nvSpPr>
            <xdr:cNvPr id="43016" name="Drop Down 8" hidden="1">
              <a:extLst>
                <a:ext uri="{63B3BB69-23CF-44E3-9099-C40C66FF867C}">
                  <a14:compatExt spid="_x0000_s43016"/>
                </a:ext>
                <a:ext uri="{FF2B5EF4-FFF2-40B4-BE49-F238E27FC236}">
                  <a16:creationId xmlns:a16="http://schemas.microsoft.com/office/drawing/2014/main" id="{00000000-0008-0000-2700-000008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1206500</xdr:colOff>
          <xdr:row>24</xdr:row>
          <xdr:rowOff>25400</xdr:rowOff>
        </xdr:to>
        <xdr:sp macro="" textlink="">
          <xdr:nvSpPr>
            <xdr:cNvPr id="43017" name="Drop Down 9" hidden="1">
              <a:extLst>
                <a:ext uri="{63B3BB69-23CF-44E3-9099-C40C66FF867C}">
                  <a14:compatExt spid="_x0000_s43017"/>
                </a:ext>
                <a:ext uri="{FF2B5EF4-FFF2-40B4-BE49-F238E27FC236}">
                  <a16:creationId xmlns:a16="http://schemas.microsoft.com/office/drawing/2014/main" id="{00000000-0008-0000-2700-000009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1206500</xdr:colOff>
          <xdr:row>25</xdr:row>
          <xdr:rowOff>25400</xdr:rowOff>
        </xdr:to>
        <xdr:sp macro="" textlink="">
          <xdr:nvSpPr>
            <xdr:cNvPr id="43034" name="Drop Down 26" hidden="1">
              <a:extLst>
                <a:ext uri="{63B3BB69-23CF-44E3-9099-C40C66FF867C}">
                  <a14:compatExt spid="_x0000_s43034"/>
                </a:ext>
                <a:ext uri="{FF2B5EF4-FFF2-40B4-BE49-F238E27FC236}">
                  <a16:creationId xmlns:a16="http://schemas.microsoft.com/office/drawing/2014/main" id="{00000000-0008-0000-2700-00001A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1206500</xdr:colOff>
          <xdr:row>20</xdr:row>
          <xdr:rowOff>25400</xdr:rowOff>
        </xdr:to>
        <xdr:sp macro="" textlink="">
          <xdr:nvSpPr>
            <xdr:cNvPr id="43071" name="Drop Down 63" hidden="1">
              <a:extLst>
                <a:ext uri="{63B3BB69-23CF-44E3-9099-C40C66FF867C}">
                  <a14:compatExt spid="_x0000_s43071"/>
                </a:ext>
                <a:ext uri="{FF2B5EF4-FFF2-40B4-BE49-F238E27FC236}">
                  <a16:creationId xmlns:a16="http://schemas.microsoft.com/office/drawing/2014/main" id="{00000000-0008-0000-2700-00003F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0</xdr:col>
      <xdr:colOff>1200150</xdr:colOff>
      <xdr:row>5</xdr:row>
      <xdr:rowOff>57150</xdr:rowOff>
    </xdr:from>
    <xdr:to>
      <xdr:col>1</xdr:col>
      <xdr:colOff>152469</xdr:colOff>
      <xdr:row>7</xdr:row>
      <xdr:rowOff>104775</xdr:rowOff>
    </xdr:to>
    <xdr:pic macro="[0]!ThisWorkbook.Imprimer_FD1">
      <xdr:nvPicPr>
        <xdr:cNvPr id="19" name="Image 18">
          <a:extLst>
            <a:ext uri="{FF2B5EF4-FFF2-40B4-BE49-F238E27FC236}">
              <a16:creationId xmlns:a16="http://schemas.microsoft.com/office/drawing/2014/main" id="{00000000-0008-0000-27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20" name="Text Box 429">
          <a:extLst>
            <a:ext uri="{FF2B5EF4-FFF2-40B4-BE49-F238E27FC236}">
              <a16:creationId xmlns:a16="http://schemas.microsoft.com/office/drawing/2014/main" id="{00000000-0008-0000-2700-000014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21" name="Image 20">
          <a:extLst>
            <a:ext uri="{FF2B5EF4-FFF2-40B4-BE49-F238E27FC236}">
              <a16:creationId xmlns:a16="http://schemas.microsoft.com/office/drawing/2014/main" id="{00000000-0008-0000-2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22" name="Image 21">
          <a:extLst>
            <a:ext uri="{FF2B5EF4-FFF2-40B4-BE49-F238E27FC236}">
              <a16:creationId xmlns:a16="http://schemas.microsoft.com/office/drawing/2014/main" id="{00000000-0008-0000-27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2">
      <xdr:nvPicPr>
        <xdr:cNvPr id="13" name="Imag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14" name="Text Box 429">
          <a:extLst>
            <a:ext uri="{FF2B5EF4-FFF2-40B4-BE49-F238E27FC236}">
              <a16:creationId xmlns:a16="http://schemas.microsoft.com/office/drawing/2014/main" id="{00000000-0008-0000-2800-00000E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5" name="Imag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6" name="Imag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3">
      <xdr:nvPicPr>
        <xdr:cNvPr id="8" name="Image 7">
          <a:extLst>
            <a:ext uri="{FF2B5EF4-FFF2-40B4-BE49-F238E27FC236}">
              <a16:creationId xmlns:a16="http://schemas.microsoft.com/office/drawing/2014/main" id="{00000000-0008-0000-2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9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4">
      <xdr:nvPicPr>
        <xdr:cNvPr id="8" name="Image 7">
          <a:extLst>
            <a:ext uri="{FF2B5EF4-FFF2-40B4-BE49-F238E27FC236}">
              <a16:creationId xmlns:a16="http://schemas.microsoft.com/office/drawing/2014/main" id="{00000000-0008-0000-2A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A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5">
      <xdr:nvPicPr>
        <xdr:cNvPr id="8" name="Image 7">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B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4"/>
        <a:stretch>
          <a:fillRect/>
        </a:stretch>
      </xdr:blipFill>
      <xdr:spPr>
        <a:xfrm>
          <a:off x="6477000" y="161925"/>
          <a:ext cx="4304149" cy="774259"/>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209029</xdr:colOff>
      <xdr:row>6</xdr:row>
      <xdr:rowOff>95250</xdr:rowOff>
    </xdr:to>
    <xdr:pic macro="[0]!ThisWorkbook.Imprimer_FG1">
      <xdr:nvPicPr>
        <xdr:cNvPr id="12" name="Image 11">
          <a:extLst>
            <a:ext uri="{FF2B5EF4-FFF2-40B4-BE49-F238E27FC236}">
              <a16:creationId xmlns:a16="http://schemas.microsoft.com/office/drawing/2014/main" id="{00000000-0008-0000-2C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C00-00000D000000}"/>
            </a:ext>
          </a:extLst>
        </xdr:cNvPr>
        <xdr:cNvSpPr txBox="1">
          <a:spLocks noChangeArrowheads="1"/>
        </xdr:cNvSpPr>
      </xdr:nvSpPr>
      <xdr:spPr bwMode="auto">
        <a:xfrm>
          <a:off x="85726" y="95250"/>
          <a:ext cx="417195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C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4"/>
        <a:stretch>
          <a:fillRect/>
        </a:stretch>
      </xdr:blipFill>
      <xdr:spPr>
        <a:xfrm>
          <a:off x="7502071" y="163286"/>
          <a:ext cx="4304149" cy="77425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2">
      <xdr:nvPicPr>
        <xdr:cNvPr id="12" name="Image 11">
          <a:extLst>
            <a:ext uri="{FF2B5EF4-FFF2-40B4-BE49-F238E27FC236}">
              <a16:creationId xmlns:a16="http://schemas.microsoft.com/office/drawing/2014/main" id="{00000000-0008-0000-2D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D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4"/>
        <a:stretch>
          <a:fillRect/>
        </a:stretch>
      </xdr:blipFill>
      <xdr:spPr>
        <a:xfrm>
          <a:off x="7447643" y="163286"/>
          <a:ext cx="4304149" cy="774259"/>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3">
      <xdr:nvPicPr>
        <xdr:cNvPr id="12" name="Image 11">
          <a:extLst>
            <a:ext uri="{FF2B5EF4-FFF2-40B4-BE49-F238E27FC236}">
              <a16:creationId xmlns:a16="http://schemas.microsoft.com/office/drawing/2014/main" id="{00000000-0008-0000-2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E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4"/>
        <a:stretch>
          <a:fillRect/>
        </a:stretch>
      </xdr:blipFill>
      <xdr:spPr>
        <a:xfrm>
          <a:off x="7347857" y="163286"/>
          <a:ext cx="4304149" cy="774259"/>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4">
      <xdr:nvPicPr>
        <xdr:cNvPr id="12" name="Image 11">
          <a:extLst>
            <a:ext uri="{FF2B5EF4-FFF2-40B4-BE49-F238E27FC236}">
              <a16:creationId xmlns:a16="http://schemas.microsoft.com/office/drawing/2014/main" id="{00000000-0008-0000-2F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F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F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F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4"/>
        <a:stretch>
          <a:fillRect/>
        </a:stretch>
      </xdr:blipFill>
      <xdr:spPr>
        <a:xfrm>
          <a:off x="7347857" y="163286"/>
          <a:ext cx="4304149" cy="774259"/>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5">
      <xdr:nvPicPr>
        <xdr:cNvPr id="12" name="Image 1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30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30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4"/>
        <a:stretch>
          <a:fillRect/>
        </a:stretch>
      </xdr:blipFill>
      <xdr:spPr>
        <a:xfrm>
          <a:off x="7565571" y="163286"/>
          <a:ext cx="4304149" cy="774259"/>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238125</xdr:colOff>
      <xdr:row>1</xdr:row>
      <xdr:rowOff>0</xdr:rowOff>
    </xdr:from>
    <xdr:to>
      <xdr:col>18</xdr:col>
      <xdr:colOff>171450</xdr:colOff>
      <xdr:row>2</xdr:row>
      <xdr:rowOff>57150</xdr:rowOff>
    </xdr:to>
    <xdr:sp macro="[0]!ThisWorkbook.MENU" textlink="">
      <xdr:nvSpPr>
        <xdr:cNvPr id="37903" name="Text Box 15">
          <a:extLst>
            <a:ext uri="{FF2B5EF4-FFF2-40B4-BE49-F238E27FC236}">
              <a16:creationId xmlns:a16="http://schemas.microsoft.com/office/drawing/2014/main" id="{00000000-0008-0000-3100-00000F940000}"/>
            </a:ext>
          </a:extLst>
        </xdr:cNvPr>
        <xdr:cNvSpPr txBox="1">
          <a:spLocks noChangeArrowheads="1"/>
        </xdr:cNvSpPr>
      </xdr:nvSpPr>
      <xdr:spPr bwMode="auto">
        <a:xfrm>
          <a:off x="5772150" y="161925"/>
          <a:ext cx="1552575" cy="21907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Retour au menu principal</a:t>
          </a:r>
        </a:p>
      </xdr:txBody>
    </xdr:sp>
    <xdr:clientData fPrintsWithSheet="0"/>
  </xdr:twoCellAnchor>
  <xdr:twoCellAnchor>
    <xdr:from>
      <xdr:col>1</xdr:col>
      <xdr:colOff>285750</xdr:colOff>
      <xdr:row>0</xdr:row>
      <xdr:rowOff>95250</xdr:rowOff>
    </xdr:from>
    <xdr:to>
      <xdr:col>5</xdr:col>
      <xdr:colOff>57150</xdr:colOff>
      <xdr:row>2</xdr:row>
      <xdr:rowOff>95250</xdr:rowOff>
    </xdr:to>
    <xdr:pic>
      <xdr:nvPicPr>
        <xdr:cNvPr id="308297" name="Picture 1" descr="EQ_RGB (1)">
          <a:extLst>
            <a:ext uri="{FF2B5EF4-FFF2-40B4-BE49-F238E27FC236}">
              <a16:creationId xmlns:a16="http://schemas.microsoft.com/office/drawing/2014/main" id="{00000000-0008-0000-3100-000049B40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0" y="95250"/>
          <a:ext cx="16192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9243" name="Text Box 26">
          <a:extLst>
            <a:ext uri="{FF2B5EF4-FFF2-40B4-BE49-F238E27FC236}">
              <a16:creationId xmlns:a16="http://schemas.microsoft.com/office/drawing/2014/main" id="{00000000-0008-0000-3200-00001B24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1">
      <xdr:nvPicPr>
        <xdr:cNvPr id="6" name="Image 5">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984" y="759883"/>
          <a:ext cx="903817" cy="424530"/>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7" name="Text Box 429">
          <a:extLst>
            <a:ext uri="{FF2B5EF4-FFF2-40B4-BE49-F238E27FC236}">
              <a16:creationId xmlns:a16="http://schemas.microsoft.com/office/drawing/2014/main" id="{00000000-0008-0000-3200-000007000000}"/>
            </a:ext>
          </a:extLst>
        </xdr:cNvPr>
        <xdr:cNvSpPr txBox="1">
          <a:spLocks noChangeArrowheads="1"/>
        </xdr:cNvSpPr>
      </xdr:nvSpPr>
      <xdr:spPr bwMode="auto">
        <a:xfrm>
          <a:off x="85725" y="95250"/>
          <a:ext cx="3872441" cy="5397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8" name="Image 7">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8408" y="702732"/>
          <a:ext cx="458260" cy="491557"/>
        </a:xfrm>
        <a:prstGeom prst="rect">
          <a:avLst/>
        </a:prstGeom>
      </xdr:spPr>
    </xdr:pic>
    <xdr:clientData fPrintsWithSheet="0"/>
  </xdr:twoCellAnchor>
  <xdr:twoCellAnchor editAs="oneCell">
    <xdr:from>
      <xdr:col>2</xdr:col>
      <xdr:colOff>130969</xdr:colOff>
      <xdr:row>3</xdr:row>
      <xdr:rowOff>160072</xdr:rowOff>
    </xdr:from>
    <xdr:to>
      <xdr:col>3</xdr:col>
      <xdr:colOff>194998</xdr:colOff>
      <xdr:row>7</xdr:row>
      <xdr:rowOff>95250</xdr:rowOff>
    </xdr:to>
    <xdr:pic macro="[0]!ThisWorkbook.RETOUR_MESDEPENSES">
      <xdr:nvPicPr>
        <xdr:cNvPr id="9" name="Image 8">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69344" y="660135"/>
          <a:ext cx="623623" cy="601928"/>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2" name="Image 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3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3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2">
      <xdr:nvPicPr>
        <xdr:cNvPr id="16" name="Image 15">
          <a:extLst>
            <a:ext uri="{FF2B5EF4-FFF2-40B4-BE49-F238E27FC236}">
              <a16:creationId xmlns:a16="http://schemas.microsoft.com/office/drawing/2014/main" id="{00000000-0008-0000-3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3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3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264583</xdr:colOff>
      <xdr:row>4</xdr:row>
      <xdr:rowOff>5292</xdr:rowOff>
    </xdr:from>
    <xdr:to>
      <xdr:col>3</xdr:col>
      <xdr:colOff>325967</xdr:colOff>
      <xdr:row>7</xdr:row>
      <xdr:rowOff>148168</xdr:rowOff>
    </xdr:to>
    <xdr:pic macro="[0]!ThisWorkbook.RETOUR_MESDEPENSES">
      <xdr:nvPicPr>
        <xdr:cNvPr id="19" name="Image 18">
          <a:extLst>
            <a:ext uri="{FF2B5EF4-FFF2-40B4-BE49-F238E27FC236}">
              <a16:creationId xmlns:a16="http://schemas.microsoft.com/office/drawing/2014/main" id="{00000000-0008-0000-33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08250" y="640292"/>
          <a:ext cx="622300" cy="619126"/>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4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4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3">
      <xdr:nvPicPr>
        <xdr:cNvPr id="16" name="Image 15">
          <a:extLst>
            <a:ext uri="{FF2B5EF4-FFF2-40B4-BE49-F238E27FC236}">
              <a16:creationId xmlns:a16="http://schemas.microsoft.com/office/drawing/2014/main" id="{00000000-0008-0000-3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4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4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328083</xdr:colOff>
      <xdr:row>4</xdr:row>
      <xdr:rowOff>5292</xdr:rowOff>
    </xdr:from>
    <xdr:to>
      <xdr:col>3</xdr:col>
      <xdr:colOff>325967</xdr:colOff>
      <xdr:row>7</xdr:row>
      <xdr:rowOff>137584</xdr:rowOff>
    </xdr:to>
    <xdr:pic macro="[0]!ThisWorkbook.RETOUR_MESDEPENSES">
      <xdr:nvPicPr>
        <xdr:cNvPr id="19" name="Image 18">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1750" y="640292"/>
          <a:ext cx="558800" cy="608542"/>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5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5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4">
      <xdr:nvPicPr>
        <xdr:cNvPr id="10" name="Image 9">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5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306916</xdr:colOff>
      <xdr:row>4</xdr:row>
      <xdr:rowOff>5291</xdr:rowOff>
    </xdr:from>
    <xdr:to>
      <xdr:col>3</xdr:col>
      <xdr:colOff>325967</xdr:colOff>
      <xdr:row>7</xdr:row>
      <xdr:rowOff>95250</xdr:rowOff>
    </xdr:to>
    <xdr:pic macro="[0]!ThisWorkbook.RETOUR_MESDEPENSES">
      <xdr:nvPicPr>
        <xdr:cNvPr id="13" name="Image 12">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50583" y="640291"/>
          <a:ext cx="579967" cy="5662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6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6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5">
      <xdr:nvPicPr>
        <xdr:cNvPr id="10" name="Image 9">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6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244474</xdr:colOff>
      <xdr:row>4</xdr:row>
      <xdr:rowOff>5291</xdr:rowOff>
    </xdr:from>
    <xdr:to>
      <xdr:col>3</xdr:col>
      <xdr:colOff>232834</xdr:colOff>
      <xdr:row>8</xdr:row>
      <xdr:rowOff>0</xdr:rowOff>
    </xdr:to>
    <xdr:pic macro="[0]!ThisWorkbook.RETOUR_MESDEPENSES">
      <xdr:nvPicPr>
        <xdr:cNvPr id="13" name="Image 12">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88141" y="640291"/>
          <a:ext cx="549276" cy="6297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4" name="Image 3">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4"/>
        <a:stretch>
          <a:fillRect/>
        </a:stretch>
      </xdr:blipFill>
      <xdr:spPr>
        <a:xfrm>
          <a:off x="8953500" y="166688"/>
          <a:ext cx="4304149" cy="774259"/>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7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1">
      <xdr:nvPicPr>
        <xdr:cNvPr id="10" name="Image 9">
          <a:extLst>
            <a:ext uri="{FF2B5EF4-FFF2-40B4-BE49-F238E27FC236}">
              <a16:creationId xmlns:a16="http://schemas.microsoft.com/office/drawing/2014/main" id="{00000000-0008-0000-3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1" name="Text Box 429">
          <a:extLst>
            <a:ext uri="{FF2B5EF4-FFF2-40B4-BE49-F238E27FC236}">
              <a16:creationId xmlns:a16="http://schemas.microsoft.com/office/drawing/2014/main" id="{00000000-0008-0000-3700-00000B000000}"/>
            </a:ext>
          </a:extLst>
        </xdr:cNvPr>
        <xdr:cNvSpPr txBox="1">
          <a:spLocks noChangeArrowheads="1"/>
        </xdr:cNvSpPr>
      </xdr:nvSpPr>
      <xdr:spPr bwMode="auto">
        <a:xfrm>
          <a:off x="85726" y="95250"/>
          <a:ext cx="33528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2" name="Image 11">
          <a:extLst>
            <a:ext uri="{FF2B5EF4-FFF2-40B4-BE49-F238E27FC236}">
              <a16:creationId xmlns:a16="http://schemas.microsoft.com/office/drawing/2014/main" id="{00000000-0008-0000-37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3" name="Image 12">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0</xdr:col>
      <xdr:colOff>95251</xdr:colOff>
      <xdr:row>83</xdr:row>
      <xdr:rowOff>161926</xdr:rowOff>
    </xdr:from>
    <xdr:to>
      <xdr:col>0</xdr:col>
      <xdr:colOff>419251</xdr:colOff>
      <xdr:row>85</xdr:row>
      <xdr:rowOff>132901</xdr:rowOff>
    </xdr:to>
    <xdr:pic macro="[0]!ThisWorkbook.Afficher_Dette1">
      <xdr:nvPicPr>
        <xdr:cNvPr id="5" name="Image 4">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51" y="11572876"/>
          <a:ext cx="324000" cy="313875"/>
        </a:xfrm>
        <a:prstGeom prst="rect">
          <a:avLst/>
        </a:prstGeom>
      </xdr:spPr>
    </xdr:pic>
    <xdr:clientData fPrintsWithSheet="0"/>
  </xdr:twoCellAnchor>
  <xdr:twoCellAnchor editAs="oneCell">
    <xdr:from>
      <xdr:col>0</xdr:col>
      <xdr:colOff>676275</xdr:colOff>
      <xdr:row>83</xdr:row>
      <xdr:rowOff>161925</xdr:rowOff>
    </xdr:from>
    <xdr:to>
      <xdr:col>0</xdr:col>
      <xdr:colOff>1000275</xdr:colOff>
      <xdr:row>85</xdr:row>
      <xdr:rowOff>142875</xdr:rowOff>
    </xdr:to>
    <xdr:pic macro="[0]!ThisWorkbook.Masquer_Dette1">
      <xdr:nvPicPr>
        <xdr:cNvPr id="6" name="Image 5">
          <a:extLst>
            <a:ext uri="{FF2B5EF4-FFF2-40B4-BE49-F238E27FC236}">
              <a16:creationId xmlns:a16="http://schemas.microsoft.com/office/drawing/2014/main" id="{00000000-0008-0000-3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6275" y="11572875"/>
          <a:ext cx="324000" cy="324000"/>
        </a:xfrm>
        <a:prstGeom prst="rect">
          <a:avLst/>
        </a:prstGeom>
      </xdr:spPr>
    </xdr:pic>
    <xdr:clientData fPrintsWithSheet="0"/>
  </xdr:twoCellAnchor>
  <xdr:twoCellAnchor editAs="oneCell">
    <xdr:from>
      <xdr:col>9</xdr:col>
      <xdr:colOff>0</xdr:colOff>
      <xdr:row>1</xdr:row>
      <xdr:rowOff>0</xdr:rowOff>
    </xdr:from>
    <xdr:to>
      <xdr:col>15</xdr:col>
      <xdr:colOff>246499</xdr:colOff>
      <xdr:row>5</xdr:row>
      <xdr:rowOff>126559</xdr:rowOff>
    </xdr:to>
    <xdr:pic>
      <xdr:nvPicPr>
        <xdr:cNvPr id="2" name="Imag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6"/>
        <a:stretch>
          <a:fillRect/>
        </a:stretch>
      </xdr:blipFill>
      <xdr:spPr>
        <a:xfrm>
          <a:off x="7019925" y="161925"/>
          <a:ext cx="4304149" cy="774259"/>
        </a:xfrm>
        <a:prstGeom prst="rect">
          <a:avLst/>
        </a:prstGeom>
      </xdr:spPr>
    </xdr:pic>
    <xdr:clientData/>
  </xdr:twoCellAnchor>
  <xdr:twoCellAnchor editAs="oneCell">
    <xdr:from>
      <xdr:col>13</xdr:col>
      <xdr:colOff>76200</xdr:colOff>
      <xdr:row>148</xdr:row>
      <xdr:rowOff>38100</xdr:rowOff>
    </xdr:from>
    <xdr:to>
      <xdr:col>15</xdr:col>
      <xdr:colOff>637960</xdr:colOff>
      <xdr:row>150</xdr:row>
      <xdr:rowOff>42702</xdr:rowOff>
    </xdr:to>
    <xdr:pic>
      <xdr:nvPicPr>
        <xdr:cNvPr id="3" name="Image 2">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7"/>
        <a:stretch>
          <a:fillRect/>
        </a:stretch>
      </xdr:blipFill>
      <xdr:spPr>
        <a:xfrm>
          <a:off x="9801225" y="25660350"/>
          <a:ext cx="1914310" cy="347502"/>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8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9526</xdr:rowOff>
    </xdr:from>
    <xdr:to>
      <xdr:col>0</xdr:col>
      <xdr:colOff>362101</xdr:colOff>
      <xdr:row>83</xdr:row>
      <xdr:rowOff>151951</xdr:rowOff>
    </xdr:to>
    <xdr:pic macro="[0]!ThisWorkbook.Afficher_Dette2">
      <xdr:nvPicPr>
        <xdr:cNvPr id="15" name="Image 14">
          <a:extLst>
            <a:ext uri="{FF2B5EF4-FFF2-40B4-BE49-F238E27FC236}">
              <a16:creationId xmlns:a16="http://schemas.microsoft.com/office/drawing/2014/main" id="{00000000-0008-0000-38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4258926"/>
          <a:ext cx="324000" cy="313875"/>
        </a:xfrm>
        <a:prstGeom prst="rect">
          <a:avLst/>
        </a:prstGeom>
      </xdr:spPr>
    </xdr:pic>
    <xdr:clientData fPrintsWithSheet="0"/>
  </xdr:twoCellAnchor>
  <xdr:twoCellAnchor editAs="oneCell">
    <xdr:from>
      <xdr:col>0</xdr:col>
      <xdr:colOff>590550</xdr:colOff>
      <xdr:row>82</xdr:row>
      <xdr:rowOff>0</xdr:rowOff>
    </xdr:from>
    <xdr:to>
      <xdr:col>0</xdr:col>
      <xdr:colOff>914550</xdr:colOff>
      <xdr:row>83</xdr:row>
      <xdr:rowOff>152550</xdr:rowOff>
    </xdr:to>
    <xdr:pic macro="[0]!ThisWorkbook.Masquer_Dette2">
      <xdr:nvPicPr>
        <xdr:cNvPr id="16" name="Image 15">
          <a:extLst>
            <a:ext uri="{FF2B5EF4-FFF2-40B4-BE49-F238E27FC236}">
              <a16:creationId xmlns:a16="http://schemas.microsoft.com/office/drawing/2014/main" id="{00000000-0008-0000-38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0550" y="14249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8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2">
      <xdr:nvPicPr>
        <xdr:cNvPr id="13" name="Image 12">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8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7" name="Image 16">
          <a:extLst>
            <a:ext uri="{FF2B5EF4-FFF2-40B4-BE49-F238E27FC236}">
              <a16:creationId xmlns:a16="http://schemas.microsoft.com/office/drawing/2014/main" id="{00000000-0008-0000-38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8" name="Image 17">
          <a:extLst>
            <a:ext uri="{FF2B5EF4-FFF2-40B4-BE49-F238E27FC236}">
              <a16:creationId xmlns:a16="http://schemas.microsoft.com/office/drawing/2014/main" id="{00000000-0008-0000-38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390525</xdr:colOff>
      <xdr:row>144</xdr:row>
      <xdr:rowOff>47625</xdr:rowOff>
    </xdr:from>
    <xdr:to>
      <xdr:col>18</xdr:col>
      <xdr:colOff>9525</xdr:colOff>
      <xdr:row>146</xdr:row>
      <xdr:rowOff>52227</xdr:rowOff>
    </xdr:to>
    <xdr:pic>
      <xdr:nvPicPr>
        <xdr:cNvPr id="4" name="Image 3">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7"/>
        <a:stretch>
          <a:fillRect/>
        </a:stretch>
      </xdr:blipFill>
      <xdr:spPr>
        <a:xfrm>
          <a:off x="10306050" y="24926925"/>
          <a:ext cx="1905000" cy="347502"/>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9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66675</xdr:colOff>
      <xdr:row>82</xdr:row>
      <xdr:rowOff>47626</xdr:rowOff>
    </xdr:from>
    <xdr:to>
      <xdr:col>0</xdr:col>
      <xdr:colOff>401126</xdr:colOff>
      <xdr:row>84</xdr:row>
      <xdr:rowOff>28726</xdr:rowOff>
    </xdr:to>
    <xdr:pic macro="[0]!ThisWorkbook.Afficher_Dette3">
      <xdr:nvPicPr>
        <xdr:cNvPr id="10" name="Image 9">
          <a:extLst>
            <a:ext uri="{FF2B5EF4-FFF2-40B4-BE49-F238E27FC236}">
              <a16:creationId xmlns:a16="http://schemas.microsoft.com/office/drawing/2014/main" id="{00000000-0008-0000-39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1287126"/>
          <a:ext cx="334451" cy="324000"/>
        </a:xfrm>
        <a:prstGeom prst="rect">
          <a:avLst/>
        </a:prstGeom>
      </xdr:spPr>
    </xdr:pic>
    <xdr:clientData fPrintsWithSheet="0"/>
  </xdr:twoCellAnchor>
  <xdr:twoCellAnchor editAs="oneCell">
    <xdr:from>
      <xdr:col>0</xdr:col>
      <xdr:colOff>647699</xdr:colOff>
      <xdr:row>82</xdr:row>
      <xdr:rowOff>47624</xdr:rowOff>
    </xdr:from>
    <xdr:to>
      <xdr:col>0</xdr:col>
      <xdr:colOff>971699</xdr:colOff>
      <xdr:row>84</xdr:row>
      <xdr:rowOff>28724</xdr:rowOff>
    </xdr:to>
    <xdr:pic macro="[0]!ThisWorkbook.Masquer_Dette3">
      <xdr:nvPicPr>
        <xdr:cNvPr id="11" name="Image 10">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699" y="11287124"/>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9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3">
      <xdr:nvPicPr>
        <xdr:cNvPr id="14" name="Image 13">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9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9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9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38100</xdr:rowOff>
    </xdr:from>
    <xdr:to>
      <xdr:col>14</xdr:col>
      <xdr:colOff>742735</xdr:colOff>
      <xdr:row>146</xdr:row>
      <xdr:rowOff>99852</xdr:rowOff>
    </xdr:to>
    <xdr:pic>
      <xdr:nvPicPr>
        <xdr:cNvPr id="4" name="Imag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7"/>
        <a:stretch>
          <a:fillRect/>
        </a:stretch>
      </xdr:blipFill>
      <xdr:spPr>
        <a:xfrm>
          <a:off x="10267950" y="24993600"/>
          <a:ext cx="1914310" cy="347502"/>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A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9526</xdr:colOff>
      <xdr:row>82</xdr:row>
      <xdr:rowOff>47625</xdr:rowOff>
    </xdr:from>
    <xdr:to>
      <xdr:col>0</xdr:col>
      <xdr:colOff>343978</xdr:colOff>
      <xdr:row>84</xdr:row>
      <xdr:rowOff>28725</xdr:rowOff>
    </xdr:to>
    <xdr:pic macro="[0]!ThisWorkbook.Afficher_Dette4">
      <xdr:nvPicPr>
        <xdr:cNvPr id="9" name="Image 8">
          <a:extLst>
            <a:ext uri="{FF2B5EF4-FFF2-40B4-BE49-F238E27FC236}">
              <a16:creationId xmlns:a16="http://schemas.microsoft.com/office/drawing/2014/main" id="{00000000-0008-0000-3A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6" y="11210925"/>
          <a:ext cx="334452" cy="324000"/>
        </a:xfrm>
        <a:prstGeom prst="rect">
          <a:avLst/>
        </a:prstGeom>
      </xdr:spPr>
    </xdr:pic>
    <xdr:clientData fPrintsWithSheet="0"/>
  </xdr:twoCellAnchor>
  <xdr:twoCellAnchor editAs="oneCell">
    <xdr:from>
      <xdr:col>0</xdr:col>
      <xdr:colOff>600075</xdr:colOff>
      <xdr:row>82</xdr:row>
      <xdr:rowOff>47625</xdr:rowOff>
    </xdr:from>
    <xdr:to>
      <xdr:col>0</xdr:col>
      <xdr:colOff>924075</xdr:colOff>
      <xdr:row>84</xdr:row>
      <xdr:rowOff>28725</xdr:rowOff>
    </xdr:to>
    <xdr:pic macro="[0]!ThisWorkbook.Masquer_Dette4">
      <xdr:nvPicPr>
        <xdr:cNvPr id="10" name="Image 9">
          <a:extLst>
            <a:ext uri="{FF2B5EF4-FFF2-40B4-BE49-F238E27FC236}">
              <a16:creationId xmlns:a16="http://schemas.microsoft.com/office/drawing/2014/main" id="{00000000-0008-0000-3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0075" y="11210925"/>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A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4">
      <xdr:nvPicPr>
        <xdr:cNvPr id="13" name="Image 12">
          <a:extLst>
            <a:ext uri="{FF2B5EF4-FFF2-40B4-BE49-F238E27FC236}">
              <a16:creationId xmlns:a16="http://schemas.microsoft.com/office/drawing/2014/main" id="{00000000-0008-0000-3A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A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5" name="Image 14">
          <a:extLst>
            <a:ext uri="{FF2B5EF4-FFF2-40B4-BE49-F238E27FC236}">
              <a16:creationId xmlns:a16="http://schemas.microsoft.com/office/drawing/2014/main" id="{00000000-0008-0000-3A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6" name="Image 15">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4" name="Image 3">
          <a:extLst>
            <a:ext uri="{FF2B5EF4-FFF2-40B4-BE49-F238E27FC236}">
              <a16:creationId xmlns:a16="http://schemas.microsoft.com/office/drawing/2014/main" id="{00000000-0008-0000-3A00-000004000000}"/>
            </a:ext>
          </a:extLst>
        </xdr:cNvPr>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76200</xdr:rowOff>
    </xdr:from>
    <xdr:to>
      <xdr:col>14</xdr:col>
      <xdr:colOff>742735</xdr:colOff>
      <xdr:row>146</xdr:row>
      <xdr:rowOff>137952</xdr:rowOff>
    </xdr:to>
    <xdr:pic>
      <xdr:nvPicPr>
        <xdr:cNvPr id="2" name="Image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7"/>
        <a:stretch>
          <a:fillRect/>
        </a:stretch>
      </xdr:blipFill>
      <xdr:spPr>
        <a:xfrm>
          <a:off x="10267950" y="24955500"/>
          <a:ext cx="1914310" cy="347502"/>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B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57150</xdr:rowOff>
    </xdr:from>
    <xdr:to>
      <xdr:col>0</xdr:col>
      <xdr:colOff>372553</xdr:colOff>
      <xdr:row>84</xdr:row>
      <xdr:rowOff>38250</xdr:rowOff>
    </xdr:to>
    <xdr:pic macro="[0]!ThisWorkbook.Afficher_Dette5">
      <xdr:nvPicPr>
        <xdr:cNvPr id="10" name="Image 9">
          <a:extLst>
            <a:ext uri="{FF2B5EF4-FFF2-40B4-BE49-F238E27FC236}">
              <a16:creationId xmlns:a16="http://schemas.microsoft.com/office/drawing/2014/main" id="{00000000-0008-0000-3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1220450"/>
          <a:ext cx="334452" cy="324000"/>
        </a:xfrm>
        <a:prstGeom prst="rect">
          <a:avLst/>
        </a:prstGeom>
      </xdr:spPr>
    </xdr:pic>
    <xdr:clientData fPrintsWithSheet="0"/>
  </xdr:twoCellAnchor>
  <xdr:twoCellAnchor editAs="oneCell">
    <xdr:from>
      <xdr:col>0</xdr:col>
      <xdr:colOff>609600</xdr:colOff>
      <xdr:row>82</xdr:row>
      <xdr:rowOff>38100</xdr:rowOff>
    </xdr:from>
    <xdr:to>
      <xdr:col>0</xdr:col>
      <xdr:colOff>933600</xdr:colOff>
      <xdr:row>84</xdr:row>
      <xdr:rowOff>19200</xdr:rowOff>
    </xdr:to>
    <xdr:pic macro="[0]!ThisWorkbook.Masquer_Dette5">
      <xdr:nvPicPr>
        <xdr:cNvPr id="11" name="Imag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11201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B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5">
      <xdr:nvPicPr>
        <xdr:cNvPr id="14" name="Image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B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B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B00-00001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6"/>
        <a:stretch>
          <a:fillRect/>
        </a:stretch>
      </xdr:blipFill>
      <xdr:spPr>
        <a:xfrm>
          <a:off x="7629525" y="161925"/>
          <a:ext cx="4304149" cy="774259"/>
        </a:xfrm>
        <a:prstGeom prst="rect">
          <a:avLst/>
        </a:prstGeom>
      </xdr:spPr>
    </xdr:pic>
    <xdr:clientData/>
  </xdr:twoCellAnchor>
  <xdr:twoCellAnchor editAs="oneCell">
    <xdr:from>
      <xdr:col>12</xdr:col>
      <xdr:colOff>323850</xdr:colOff>
      <xdr:row>144</xdr:row>
      <xdr:rowOff>76200</xdr:rowOff>
    </xdr:from>
    <xdr:to>
      <xdr:col>14</xdr:col>
      <xdr:colOff>714160</xdr:colOff>
      <xdr:row>146</xdr:row>
      <xdr:rowOff>137952</xdr:rowOff>
    </xdr:to>
    <xdr:pic>
      <xdr:nvPicPr>
        <xdr:cNvPr id="4" name="Imag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7"/>
        <a:stretch>
          <a:fillRect/>
        </a:stretch>
      </xdr:blipFill>
      <xdr:spPr>
        <a:xfrm>
          <a:off x="10239375" y="24955500"/>
          <a:ext cx="1914310" cy="347502"/>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C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647700</xdr:colOff>
      <xdr:row>4</xdr:row>
      <xdr:rowOff>9525</xdr:rowOff>
    </xdr:from>
    <xdr:to>
      <xdr:col>1</xdr:col>
      <xdr:colOff>1428750</xdr:colOff>
      <xdr:row>6</xdr:row>
      <xdr:rowOff>46207</xdr:rowOff>
    </xdr:to>
    <xdr:pic macro="[0]!ThisWorkbook.Imprimer_ER">
      <xdr:nvPicPr>
        <xdr:cNvPr id="5" name="Image 4">
          <a:extLst>
            <a:ext uri="{FF2B5EF4-FFF2-40B4-BE49-F238E27FC236}">
              <a16:creationId xmlns:a16="http://schemas.microsoft.com/office/drawing/2014/main" id="{00000000-0008-0000-3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657225"/>
          <a:ext cx="781050" cy="360532"/>
        </a:xfrm>
        <a:prstGeom prst="rect">
          <a:avLst/>
        </a:prstGeom>
      </xdr:spPr>
    </xdr:pic>
    <xdr:clientData fPrintsWithSheet="0"/>
  </xdr:twoCellAnchor>
  <xdr:twoCellAnchor>
    <xdr:from>
      <xdr:col>0</xdr:col>
      <xdr:colOff>0</xdr:colOff>
      <xdr:row>0</xdr:row>
      <xdr:rowOff>114301</xdr:rowOff>
    </xdr:from>
    <xdr:to>
      <xdr:col>1</xdr:col>
      <xdr:colOff>2809875</xdr:colOff>
      <xdr:row>3</xdr:row>
      <xdr:rowOff>47626</xdr:rowOff>
    </xdr:to>
    <xdr:sp macro="" textlink="">
      <xdr:nvSpPr>
        <xdr:cNvPr id="6" name="Text Box 429">
          <a:extLst>
            <a:ext uri="{FF2B5EF4-FFF2-40B4-BE49-F238E27FC236}">
              <a16:creationId xmlns:a16="http://schemas.microsoft.com/office/drawing/2014/main" id="{00000000-0008-0000-3C00-000006000000}"/>
            </a:ext>
          </a:extLst>
        </xdr:cNvPr>
        <xdr:cNvSpPr txBox="1">
          <a:spLocks noChangeArrowheads="1"/>
        </xdr:cNvSpPr>
      </xdr:nvSpPr>
      <xdr:spPr bwMode="auto">
        <a:xfrm>
          <a:off x="0" y="114301"/>
          <a:ext cx="312420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3</xdr:row>
      <xdr:rowOff>123825</xdr:rowOff>
    </xdr:from>
    <xdr:to>
      <xdr:col>1</xdr:col>
      <xdr:colOff>323850</xdr:colOff>
      <xdr:row>6</xdr:row>
      <xdr:rowOff>87641</xdr:rowOff>
    </xdr:to>
    <xdr:pic macro="[0]!ThisWorkbook.ACCUEIL">
      <xdr:nvPicPr>
        <xdr:cNvPr id="7" name="Image 6">
          <a:extLst>
            <a:ext uri="{FF2B5EF4-FFF2-40B4-BE49-F238E27FC236}">
              <a16:creationId xmlns:a16="http://schemas.microsoft.com/office/drawing/2014/main" id="{00000000-0008-0000-3C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609600"/>
          <a:ext cx="409575" cy="449591"/>
        </a:xfrm>
        <a:prstGeom prst="rect">
          <a:avLst/>
        </a:prstGeom>
      </xdr:spPr>
    </xdr:pic>
    <xdr:clientData fPrintsWithSheet="0"/>
  </xdr:twoCellAnchor>
  <xdr:twoCellAnchor editAs="oneCell">
    <xdr:from>
      <xdr:col>1</xdr:col>
      <xdr:colOff>1762125</xdr:colOff>
      <xdr:row>3</xdr:row>
      <xdr:rowOff>38100</xdr:rowOff>
    </xdr:from>
    <xdr:to>
      <xdr:col>1</xdr:col>
      <xdr:colOff>2254033</xdr:colOff>
      <xdr:row>7</xdr:row>
      <xdr:rowOff>9525</xdr:rowOff>
    </xdr:to>
    <xdr:pic macro="[0]!ThisWorkbook.RETOUR_PLANFINANCIER">
      <xdr:nvPicPr>
        <xdr:cNvPr id="8" name="Image 7">
          <a:extLst>
            <a:ext uri="{FF2B5EF4-FFF2-40B4-BE49-F238E27FC236}">
              <a16:creationId xmlns:a16="http://schemas.microsoft.com/office/drawing/2014/main" id="{00000000-0008-0000-3C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4</xdr:col>
      <xdr:colOff>0</xdr:colOff>
      <xdr:row>1</xdr:row>
      <xdr:rowOff>0</xdr:rowOff>
    </xdr:from>
    <xdr:to>
      <xdr:col>10</xdr:col>
      <xdr:colOff>136961</xdr:colOff>
      <xdr:row>5</xdr:row>
      <xdr:rowOff>107509</xdr:rowOff>
    </xdr:to>
    <xdr:pic>
      <xdr:nvPicPr>
        <xdr:cNvPr id="2" name="Image 1">
          <a:extLst>
            <a:ext uri="{FF2B5EF4-FFF2-40B4-BE49-F238E27FC236}">
              <a16:creationId xmlns:a16="http://schemas.microsoft.com/office/drawing/2014/main" id="{00000000-0008-0000-3C00-000002000000}"/>
            </a:ext>
          </a:extLst>
        </xdr:cNvPr>
        <xdr:cNvPicPr>
          <a:picLocks noChangeAspect="1"/>
        </xdr:cNvPicPr>
      </xdr:nvPicPr>
      <xdr:blipFill>
        <a:blip xmlns:r="http://schemas.openxmlformats.org/officeDocument/2006/relationships" r:embed="rId4"/>
        <a:stretch>
          <a:fillRect/>
        </a:stretch>
      </xdr:blipFill>
      <xdr:spPr>
        <a:xfrm>
          <a:off x="5572125" y="166688"/>
          <a:ext cx="4304149" cy="774259"/>
        </a:xfrm>
        <a:prstGeom prst="rect">
          <a:avLst/>
        </a:prstGeom>
      </xdr:spPr>
    </xdr:pic>
    <xdr:clientData/>
  </xdr:twoCellAnchor>
  <xdr:twoCellAnchor editAs="oneCell">
    <xdr:from>
      <xdr:col>4</xdr:col>
      <xdr:colOff>809625</xdr:colOff>
      <xdr:row>100</xdr:row>
      <xdr:rowOff>71437</xdr:rowOff>
    </xdr:from>
    <xdr:to>
      <xdr:col>7</xdr:col>
      <xdr:colOff>295060</xdr:colOff>
      <xdr:row>102</xdr:row>
      <xdr:rowOff>85564</xdr:rowOff>
    </xdr:to>
    <xdr:pic>
      <xdr:nvPicPr>
        <xdr:cNvPr id="4" name="Image 3">
          <a:extLst>
            <a:ext uri="{FF2B5EF4-FFF2-40B4-BE49-F238E27FC236}">
              <a16:creationId xmlns:a16="http://schemas.microsoft.com/office/drawing/2014/main" id="{00000000-0008-0000-3C00-000004000000}"/>
            </a:ext>
          </a:extLst>
        </xdr:cNvPr>
        <xdr:cNvPicPr>
          <a:picLocks noChangeAspect="1"/>
        </xdr:cNvPicPr>
      </xdr:nvPicPr>
      <xdr:blipFill>
        <a:blip xmlns:r="http://schemas.openxmlformats.org/officeDocument/2006/relationships" r:embed="rId5"/>
        <a:stretch>
          <a:fillRect/>
        </a:stretch>
      </xdr:blipFill>
      <xdr:spPr>
        <a:xfrm>
          <a:off x="6381750" y="17025937"/>
          <a:ext cx="1914310" cy="347502"/>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95250</xdr:rowOff>
    </xdr:from>
    <xdr:to>
      <xdr:col>2</xdr:col>
      <xdr:colOff>2409825</xdr:colOff>
      <xdr:row>3</xdr:row>
      <xdr:rowOff>28575</xdr:rowOff>
    </xdr:to>
    <xdr:sp macro="" textlink="">
      <xdr:nvSpPr>
        <xdr:cNvPr id="21" name="Text Box 429">
          <a:extLst>
            <a:ext uri="{FF2B5EF4-FFF2-40B4-BE49-F238E27FC236}">
              <a16:creationId xmlns:a16="http://schemas.microsoft.com/office/drawing/2014/main" id="{00000000-0008-0000-3D00-000015000000}"/>
            </a:ext>
          </a:extLst>
        </xdr:cNvPr>
        <xdr:cNvSpPr txBox="1">
          <a:spLocks noChangeArrowheads="1"/>
        </xdr:cNvSpPr>
      </xdr:nvSpPr>
      <xdr:spPr bwMode="auto">
        <a:xfrm>
          <a:off x="0" y="9525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85725</xdr:rowOff>
    </xdr:from>
    <xdr:to>
      <xdr:col>2</xdr:col>
      <xdr:colOff>0</xdr:colOff>
      <xdr:row>6</xdr:row>
      <xdr:rowOff>122730</xdr:rowOff>
    </xdr:to>
    <xdr:pic macro="[0]!ThisWorkbook.ACCUEIL">
      <xdr:nvPicPr>
        <xdr:cNvPr id="22" name="Image 21">
          <a:extLst>
            <a:ext uri="{FF2B5EF4-FFF2-40B4-BE49-F238E27FC236}">
              <a16:creationId xmlns:a16="http://schemas.microsoft.com/office/drawing/2014/main" id="{00000000-0008-0000-3D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571500"/>
          <a:ext cx="476250" cy="522780"/>
        </a:xfrm>
        <a:prstGeom prst="rect">
          <a:avLst/>
        </a:prstGeom>
      </xdr:spPr>
    </xdr:pic>
    <xdr:clientData fPrintsWithSheet="0"/>
  </xdr:twoCellAnchor>
  <xdr:twoCellAnchor editAs="oneCell">
    <xdr:from>
      <xdr:col>2</xdr:col>
      <xdr:colOff>209550</xdr:colOff>
      <xdr:row>3</xdr:row>
      <xdr:rowOff>152400</xdr:rowOff>
    </xdr:from>
    <xdr:to>
      <xdr:col>2</xdr:col>
      <xdr:colOff>1200020</xdr:colOff>
      <xdr:row>6</xdr:row>
      <xdr:rowOff>123825</xdr:rowOff>
    </xdr:to>
    <xdr:pic macro="[0]!ThisWorkbook.Imprimer_BILAN">
      <xdr:nvPicPr>
        <xdr:cNvPr id="23" name="Image 22">
          <a:extLst>
            <a:ext uri="{FF2B5EF4-FFF2-40B4-BE49-F238E27FC236}">
              <a16:creationId xmlns:a16="http://schemas.microsoft.com/office/drawing/2014/main" id="{00000000-0008-0000-3D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3925" y="638175"/>
          <a:ext cx="990470" cy="457200"/>
        </a:xfrm>
        <a:prstGeom prst="rect">
          <a:avLst/>
        </a:prstGeom>
      </xdr:spPr>
    </xdr:pic>
    <xdr:clientData fPrintsWithSheet="0"/>
  </xdr:twoCellAnchor>
  <xdr:twoCellAnchor editAs="oneCell">
    <xdr:from>
      <xdr:col>2</xdr:col>
      <xdr:colOff>1457325</xdr:colOff>
      <xdr:row>3</xdr:row>
      <xdr:rowOff>66675</xdr:rowOff>
    </xdr:from>
    <xdr:to>
      <xdr:col>2</xdr:col>
      <xdr:colOff>1962150</xdr:colOff>
      <xdr:row>7</xdr:row>
      <xdr:rowOff>54357</xdr:rowOff>
    </xdr:to>
    <xdr:pic macro="[0]!ThisWorkbook.RETOUR_PLANFINANCIER">
      <xdr:nvPicPr>
        <xdr:cNvPr id="24" name="Image 23">
          <a:extLst>
            <a:ext uri="{FF2B5EF4-FFF2-40B4-BE49-F238E27FC236}">
              <a16:creationId xmlns:a16="http://schemas.microsoft.com/office/drawing/2014/main" id="{00000000-0008-0000-3D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71700" y="552450"/>
          <a:ext cx="504825" cy="635382"/>
        </a:xfrm>
        <a:prstGeom prst="rect">
          <a:avLst/>
        </a:prstGeom>
      </xdr:spPr>
    </xdr:pic>
    <xdr:clientData fPrintsWithSheet="0"/>
  </xdr:twoCellAnchor>
  <xdr:twoCellAnchor editAs="oneCell">
    <xdr:from>
      <xdr:col>7</xdr:col>
      <xdr:colOff>0</xdr:colOff>
      <xdr:row>1</xdr:row>
      <xdr:rowOff>0</xdr:rowOff>
    </xdr:from>
    <xdr:to>
      <xdr:col>13</xdr:col>
      <xdr:colOff>589399</xdr:colOff>
      <xdr:row>5</xdr:row>
      <xdr:rowOff>107509</xdr:rowOff>
    </xdr:to>
    <xdr:pic>
      <xdr:nvPicPr>
        <xdr:cNvPr id="2" name="Image 1">
          <a:extLst>
            <a:ext uri="{FF2B5EF4-FFF2-40B4-BE49-F238E27FC236}">
              <a16:creationId xmlns:a16="http://schemas.microsoft.com/office/drawing/2014/main" id="{00000000-0008-0000-3D00-000002000000}"/>
            </a:ext>
          </a:extLst>
        </xdr:cNvPr>
        <xdr:cNvPicPr>
          <a:picLocks noChangeAspect="1"/>
        </xdr:cNvPicPr>
      </xdr:nvPicPr>
      <xdr:blipFill>
        <a:blip xmlns:r="http://schemas.openxmlformats.org/officeDocument/2006/relationships" r:embed="rId4"/>
        <a:stretch>
          <a:fillRect/>
        </a:stretch>
      </xdr:blipFill>
      <xdr:spPr>
        <a:xfrm>
          <a:off x="5679281" y="166688"/>
          <a:ext cx="4304149" cy="774259"/>
        </a:xfrm>
        <a:prstGeom prst="rect">
          <a:avLst/>
        </a:prstGeom>
      </xdr:spPr>
    </xdr:pic>
    <xdr:clientData/>
  </xdr:twoCellAnchor>
  <xdr:twoCellAnchor editAs="oneCell">
    <xdr:from>
      <xdr:col>7</xdr:col>
      <xdr:colOff>250031</xdr:colOff>
      <xdr:row>77</xdr:row>
      <xdr:rowOff>59531</xdr:rowOff>
    </xdr:from>
    <xdr:to>
      <xdr:col>9</xdr:col>
      <xdr:colOff>926091</xdr:colOff>
      <xdr:row>78</xdr:row>
      <xdr:rowOff>240345</xdr:rowOff>
    </xdr:to>
    <xdr:pic>
      <xdr:nvPicPr>
        <xdr:cNvPr id="4" name="Image 3">
          <a:extLst>
            <a:ext uri="{FF2B5EF4-FFF2-40B4-BE49-F238E27FC236}">
              <a16:creationId xmlns:a16="http://schemas.microsoft.com/office/drawing/2014/main" id="{00000000-0008-0000-3D00-000004000000}"/>
            </a:ext>
          </a:extLst>
        </xdr:cNvPr>
        <xdr:cNvPicPr>
          <a:picLocks noChangeAspect="1"/>
        </xdr:cNvPicPr>
      </xdr:nvPicPr>
      <xdr:blipFill>
        <a:blip xmlns:r="http://schemas.openxmlformats.org/officeDocument/2006/relationships" r:embed="rId5"/>
        <a:stretch>
          <a:fillRect/>
        </a:stretch>
      </xdr:blipFill>
      <xdr:spPr>
        <a:xfrm>
          <a:off x="5929312" y="13204031"/>
          <a:ext cx="1914310" cy="347502"/>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123825</xdr:rowOff>
    </xdr:from>
    <xdr:to>
      <xdr:col>2</xdr:col>
      <xdr:colOff>2600325</xdr:colOff>
      <xdr:row>4</xdr:row>
      <xdr:rowOff>28575</xdr:rowOff>
    </xdr:to>
    <xdr:sp macro="" textlink="">
      <xdr:nvSpPr>
        <xdr:cNvPr id="4" name="Text Box 429">
          <a:extLst>
            <a:ext uri="{FF2B5EF4-FFF2-40B4-BE49-F238E27FC236}">
              <a16:creationId xmlns:a16="http://schemas.microsoft.com/office/drawing/2014/main" id="{00000000-0008-0000-3E00-000004000000}"/>
            </a:ext>
          </a:extLst>
        </xdr:cNvPr>
        <xdr:cNvSpPr txBox="1">
          <a:spLocks noChangeArrowheads="1"/>
        </xdr:cNvSpPr>
      </xdr:nvSpPr>
      <xdr:spPr bwMode="auto">
        <a:xfrm>
          <a:off x="0" y="123825"/>
          <a:ext cx="3314700"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57150</xdr:colOff>
      <xdr:row>4</xdr:row>
      <xdr:rowOff>9525</xdr:rowOff>
    </xdr:from>
    <xdr:to>
      <xdr:col>2</xdr:col>
      <xdr:colOff>152400</xdr:colOff>
      <xdr:row>7</xdr:row>
      <xdr:rowOff>46530</xdr:rowOff>
    </xdr:to>
    <xdr:pic macro="[0]!ThisWorkbook.ACCUEIL">
      <xdr:nvPicPr>
        <xdr:cNvPr id="5" name="Image 4">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5" y="657225"/>
          <a:ext cx="476250" cy="522780"/>
        </a:xfrm>
        <a:prstGeom prst="rect">
          <a:avLst/>
        </a:prstGeom>
      </xdr:spPr>
    </xdr:pic>
    <xdr:clientData fPrintsWithSheet="0"/>
  </xdr:twoCellAnchor>
  <xdr:twoCellAnchor editAs="oneCell">
    <xdr:from>
      <xdr:col>2</xdr:col>
      <xdr:colOff>333374</xdr:colOff>
      <xdr:row>4</xdr:row>
      <xdr:rowOff>57149</xdr:rowOff>
    </xdr:from>
    <xdr:to>
      <xdr:col>2</xdr:col>
      <xdr:colOff>1344479</xdr:colOff>
      <xdr:row>7</xdr:row>
      <xdr:rowOff>38099</xdr:rowOff>
    </xdr:to>
    <xdr:pic macro="[0]!ThisWorkbook.Imprimer_EE">
      <xdr:nvPicPr>
        <xdr:cNvPr id="6" name="Image 5">
          <a:extLst>
            <a:ext uri="{FF2B5EF4-FFF2-40B4-BE49-F238E27FC236}">
              <a16:creationId xmlns:a16="http://schemas.microsoft.com/office/drawing/2014/main" id="{00000000-0008-0000-3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49" y="704849"/>
          <a:ext cx="1011105" cy="466725"/>
        </a:xfrm>
        <a:prstGeom prst="rect">
          <a:avLst/>
        </a:prstGeom>
      </xdr:spPr>
    </xdr:pic>
    <xdr:clientData fPrintsWithSheet="0"/>
  </xdr:twoCellAnchor>
  <xdr:twoCellAnchor editAs="oneCell">
    <xdr:from>
      <xdr:col>2</xdr:col>
      <xdr:colOff>1609725</xdr:colOff>
      <xdr:row>3</xdr:row>
      <xdr:rowOff>123825</xdr:rowOff>
    </xdr:from>
    <xdr:to>
      <xdr:col>2</xdr:col>
      <xdr:colOff>2101633</xdr:colOff>
      <xdr:row>7</xdr:row>
      <xdr:rowOff>95250</xdr:rowOff>
    </xdr:to>
    <xdr:pic macro="[0]!ThisWorkbook.RETOUR_PLANFINANCIER">
      <xdr:nvPicPr>
        <xdr:cNvPr id="7" name="Image 6">
          <a:extLst>
            <a:ext uri="{FF2B5EF4-FFF2-40B4-BE49-F238E27FC236}">
              <a16:creationId xmlns:a16="http://schemas.microsoft.com/office/drawing/2014/main" id="{00000000-0008-0000-3E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24100" y="609600"/>
          <a:ext cx="491908" cy="619125"/>
        </a:xfrm>
        <a:prstGeom prst="rect">
          <a:avLst/>
        </a:prstGeom>
      </xdr:spPr>
    </xdr:pic>
    <xdr:clientData fPrintsWithSheet="0"/>
  </xdr:twoCellAnchor>
  <xdr:twoCellAnchor editAs="oneCell">
    <xdr:from>
      <xdr:col>5</xdr:col>
      <xdr:colOff>0</xdr:colOff>
      <xdr:row>1</xdr:row>
      <xdr:rowOff>0</xdr:rowOff>
    </xdr:from>
    <xdr:to>
      <xdr:col>11</xdr:col>
      <xdr:colOff>339368</xdr:colOff>
      <xdr:row>5</xdr:row>
      <xdr:rowOff>107509</xdr:rowOff>
    </xdr:to>
    <xdr:pic>
      <xdr:nvPicPr>
        <xdr:cNvPr id="2" name="Image 1">
          <a:extLst>
            <a:ext uri="{FF2B5EF4-FFF2-40B4-BE49-F238E27FC236}">
              <a16:creationId xmlns:a16="http://schemas.microsoft.com/office/drawing/2014/main" id="{00000000-0008-0000-3E00-000002000000}"/>
            </a:ext>
          </a:extLst>
        </xdr:cNvPr>
        <xdr:cNvPicPr>
          <a:picLocks noChangeAspect="1"/>
        </xdr:cNvPicPr>
      </xdr:nvPicPr>
      <xdr:blipFill>
        <a:blip xmlns:r="http://schemas.openxmlformats.org/officeDocument/2006/relationships" r:embed="rId4"/>
        <a:stretch>
          <a:fillRect/>
        </a:stretch>
      </xdr:blipFill>
      <xdr:spPr>
        <a:xfrm>
          <a:off x="5762625" y="166688"/>
          <a:ext cx="4304149" cy="774259"/>
        </a:xfrm>
        <a:prstGeom prst="rect">
          <a:avLst/>
        </a:prstGeom>
      </xdr:spPr>
    </xdr:pic>
    <xdr:clientData/>
  </xdr:twoCellAnchor>
  <xdr:twoCellAnchor editAs="oneCell">
    <xdr:from>
      <xdr:col>5</xdr:col>
      <xdr:colOff>392906</xdr:colOff>
      <xdr:row>50</xdr:row>
      <xdr:rowOff>83344</xdr:rowOff>
    </xdr:from>
    <xdr:to>
      <xdr:col>7</xdr:col>
      <xdr:colOff>985622</xdr:colOff>
      <xdr:row>52</xdr:row>
      <xdr:rowOff>97471</xdr:rowOff>
    </xdr:to>
    <xdr:pic>
      <xdr:nvPicPr>
        <xdr:cNvPr id="3" name="Imag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5"/>
        <a:stretch>
          <a:fillRect/>
        </a:stretch>
      </xdr:blipFill>
      <xdr:spPr>
        <a:xfrm>
          <a:off x="6155531" y="8655844"/>
          <a:ext cx="1914310" cy="347502"/>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xdr:from>
      <xdr:col>0</xdr:col>
      <xdr:colOff>47625</xdr:colOff>
      <xdr:row>0</xdr:row>
      <xdr:rowOff>76201</xdr:rowOff>
    </xdr:from>
    <xdr:to>
      <xdr:col>2</xdr:col>
      <xdr:colOff>1209675</xdr:colOff>
      <xdr:row>3</xdr:row>
      <xdr:rowOff>66676</xdr:rowOff>
    </xdr:to>
    <xdr:sp macro="" textlink="">
      <xdr:nvSpPr>
        <xdr:cNvPr id="3" name="Text Box 429">
          <a:extLst>
            <a:ext uri="{FF2B5EF4-FFF2-40B4-BE49-F238E27FC236}">
              <a16:creationId xmlns:a16="http://schemas.microsoft.com/office/drawing/2014/main" id="{00000000-0008-0000-3F00-000003000000}"/>
            </a:ext>
          </a:extLst>
        </xdr:cNvPr>
        <xdr:cNvSpPr txBox="1">
          <a:spLocks noChangeArrowheads="1"/>
        </xdr:cNvSpPr>
      </xdr:nvSpPr>
      <xdr:spPr bwMode="auto">
        <a:xfrm>
          <a:off x="47625" y="76201"/>
          <a:ext cx="2686050" cy="4762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171451</xdr:colOff>
      <xdr:row>3</xdr:row>
      <xdr:rowOff>95251</xdr:rowOff>
    </xdr:from>
    <xdr:to>
      <xdr:col>0</xdr:col>
      <xdr:colOff>553249</xdr:colOff>
      <xdr:row>6</xdr:row>
      <xdr:rowOff>28576</xdr:rowOff>
    </xdr:to>
    <xdr:pic macro="[0]!ThisWorkbook.ACCUEIL">
      <xdr:nvPicPr>
        <xdr:cNvPr id="4" name="Image 3">
          <a:extLst>
            <a:ext uri="{FF2B5EF4-FFF2-40B4-BE49-F238E27FC236}">
              <a16:creationId xmlns:a16="http://schemas.microsoft.com/office/drawing/2014/main" id="{00000000-0008-0000-3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1" y="581026"/>
          <a:ext cx="381798" cy="419100"/>
        </a:xfrm>
        <a:prstGeom prst="rect">
          <a:avLst/>
        </a:prstGeom>
      </xdr:spPr>
    </xdr:pic>
    <xdr:clientData fPrintsWithSheet="0"/>
  </xdr:twoCellAnchor>
  <xdr:twoCellAnchor editAs="oneCell">
    <xdr:from>
      <xdr:col>1</xdr:col>
      <xdr:colOff>47625</xdr:colOff>
      <xdr:row>3</xdr:row>
      <xdr:rowOff>142875</xdr:rowOff>
    </xdr:from>
    <xdr:to>
      <xdr:col>1</xdr:col>
      <xdr:colOff>828675</xdr:colOff>
      <xdr:row>6</xdr:row>
      <xdr:rowOff>17632</xdr:rowOff>
    </xdr:to>
    <xdr:pic macro="[0]!ThisWorkbook.Imprimer_NE">
      <xdr:nvPicPr>
        <xdr:cNvPr id="5" name="Image 4">
          <a:extLst>
            <a:ext uri="{FF2B5EF4-FFF2-40B4-BE49-F238E27FC236}">
              <a16:creationId xmlns:a16="http://schemas.microsoft.com/office/drawing/2014/main" id="{00000000-0008-0000-3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9625" y="628650"/>
          <a:ext cx="781050" cy="360532"/>
        </a:xfrm>
        <a:prstGeom prst="rect">
          <a:avLst/>
        </a:prstGeom>
      </xdr:spPr>
    </xdr:pic>
    <xdr:clientData fPrintsWithSheet="0"/>
  </xdr:twoCellAnchor>
  <xdr:twoCellAnchor editAs="oneCell">
    <xdr:from>
      <xdr:col>2</xdr:col>
      <xdr:colOff>485776</xdr:colOff>
      <xdr:row>3</xdr:row>
      <xdr:rowOff>95251</xdr:rowOff>
    </xdr:from>
    <xdr:to>
      <xdr:col>2</xdr:col>
      <xdr:colOff>841462</xdr:colOff>
      <xdr:row>6</xdr:row>
      <xdr:rowOff>57150</xdr:rowOff>
    </xdr:to>
    <xdr:pic macro="[0]!ThisWorkbook.RETOUR_PLANFINANCIER">
      <xdr:nvPicPr>
        <xdr:cNvPr id="6" name="Image 5">
          <a:extLst>
            <a:ext uri="{FF2B5EF4-FFF2-40B4-BE49-F238E27FC236}">
              <a16:creationId xmlns:a16="http://schemas.microsoft.com/office/drawing/2014/main" id="{00000000-0008-0000-3F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09776" y="581026"/>
          <a:ext cx="355686" cy="447674"/>
        </a:xfrm>
        <a:prstGeom prst="rect">
          <a:avLst/>
        </a:prstGeom>
      </xdr:spPr>
    </xdr:pic>
    <xdr:clientData fPrintsWithSheet="0"/>
  </xdr:twoCellAnchor>
  <xdr:twoCellAnchor editAs="oneCell">
    <xdr:from>
      <xdr:col>7</xdr:col>
      <xdr:colOff>0</xdr:colOff>
      <xdr:row>1</xdr:row>
      <xdr:rowOff>0</xdr:rowOff>
    </xdr:from>
    <xdr:to>
      <xdr:col>14</xdr:col>
      <xdr:colOff>446524</xdr:colOff>
      <xdr:row>5</xdr:row>
      <xdr:rowOff>107509</xdr:rowOff>
    </xdr:to>
    <xdr:pic>
      <xdr:nvPicPr>
        <xdr:cNvPr id="2" name="Image 1">
          <a:extLst>
            <a:ext uri="{FF2B5EF4-FFF2-40B4-BE49-F238E27FC236}">
              <a16:creationId xmlns:a16="http://schemas.microsoft.com/office/drawing/2014/main" id="{00000000-0008-0000-3F00-000002000000}"/>
            </a:ext>
          </a:extLst>
        </xdr:cNvPr>
        <xdr:cNvPicPr>
          <a:picLocks noChangeAspect="1"/>
        </xdr:cNvPicPr>
      </xdr:nvPicPr>
      <xdr:blipFill>
        <a:blip xmlns:r="http://schemas.openxmlformats.org/officeDocument/2006/relationships" r:embed="rId4"/>
        <a:stretch>
          <a:fillRect/>
        </a:stretch>
      </xdr:blipFill>
      <xdr:spPr>
        <a:xfrm>
          <a:off x="5012531" y="166688"/>
          <a:ext cx="4304149" cy="774259"/>
        </a:xfrm>
        <a:prstGeom prst="rect">
          <a:avLst/>
        </a:prstGeom>
      </xdr:spPr>
    </xdr:pic>
    <xdr:clientData/>
  </xdr:twoCellAnchor>
  <xdr:twoCellAnchor editAs="oneCell">
    <xdr:from>
      <xdr:col>5</xdr:col>
      <xdr:colOff>631031</xdr:colOff>
      <xdr:row>84</xdr:row>
      <xdr:rowOff>59531</xdr:rowOff>
    </xdr:from>
    <xdr:to>
      <xdr:col>8</xdr:col>
      <xdr:colOff>509372</xdr:colOff>
      <xdr:row>85</xdr:row>
      <xdr:rowOff>192720</xdr:rowOff>
    </xdr:to>
    <xdr:pic>
      <xdr:nvPicPr>
        <xdr:cNvPr id="7" name="Image 6">
          <a:extLst>
            <a:ext uri="{FF2B5EF4-FFF2-40B4-BE49-F238E27FC236}">
              <a16:creationId xmlns:a16="http://schemas.microsoft.com/office/drawing/2014/main" id="{00000000-0008-0000-3F00-000007000000}"/>
            </a:ext>
          </a:extLst>
        </xdr:cNvPr>
        <xdr:cNvPicPr>
          <a:picLocks noChangeAspect="1"/>
        </xdr:cNvPicPr>
      </xdr:nvPicPr>
      <xdr:blipFill>
        <a:blip xmlns:r="http://schemas.openxmlformats.org/officeDocument/2006/relationships" r:embed="rId5"/>
        <a:stretch>
          <a:fillRect/>
        </a:stretch>
      </xdr:blipFill>
      <xdr:spPr>
        <a:xfrm>
          <a:off x="4524375" y="15263812"/>
          <a:ext cx="1914310" cy="347502"/>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330200</xdr:colOff>
      <xdr:row>3</xdr:row>
      <xdr:rowOff>88900</xdr:rowOff>
    </xdr:to>
    <xdr:sp macro="" textlink="">
      <xdr:nvSpPr>
        <xdr:cNvPr id="3" name="Text Box 429">
          <a:extLst>
            <a:ext uri="{FF2B5EF4-FFF2-40B4-BE49-F238E27FC236}">
              <a16:creationId xmlns:a16="http://schemas.microsoft.com/office/drawing/2014/main" id="{00000000-0008-0000-4000-000003000000}"/>
            </a:ext>
          </a:extLst>
        </xdr:cNvPr>
        <xdr:cNvSpPr txBox="1">
          <a:spLocks noChangeArrowheads="1"/>
        </xdr:cNvSpPr>
      </xdr:nvSpPr>
      <xdr:spPr bwMode="auto">
        <a:xfrm>
          <a:off x="0" y="16510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155575</xdr:rowOff>
    </xdr:from>
    <xdr:to>
      <xdr:col>0</xdr:col>
      <xdr:colOff>752475</xdr:colOff>
      <xdr:row>6</xdr:row>
      <xdr:rowOff>87902</xdr:rowOff>
    </xdr:to>
    <xdr:pic macro="[0]!ThisWorkbook.ACCUEIL">
      <xdr:nvPicPr>
        <xdr:cNvPr id="4" name="Image 3">
          <a:extLst>
            <a:ext uri="{FF2B5EF4-FFF2-40B4-BE49-F238E27FC236}">
              <a16:creationId xmlns:a16="http://schemas.microsoft.com/office/drawing/2014/main" id="{00000000-0008-0000-4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41350"/>
          <a:ext cx="514350" cy="560977"/>
        </a:xfrm>
        <a:prstGeom prst="rect">
          <a:avLst/>
        </a:prstGeom>
      </xdr:spPr>
    </xdr:pic>
    <xdr:clientData fPrintsWithSheet="0"/>
  </xdr:twoCellAnchor>
  <xdr:twoCellAnchor editAs="oneCell">
    <xdr:from>
      <xdr:col>1</xdr:col>
      <xdr:colOff>171449</xdr:colOff>
      <xdr:row>4</xdr:row>
      <xdr:rowOff>47625</xdr:rowOff>
    </xdr:from>
    <xdr:to>
      <xdr:col>2</xdr:col>
      <xdr:colOff>127189</xdr:colOff>
      <xdr:row>6</xdr:row>
      <xdr:rowOff>57150</xdr:rowOff>
    </xdr:to>
    <xdr:pic macro="[0]!ThisWorkbook.Imprimer_RF">
      <xdr:nvPicPr>
        <xdr:cNvPr id="5" name="Image 4">
          <a:extLst>
            <a:ext uri="{FF2B5EF4-FFF2-40B4-BE49-F238E27FC236}">
              <a16:creationId xmlns:a16="http://schemas.microsoft.com/office/drawing/2014/main" id="{00000000-0008-0000-4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1549" y="742950"/>
          <a:ext cx="936815" cy="428625"/>
        </a:xfrm>
        <a:prstGeom prst="rect">
          <a:avLst/>
        </a:prstGeom>
      </xdr:spPr>
    </xdr:pic>
    <xdr:clientData fPrintsWithSheet="0"/>
  </xdr:twoCellAnchor>
  <xdr:twoCellAnchor editAs="oneCell">
    <xdr:from>
      <xdr:col>2</xdr:col>
      <xdr:colOff>438149</xdr:colOff>
      <xdr:row>3</xdr:row>
      <xdr:rowOff>95250</xdr:rowOff>
    </xdr:from>
    <xdr:to>
      <xdr:col>2</xdr:col>
      <xdr:colOff>1000124</xdr:colOff>
      <xdr:row>6</xdr:row>
      <xdr:rowOff>163031</xdr:rowOff>
    </xdr:to>
    <xdr:pic macro="[0]!ThisWorkbook.RETOUR_PLANFINANCIER">
      <xdr:nvPicPr>
        <xdr:cNvPr id="6" name="Image 5">
          <a:extLst>
            <a:ext uri="{FF2B5EF4-FFF2-40B4-BE49-F238E27FC236}">
              <a16:creationId xmlns:a16="http://schemas.microsoft.com/office/drawing/2014/main" id="{00000000-0008-0000-40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19324" y="581025"/>
          <a:ext cx="561975" cy="696431"/>
        </a:xfrm>
        <a:prstGeom prst="rect">
          <a:avLst/>
        </a:prstGeom>
      </xdr:spPr>
    </xdr:pic>
    <xdr:clientData fPrintsWithSheet="0"/>
  </xdr:twoCellAnchor>
  <xdr:twoCellAnchor editAs="oneCell">
    <xdr:from>
      <xdr:col>7</xdr:col>
      <xdr:colOff>0</xdr:colOff>
      <xdr:row>1</xdr:row>
      <xdr:rowOff>0</xdr:rowOff>
    </xdr:from>
    <xdr:to>
      <xdr:col>12</xdr:col>
      <xdr:colOff>136962</xdr:colOff>
      <xdr:row>5</xdr:row>
      <xdr:rowOff>12259</xdr:rowOff>
    </xdr:to>
    <xdr:pic>
      <xdr:nvPicPr>
        <xdr:cNvPr id="2" name="Image 1">
          <a:extLst>
            <a:ext uri="{FF2B5EF4-FFF2-40B4-BE49-F238E27FC236}">
              <a16:creationId xmlns:a16="http://schemas.microsoft.com/office/drawing/2014/main" id="{00000000-0008-0000-4000-000002000000}"/>
            </a:ext>
          </a:extLst>
        </xdr:cNvPr>
        <xdr:cNvPicPr>
          <a:picLocks noChangeAspect="1"/>
        </xdr:cNvPicPr>
      </xdr:nvPicPr>
      <xdr:blipFill>
        <a:blip xmlns:r="http://schemas.openxmlformats.org/officeDocument/2006/relationships" r:embed="rId4"/>
        <a:stretch>
          <a:fillRect/>
        </a:stretch>
      </xdr:blipFill>
      <xdr:spPr>
        <a:xfrm>
          <a:off x="7262813" y="166688"/>
          <a:ext cx="4304149" cy="774259"/>
        </a:xfrm>
        <a:prstGeom prst="rect">
          <a:avLst/>
        </a:prstGeom>
      </xdr:spPr>
    </xdr:pic>
    <xdr:clientData/>
  </xdr:twoCellAnchor>
  <xdr:twoCellAnchor editAs="oneCell">
    <xdr:from>
      <xdr:col>9</xdr:col>
      <xdr:colOff>321468</xdr:colOff>
      <xdr:row>87</xdr:row>
      <xdr:rowOff>59531</xdr:rowOff>
    </xdr:from>
    <xdr:to>
      <xdr:col>11</xdr:col>
      <xdr:colOff>759403</xdr:colOff>
      <xdr:row>89</xdr:row>
      <xdr:rowOff>37939</xdr:rowOff>
    </xdr:to>
    <xdr:pic>
      <xdr:nvPicPr>
        <xdr:cNvPr id="7" name="Image 6">
          <a:extLst>
            <a:ext uri="{FF2B5EF4-FFF2-40B4-BE49-F238E27FC236}">
              <a16:creationId xmlns:a16="http://schemas.microsoft.com/office/drawing/2014/main" id="{00000000-0008-0000-4000-000007000000}"/>
            </a:ext>
          </a:extLst>
        </xdr:cNvPr>
        <xdr:cNvPicPr>
          <a:picLocks noChangeAspect="1"/>
        </xdr:cNvPicPr>
      </xdr:nvPicPr>
      <xdr:blipFill>
        <a:blip xmlns:r="http://schemas.openxmlformats.org/officeDocument/2006/relationships" r:embed="rId5"/>
        <a:stretch>
          <a:fillRect/>
        </a:stretch>
      </xdr:blipFill>
      <xdr:spPr>
        <a:xfrm>
          <a:off x="9060656" y="18073687"/>
          <a:ext cx="1914310" cy="347502"/>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123825</xdr:rowOff>
    </xdr:from>
    <xdr:to>
      <xdr:col>3</xdr:col>
      <xdr:colOff>257174</xdr:colOff>
      <xdr:row>3</xdr:row>
      <xdr:rowOff>57150</xdr:rowOff>
    </xdr:to>
    <xdr:sp macro="" textlink="">
      <xdr:nvSpPr>
        <xdr:cNvPr id="2" name="Text Box 429">
          <a:extLst>
            <a:ext uri="{FF2B5EF4-FFF2-40B4-BE49-F238E27FC236}">
              <a16:creationId xmlns:a16="http://schemas.microsoft.com/office/drawing/2014/main" id="{00000000-0008-0000-4100-000002000000}"/>
            </a:ext>
          </a:extLst>
        </xdr:cNvPr>
        <xdr:cNvSpPr txBox="1">
          <a:spLocks noChangeArrowheads="1"/>
        </xdr:cNvSpPr>
      </xdr:nvSpPr>
      <xdr:spPr bwMode="auto">
        <a:xfrm>
          <a:off x="0" y="123825"/>
          <a:ext cx="2714624"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190500</xdr:colOff>
      <xdr:row>3</xdr:row>
      <xdr:rowOff>114300</xdr:rowOff>
    </xdr:from>
    <xdr:to>
      <xdr:col>0</xdr:col>
      <xdr:colOff>600075</xdr:colOff>
      <xdr:row>6</xdr:row>
      <xdr:rowOff>78116</xdr:rowOff>
    </xdr:to>
    <xdr:pic macro="[0]!ThisWorkbook.ACCUEIL">
      <xdr:nvPicPr>
        <xdr:cNvPr id="3" name="Image 2">
          <a:extLst>
            <a:ext uri="{FF2B5EF4-FFF2-40B4-BE49-F238E27FC236}">
              <a16:creationId xmlns:a16="http://schemas.microsoft.com/office/drawing/2014/main" id="{00000000-0008-0000-4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00075"/>
          <a:ext cx="409575" cy="449591"/>
        </a:xfrm>
        <a:prstGeom prst="rect">
          <a:avLst/>
        </a:prstGeom>
      </xdr:spPr>
    </xdr:pic>
    <xdr:clientData fPrintsWithSheet="0"/>
  </xdr:twoCellAnchor>
  <xdr:twoCellAnchor editAs="oneCell">
    <xdr:from>
      <xdr:col>0</xdr:col>
      <xdr:colOff>857250</xdr:colOff>
      <xdr:row>4</xdr:row>
      <xdr:rowOff>28575</xdr:rowOff>
    </xdr:from>
    <xdr:to>
      <xdr:col>1</xdr:col>
      <xdr:colOff>219075</xdr:colOff>
      <xdr:row>6</xdr:row>
      <xdr:rowOff>65257</xdr:rowOff>
    </xdr:to>
    <xdr:pic macro="[0]!ThisWorkbook.Imprimer_A">
      <xdr:nvPicPr>
        <xdr:cNvPr id="5" name="Image 4">
          <a:extLst>
            <a:ext uri="{FF2B5EF4-FFF2-40B4-BE49-F238E27FC236}">
              <a16:creationId xmlns:a16="http://schemas.microsoft.com/office/drawing/2014/main" id="{00000000-0008-0000-4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0" y="676275"/>
          <a:ext cx="781050" cy="360532"/>
        </a:xfrm>
        <a:prstGeom prst="rect">
          <a:avLst/>
        </a:prstGeom>
      </xdr:spPr>
    </xdr:pic>
    <xdr:clientData fPrintsWithSheet="0"/>
  </xdr:twoCellAnchor>
  <xdr:twoCellAnchor editAs="oneCell">
    <xdr:from>
      <xdr:col>1</xdr:col>
      <xdr:colOff>533400</xdr:colOff>
      <xdr:row>3</xdr:row>
      <xdr:rowOff>85725</xdr:rowOff>
    </xdr:from>
    <xdr:to>
      <xdr:col>2</xdr:col>
      <xdr:colOff>324894</xdr:colOff>
      <xdr:row>6</xdr:row>
      <xdr:rowOff>104775</xdr:rowOff>
    </xdr:to>
    <xdr:pic macro="[0]!ThisWorkbook.RETOUR_COMPLEMENTS">
      <xdr:nvPicPr>
        <xdr:cNvPr id="6" name="Image 5">
          <a:extLst>
            <a:ext uri="{FF2B5EF4-FFF2-40B4-BE49-F238E27FC236}">
              <a16:creationId xmlns:a16="http://schemas.microsoft.com/office/drawing/2014/main" id="{00000000-0008-0000-4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71500"/>
          <a:ext cx="401094" cy="504825"/>
        </a:xfrm>
        <a:prstGeom prst="rect">
          <a:avLst/>
        </a:prstGeom>
      </xdr:spPr>
    </xdr:pic>
    <xdr:clientData fPrintsWithSheet="0"/>
  </xdr:twoCellAnchor>
  <xdr:twoCellAnchor editAs="oneCell">
    <xdr:from>
      <xdr:col>4</xdr:col>
      <xdr:colOff>600076</xdr:colOff>
      <xdr:row>0</xdr:row>
      <xdr:rowOff>104776</xdr:rowOff>
    </xdr:from>
    <xdr:to>
      <xdr:col>9</xdr:col>
      <xdr:colOff>338551</xdr:colOff>
      <xdr:row>4</xdr:row>
      <xdr:rowOff>28576</xdr:rowOff>
    </xdr:to>
    <xdr:pic>
      <xdr:nvPicPr>
        <xdr:cNvPr id="4" name="Image 3">
          <a:extLst>
            <a:ext uri="{FF2B5EF4-FFF2-40B4-BE49-F238E27FC236}">
              <a16:creationId xmlns:a16="http://schemas.microsoft.com/office/drawing/2014/main" id="{00000000-0008-0000-4100-000004000000}"/>
            </a:ext>
          </a:extLst>
        </xdr:cNvPr>
        <xdr:cNvPicPr>
          <a:picLocks noChangeAspect="1"/>
        </xdr:cNvPicPr>
      </xdr:nvPicPr>
      <xdr:blipFill>
        <a:blip xmlns:r="http://schemas.openxmlformats.org/officeDocument/2006/relationships" r:embed="rId4"/>
        <a:stretch>
          <a:fillRect/>
        </a:stretch>
      </xdr:blipFill>
      <xdr:spPr>
        <a:xfrm>
          <a:off x="3952876" y="104776"/>
          <a:ext cx="3177000" cy="571500"/>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4" name="Text Box 26">
          <a:extLst>
            <a:ext uri="{FF2B5EF4-FFF2-40B4-BE49-F238E27FC236}">
              <a16:creationId xmlns:a16="http://schemas.microsoft.com/office/drawing/2014/main" id="{00000000-0008-0000-4200-000004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1162050</xdr:colOff>
      <xdr:row>4</xdr:row>
      <xdr:rowOff>123825</xdr:rowOff>
    </xdr:from>
    <xdr:to>
      <xdr:col>1</xdr:col>
      <xdr:colOff>371475</xdr:colOff>
      <xdr:row>7</xdr:row>
      <xdr:rowOff>68930</xdr:rowOff>
    </xdr:to>
    <xdr:pic macro="[0]!ThisWorkbook.Imprimer_FGFM1">
      <xdr:nvPicPr>
        <xdr:cNvPr id="6" name="Image 5">
          <a:extLst>
            <a:ext uri="{FF2B5EF4-FFF2-40B4-BE49-F238E27FC236}">
              <a16:creationId xmlns:a16="http://schemas.microsoft.com/office/drawing/2014/main" id="{00000000-0008-0000-4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771525"/>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7" name="Text Box 429">
          <a:extLst>
            <a:ext uri="{FF2B5EF4-FFF2-40B4-BE49-F238E27FC236}">
              <a16:creationId xmlns:a16="http://schemas.microsoft.com/office/drawing/2014/main" id="{00000000-0008-0000-4200-000007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8" name="Image 7">
          <a:extLst>
            <a:ext uri="{FF2B5EF4-FFF2-40B4-BE49-F238E27FC236}">
              <a16:creationId xmlns:a16="http://schemas.microsoft.com/office/drawing/2014/main" id="{00000000-0008-0000-4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676275</xdr:colOff>
      <xdr:row>3</xdr:row>
      <xdr:rowOff>152401</xdr:rowOff>
    </xdr:from>
    <xdr:to>
      <xdr:col>2</xdr:col>
      <xdr:colOff>685800</xdr:colOff>
      <xdr:row>8</xdr:row>
      <xdr:rowOff>25897</xdr:rowOff>
    </xdr:to>
    <xdr:pic macro="[0]!ThisWorkbook.RETOUR_FABRICATION">
      <xdr:nvPicPr>
        <xdr:cNvPr id="9" name="Image 8">
          <a:extLst>
            <a:ext uri="{FF2B5EF4-FFF2-40B4-BE49-F238E27FC236}">
              <a16:creationId xmlns:a16="http://schemas.microsoft.com/office/drawing/2014/main" id="{00000000-0008-0000-42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28925" y="63817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200-000002000000}"/>
            </a:ext>
          </a:extLst>
        </xdr:cNvPr>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628650</xdr:colOff>
      <xdr:row>58</xdr:row>
      <xdr:rowOff>47625</xdr:rowOff>
    </xdr:from>
    <xdr:to>
      <xdr:col>15</xdr:col>
      <xdr:colOff>9310</xdr:colOff>
      <xdr:row>60</xdr:row>
      <xdr:rowOff>90327</xdr:rowOff>
    </xdr:to>
    <xdr:pic>
      <xdr:nvPicPr>
        <xdr:cNvPr id="3" name="Image 2">
          <a:extLst>
            <a:ext uri="{FF2B5EF4-FFF2-40B4-BE49-F238E27FC236}">
              <a16:creationId xmlns:a16="http://schemas.microsoft.com/office/drawing/2014/main" id="{00000000-0008-0000-4200-000003000000}"/>
            </a:ext>
          </a:extLst>
        </xdr:cNvPr>
        <xdr:cNvPicPr>
          <a:picLocks noChangeAspect="1"/>
        </xdr:cNvPicPr>
      </xdr:nvPicPr>
      <xdr:blipFill>
        <a:blip xmlns:r="http://schemas.openxmlformats.org/officeDocument/2006/relationships" r:embed="rId5"/>
        <a:stretch>
          <a:fillRect/>
        </a:stretch>
      </xdr:blipFill>
      <xdr:spPr>
        <a:xfrm>
          <a:off x="11382375" y="9467850"/>
          <a:ext cx="1914310" cy="347502"/>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3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2">
      <xdr:nvPicPr>
        <xdr:cNvPr id="5" name="Image 4">
          <a:extLst>
            <a:ext uri="{FF2B5EF4-FFF2-40B4-BE49-F238E27FC236}">
              <a16:creationId xmlns:a16="http://schemas.microsoft.com/office/drawing/2014/main" id="{00000000-0008-0000-4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300-000006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3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300-000002000000}"/>
            </a:ext>
          </a:extLst>
        </xdr:cNvPr>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619125</xdr:colOff>
      <xdr:row>58</xdr:row>
      <xdr:rowOff>38100</xdr:rowOff>
    </xdr:from>
    <xdr:to>
      <xdr:col>14</xdr:col>
      <xdr:colOff>952285</xdr:colOff>
      <xdr:row>60</xdr:row>
      <xdr:rowOff>80802</xdr:rowOff>
    </xdr:to>
    <xdr:pic>
      <xdr:nvPicPr>
        <xdr:cNvPr id="4" name="Image 3">
          <a:extLst>
            <a:ext uri="{FF2B5EF4-FFF2-40B4-BE49-F238E27FC236}">
              <a16:creationId xmlns:a16="http://schemas.microsoft.com/office/drawing/2014/main" id="{00000000-0008-0000-4300-000004000000}"/>
            </a:ext>
          </a:extLst>
        </xdr:cNvPr>
        <xdr:cNvPicPr>
          <a:picLocks noChangeAspect="1"/>
        </xdr:cNvPicPr>
      </xdr:nvPicPr>
      <xdr:blipFill>
        <a:blip xmlns:r="http://schemas.openxmlformats.org/officeDocument/2006/relationships" r:embed="rId5"/>
        <a:stretch>
          <a:fillRect/>
        </a:stretch>
      </xdr:blipFill>
      <xdr:spPr>
        <a:xfrm>
          <a:off x="11372850" y="9458325"/>
          <a:ext cx="1914310" cy="347502"/>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400-000003000000}"/>
            </a:ext>
          </a:extLst>
        </xdr:cNvPr>
        <xdr:cNvSpPr txBox="1">
          <a:spLocks noChangeArrowheads="1"/>
        </xdr:cNvSpPr>
      </xdr:nvSpPr>
      <xdr:spPr bwMode="auto">
        <a:xfrm>
          <a:off x="5248275" y="0"/>
          <a:ext cx="4276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3">
      <xdr:nvPicPr>
        <xdr:cNvPr id="5" name="Imag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400-000006000000}"/>
            </a:ext>
          </a:extLst>
        </xdr:cNvPr>
        <xdr:cNvSpPr txBox="1">
          <a:spLocks noChangeArrowheads="1"/>
        </xdr:cNvSpPr>
      </xdr:nvSpPr>
      <xdr:spPr bwMode="auto">
        <a:xfrm>
          <a:off x="85726" y="95250"/>
          <a:ext cx="4410075"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4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9" name="Image 8">
          <a:extLst>
            <a:ext uri="{FF2B5EF4-FFF2-40B4-BE49-F238E27FC236}">
              <a16:creationId xmlns:a16="http://schemas.microsoft.com/office/drawing/2014/main" id="{00000000-0008-0000-4400-000009000000}"/>
            </a:ext>
          </a:extLst>
        </xdr:cNvPr>
        <xdr:cNvPicPr>
          <a:picLocks noChangeAspect="1"/>
        </xdr:cNvPicPr>
      </xdr:nvPicPr>
      <xdr:blipFill>
        <a:blip xmlns:r="http://schemas.openxmlformats.org/officeDocument/2006/relationships" r:embed="rId4"/>
        <a:stretch>
          <a:fillRect/>
        </a:stretch>
      </xdr:blipFill>
      <xdr:spPr>
        <a:xfrm>
          <a:off x="6800850" y="161925"/>
          <a:ext cx="4304149" cy="774259"/>
        </a:xfrm>
        <a:prstGeom prst="rect">
          <a:avLst/>
        </a:prstGeom>
      </xdr:spPr>
    </xdr:pic>
    <xdr:clientData/>
  </xdr:twoCellAnchor>
  <xdr:twoCellAnchor editAs="oneCell">
    <xdr:from>
      <xdr:col>12</xdr:col>
      <xdr:colOff>600075</xdr:colOff>
      <xdr:row>58</xdr:row>
      <xdr:rowOff>38100</xdr:rowOff>
    </xdr:from>
    <xdr:to>
      <xdr:col>14</xdr:col>
      <xdr:colOff>933235</xdr:colOff>
      <xdr:row>60</xdr:row>
      <xdr:rowOff>80802</xdr:rowOff>
    </xdr:to>
    <xdr:pic>
      <xdr:nvPicPr>
        <xdr:cNvPr id="4" name="Image 3">
          <a:extLst>
            <a:ext uri="{FF2B5EF4-FFF2-40B4-BE49-F238E27FC236}">
              <a16:creationId xmlns:a16="http://schemas.microsoft.com/office/drawing/2014/main" id="{00000000-0008-0000-4400-000004000000}"/>
            </a:ext>
          </a:extLst>
        </xdr:cNvPr>
        <xdr:cNvPicPr>
          <a:picLocks noChangeAspect="1"/>
        </xdr:cNvPicPr>
      </xdr:nvPicPr>
      <xdr:blipFill>
        <a:blip xmlns:r="http://schemas.openxmlformats.org/officeDocument/2006/relationships" r:embed="rId5"/>
        <a:stretch>
          <a:fillRect/>
        </a:stretch>
      </xdr:blipFill>
      <xdr:spPr>
        <a:xfrm>
          <a:off x="11353800" y="9458325"/>
          <a:ext cx="1914310" cy="347502"/>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500-000003000000}"/>
            </a:ext>
          </a:extLst>
        </xdr:cNvPr>
        <xdr:cNvSpPr txBox="1">
          <a:spLocks noChangeArrowheads="1"/>
        </xdr:cNvSpPr>
      </xdr:nvSpPr>
      <xdr:spPr bwMode="auto">
        <a:xfrm>
          <a:off x="6648450" y="0"/>
          <a:ext cx="34385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57150</xdr:colOff>
      <xdr:row>3</xdr:row>
      <xdr:rowOff>152400</xdr:rowOff>
    </xdr:from>
    <xdr:to>
      <xdr:col>2</xdr:col>
      <xdr:colOff>76200</xdr:colOff>
      <xdr:row>6</xdr:row>
      <xdr:rowOff>27157</xdr:rowOff>
    </xdr:to>
    <xdr:pic macro="[0]!ThisWorkbook.Imprimer_FGF12">
      <xdr:nvPicPr>
        <xdr:cNvPr id="5" name="Image 4">
          <a:extLst>
            <a:ext uri="{FF2B5EF4-FFF2-40B4-BE49-F238E27FC236}">
              <a16:creationId xmlns:a16="http://schemas.microsoft.com/office/drawing/2014/main" id="{00000000-0008-0000-4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638175"/>
          <a:ext cx="781050" cy="360532"/>
        </a:xfrm>
        <a:prstGeom prst="rect">
          <a:avLst/>
        </a:prstGeom>
      </xdr:spPr>
    </xdr:pic>
    <xdr:clientData fPrintsWithSheet="0"/>
  </xdr:twoCellAnchor>
  <xdr:twoCellAnchor>
    <xdr:from>
      <xdr:col>0</xdr:col>
      <xdr:colOff>0</xdr:colOff>
      <xdr:row>0</xdr:row>
      <xdr:rowOff>114301</xdr:rowOff>
    </xdr:from>
    <xdr:to>
      <xdr:col>2</xdr:col>
      <xdr:colOff>1276350</xdr:colOff>
      <xdr:row>3</xdr:row>
      <xdr:rowOff>47626</xdr:rowOff>
    </xdr:to>
    <xdr:sp macro="" textlink="">
      <xdr:nvSpPr>
        <xdr:cNvPr id="6" name="Text Box 429">
          <a:extLst>
            <a:ext uri="{FF2B5EF4-FFF2-40B4-BE49-F238E27FC236}">
              <a16:creationId xmlns:a16="http://schemas.microsoft.com/office/drawing/2014/main" id="{00000000-0008-0000-4500-000006000000}"/>
            </a:ext>
          </a:extLst>
        </xdr:cNvPr>
        <xdr:cNvSpPr txBox="1">
          <a:spLocks noChangeArrowheads="1"/>
        </xdr:cNvSpPr>
      </xdr:nvSpPr>
      <xdr:spPr bwMode="auto">
        <a:xfrm>
          <a:off x="0" y="114301"/>
          <a:ext cx="280035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161925</xdr:colOff>
      <xdr:row>3</xdr:row>
      <xdr:rowOff>142874</xdr:rowOff>
    </xdr:from>
    <xdr:to>
      <xdr:col>0</xdr:col>
      <xdr:colOff>590551</xdr:colOff>
      <xdr:row>5</xdr:row>
      <xdr:rowOff>149193</xdr:rowOff>
    </xdr:to>
    <xdr:pic macro="[0]!ThisWorkbook.ACCUEIL">
      <xdr:nvPicPr>
        <xdr:cNvPr id="7" name="Image 6">
          <a:extLst>
            <a:ext uri="{FF2B5EF4-FFF2-40B4-BE49-F238E27FC236}">
              <a16:creationId xmlns:a16="http://schemas.microsoft.com/office/drawing/2014/main" id="{00000000-0008-0000-4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1925" y="628649"/>
          <a:ext cx="428626" cy="330169"/>
        </a:xfrm>
        <a:prstGeom prst="rect">
          <a:avLst/>
        </a:prstGeom>
      </xdr:spPr>
    </xdr:pic>
    <xdr:clientData fPrintsWithSheet="0"/>
  </xdr:twoCellAnchor>
  <xdr:twoCellAnchor editAs="oneCell">
    <xdr:from>
      <xdr:col>1</xdr:col>
      <xdr:colOff>1762125</xdr:colOff>
      <xdr:row>3</xdr:row>
      <xdr:rowOff>38100</xdr:rowOff>
    </xdr:from>
    <xdr:to>
      <xdr:col>2</xdr:col>
      <xdr:colOff>3392</xdr:colOff>
      <xdr:row>7</xdr:row>
      <xdr:rowOff>9525</xdr:rowOff>
    </xdr:to>
    <xdr:pic macro="[0]!ThisWorkbook.GoTo_MESDEPENSES">
      <xdr:nvPicPr>
        <xdr:cNvPr id="8" name="Image 7">
          <a:extLst>
            <a:ext uri="{FF2B5EF4-FFF2-40B4-BE49-F238E27FC236}">
              <a16:creationId xmlns:a16="http://schemas.microsoft.com/office/drawing/2014/main" id="{00000000-0008-0000-4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2</xdr:col>
      <xdr:colOff>428625</xdr:colOff>
      <xdr:row>3</xdr:row>
      <xdr:rowOff>57151</xdr:rowOff>
    </xdr:from>
    <xdr:to>
      <xdr:col>2</xdr:col>
      <xdr:colOff>847725</xdr:colOff>
      <xdr:row>6</xdr:row>
      <xdr:rowOff>115094</xdr:rowOff>
    </xdr:to>
    <xdr:pic macro="[0]!ThisWorkbook.RETOUR_FABRICATION">
      <xdr:nvPicPr>
        <xdr:cNvPr id="9" name="Image 8">
          <a:extLst>
            <a:ext uri="{FF2B5EF4-FFF2-40B4-BE49-F238E27FC236}">
              <a16:creationId xmlns:a16="http://schemas.microsoft.com/office/drawing/2014/main" id="{00000000-0008-0000-4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42926"/>
          <a:ext cx="419100" cy="543718"/>
        </a:xfrm>
        <a:prstGeom prst="rect">
          <a:avLst/>
        </a:prstGeom>
      </xdr:spPr>
    </xdr:pic>
    <xdr:clientData fPrintsWithSheet="0"/>
  </xdr:twoCellAnchor>
  <xdr:twoCellAnchor editAs="oneCell">
    <xdr:from>
      <xdr:col>3</xdr:col>
      <xdr:colOff>104776</xdr:colOff>
      <xdr:row>0</xdr:row>
      <xdr:rowOff>123825</xdr:rowOff>
    </xdr:from>
    <xdr:to>
      <xdr:col>7</xdr:col>
      <xdr:colOff>1000126</xdr:colOff>
      <xdr:row>4</xdr:row>
      <xdr:rowOff>82676</xdr:rowOff>
    </xdr:to>
    <xdr:pic>
      <xdr:nvPicPr>
        <xdr:cNvPr id="2" name="Image 1">
          <a:extLst>
            <a:ext uri="{FF2B5EF4-FFF2-40B4-BE49-F238E27FC236}">
              <a16:creationId xmlns:a16="http://schemas.microsoft.com/office/drawing/2014/main" id="{00000000-0008-0000-4500-000002000000}"/>
            </a:ext>
          </a:extLst>
        </xdr:cNvPr>
        <xdr:cNvPicPr>
          <a:picLocks noChangeAspect="1"/>
        </xdr:cNvPicPr>
      </xdr:nvPicPr>
      <xdr:blipFill>
        <a:blip xmlns:r="http://schemas.openxmlformats.org/officeDocument/2006/relationships" r:embed="rId4"/>
        <a:stretch>
          <a:fillRect/>
        </a:stretch>
      </xdr:blipFill>
      <xdr:spPr>
        <a:xfrm>
          <a:off x="3924301" y="123825"/>
          <a:ext cx="3371850" cy="606551"/>
        </a:xfrm>
        <a:prstGeom prst="rect">
          <a:avLst/>
        </a:prstGeom>
      </xdr:spPr>
    </xdr:pic>
    <xdr:clientData/>
  </xdr:twoCellAnchor>
  <xdr:twoCellAnchor editAs="oneCell">
    <xdr:from>
      <xdr:col>5</xdr:col>
      <xdr:colOff>381000</xdr:colOff>
      <xdr:row>58</xdr:row>
      <xdr:rowOff>28575</xdr:rowOff>
    </xdr:from>
    <xdr:to>
      <xdr:col>8</xdr:col>
      <xdr:colOff>9310</xdr:colOff>
      <xdr:row>60</xdr:row>
      <xdr:rowOff>52227</xdr:rowOff>
    </xdr:to>
    <xdr:pic>
      <xdr:nvPicPr>
        <xdr:cNvPr id="10" name="Image 9">
          <a:extLst>
            <a:ext uri="{FF2B5EF4-FFF2-40B4-BE49-F238E27FC236}">
              <a16:creationId xmlns:a16="http://schemas.microsoft.com/office/drawing/2014/main" id="{00000000-0008-0000-4500-00000A000000}"/>
            </a:ext>
          </a:extLst>
        </xdr:cNvPr>
        <xdr:cNvPicPr>
          <a:picLocks noChangeAspect="1"/>
        </xdr:cNvPicPr>
      </xdr:nvPicPr>
      <xdr:blipFill>
        <a:blip xmlns:r="http://schemas.openxmlformats.org/officeDocument/2006/relationships" r:embed="rId5"/>
        <a:stretch>
          <a:fillRect/>
        </a:stretch>
      </xdr:blipFill>
      <xdr:spPr>
        <a:xfrm>
          <a:off x="5438775" y="11277600"/>
          <a:ext cx="1914310" cy="347502"/>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xdr:from>
      <xdr:col>0</xdr:col>
      <xdr:colOff>38100</xdr:colOff>
      <xdr:row>8</xdr:row>
      <xdr:rowOff>9525</xdr:rowOff>
    </xdr:from>
    <xdr:to>
      <xdr:col>6</xdr:col>
      <xdr:colOff>714375</xdr:colOff>
      <xdr:row>47</xdr:row>
      <xdr:rowOff>66675</xdr:rowOff>
    </xdr:to>
    <xdr:graphicFrame macro="">
      <xdr:nvGraphicFramePr>
        <xdr:cNvPr id="323600" name="Chart 2">
          <a:extLst>
            <a:ext uri="{FF2B5EF4-FFF2-40B4-BE49-F238E27FC236}">
              <a16:creationId xmlns:a16="http://schemas.microsoft.com/office/drawing/2014/main" id="{00000000-0008-0000-4600-000010F0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9" name="Text Box 429">
          <a:extLst>
            <a:ext uri="{FF2B5EF4-FFF2-40B4-BE49-F238E27FC236}">
              <a16:creationId xmlns:a16="http://schemas.microsoft.com/office/drawing/2014/main" id="{00000000-0008-0000-4600-000009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219075</xdr:colOff>
      <xdr:row>2</xdr:row>
      <xdr:rowOff>152400</xdr:rowOff>
    </xdr:from>
    <xdr:to>
      <xdr:col>0</xdr:col>
      <xdr:colOff>623888</xdr:colOff>
      <xdr:row>5</xdr:row>
      <xdr:rowOff>130503</xdr:rowOff>
    </xdr:to>
    <xdr:pic macro="[0]!ThisWorkbook.ACCUEIL">
      <xdr:nvPicPr>
        <xdr:cNvPr id="11" name="Image 10">
          <a:extLst>
            <a:ext uri="{FF2B5EF4-FFF2-40B4-BE49-F238E27FC236}">
              <a16:creationId xmlns:a16="http://schemas.microsoft.com/office/drawing/2014/main" id="{00000000-0008-0000-46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476250"/>
          <a:ext cx="404813" cy="463878"/>
        </a:xfrm>
        <a:prstGeom prst="rect">
          <a:avLst/>
        </a:prstGeom>
      </xdr:spPr>
    </xdr:pic>
    <xdr:clientData fPrintsWithSheet="0"/>
  </xdr:twoCellAnchor>
  <xdr:twoCellAnchor editAs="oneCell">
    <xdr:from>
      <xdr:col>1</xdr:col>
      <xdr:colOff>66675</xdr:colOff>
      <xdr:row>3</xdr:row>
      <xdr:rowOff>76200</xdr:rowOff>
    </xdr:from>
    <xdr:to>
      <xdr:col>2</xdr:col>
      <xdr:colOff>85725</xdr:colOff>
      <xdr:row>5</xdr:row>
      <xdr:rowOff>122407</xdr:rowOff>
    </xdr:to>
    <xdr:pic macro="[0]!ThisWorkbook.Imprimer_GR">
      <xdr:nvPicPr>
        <xdr:cNvPr id="12" name="Image 11">
          <a:extLst>
            <a:ext uri="{FF2B5EF4-FFF2-40B4-BE49-F238E27FC236}">
              <a16:creationId xmlns:a16="http://schemas.microsoft.com/office/drawing/2014/main" id="{00000000-0008-0000-46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675" y="561975"/>
          <a:ext cx="781050" cy="370057"/>
        </a:xfrm>
        <a:prstGeom prst="rect">
          <a:avLst/>
        </a:prstGeom>
      </xdr:spPr>
    </xdr:pic>
    <xdr:clientData fPrintsWithSheet="0"/>
  </xdr:twoCellAnchor>
  <xdr:twoCellAnchor editAs="oneCell">
    <xdr:from>
      <xdr:col>2</xdr:col>
      <xdr:colOff>361950</xdr:colOff>
      <xdr:row>2</xdr:row>
      <xdr:rowOff>104775</xdr:rowOff>
    </xdr:from>
    <xdr:to>
      <xdr:col>3</xdr:col>
      <xdr:colOff>91858</xdr:colOff>
      <xdr:row>6</xdr:row>
      <xdr:rowOff>95250</xdr:rowOff>
    </xdr:to>
    <xdr:pic macro="[0]!ThisWorkbook.RETOUR_GRAPHIQUES">
      <xdr:nvPicPr>
        <xdr:cNvPr id="13" name="Image 12">
          <a:extLst>
            <a:ext uri="{FF2B5EF4-FFF2-40B4-BE49-F238E27FC236}">
              <a16:creationId xmlns:a16="http://schemas.microsoft.com/office/drawing/2014/main" id="{00000000-0008-0000-46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5950" y="428625"/>
          <a:ext cx="491908" cy="638175"/>
        </a:xfrm>
        <a:prstGeom prst="rect">
          <a:avLst/>
        </a:prstGeom>
      </xdr:spPr>
    </xdr:pic>
    <xdr:clientData fPrintsWithSheet="0"/>
  </xdr:twoCellAnchor>
  <xdr:twoCellAnchor editAs="oneCell">
    <xdr:from>
      <xdr:col>4</xdr:col>
      <xdr:colOff>104776</xdr:colOff>
      <xdr:row>0</xdr:row>
      <xdr:rowOff>57150</xdr:rowOff>
    </xdr:from>
    <xdr:to>
      <xdr:col>7</xdr:col>
      <xdr:colOff>201526</xdr:colOff>
      <xdr:row>3</xdr:row>
      <xdr:rowOff>0</xdr:rowOff>
    </xdr:to>
    <xdr:pic>
      <xdr:nvPicPr>
        <xdr:cNvPr id="2" name="Image 1">
          <a:extLst>
            <a:ext uri="{FF2B5EF4-FFF2-40B4-BE49-F238E27FC236}">
              <a16:creationId xmlns:a16="http://schemas.microsoft.com/office/drawing/2014/main" id="{00000000-0008-0000-4600-000002000000}"/>
            </a:ext>
          </a:extLst>
        </xdr:cNvPr>
        <xdr:cNvPicPr>
          <a:picLocks noChangeAspect="1"/>
        </xdr:cNvPicPr>
      </xdr:nvPicPr>
      <xdr:blipFill>
        <a:blip xmlns:r="http://schemas.openxmlformats.org/officeDocument/2006/relationships" r:embed="rId5"/>
        <a:stretch>
          <a:fillRect/>
        </a:stretch>
      </xdr:blipFill>
      <xdr:spPr>
        <a:xfrm>
          <a:off x="3152776" y="57150"/>
          <a:ext cx="2382750" cy="42862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xdr:from>
      <xdr:col>0</xdr:col>
      <xdr:colOff>247650</xdr:colOff>
      <xdr:row>7</xdr:row>
      <xdr:rowOff>314325</xdr:rowOff>
    </xdr:from>
    <xdr:to>
      <xdr:col>7</xdr:col>
      <xdr:colOff>57150</xdr:colOff>
      <xdr:row>35</xdr:row>
      <xdr:rowOff>76200</xdr:rowOff>
    </xdr:to>
    <xdr:graphicFrame macro="">
      <xdr:nvGraphicFramePr>
        <xdr:cNvPr id="324624" name="Chart 1">
          <a:extLst>
            <a:ext uri="{FF2B5EF4-FFF2-40B4-BE49-F238E27FC236}">
              <a16:creationId xmlns:a16="http://schemas.microsoft.com/office/drawing/2014/main" id="{00000000-0008-0000-4700-000010F4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7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0</xdr:colOff>
      <xdr:row>3</xdr:row>
      <xdr:rowOff>0</xdr:rowOff>
    </xdr:from>
    <xdr:to>
      <xdr:col>0</xdr:col>
      <xdr:colOff>404813</xdr:colOff>
      <xdr:row>5</xdr:row>
      <xdr:rowOff>140028</xdr:rowOff>
    </xdr:to>
    <xdr:pic macro="[0]!ThisWorkbook.ACCUEIL">
      <xdr:nvPicPr>
        <xdr:cNvPr id="5" name="Image 4">
          <a:extLst>
            <a:ext uri="{FF2B5EF4-FFF2-40B4-BE49-F238E27FC236}">
              <a16:creationId xmlns:a16="http://schemas.microsoft.com/office/drawing/2014/main" id="{00000000-0008-0000-4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5775"/>
          <a:ext cx="404813" cy="463878"/>
        </a:xfrm>
        <a:prstGeom prst="rect">
          <a:avLst/>
        </a:prstGeom>
      </xdr:spPr>
    </xdr:pic>
    <xdr:clientData fPrintsWithSheet="0"/>
  </xdr:twoCellAnchor>
  <xdr:twoCellAnchor editAs="oneCell">
    <xdr:from>
      <xdr:col>1</xdr:col>
      <xdr:colOff>0</xdr:colOff>
      <xdr:row>3</xdr:row>
      <xdr:rowOff>0</xdr:rowOff>
    </xdr:from>
    <xdr:to>
      <xdr:col>2</xdr:col>
      <xdr:colOff>19050</xdr:colOff>
      <xdr:row>5</xdr:row>
      <xdr:rowOff>46207</xdr:rowOff>
    </xdr:to>
    <xdr:pic macro="[0]!ThisWorkbook.Imprimer_GPM">
      <xdr:nvPicPr>
        <xdr:cNvPr id="6" name="Image 5">
          <a:extLst>
            <a:ext uri="{FF2B5EF4-FFF2-40B4-BE49-F238E27FC236}">
              <a16:creationId xmlns:a16="http://schemas.microsoft.com/office/drawing/2014/main" id="{00000000-0008-0000-4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000" y="485775"/>
          <a:ext cx="781050" cy="370057"/>
        </a:xfrm>
        <a:prstGeom prst="rect">
          <a:avLst/>
        </a:prstGeom>
      </xdr:spPr>
    </xdr:pic>
    <xdr:clientData fPrintsWithSheet="0"/>
  </xdr:twoCellAnchor>
  <xdr:twoCellAnchor editAs="oneCell">
    <xdr:from>
      <xdr:col>2</xdr:col>
      <xdr:colOff>361950</xdr:colOff>
      <xdr:row>2</xdr:row>
      <xdr:rowOff>47625</xdr:rowOff>
    </xdr:from>
    <xdr:to>
      <xdr:col>3</xdr:col>
      <xdr:colOff>91858</xdr:colOff>
      <xdr:row>6</xdr:row>
      <xdr:rowOff>38100</xdr:rowOff>
    </xdr:to>
    <xdr:pic macro="[0]!ThisWorkbook.RETOUR_GRAPHIQUES">
      <xdr:nvPicPr>
        <xdr:cNvPr id="7" name="Image 6">
          <a:extLst>
            <a:ext uri="{FF2B5EF4-FFF2-40B4-BE49-F238E27FC236}">
              <a16:creationId xmlns:a16="http://schemas.microsoft.com/office/drawing/2014/main" id="{00000000-0008-0000-47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5950" y="371475"/>
          <a:ext cx="491908" cy="638175"/>
        </a:xfrm>
        <a:prstGeom prst="rect">
          <a:avLst/>
        </a:prstGeom>
      </xdr:spPr>
    </xdr:pic>
    <xdr:clientData fPrintsWithSheet="0"/>
  </xdr:twoCellAnchor>
  <xdr:twoCellAnchor editAs="oneCell">
    <xdr:from>
      <xdr:col>4</xdr:col>
      <xdr:colOff>0</xdr:colOff>
      <xdr:row>0</xdr:row>
      <xdr:rowOff>114300</xdr:rowOff>
    </xdr:from>
    <xdr:to>
      <xdr:col>7</xdr:col>
      <xdr:colOff>97743</xdr:colOff>
      <xdr:row>3</xdr:row>
      <xdr:rowOff>61379</xdr:rowOff>
    </xdr:to>
    <xdr:pic>
      <xdr:nvPicPr>
        <xdr:cNvPr id="2" name="Image 1">
          <a:extLst>
            <a:ext uri="{FF2B5EF4-FFF2-40B4-BE49-F238E27FC236}">
              <a16:creationId xmlns:a16="http://schemas.microsoft.com/office/drawing/2014/main" id="{00000000-0008-0000-4700-000002000000}"/>
            </a:ext>
          </a:extLst>
        </xdr:cNvPr>
        <xdr:cNvPicPr>
          <a:picLocks noChangeAspect="1"/>
        </xdr:cNvPicPr>
      </xdr:nvPicPr>
      <xdr:blipFill>
        <a:blip xmlns:r="http://schemas.openxmlformats.org/officeDocument/2006/relationships" r:embed="rId5"/>
        <a:stretch>
          <a:fillRect/>
        </a:stretch>
      </xdr:blipFill>
      <xdr:spPr>
        <a:xfrm>
          <a:off x="3048000" y="114300"/>
          <a:ext cx="2383743" cy="432854"/>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xdr:from>
      <xdr:col>0</xdr:col>
      <xdr:colOff>133350</xdr:colOff>
      <xdr:row>7</xdr:row>
      <xdr:rowOff>314325</xdr:rowOff>
    </xdr:from>
    <xdr:to>
      <xdr:col>6</xdr:col>
      <xdr:colOff>752475</xdr:colOff>
      <xdr:row>46</xdr:row>
      <xdr:rowOff>133350</xdr:rowOff>
    </xdr:to>
    <xdr:graphicFrame macro="">
      <xdr:nvGraphicFramePr>
        <xdr:cNvPr id="325650" name="Chart 2">
          <a:extLst>
            <a:ext uri="{FF2B5EF4-FFF2-40B4-BE49-F238E27FC236}">
              <a16:creationId xmlns:a16="http://schemas.microsoft.com/office/drawing/2014/main" id="{00000000-0008-0000-4800-000012F8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8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5" name="Image 4">
          <a:extLst>
            <a:ext uri="{FF2B5EF4-FFF2-40B4-BE49-F238E27FC236}">
              <a16:creationId xmlns:a16="http://schemas.microsoft.com/office/drawing/2014/main" id="{00000000-0008-0000-4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1</xdr:col>
      <xdr:colOff>95250</xdr:colOff>
      <xdr:row>3</xdr:row>
      <xdr:rowOff>95250</xdr:rowOff>
    </xdr:from>
    <xdr:to>
      <xdr:col>2</xdr:col>
      <xdr:colOff>114300</xdr:colOff>
      <xdr:row>5</xdr:row>
      <xdr:rowOff>141457</xdr:rowOff>
    </xdr:to>
    <xdr:pic macro="[0]!ThisWorkbook.Imprimer_GV">
      <xdr:nvPicPr>
        <xdr:cNvPr id="6" name="Image 5">
          <a:extLst>
            <a:ext uri="{FF2B5EF4-FFF2-40B4-BE49-F238E27FC236}">
              <a16:creationId xmlns:a16="http://schemas.microsoft.com/office/drawing/2014/main" id="{00000000-0008-0000-48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7250" y="581025"/>
          <a:ext cx="781050" cy="370057"/>
        </a:xfrm>
        <a:prstGeom prst="rect">
          <a:avLst/>
        </a:prstGeom>
      </xdr:spPr>
    </xdr:pic>
    <xdr:clientData fPrintsWithSheet="0"/>
  </xdr:twoCellAnchor>
  <xdr:twoCellAnchor editAs="oneCell">
    <xdr:from>
      <xdr:col>2</xdr:col>
      <xdr:colOff>295275</xdr:colOff>
      <xdr:row>2</xdr:row>
      <xdr:rowOff>95250</xdr:rowOff>
    </xdr:from>
    <xdr:to>
      <xdr:col>3</xdr:col>
      <xdr:colOff>25183</xdr:colOff>
      <xdr:row>6</xdr:row>
      <xdr:rowOff>85725</xdr:rowOff>
    </xdr:to>
    <xdr:pic macro="[0]!ThisWorkbook.RETOUR_GRAPHIQUES">
      <xdr:nvPicPr>
        <xdr:cNvPr id="7" name="Image 6">
          <a:extLst>
            <a:ext uri="{FF2B5EF4-FFF2-40B4-BE49-F238E27FC236}">
              <a16:creationId xmlns:a16="http://schemas.microsoft.com/office/drawing/2014/main" id="{00000000-0008-0000-48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19275" y="419100"/>
          <a:ext cx="491908" cy="638175"/>
        </a:xfrm>
        <a:prstGeom prst="rect">
          <a:avLst/>
        </a:prstGeom>
      </xdr:spPr>
    </xdr:pic>
    <xdr:clientData fPrintsWithSheet="0"/>
  </xdr:twoCellAnchor>
  <xdr:twoCellAnchor editAs="oneCell">
    <xdr:from>
      <xdr:col>3</xdr:col>
      <xdr:colOff>447675</xdr:colOff>
      <xdr:row>0</xdr:row>
      <xdr:rowOff>66675</xdr:rowOff>
    </xdr:from>
    <xdr:to>
      <xdr:col>6</xdr:col>
      <xdr:colOff>545418</xdr:colOff>
      <xdr:row>3</xdr:row>
      <xdr:rowOff>13754</xdr:rowOff>
    </xdr:to>
    <xdr:pic>
      <xdr:nvPicPr>
        <xdr:cNvPr id="2" name="Image 1">
          <a:extLst>
            <a:ext uri="{FF2B5EF4-FFF2-40B4-BE49-F238E27FC236}">
              <a16:creationId xmlns:a16="http://schemas.microsoft.com/office/drawing/2014/main" id="{00000000-0008-0000-4800-000002000000}"/>
            </a:ext>
          </a:extLst>
        </xdr:cNvPr>
        <xdr:cNvPicPr>
          <a:picLocks noChangeAspect="1"/>
        </xdr:cNvPicPr>
      </xdr:nvPicPr>
      <xdr:blipFill>
        <a:blip xmlns:r="http://schemas.openxmlformats.org/officeDocument/2006/relationships" r:embed="rId5"/>
        <a:stretch>
          <a:fillRect/>
        </a:stretch>
      </xdr:blipFill>
      <xdr:spPr>
        <a:xfrm>
          <a:off x="2733675" y="66675"/>
          <a:ext cx="2383743" cy="432854"/>
        </a:xfrm>
        <a:prstGeom prst="rect">
          <a:avLst/>
        </a:prstGeom>
      </xdr:spPr>
    </xdr:pic>
    <xdr:clientData/>
  </xdr:twoCellAnchor>
</xdr:wsDr>
</file>

<file path=xl/drawings/drawing74.xml><?xml version="1.0" encoding="utf-8"?>
<c:userShapes xmlns:c="http://schemas.openxmlformats.org/drawingml/2006/chart">
  <cdr:relSizeAnchor xmlns:cdr="http://schemas.openxmlformats.org/drawingml/2006/chartDrawing">
    <cdr:from>
      <cdr:x>0.56187</cdr:x>
      <cdr:y>0.49557</cdr:y>
    </cdr:from>
    <cdr:to>
      <cdr:x>0.68946</cdr:x>
      <cdr:y>0.52341</cdr:y>
    </cdr:to>
    <cdr:sp macro="" textlink="">
      <cdr:nvSpPr>
        <cdr:cNvPr id="35841" name="Text Box 1">
          <a:extLst xmlns:a="http://schemas.openxmlformats.org/drawingml/2006/main">
            <a:ext uri="{FF2B5EF4-FFF2-40B4-BE49-F238E27FC236}">
              <a16:creationId xmlns:a16="http://schemas.microsoft.com/office/drawing/2014/main" id="{94808BBF-A412-43A3-BDF6-78225D7CD5CE}"/>
            </a:ext>
          </a:extLst>
        </cdr:cNvPr>
        <cdr:cNvSpPr txBox="1">
          <a:spLocks xmlns:a="http://schemas.openxmlformats.org/drawingml/2006/main" noChangeArrowheads="1"/>
        </cdr:cNvSpPr>
      </cdr:nvSpPr>
      <cdr:spPr bwMode="auto">
        <a:xfrm xmlns:a="http://schemas.openxmlformats.org/drawingml/2006/main">
          <a:off x="2967260" y="3184646"/>
          <a:ext cx="649662" cy="1810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fr-CA" sz="975" b="0" i="0" strike="noStrike">
              <a:solidFill>
                <a:srgbClr val="000000"/>
              </a:solidFill>
              <a:latin typeface="Arial"/>
              <a:cs typeface="Arial"/>
            </a:rPr>
            <a:t>VENTES</a:t>
          </a:r>
        </a:p>
      </cdr:txBody>
    </cdr:sp>
  </cdr:relSizeAnchor>
</c:userShapes>
</file>

<file path=xl/drawings/drawing75.xml><?xml version="1.0" encoding="utf-8"?>
<xdr:wsDr xmlns:xdr="http://schemas.openxmlformats.org/drawingml/2006/spreadsheetDrawing" xmlns:a="http://schemas.openxmlformats.org/drawingml/2006/main">
  <xdr:twoCellAnchor>
    <xdr:from>
      <xdr:col>8</xdr:col>
      <xdr:colOff>95250</xdr:colOff>
      <xdr:row>26</xdr:row>
      <xdr:rowOff>57150</xdr:rowOff>
    </xdr:from>
    <xdr:to>
      <xdr:col>10</xdr:col>
      <xdr:colOff>47625</xdr:colOff>
      <xdr:row>28</xdr:row>
      <xdr:rowOff>114300</xdr:rowOff>
    </xdr:to>
    <xdr:sp macro="[0]!ThisWorkbook.GoTo_FD_TI" textlink="">
      <xdr:nvSpPr>
        <xdr:cNvPr id="48134" name="Text Box 6">
          <a:extLst>
            <a:ext uri="{FF2B5EF4-FFF2-40B4-BE49-F238E27FC236}">
              <a16:creationId xmlns:a16="http://schemas.microsoft.com/office/drawing/2014/main" id="{00000000-0008-0000-4A00-000006BC0000}"/>
            </a:ext>
          </a:extLst>
        </xdr:cNvPr>
        <xdr:cNvSpPr txBox="1">
          <a:spLocks noChangeArrowheads="1"/>
        </xdr:cNvSpPr>
      </xdr:nvSpPr>
      <xdr:spPr bwMode="auto">
        <a:xfrm>
          <a:off x="4333875" y="4276725"/>
          <a:ext cx="1428750" cy="4000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fr-CA" sz="1000" b="0" i="0" u="sng" strike="noStrike">
              <a:solidFill>
                <a:srgbClr val="0000FF"/>
              </a:solidFill>
              <a:latin typeface="Times New Roman CYR"/>
            </a:rPr>
            <a:t>Retour à l'estimation des  frais variables</a:t>
          </a:r>
        </a:p>
      </xdr:txBody>
    </xdr:sp>
    <xdr:clientData/>
  </xdr:twoCellAnchor>
  <xdr:twoCellAnchor>
    <xdr:from>
      <xdr:col>0</xdr:col>
      <xdr:colOff>0</xdr:colOff>
      <xdr:row>0</xdr:row>
      <xdr:rowOff>0</xdr:rowOff>
    </xdr:from>
    <xdr:to>
      <xdr:col>4</xdr:col>
      <xdr:colOff>276225</xdr:colOff>
      <xdr:row>2</xdr:row>
      <xdr:rowOff>109538</xdr:rowOff>
    </xdr:to>
    <xdr:sp macro="" textlink="">
      <xdr:nvSpPr>
        <xdr:cNvPr id="8" name="Text Box 429">
          <a:extLst>
            <a:ext uri="{FF2B5EF4-FFF2-40B4-BE49-F238E27FC236}">
              <a16:creationId xmlns:a16="http://schemas.microsoft.com/office/drawing/2014/main" id="{00000000-0008-0000-4A00-000008000000}"/>
            </a:ext>
          </a:extLst>
        </xdr:cNvPr>
        <xdr:cNvSpPr txBox="1">
          <a:spLocks noChangeArrowheads="1"/>
        </xdr:cNvSpPr>
      </xdr:nvSpPr>
      <xdr:spPr bwMode="auto">
        <a:xfrm>
          <a:off x="0" y="0"/>
          <a:ext cx="268605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10" name="Image 9">
          <a:extLst>
            <a:ext uri="{FF2B5EF4-FFF2-40B4-BE49-F238E27FC236}">
              <a16:creationId xmlns:a16="http://schemas.microsoft.com/office/drawing/2014/main" id="{00000000-0008-0000-4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0</xdr:col>
      <xdr:colOff>1104899</xdr:colOff>
      <xdr:row>2</xdr:row>
      <xdr:rowOff>66675</xdr:rowOff>
    </xdr:from>
    <xdr:to>
      <xdr:col>1</xdr:col>
      <xdr:colOff>466724</xdr:colOff>
      <xdr:row>6</xdr:row>
      <xdr:rowOff>57150</xdr:rowOff>
    </xdr:to>
    <xdr:pic macro="[0]!ThisWorkbook.RETOUR_COMPLEMENTS">
      <xdr:nvPicPr>
        <xdr:cNvPr id="12" name="Image 11">
          <a:extLst>
            <a:ext uri="{FF2B5EF4-FFF2-40B4-BE49-F238E27FC236}">
              <a16:creationId xmlns:a16="http://schemas.microsoft.com/office/drawing/2014/main" id="{00000000-0008-0000-4A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04899" y="390525"/>
          <a:ext cx="504825" cy="638175"/>
        </a:xfrm>
        <a:prstGeom prst="rect">
          <a:avLst/>
        </a:prstGeom>
      </xdr:spPr>
    </xdr:pic>
    <xdr:clientData fPrintsWithSheet="0"/>
  </xdr:twoCellAnchor>
  <xdr:twoCellAnchor editAs="oneCell">
    <xdr:from>
      <xdr:col>5</xdr:col>
      <xdr:colOff>57150</xdr:colOff>
      <xdr:row>0</xdr:row>
      <xdr:rowOff>66675</xdr:rowOff>
    </xdr:from>
    <xdr:to>
      <xdr:col>9</xdr:col>
      <xdr:colOff>2493</xdr:colOff>
      <xdr:row>3</xdr:row>
      <xdr:rowOff>13754</xdr:rowOff>
    </xdr:to>
    <xdr:pic>
      <xdr:nvPicPr>
        <xdr:cNvPr id="2" name="Image 1">
          <a:extLst>
            <a:ext uri="{FF2B5EF4-FFF2-40B4-BE49-F238E27FC236}">
              <a16:creationId xmlns:a16="http://schemas.microsoft.com/office/drawing/2014/main" id="{00000000-0008-0000-4A00-000002000000}"/>
            </a:ext>
          </a:extLst>
        </xdr:cNvPr>
        <xdr:cNvPicPr>
          <a:picLocks noChangeAspect="1"/>
        </xdr:cNvPicPr>
      </xdr:nvPicPr>
      <xdr:blipFill>
        <a:blip xmlns:r="http://schemas.openxmlformats.org/officeDocument/2006/relationships" r:embed="rId3"/>
        <a:stretch>
          <a:fillRect/>
        </a:stretch>
      </xdr:blipFill>
      <xdr:spPr>
        <a:xfrm>
          <a:off x="3752850" y="66675"/>
          <a:ext cx="2383743" cy="432854"/>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xdr:from>
      <xdr:col>11</xdr:col>
      <xdr:colOff>742950</xdr:colOff>
      <xdr:row>31</xdr:row>
      <xdr:rowOff>47625</xdr:rowOff>
    </xdr:from>
    <xdr:to>
      <xdr:col>15</xdr:col>
      <xdr:colOff>571500</xdr:colOff>
      <xdr:row>33</xdr:row>
      <xdr:rowOff>66675</xdr:rowOff>
    </xdr:to>
    <xdr:pic>
      <xdr:nvPicPr>
        <xdr:cNvPr id="327700" name="Picture 1" descr="EQ_RGB (1)">
          <a:extLst>
            <a:ext uri="{FF2B5EF4-FFF2-40B4-BE49-F238E27FC236}">
              <a16:creationId xmlns:a16="http://schemas.microsoft.com/office/drawing/2014/main" id="{00000000-0008-0000-4B00-00001400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38950" y="5295900"/>
          <a:ext cx="1657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B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2</xdr:row>
      <xdr:rowOff>133350</xdr:rowOff>
    </xdr:from>
    <xdr:to>
      <xdr:col>0</xdr:col>
      <xdr:colOff>633413</xdr:colOff>
      <xdr:row>5</xdr:row>
      <xdr:rowOff>111453</xdr:rowOff>
    </xdr:to>
    <xdr:pic macro="[0]!ThisWorkbook.ACCUEIL">
      <xdr:nvPicPr>
        <xdr:cNvPr id="5" name="Image 4">
          <a:extLst>
            <a:ext uri="{FF2B5EF4-FFF2-40B4-BE49-F238E27FC236}">
              <a16:creationId xmlns:a16="http://schemas.microsoft.com/office/drawing/2014/main" id="{00000000-0008-0000-4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457200"/>
          <a:ext cx="404813" cy="463878"/>
        </a:xfrm>
        <a:prstGeom prst="rect">
          <a:avLst/>
        </a:prstGeom>
      </xdr:spPr>
    </xdr:pic>
    <xdr:clientData fPrintsWithSheet="0"/>
  </xdr:twoCellAnchor>
  <xdr:twoCellAnchor editAs="oneCell">
    <xdr:from>
      <xdr:col>1</xdr:col>
      <xdr:colOff>123825</xdr:colOff>
      <xdr:row>3</xdr:row>
      <xdr:rowOff>38100</xdr:rowOff>
    </xdr:from>
    <xdr:to>
      <xdr:col>2</xdr:col>
      <xdr:colOff>142875</xdr:colOff>
      <xdr:row>5</xdr:row>
      <xdr:rowOff>84307</xdr:rowOff>
    </xdr:to>
    <xdr:pic macro="[0]!ThisWorkbook.Imprimer_RD">
      <xdr:nvPicPr>
        <xdr:cNvPr id="6" name="Image 5">
          <a:extLst>
            <a:ext uri="{FF2B5EF4-FFF2-40B4-BE49-F238E27FC236}">
              <a16:creationId xmlns:a16="http://schemas.microsoft.com/office/drawing/2014/main" id="{00000000-0008-0000-4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5825" y="523875"/>
          <a:ext cx="781050" cy="370057"/>
        </a:xfrm>
        <a:prstGeom prst="rect">
          <a:avLst/>
        </a:prstGeom>
      </xdr:spPr>
    </xdr:pic>
    <xdr:clientData fPrintsWithSheet="0"/>
  </xdr:twoCellAnchor>
  <xdr:twoCellAnchor editAs="oneCell">
    <xdr:from>
      <xdr:col>2</xdr:col>
      <xdr:colOff>409575</xdr:colOff>
      <xdr:row>2</xdr:row>
      <xdr:rowOff>47625</xdr:rowOff>
    </xdr:from>
    <xdr:to>
      <xdr:col>3</xdr:col>
      <xdr:colOff>139483</xdr:colOff>
      <xdr:row>6</xdr:row>
      <xdr:rowOff>38100</xdr:rowOff>
    </xdr:to>
    <xdr:pic macro="[0]!ThisWorkbook.RETOUR_COMPLEMENTS">
      <xdr:nvPicPr>
        <xdr:cNvPr id="7" name="Image 6">
          <a:extLst>
            <a:ext uri="{FF2B5EF4-FFF2-40B4-BE49-F238E27FC236}">
              <a16:creationId xmlns:a16="http://schemas.microsoft.com/office/drawing/2014/main" id="{00000000-0008-0000-4B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33575" y="371475"/>
          <a:ext cx="491908" cy="638175"/>
        </a:xfrm>
        <a:prstGeom prst="rect">
          <a:avLst/>
        </a:prstGeom>
      </xdr:spPr>
    </xdr:pic>
    <xdr:clientData fPrintsWithSheet="0"/>
  </xdr:twoCellAnchor>
  <xdr:twoCellAnchor editAs="oneCell">
    <xdr:from>
      <xdr:col>7</xdr:col>
      <xdr:colOff>571500</xdr:colOff>
      <xdr:row>0</xdr:row>
      <xdr:rowOff>104775</xdr:rowOff>
    </xdr:from>
    <xdr:to>
      <xdr:col>13</xdr:col>
      <xdr:colOff>212043</xdr:colOff>
      <xdr:row>3</xdr:row>
      <xdr:rowOff>51854</xdr:rowOff>
    </xdr:to>
    <xdr:pic>
      <xdr:nvPicPr>
        <xdr:cNvPr id="2" name="Image 1">
          <a:extLst>
            <a:ext uri="{FF2B5EF4-FFF2-40B4-BE49-F238E27FC236}">
              <a16:creationId xmlns:a16="http://schemas.microsoft.com/office/drawing/2014/main" id="{00000000-0008-0000-4B00-000002000000}"/>
            </a:ext>
          </a:extLst>
        </xdr:cNvPr>
        <xdr:cNvPicPr>
          <a:picLocks noChangeAspect="1"/>
        </xdr:cNvPicPr>
      </xdr:nvPicPr>
      <xdr:blipFill>
        <a:blip xmlns:r="http://schemas.openxmlformats.org/officeDocument/2006/relationships" r:embed="rId5"/>
        <a:stretch>
          <a:fillRect/>
        </a:stretch>
      </xdr:blipFill>
      <xdr:spPr>
        <a:xfrm>
          <a:off x="4838700" y="104775"/>
          <a:ext cx="2383743" cy="432854"/>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139700</xdr:colOff>
          <xdr:row>15</xdr:row>
          <xdr:rowOff>63500</xdr:rowOff>
        </xdr:from>
        <xdr:to>
          <xdr:col>10</xdr:col>
          <xdr:colOff>1206500</xdr:colOff>
          <xdr:row>17</xdr:row>
          <xdr:rowOff>38100</xdr:rowOff>
        </xdr:to>
        <xdr:sp macro="" textlink="">
          <xdr:nvSpPr>
            <xdr:cNvPr id="18462" name="Drop Down 30" hidden="1">
              <a:extLst>
                <a:ext uri="{63B3BB69-23CF-44E3-9099-C40C66FF867C}">
                  <a14:compatExt spid="_x0000_s18462"/>
                </a:ext>
                <a:ext uri="{FF2B5EF4-FFF2-40B4-BE49-F238E27FC236}">
                  <a16:creationId xmlns:a16="http://schemas.microsoft.com/office/drawing/2014/main" id="{00000000-0008-0000-4C00-00001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7</xdr:col>
      <xdr:colOff>1490663</xdr:colOff>
      <xdr:row>2</xdr:row>
      <xdr:rowOff>109538</xdr:rowOff>
    </xdr:to>
    <xdr:sp macro="" textlink="">
      <xdr:nvSpPr>
        <xdr:cNvPr id="5" name="Text Box 429">
          <a:extLst>
            <a:ext uri="{FF2B5EF4-FFF2-40B4-BE49-F238E27FC236}">
              <a16:creationId xmlns:a16="http://schemas.microsoft.com/office/drawing/2014/main" id="{00000000-0008-0000-4C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2</xdr:row>
      <xdr:rowOff>152400</xdr:rowOff>
    </xdr:from>
    <xdr:to>
      <xdr:col>0</xdr:col>
      <xdr:colOff>557213</xdr:colOff>
      <xdr:row>5</xdr:row>
      <xdr:rowOff>130503</xdr:rowOff>
    </xdr:to>
    <xdr:pic macro="[0]!ThisWorkbook.ACCUEIL">
      <xdr:nvPicPr>
        <xdr:cNvPr id="7" name="Image 6">
          <a:extLst>
            <a:ext uri="{FF2B5EF4-FFF2-40B4-BE49-F238E27FC236}">
              <a16:creationId xmlns:a16="http://schemas.microsoft.com/office/drawing/2014/main" id="{00000000-0008-0000-4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76250"/>
          <a:ext cx="404813" cy="463878"/>
        </a:xfrm>
        <a:prstGeom prst="rect">
          <a:avLst/>
        </a:prstGeom>
      </xdr:spPr>
    </xdr:pic>
    <xdr:clientData fPrintsWithSheet="0"/>
  </xdr:twoCellAnchor>
  <xdr:twoCellAnchor editAs="oneCell">
    <xdr:from>
      <xdr:col>0</xdr:col>
      <xdr:colOff>752475</xdr:colOff>
      <xdr:row>3</xdr:row>
      <xdr:rowOff>57150</xdr:rowOff>
    </xdr:from>
    <xdr:to>
      <xdr:col>6</xdr:col>
      <xdr:colOff>285750</xdr:colOff>
      <xdr:row>5</xdr:row>
      <xdr:rowOff>103357</xdr:rowOff>
    </xdr:to>
    <xdr:pic macro="[0]!ThisWorkbook.Imprimer_BP">
      <xdr:nvPicPr>
        <xdr:cNvPr id="8" name="Image 7">
          <a:extLst>
            <a:ext uri="{FF2B5EF4-FFF2-40B4-BE49-F238E27FC236}">
              <a16:creationId xmlns:a16="http://schemas.microsoft.com/office/drawing/2014/main" id="{00000000-0008-0000-4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42925"/>
          <a:ext cx="781050" cy="370057"/>
        </a:xfrm>
        <a:prstGeom prst="rect">
          <a:avLst/>
        </a:prstGeom>
      </xdr:spPr>
    </xdr:pic>
    <xdr:clientData fPrintsWithSheet="0"/>
  </xdr:twoCellAnchor>
  <xdr:twoCellAnchor editAs="oneCell">
    <xdr:from>
      <xdr:col>7</xdr:col>
      <xdr:colOff>85725</xdr:colOff>
      <xdr:row>2</xdr:row>
      <xdr:rowOff>114300</xdr:rowOff>
    </xdr:from>
    <xdr:to>
      <xdr:col>7</xdr:col>
      <xdr:colOff>577633</xdr:colOff>
      <xdr:row>6</xdr:row>
      <xdr:rowOff>104775</xdr:rowOff>
    </xdr:to>
    <xdr:pic macro="[0]!ThisWorkbook.RETOUR_FINANCEMENT">
      <xdr:nvPicPr>
        <xdr:cNvPr id="9" name="Image 8">
          <a:extLst>
            <a:ext uri="{FF2B5EF4-FFF2-40B4-BE49-F238E27FC236}">
              <a16:creationId xmlns:a16="http://schemas.microsoft.com/office/drawing/2014/main" id="{00000000-0008-0000-4C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0" y="438150"/>
          <a:ext cx="491908" cy="638175"/>
        </a:xfrm>
        <a:prstGeom prst="rect">
          <a:avLst/>
        </a:prstGeom>
      </xdr:spPr>
    </xdr:pic>
    <xdr:clientData fPrintsWithSheet="0"/>
  </xdr:twoCellAnchor>
  <xdr:twoCellAnchor editAs="oneCell">
    <xdr:from>
      <xdr:col>10</xdr:col>
      <xdr:colOff>119061</xdr:colOff>
      <xdr:row>18</xdr:row>
      <xdr:rowOff>134937</xdr:rowOff>
    </xdr:from>
    <xdr:to>
      <xdr:col>10</xdr:col>
      <xdr:colOff>443061</xdr:colOff>
      <xdr:row>21</xdr:row>
      <xdr:rowOff>20187</xdr:rowOff>
    </xdr:to>
    <xdr:pic macro="[0]!ThisWorkbook.Afficher_BP">
      <xdr:nvPicPr>
        <xdr:cNvPr id="12" name="Image 11">
          <a:extLst>
            <a:ext uri="{FF2B5EF4-FFF2-40B4-BE49-F238E27FC236}">
              <a16:creationId xmlns:a16="http://schemas.microsoft.com/office/drawing/2014/main" id="{00000000-0008-0000-4C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0874" y="3143250"/>
          <a:ext cx="324000" cy="313875"/>
        </a:xfrm>
        <a:prstGeom prst="rect">
          <a:avLst/>
        </a:prstGeom>
      </xdr:spPr>
    </xdr:pic>
    <xdr:clientData fPrintsWithSheet="0"/>
  </xdr:twoCellAnchor>
  <xdr:twoCellAnchor editAs="oneCell">
    <xdr:from>
      <xdr:col>10</xdr:col>
      <xdr:colOff>777875</xdr:colOff>
      <xdr:row>18</xdr:row>
      <xdr:rowOff>126999</xdr:rowOff>
    </xdr:from>
    <xdr:to>
      <xdr:col>10</xdr:col>
      <xdr:colOff>1079640</xdr:colOff>
      <xdr:row>20</xdr:row>
      <xdr:rowOff>174624</xdr:rowOff>
    </xdr:to>
    <xdr:pic macro="[0]!ThisWorkbook.Masquer_BP">
      <xdr:nvPicPr>
        <xdr:cNvPr id="13" name="Image 12">
          <a:extLst>
            <a:ext uri="{FF2B5EF4-FFF2-40B4-BE49-F238E27FC236}">
              <a16:creationId xmlns:a16="http://schemas.microsoft.com/office/drawing/2014/main" id="{00000000-0008-0000-4C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89688" y="3135312"/>
          <a:ext cx="301765" cy="301625"/>
        </a:xfrm>
        <a:prstGeom prst="rect">
          <a:avLst/>
        </a:prstGeom>
      </xdr:spPr>
    </xdr:pic>
    <xdr:clientData fPrintsWithSheet="0"/>
  </xdr:twoCellAnchor>
  <xdr:twoCellAnchor editAs="oneCell">
    <xdr:from>
      <xdr:col>8</xdr:col>
      <xdr:colOff>246063</xdr:colOff>
      <xdr:row>0</xdr:row>
      <xdr:rowOff>119062</xdr:rowOff>
    </xdr:from>
    <xdr:to>
      <xdr:col>10</xdr:col>
      <xdr:colOff>137431</xdr:colOff>
      <xdr:row>3</xdr:row>
      <xdr:rowOff>75666</xdr:rowOff>
    </xdr:to>
    <xdr:pic>
      <xdr:nvPicPr>
        <xdr:cNvPr id="2" name="Image 1">
          <a:extLst>
            <a:ext uri="{FF2B5EF4-FFF2-40B4-BE49-F238E27FC236}">
              <a16:creationId xmlns:a16="http://schemas.microsoft.com/office/drawing/2014/main" id="{00000000-0008-0000-4C00-000002000000}"/>
            </a:ext>
          </a:extLst>
        </xdr:cNvPr>
        <xdr:cNvPicPr>
          <a:picLocks noChangeAspect="1"/>
        </xdr:cNvPicPr>
      </xdr:nvPicPr>
      <xdr:blipFill>
        <a:blip xmlns:r="http://schemas.openxmlformats.org/officeDocument/2006/relationships" r:embed="rId6"/>
        <a:stretch>
          <a:fillRect/>
        </a:stretch>
      </xdr:blipFill>
      <xdr:spPr>
        <a:xfrm>
          <a:off x="3365501" y="119062"/>
          <a:ext cx="2383743" cy="432854"/>
        </a:xfrm>
        <a:prstGeom prst="rect">
          <a:avLst/>
        </a:prstGeom>
      </xdr:spPr>
    </xdr:pic>
    <xdr:clientData/>
  </xdr:twoCellAnchor>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38100</xdr:colOff>
          <xdr:row>17</xdr:row>
          <xdr:rowOff>38100</xdr:rowOff>
        </xdr:to>
        <xdr:sp macro="" textlink="">
          <xdr:nvSpPr>
            <xdr:cNvPr id="19473" name="Drop Down 17" hidden="1">
              <a:extLst>
                <a:ext uri="{63B3BB69-23CF-44E3-9099-C40C66FF867C}">
                  <a14:compatExt spid="_x0000_s19473"/>
                </a:ext>
                <a:ext uri="{FF2B5EF4-FFF2-40B4-BE49-F238E27FC236}">
                  <a16:creationId xmlns:a16="http://schemas.microsoft.com/office/drawing/2014/main" id="{00000000-0008-0000-4D00-000011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19476" name="Drop Down 20" hidden="1">
              <a:extLst>
                <a:ext uri="{63B3BB69-23CF-44E3-9099-C40C66FF867C}">
                  <a14:compatExt spid="_x0000_s19476"/>
                </a:ext>
                <a:ext uri="{FF2B5EF4-FFF2-40B4-BE49-F238E27FC236}">
                  <a16:creationId xmlns:a16="http://schemas.microsoft.com/office/drawing/2014/main" id="{00000000-0008-0000-4D00-000014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D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4D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1">
      <xdr:nvPicPr>
        <xdr:cNvPr id="11" name="Image 10">
          <a:extLst>
            <a:ext uri="{FF2B5EF4-FFF2-40B4-BE49-F238E27FC236}">
              <a16:creationId xmlns:a16="http://schemas.microsoft.com/office/drawing/2014/main" id="{00000000-0008-0000-4D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4D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309562</xdr:colOff>
      <xdr:row>20</xdr:row>
      <xdr:rowOff>119062</xdr:rowOff>
    </xdr:from>
    <xdr:to>
      <xdr:col>17</xdr:col>
      <xdr:colOff>571499</xdr:colOff>
      <xdr:row>22</xdr:row>
      <xdr:rowOff>23563</xdr:rowOff>
    </xdr:to>
    <xdr:pic macro="[0]!ThisWorkbook.Afficher_ECT1">
      <xdr:nvPicPr>
        <xdr:cNvPr id="14" name="Image 13">
          <a:extLst>
            <a:ext uri="{FF2B5EF4-FFF2-40B4-BE49-F238E27FC236}">
              <a16:creationId xmlns:a16="http://schemas.microsoft.com/office/drawing/2014/main" id="{00000000-0008-0000-4D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27750" y="3397250"/>
          <a:ext cx="261937" cy="253751"/>
        </a:xfrm>
        <a:prstGeom prst="rect">
          <a:avLst/>
        </a:prstGeom>
      </xdr:spPr>
    </xdr:pic>
    <xdr:clientData fPrintsWithSheet="0"/>
  </xdr:twoCellAnchor>
  <xdr:twoCellAnchor editAs="oneCell">
    <xdr:from>
      <xdr:col>17</xdr:col>
      <xdr:colOff>325437</xdr:colOff>
      <xdr:row>17</xdr:row>
      <xdr:rowOff>55563</xdr:rowOff>
    </xdr:from>
    <xdr:to>
      <xdr:col>17</xdr:col>
      <xdr:colOff>579555</xdr:colOff>
      <xdr:row>19</xdr:row>
      <xdr:rowOff>55563</xdr:rowOff>
    </xdr:to>
    <xdr:pic macro="[0]!ThisWorkbook.Masquer_ECT1">
      <xdr:nvPicPr>
        <xdr:cNvPr id="15" name="Image 14">
          <a:extLst>
            <a:ext uri="{FF2B5EF4-FFF2-40B4-BE49-F238E27FC236}">
              <a16:creationId xmlns:a16="http://schemas.microsoft.com/office/drawing/2014/main" id="{00000000-0008-0000-4D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43625" y="3000376"/>
          <a:ext cx="254118" cy="254000"/>
        </a:xfrm>
        <a:prstGeom prst="rect">
          <a:avLst/>
        </a:prstGeom>
      </xdr:spPr>
    </xdr:pic>
    <xdr:clientData fPrintsWithSheet="0"/>
  </xdr:twoCellAnchor>
  <xdr:twoCellAnchor editAs="oneCell">
    <xdr:from>
      <xdr:col>14</xdr:col>
      <xdr:colOff>55562</xdr:colOff>
      <xdr:row>0</xdr:row>
      <xdr:rowOff>142875</xdr:rowOff>
    </xdr:from>
    <xdr:to>
      <xdr:col>16</xdr:col>
      <xdr:colOff>534305</xdr:colOff>
      <xdr:row>3</xdr:row>
      <xdr:rowOff>99479</xdr:rowOff>
    </xdr:to>
    <xdr:pic>
      <xdr:nvPicPr>
        <xdr:cNvPr id="2" name="Image 1">
          <a:extLst>
            <a:ext uri="{FF2B5EF4-FFF2-40B4-BE49-F238E27FC236}">
              <a16:creationId xmlns:a16="http://schemas.microsoft.com/office/drawing/2014/main" id="{00000000-0008-0000-4D00-000002000000}"/>
            </a:ext>
          </a:extLst>
        </xdr:cNvPr>
        <xdr:cNvPicPr>
          <a:picLocks noChangeAspect="1"/>
        </xdr:cNvPicPr>
      </xdr:nvPicPr>
      <xdr:blipFill>
        <a:blip xmlns:r="http://schemas.openxmlformats.org/officeDocument/2006/relationships" r:embed="rId6"/>
        <a:stretch>
          <a:fillRect/>
        </a:stretch>
      </xdr:blipFill>
      <xdr:spPr>
        <a:xfrm>
          <a:off x="3968750" y="142875"/>
          <a:ext cx="2383743" cy="432854"/>
        </a:xfrm>
        <a:prstGeom prst="rect">
          <a:avLst/>
        </a:prstGeom>
      </xdr:spPr>
    </xdr:pic>
    <xdr:clientData/>
  </xdr:twoCellAnchor>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38100</xdr:colOff>
          <xdr:row>17</xdr:row>
          <xdr:rowOff>38100</xdr:rowOff>
        </xdr:to>
        <xdr:sp macro="" textlink="">
          <xdr:nvSpPr>
            <xdr:cNvPr id="20500" name="Drop Down 20" hidden="1">
              <a:extLst>
                <a:ext uri="{63B3BB69-23CF-44E3-9099-C40C66FF867C}">
                  <a14:compatExt spid="_x0000_s20500"/>
                </a:ext>
                <a:ext uri="{FF2B5EF4-FFF2-40B4-BE49-F238E27FC236}">
                  <a16:creationId xmlns:a16="http://schemas.microsoft.com/office/drawing/2014/main" id="{00000000-0008-0000-4E00-000014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20503" name="Drop Down 23" hidden="1">
              <a:extLst>
                <a:ext uri="{63B3BB69-23CF-44E3-9099-C40C66FF867C}">
                  <a14:compatExt spid="_x0000_s20503"/>
                </a:ext>
                <a:ext uri="{FF2B5EF4-FFF2-40B4-BE49-F238E27FC236}">
                  <a16:creationId xmlns:a16="http://schemas.microsoft.com/office/drawing/2014/main" id="{00000000-0008-0000-4E00-000017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E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9" name="Image 8">
          <a:extLst>
            <a:ext uri="{FF2B5EF4-FFF2-40B4-BE49-F238E27FC236}">
              <a16:creationId xmlns:a16="http://schemas.microsoft.com/office/drawing/2014/main" id="{00000000-0008-0000-4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2">
      <xdr:nvPicPr>
        <xdr:cNvPr id="10" name="Image 9">
          <a:extLst>
            <a:ext uri="{FF2B5EF4-FFF2-40B4-BE49-F238E27FC236}">
              <a16:creationId xmlns:a16="http://schemas.microsoft.com/office/drawing/2014/main" id="{00000000-0008-0000-4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1" name="Image 10">
          <a:extLst>
            <a:ext uri="{FF2B5EF4-FFF2-40B4-BE49-F238E27FC236}">
              <a16:creationId xmlns:a16="http://schemas.microsoft.com/office/drawing/2014/main" id="{00000000-0008-0000-4E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277812</xdr:colOff>
      <xdr:row>20</xdr:row>
      <xdr:rowOff>119063</xdr:rowOff>
    </xdr:from>
    <xdr:to>
      <xdr:col>17</xdr:col>
      <xdr:colOff>539749</xdr:colOff>
      <xdr:row>22</xdr:row>
      <xdr:rowOff>23564</xdr:rowOff>
    </xdr:to>
    <xdr:pic macro="[0]!ThisWorkbook.Afficher_ECT2">
      <xdr:nvPicPr>
        <xdr:cNvPr id="15" name="Image 14">
          <a:extLst>
            <a:ext uri="{FF2B5EF4-FFF2-40B4-BE49-F238E27FC236}">
              <a16:creationId xmlns:a16="http://schemas.microsoft.com/office/drawing/2014/main" id="{00000000-0008-0000-4E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6000" y="3397251"/>
          <a:ext cx="261937" cy="253751"/>
        </a:xfrm>
        <a:prstGeom prst="rect">
          <a:avLst/>
        </a:prstGeom>
      </xdr:spPr>
    </xdr:pic>
    <xdr:clientData fPrintsWithSheet="0"/>
  </xdr:twoCellAnchor>
  <xdr:twoCellAnchor editAs="oneCell">
    <xdr:from>
      <xdr:col>17</xdr:col>
      <xdr:colOff>309562</xdr:colOff>
      <xdr:row>17</xdr:row>
      <xdr:rowOff>71437</xdr:rowOff>
    </xdr:from>
    <xdr:to>
      <xdr:col>17</xdr:col>
      <xdr:colOff>563680</xdr:colOff>
      <xdr:row>19</xdr:row>
      <xdr:rowOff>71437</xdr:rowOff>
    </xdr:to>
    <xdr:pic macro="[0]!ThisWorkbook.Masquer_ECT2">
      <xdr:nvPicPr>
        <xdr:cNvPr id="16" name="Image 15">
          <a:extLst>
            <a:ext uri="{FF2B5EF4-FFF2-40B4-BE49-F238E27FC236}">
              <a16:creationId xmlns:a16="http://schemas.microsoft.com/office/drawing/2014/main" id="{00000000-0008-0000-4E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4E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25400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4F00-000019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4F00-00001D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4F00-00002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114300</xdr:colOff>
      <xdr:row>2</xdr:row>
      <xdr:rowOff>109538</xdr:rowOff>
    </xdr:to>
    <xdr:sp macro="" textlink="">
      <xdr:nvSpPr>
        <xdr:cNvPr id="5" name="Text Box 429">
          <a:extLst>
            <a:ext uri="{FF2B5EF4-FFF2-40B4-BE49-F238E27FC236}">
              <a16:creationId xmlns:a16="http://schemas.microsoft.com/office/drawing/2014/main" id="{00000000-0008-0000-4F00-000005000000}"/>
            </a:ext>
          </a:extLst>
        </xdr:cNvPr>
        <xdr:cNvSpPr txBox="1">
          <a:spLocks noChangeArrowheads="1"/>
        </xdr:cNvSpPr>
      </xdr:nvSpPr>
      <xdr:spPr bwMode="auto">
        <a:xfrm>
          <a:off x="0" y="0"/>
          <a:ext cx="270510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104775</xdr:colOff>
      <xdr:row>2</xdr:row>
      <xdr:rowOff>152400</xdr:rowOff>
    </xdr:from>
    <xdr:to>
      <xdr:col>0</xdr:col>
      <xdr:colOff>509588</xdr:colOff>
      <xdr:row>5</xdr:row>
      <xdr:rowOff>130503</xdr:rowOff>
    </xdr:to>
    <xdr:pic macro="[0]!ThisWorkbook.ACCUEIL">
      <xdr:nvPicPr>
        <xdr:cNvPr id="14" name="Image 13">
          <a:extLst>
            <a:ext uri="{FF2B5EF4-FFF2-40B4-BE49-F238E27FC236}">
              <a16:creationId xmlns:a16="http://schemas.microsoft.com/office/drawing/2014/main" id="{00000000-0008-0000-4F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476250"/>
          <a:ext cx="404813" cy="463878"/>
        </a:xfrm>
        <a:prstGeom prst="rect">
          <a:avLst/>
        </a:prstGeom>
      </xdr:spPr>
    </xdr:pic>
    <xdr:clientData fPrintsWithSheet="0"/>
  </xdr:twoCellAnchor>
  <xdr:twoCellAnchor editAs="oneCell">
    <xdr:from>
      <xdr:col>0</xdr:col>
      <xdr:colOff>762000</xdr:colOff>
      <xdr:row>3</xdr:row>
      <xdr:rowOff>57150</xdr:rowOff>
    </xdr:from>
    <xdr:to>
      <xdr:col>11</xdr:col>
      <xdr:colOff>295275</xdr:colOff>
      <xdr:row>5</xdr:row>
      <xdr:rowOff>103357</xdr:rowOff>
    </xdr:to>
    <xdr:pic macro="[0]!ThisWorkbook.Imprimer_EH">
      <xdr:nvPicPr>
        <xdr:cNvPr id="16" name="Image 15">
          <a:extLst>
            <a:ext uri="{FF2B5EF4-FFF2-40B4-BE49-F238E27FC236}">
              <a16:creationId xmlns:a16="http://schemas.microsoft.com/office/drawing/2014/main" id="{00000000-0008-0000-4F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0" y="542925"/>
          <a:ext cx="781050" cy="370057"/>
        </a:xfrm>
        <a:prstGeom prst="rect">
          <a:avLst/>
        </a:prstGeom>
      </xdr:spPr>
    </xdr:pic>
    <xdr:clientData fPrintsWithSheet="0"/>
  </xdr:twoCellAnchor>
  <xdr:twoCellAnchor editAs="oneCell">
    <xdr:from>
      <xdr:col>12</xdr:col>
      <xdr:colOff>57150</xdr:colOff>
      <xdr:row>2</xdr:row>
      <xdr:rowOff>123825</xdr:rowOff>
    </xdr:from>
    <xdr:to>
      <xdr:col>12</xdr:col>
      <xdr:colOff>504825</xdr:colOff>
      <xdr:row>6</xdr:row>
      <xdr:rowOff>56914</xdr:rowOff>
    </xdr:to>
    <xdr:pic macro="[0]!ThisWorkbook.RETOUR_FINANCEMENT">
      <xdr:nvPicPr>
        <xdr:cNvPr id="17" name="Image 16">
          <a:extLst>
            <a:ext uri="{FF2B5EF4-FFF2-40B4-BE49-F238E27FC236}">
              <a16:creationId xmlns:a16="http://schemas.microsoft.com/office/drawing/2014/main" id="{00000000-0008-0000-4F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5925" y="447675"/>
          <a:ext cx="447675" cy="580789"/>
        </a:xfrm>
        <a:prstGeom prst="rect">
          <a:avLst/>
        </a:prstGeom>
      </xdr:spPr>
    </xdr:pic>
    <xdr:clientData fPrintsWithSheet="0"/>
  </xdr:twoCellAnchor>
  <xdr:twoCellAnchor editAs="oneCell">
    <xdr:from>
      <xdr:col>17</xdr:col>
      <xdr:colOff>301626</xdr:colOff>
      <xdr:row>20</xdr:row>
      <xdr:rowOff>127000</xdr:rowOff>
    </xdr:from>
    <xdr:to>
      <xdr:col>17</xdr:col>
      <xdr:colOff>563563</xdr:colOff>
      <xdr:row>22</xdr:row>
      <xdr:rowOff>31501</xdr:rowOff>
    </xdr:to>
    <xdr:pic macro="[0]!ThisWorkbook.Afficher_EH">
      <xdr:nvPicPr>
        <xdr:cNvPr id="12" name="Image 11">
          <a:extLst>
            <a:ext uri="{FF2B5EF4-FFF2-40B4-BE49-F238E27FC236}">
              <a16:creationId xmlns:a16="http://schemas.microsoft.com/office/drawing/2014/main" id="{00000000-0008-0000-4F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9814" y="3405188"/>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H">
      <xdr:nvPicPr>
        <xdr:cNvPr id="13" name="Image 12">
          <a:extLst>
            <a:ext uri="{FF2B5EF4-FFF2-40B4-BE49-F238E27FC236}">
              <a16:creationId xmlns:a16="http://schemas.microsoft.com/office/drawing/2014/main" id="{00000000-0008-0000-4F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3" name="Image 2">
          <a:extLst>
            <a:ext uri="{FF2B5EF4-FFF2-40B4-BE49-F238E27FC236}">
              <a16:creationId xmlns:a16="http://schemas.microsoft.com/office/drawing/2014/main" id="{00000000-0008-0000-4F00-000003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25400</xdr:colOff>
          <xdr:row>17</xdr:row>
          <xdr:rowOff>38100</xdr:rowOff>
        </xdr:to>
        <xdr:sp macro="" textlink="">
          <xdr:nvSpPr>
            <xdr:cNvPr id="22551" name="Drop Down 23" hidden="1">
              <a:extLst>
                <a:ext uri="{63B3BB69-23CF-44E3-9099-C40C66FF867C}">
                  <a14:compatExt spid="_x0000_s22551"/>
                </a:ext>
                <a:ext uri="{FF2B5EF4-FFF2-40B4-BE49-F238E27FC236}">
                  <a16:creationId xmlns:a16="http://schemas.microsoft.com/office/drawing/2014/main" id="{00000000-0008-0000-5000-000017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22555" name="Drop Down 27" hidden="1">
              <a:extLst>
                <a:ext uri="{63B3BB69-23CF-44E3-9099-C40C66FF867C}">
                  <a14:compatExt spid="_x0000_s22555"/>
                </a:ext>
                <a:ext uri="{FF2B5EF4-FFF2-40B4-BE49-F238E27FC236}">
                  <a16:creationId xmlns:a16="http://schemas.microsoft.com/office/drawing/2014/main" id="{00000000-0008-0000-5000-00001B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22567" name="Drop Down 39" hidden="1">
              <a:extLst>
                <a:ext uri="{63B3BB69-23CF-44E3-9099-C40C66FF867C}">
                  <a14:compatExt spid="_x0000_s22567"/>
                </a:ext>
                <a:ext uri="{FF2B5EF4-FFF2-40B4-BE49-F238E27FC236}">
                  <a16:creationId xmlns:a16="http://schemas.microsoft.com/office/drawing/2014/main" id="{00000000-0008-0000-5000-000027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0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1">
      <xdr:nvPicPr>
        <xdr:cNvPr id="12" name="Image 11">
          <a:extLst>
            <a:ext uri="{FF2B5EF4-FFF2-40B4-BE49-F238E27FC236}">
              <a16:creationId xmlns:a16="http://schemas.microsoft.com/office/drawing/2014/main" id="{00000000-0008-0000-5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111124</xdr:rowOff>
    </xdr:from>
    <xdr:to>
      <xdr:col>17</xdr:col>
      <xdr:colOff>555625</xdr:colOff>
      <xdr:row>22</xdr:row>
      <xdr:rowOff>15625</xdr:rowOff>
    </xdr:to>
    <xdr:pic macro="[0]!ThisWorkbook.Afficher_ELT1">
      <xdr:nvPicPr>
        <xdr:cNvPr id="15" name="Image 14">
          <a:extLst>
            <a:ext uri="{FF2B5EF4-FFF2-40B4-BE49-F238E27FC236}">
              <a16:creationId xmlns:a16="http://schemas.microsoft.com/office/drawing/2014/main" id="{00000000-0008-0000-5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89312"/>
          <a:ext cx="261937" cy="253751"/>
        </a:xfrm>
        <a:prstGeom prst="rect">
          <a:avLst/>
        </a:prstGeom>
      </xdr:spPr>
    </xdr:pic>
    <xdr:clientData fPrintsWithSheet="0"/>
  </xdr:twoCellAnchor>
  <xdr:twoCellAnchor editAs="oneCell">
    <xdr:from>
      <xdr:col>17</xdr:col>
      <xdr:colOff>301625</xdr:colOff>
      <xdr:row>17</xdr:row>
      <xdr:rowOff>63499</xdr:rowOff>
    </xdr:from>
    <xdr:to>
      <xdr:col>17</xdr:col>
      <xdr:colOff>555743</xdr:colOff>
      <xdr:row>19</xdr:row>
      <xdr:rowOff>63499</xdr:rowOff>
    </xdr:to>
    <xdr:pic macro="[0]!ThisWorkbook.Masquer_ELT1">
      <xdr:nvPicPr>
        <xdr:cNvPr id="16" name="Image 15">
          <a:extLst>
            <a:ext uri="{FF2B5EF4-FFF2-40B4-BE49-F238E27FC236}">
              <a16:creationId xmlns:a16="http://schemas.microsoft.com/office/drawing/2014/main" id="{00000000-0008-0000-5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9813" y="3008312"/>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0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38100</xdr:colOff>
          <xdr:row>17</xdr:row>
          <xdr:rowOff>38100</xdr:rowOff>
        </xdr:to>
        <xdr:sp macro="" textlink="">
          <xdr:nvSpPr>
            <xdr:cNvPr id="23573" name="Drop Down 21" hidden="1">
              <a:extLst>
                <a:ext uri="{63B3BB69-23CF-44E3-9099-C40C66FF867C}">
                  <a14:compatExt spid="_x0000_s23573"/>
                </a:ext>
                <a:ext uri="{FF2B5EF4-FFF2-40B4-BE49-F238E27FC236}">
                  <a16:creationId xmlns:a16="http://schemas.microsoft.com/office/drawing/2014/main" id="{00000000-0008-0000-5100-000015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23577" name="Drop Down 25" hidden="1">
              <a:extLst>
                <a:ext uri="{63B3BB69-23CF-44E3-9099-C40C66FF867C}">
                  <a14:compatExt spid="_x0000_s23577"/>
                </a:ext>
                <a:ext uri="{FF2B5EF4-FFF2-40B4-BE49-F238E27FC236}">
                  <a16:creationId xmlns:a16="http://schemas.microsoft.com/office/drawing/2014/main" id="{00000000-0008-0000-5100-000019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23583" name="Drop Down 31" hidden="1">
              <a:extLst>
                <a:ext uri="{63B3BB69-23CF-44E3-9099-C40C66FF867C}">
                  <a14:compatExt spid="_x0000_s23583"/>
                </a:ext>
                <a:ext uri="{FF2B5EF4-FFF2-40B4-BE49-F238E27FC236}">
                  <a16:creationId xmlns:a16="http://schemas.microsoft.com/office/drawing/2014/main" id="{00000000-0008-0000-5100-00001F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1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2">
      <xdr:nvPicPr>
        <xdr:cNvPr id="11" name="Image 10">
          <a:extLst>
            <a:ext uri="{FF2B5EF4-FFF2-40B4-BE49-F238E27FC236}">
              <a16:creationId xmlns:a16="http://schemas.microsoft.com/office/drawing/2014/main" id="{00000000-0008-0000-5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1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119063</xdr:rowOff>
    </xdr:from>
    <xdr:to>
      <xdr:col>17</xdr:col>
      <xdr:colOff>555625</xdr:colOff>
      <xdr:row>22</xdr:row>
      <xdr:rowOff>23564</xdr:rowOff>
    </xdr:to>
    <xdr:pic macro="[0]!ThisWorkbook.Afficher_ELT2">
      <xdr:nvPicPr>
        <xdr:cNvPr id="16" name="Image 15">
          <a:extLst>
            <a:ext uri="{FF2B5EF4-FFF2-40B4-BE49-F238E27FC236}">
              <a16:creationId xmlns:a16="http://schemas.microsoft.com/office/drawing/2014/main" id="{00000000-0008-0000-51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97251"/>
          <a:ext cx="261937" cy="253751"/>
        </a:xfrm>
        <a:prstGeom prst="rect">
          <a:avLst/>
        </a:prstGeom>
      </xdr:spPr>
    </xdr:pic>
    <xdr:clientData fPrintsWithSheet="0"/>
  </xdr:twoCellAnchor>
  <xdr:twoCellAnchor editAs="oneCell">
    <xdr:from>
      <xdr:col>17</xdr:col>
      <xdr:colOff>293687</xdr:colOff>
      <xdr:row>17</xdr:row>
      <xdr:rowOff>71438</xdr:rowOff>
    </xdr:from>
    <xdr:to>
      <xdr:col>17</xdr:col>
      <xdr:colOff>547805</xdr:colOff>
      <xdr:row>19</xdr:row>
      <xdr:rowOff>71438</xdr:rowOff>
    </xdr:to>
    <xdr:pic macro="[0]!ThisWorkbook.Masquer_ELT2">
      <xdr:nvPicPr>
        <xdr:cNvPr id="18" name="Image 17">
          <a:extLst>
            <a:ext uri="{FF2B5EF4-FFF2-40B4-BE49-F238E27FC236}">
              <a16:creationId xmlns:a16="http://schemas.microsoft.com/office/drawing/2014/main" id="{00000000-0008-0000-5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1875" y="3016251"/>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1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38100</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5200-000015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5200-000019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24607" name="Drop Down 31" hidden="1">
              <a:extLst>
                <a:ext uri="{63B3BB69-23CF-44E3-9099-C40C66FF867C}">
                  <a14:compatExt spid="_x0000_s24607"/>
                </a:ext>
                <a:ext uri="{FF2B5EF4-FFF2-40B4-BE49-F238E27FC236}">
                  <a16:creationId xmlns:a16="http://schemas.microsoft.com/office/drawing/2014/main" id="{00000000-0008-0000-5200-00001F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2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3">
      <xdr:nvPicPr>
        <xdr:cNvPr id="12" name="Image 11">
          <a:extLst>
            <a:ext uri="{FF2B5EF4-FFF2-40B4-BE49-F238E27FC236}">
              <a16:creationId xmlns:a16="http://schemas.microsoft.com/office/drawing/2014/main" id="{00000000-0008-0000-52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2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293687</xdr:colOff>
      <xdr:row>20</xdr:row>
      <xdr:rowOff>119063</xdr:rowOff>
    </xdr:from>
    <xdr:to>
      <xdr:col>17</xdr:col>
      <xdr:colOff>555624</xdr:colOff>
      <xdr:row>22</xdr:row>
      <xdr:rowOff>23564</xdr:rowOff>
    </xdr:to>
    <xdr:pic macro="[0]!ThisWorkbook.Afficher_ELT3">
      <xdr:nvPicPr>
        <xdr:cNvPr id="15" name="Image 14">
          <a:extLst>
            <a:ext uri="{FF2B5EF4-FFF2-40B4-BE49-F238E27FC236}">
              <a16:creationId xmlns:a16="http://schemas.microsoft.com/office/drawing/2014/main" id="{00000000-0008-0000-52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5" y="3397251"/>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LT3">
      <xdr:nvPicPr>
        <xdr:cNvPr id="17" name="Image 16">
          <a:extLst>
            <a:ext uri="{FF2B5EF4-FFF2-40B4-BE49-F238E27FC236}">
              <a16:creationId xmlns:a16="http://schemas.microsoft.com/office/drawing/2014/main" id="{00000000-0008-0000-5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2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38100</xdr:rowOff>
        </xdr:to>
        <xdr:sp macro="" textlink="">
          <xdr:nvSpPr>
            <xdr:cNvPr id="25621" name="Drop Down 21" hidden="1">
              <a:extLst>
                <a:ext uri="{63B3BB69-23CF-44E3-9099-C40C66FF867C}">
                  <a14:compatExt spid="_x0000_s25621"/>
                </a:ext>
                <a:ext uri="{FF2B5EF4-FFF2-40B4-BE49-F238E27FC236}">
                  <a16:creationId xmlns:a16="http://schemas.microsoft.com/office/drawing/2014/main" id="{00000000-0008-0000-5300-000015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25400</xdr:colOff>
          <xdr:row>19</xdr:row>
          <xdr:rowOff>50800</xdr:rowOff>
        </xdr:to>
        <xdr:sp macro="" textlink="">
          <xdr:nvSpPr>
            <xdr:cNvPr id="25625" name="Drop Down 25" hidden="1">
              <a:extLst>
                <a:ext uri="{63B3BB69-23CF-44E3-9099-C40C66FF867C}">
                  <a14:compatExt spid="_x0000_s25625"/>
                </a:ext>
                <a:ext uri="{FF2B5EF4-FFF2-40B4-BE49-F238E27FC236}">
                  <a16:creationId xmlns:a16="http://schemas.microsoft.com/office/drawing/2014/main" id="{00000000-0008-0000-5300-000019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25631" name="Drop Down 31" hidden="1">
              <a:extLst>
                <a:ext uri="{63B3BB69-23CF-44E3-9099-C40C66FF867C}">
                  <a14:compatExt spid="_x0000_s25631"/>
                </a:ext>
                <a:ext uri="{FF2B5EF4-FFF2-40B4-BE49-F238E27FC236}">
                  <a16:creationId xmlns:a16="http://schemas.microsoft.com/office/drawing/2014/main" id="{00000000-0008-0000-5300-00001F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3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4">
      <xdr:nvPicPr>
        <xdr:cNvPr id="11" name="Image 10">
          <a:extLst>
            <a:ext uri="{FF2B5EF4-FFF2-40B4-BE49-F238E27FC236}">
              <a16:creationId xmlns:a16="http://schemas.microsoft.com/office/drawing/2014/main" id="{00000000-0008-0000-5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3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134937</xdr:rowOff>
    </xdr:from>
    <xdr:to>
      <xdr:col>17</xdr:col>
      <xdr:colOff>531812</xdr:colOff>
      <xdr:row>22</xdr:row>
      <xdr:rowOff>39438</xdr:rowOff>
    </xdr:to>
    <xdr:pic macro="[0]!ThisWorkbook.Afficher_ELT4">
      <xdr:nvPicPr>
        <xdr:cNvPr id="15" name="Image 14">
          <a:extLst>
            <a:ext uri="{FF2B5EF4-FFF2-40B4-BE49-F238E27FC236}">
              <a16:creationId xmlns:a16="http://schemas.microsoft.com/office/drawing/2014/main" id="{00000000-0008-0000-5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413125"/>
          <a:ext cx="261937" cy="253751"/>
        </a:xfrm>
        <a:prstGeom prst="rect">
          <a:avLst/>
        </a:prstGeom>
      </xdr:spPr>
    </xdr:pic>
    <xdr:clientData fPrintsWithSheet="0"/>
  </xdr:twoCellAnchor>
  <xdr:twoCellAnchor editAs="oneCell">
    <xdr:from>
      <xdr:col>17</xdr:col>
      <xdr:colOff>277813</xdr:colOff>
      <xdr:row>18</xdr:row>
      <xdr:rowOff>0</xdr:rowOff>
    </xdr:from>
    <xdr:to>
      <xdr:col>17</xdr:col>
      <xdr:colOff>531931</xdr:colOff>
      <xdr:row>20</xdr:row>
      <xdr:rowOff>0</xdr:rowOff>
    </xdr:to>
    <xdr:pic macro="[0]!ThisWorkbook.Masquer_ELT4">
      <xdr:nvPicPr>
        <xdr:cNvPr id="16" name="Image 15">
          <a:extLst>
            <a:ext uri="{FF2B5EF4-FFF2-40B4-BE49-F238E27FC236}">
              <a16:creationId xmlns:a16="http://schemas.microsoft.com/office/drawing/2014/main" id="{00000000-0008-0000-5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3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38100</xdr:rowOff>
        </xdr:to>
        <xdr:sp macro="" textlink="">
          <xdr:nvSpPr>
            <xdr:cNvPr id="56324" name="Drop Down 4" hidden="1">
              <a:extLst>
                <a:ext uri="{63B3BB69-23CF-44E3-9099-C40C66FF867C}">
                  <a14:compatExt spid="_x0000_s56324"/>
                </a:ext>
                <a:ext uri="{FF2B5EF4-FFF2-40B4-BE49-F238E27FC236}">
                  <a16:creationId xmlns:a16="http://schemas.microsoft.com/office/drawing/2014/main" id="{00000000-0008-0000-5400-000004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56326" name="Drop Down 6" hidden="1">
              <a:extLst>
                <a:ext uri="{63B3BB69-23CF-44E3-9099-C40C66FF867C}">
                  <a14:compatExt spid="_x0000_s56326"/>
                </a:ext>
                <a:ext uri="{FF2B5EF4-FFF2-40B4-BE49-F238E27FC236}">
                  <a16:creationId xmlns:a16="http://schemas.microsoft.com/office/drawing/2014/main" id="{00000000-0008-0000-5400-000006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56329" name="Drop Down 9" hidden="1">
              <a:extLst>
                <a:ext uri="{63B3BB69-23CF-44E3-9099-C40C66FF867C}">
                  <a14:compatExt spid="_x0000_s56329"/>
                </a:ext>
                <a:ext uri="{FF2B5EF4-FFF2-40B4-BE49-F238E27FC236}">
                  <a16:creationId xmlns:a16="http://schemas.microsoft.com/office/drawing/2014/main" id="{00000000-0008-0000-5400-000009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4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4" name="Image 13">
          <a:extLst>
            <a:ext uri="{FF2B5EF4-FFF2-40B4-BE49-F238E27FC236}">
              <a16:creationId xmlns:a16="http://schemas.microsoft.com/office/drawing/2014/main" id="{00000000-0008-0000-54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5">
      <xdr:nvPicPr>
        <xdr:cNvPr id="15" name="Image 14">
          <a:extLst>
            <a:ext uri="{FF2B5EF4-FFF2-40B4-BE49-F238E27FC236}">
              <a16:creationId xmlns:a16="http://schemas.microsoft.com/office/drawing/2014/main" id="{00000000-0008-0000-54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6" name="Image 15">
          <a:extLst>
            <a:ext uri="{FF2B5EF4-FFF2-40B4-BE49-F238E27FC236}">
              <a16:creationId xmlns:a16="http://schemas.microsoft.com/office/drawing/2014/main" id="{00000000-0008-0000-54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95251</xdr:rowOff>
    </xdr:from>
    <xdr:to>
      <xdr:col>17</xdr:col>
      <xdr:colOff>531812</xdr:colOff>
      <xdr:row>21</xdr:row>
      <xdr:rowOff>174377</xdr:rowOff>
    </xdr:to>
    <xdr:pic macro="[0]!ThisWorkbook.Afficher_ELT5">
      <xdr:nvPicPr>
        <xdr:cNvPr id="13" name="Image 12">
          <a:extLst>
            <a:ext uri="{FF2B5EF4-FFF2-40B4-BE49-F238E27FC236}">
              <a16:creationId xmlns:a16="http://schemas.microsoft.com/office/drawing/2014/main" id="{00000000-0008-0000-54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373439"/>
          <a:ext cx="261937" cy="253751"/>
        </a:xfrm>
        <a:prstGeom prst="rect">
          <a:avLst/>
        </a:prstGeom>
      </xdr:spPr>
    </xdr:pic>
    <xdr:clientData fPrintsWithSheet="0"/>
  </xdr:twoCellAnchor>
  <xdr:twoCellAnchor editAs="oneCell">
    <xdr:from>
      <xdr:col>17</xdr:col>
      <xdr:colOff>277813</xdr:colOff>
      <xdr:row>17</xdr:row>
      <xdr:rowOff>71437</xdr:rowOff>
    </xdr:from>
    <xdr:to>
      <xdr:col>17</xdr:col>
      <xdr:colOff>531931</xdr:colOff>
      <xdr:row>19</xdr:row>
      <xdr:rowOff>71437</xdr:rowOff>
    </xdr:to>
    <xdr:pic macro="[0]!ThisWorkbook.Masquer_ELT5">
      <xdr:nvPicPr>
        <xdr:cNvPr id="18" name="Image 17">
          <a:extLst>
            <a:ext uri="{FF2B5EF4-FFF2-40B4-BE49-F238E27FC236}">
              <a16:creationId xmlns:a16="http://schemas.microsoft.com/office/drawing/2014/main" id="{00000000-0008-0000-5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4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38100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id="{00000000-0008-0000-5500-000004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id="{00000000-0008-0000-5500-000006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63500</xdr:colOff>
          <xdr:row>13</xdr:row>
          <xdr:rowOff>50800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5500-000009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5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3</xdr:row>
      <xdr:rowOff>9525</xdr:rowOff>
    </xdr:from>
    <xdr:to>
      <xdr:col>0</xdr:col>
      <xdr:colOff>557213</xdr:colOff>
      <xdr:row>5</xdr:row>
      <xdr:rowOff>149553</xdr:rowOff>
    </xdr:to>
    <xdr:pic macro="[0]!ThisWorkbook.ACCUEIL">
      <xdr:nvPicPr>
        <xdr:cNvPr id="7" name="Image 6">
          <a:extLst>
            <a:ext uri="{FF2B5EF4-FFF2-40B4-BE49-F238E27FC236}">
              <a16:creationId xmlns:a16="http://schemas.microsoft.com/office/drawing/2014/main" id="{00000000-0008-0000-5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95300"/>
          <a:ext cx="404813" cy="463878"/>
        </a:xfrm>
        <a:prstGeom prst="rect">
          <a:avLst/>
        </a:prstGeom>
      </xdr:spPr>
    </xdr:pic>
    <xdr:clientData fPrintsWithSheet="0"/>
  </xdr:twoCellAnchor>
  <xdr:twoCellAnchor editAs="oneCell">
    <xdr:from>
      <xdr:col>0</xdr:col>
      <xdr:colOff>752475</xdr:colOff>
      <xdr:row>3</xdr:row>
      <xdr:rowOff>76200</xdr:rowOff>
    </xdr:from>
    <xdr:to>
      <xdr:col>11</xdr:col>
      <xdr:colOff>285750</xdr:colOff>
      <xdr:row>5</xdr:row>
      <xdr:rowOff>122407</xdr:rowOff>
    </xdr:to>
    <xdr:pic macro="[0]!ThisWorkbook.Imprimer_ELT6">
      <xdr:nvPicPr>
        <xdr:cNvPr id="8" name="Image 7">
          <a:extLst>
            <a:ext uri="{FF2B5EF4-FFF2-40B4-BE49-F238E27FC236}">
              <a16:creationId xmlns:a16="http://schemas.microsoft.com/office/drawing/2014/main" id="{00000000-0008-0000-5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61975"/>
          <a:ext cx="781050" cy="370057"/>
        </a:xfrm>
        <a:prstGeom prst="rect">
          <a:avLst/>
        </a:prstGeom>
      </xdr:spPr>
    </xdr:pic>
    <xdr:clientData fPrintsWithSheet="0"/>
  </xdr:twoCellAnchor>
  <xdr:twoCellAnchor editAs="oneCell">
    <xdr:from>
      <xdr:col>12</xdr:col>
      <xdr:colOff>180975</xdr:colOff>
      <xdr:row>2</xdr:row>
      <xdr:rowOff>114300</xdr:rowOff>
    </xdr:from>
    <xdr:to>
      <xdr:col>12</xdr:col>
      <xdr:colOff>672883</xdr:colOff>
      <xdr:row>6</xdr:row>
      <xdr:rowOff>104775</xdr:rowOff>
    </xdr:to>
    <xdr:pic macro="[0]!ThisWorkbook.RETOUR_FINANCEMENT">
      <xdr:nvPicPr>
        <xdr:cNvPr id="9" name="Image 8">
          <a:extLst>
            <a:ext uri="{FF2B5EF4-FFF2-40B4-BE49-F238E27FC236}">
              <a16:creationId xmlns:a16="http://schemas.microsoft.com/office/drawing/2014/main" id="{00000000-0008-0000-55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0" y="438150"/>
          <a:ext cx="491908" cy="638175"/>
        </a:xfrm>
        <a:prstGeom prst="rect">
          <a:avLst/>
        </a:prstGeom>
      </xdr:spPr>
    </xdr:pic>
    <xdr:clientData fPrintsWithSheet="0"/>
  </xdr:twoCellAnchor>
  <xdr:twoCellAnchor editAs="oneCell">
    <xdr:from>
      <xdr:col>17</xdr:col>
      <xdr:colOff>246063</xdr:colOff>
      <xdr:row>20</xdr:row>
      <xdr:rowOff>119062</xdr:rowOff>
    </xdr:from>
    <xdr:to>
      <xdr:col>17</xdr:col>
      <xdr:colOff>508000</xdr:colOff>
      <xdr:row>22</xdr:row>
      <xdr:rowOff>23563</xdr:rowOff>
    </xdr:to>
    <xdr:pic macro="[0]!ThisWorkbook.Afficher_ELT6">
      <xdr:nvPicPr>
        <xdr:cNvPr id="12" name="Image 11">
          <a:extLst>
            <a:ext uri="{FF2B5EF4-FFF2-40B4-BE49-F238E27FC236}">
              <a16:creationId xmlns:a16="http://schemas.microsoft.com/office/drawing/2014/main" id="{00000000-0008-0000-5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64251" y="3397250"/>
          <a:ext cx="261937" cy="253751"/>
        </a:xfrm>
        <a:prstGeom prst="rect">
          <a:avLst/>
        </a:prstGeom>
      </xdr:spPr>
    </xdr:pic>
    <xdr:clientData fPrintsWithSheet="0"/>
  </xdr:twoCellAnchor>
  <xdr:twoCellAnchor editAs="oneCell">
    <xdr:from>
      <xdr:col>17</xdr:col>
      <xdr:colOff>261937</xdr:colOff>
      <xdr:row>18</xdr:row>
      <xdr:rowOff>1</xdr:rowOff>
    </xdr:from>
    <xdr:to>
      <xdr:col>17</xdr:col>
      <xdr:colOff>516055</xdr:colOff>
      <xdr:row>20</xdr:row>
      <xdr:rowOff>1</xdr:rowOff>
    </xdr:to>
    <xdr:pic macro="[0]!ThisWorkbook.Masquer_ELT6">
      <xdr:nvPicPr>
        <xdr:cNvPr id="14" name="Image 13">
          <a:extLst>
            <a:ext uri="{FF2B5EF4-FFF2-40B4-BE49-F238E27FC236}">
              <a16:creationId xmlns:a16="http://schemas.microsoft.com/office/drawing/2014/main" id="{00000000-0008-0000-55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0125" y="3024189"/>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5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15</xdr:row>
          <xdr:rowOff>63500</xdr:rowOff>
        </xdr:from>
        <xdr:to>
          <xdr:col>16</xdr:col>
          <xdr:colOff>63500</xdr:colOff>
          <xdr:row>17</xdr:row>
          <xdr:rowOff>25400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5600-000004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18</xdr:row>
          <xdr:rowOff>0</xdr:rowOff>
        </xdr:from>
        <xdr:to>
          <xdr:col>16</xdr:col>
          <xdr:colOff>38100</xdr:colOff>
          <xdr:row>19</xdr:row>
          <xdr:rowOff>50800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5600-000006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177800</xdr:rowOff>
        </xdr:from>
        <xdr:to>
          <xdr:col>16</xdr:col>
          <xdr:colOff>63500</xdr:colOff>
          <xdr:row>13</xdr:row>
          <xdr:rowOff>25400</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id="{00000000-0008-0000-5600-000009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6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7" name="Image 6">
          <a:extLst>
            <a:ext uri="{FF2B5EF4-FFF2-40B4-BE49-F238E27FC236}">
              <a16:creationId xmlns:a16="http://schemas.microsoft.com/office/drawing/2014/main" id="{00000000-0008-0000-5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7">
      <xdr:nvPicPr>
        <xdr:cNvPr id="8" name="Image 7">
          <a:extLst>
            <a:ext uri="{FF2B5EF4-FFF2-40B4-BE49-F238E27FC236}">
              <a16:creationId xmlns:a16="http://schemas.microsoft.com/office/drawing/2014/main" id="{00000000-0008-0000-56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9" name="Image 8">
          <a:extLst>
            <a:ext uri="{FF2B5EF4-FFF2-40B4-BE49-F238E27FC236}">
              <a16:creationId xmlns:a16="http://schemas.microsoft.com/office/drawing/2014/main" id="{00000000-0008-0000-5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254001</xdr:colOff>
      <xdr:row>20</xdr:row>
      <xdr:rowOff>127000</xdr:rowOff>
    </xdr:from>
    <xdr:to>
      <xdr:col>17</xdr:col>
      <xdr:colOff>515938</xdr:colOff>
      <xdr:row>22</xdr:row>
      <xdr:rowOff>31501</xdr:rowOff>
    </xdr:to>
    <xdr:pic macro="[0]!ThisWorkbook.Afficher_ELT7">
      <xdr:nvPicPr>
        <xdr:cNvPr id="12" name="Image 11">
          <a:extLst>
            <a:ext uri="{FF2B5EF4-FFF2-40B4-BE49-F238E27FC236}">
              <a16:creationId xmlns:a16="http://schemas.microsoft.com/office/drawing/2014/main" id="{00000000-0008-0000-56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2189" y="3405188"/>
          <a:ext cx="261937" cy="253751"/>
        </a:xfrm>
        <a:prstGeom prst="rect">
          <a:avLst/>
        </a:prstGeom>
      </xdr:spPr>
    </xdr:pic>
    <xdr:clientData fPrintsWithSheet="0"/>
  </xdr:twoCellAnchor>
  <xdr:twoCellAnchor editAs="oneCell">
    <xdr:from>
      <xdr:col>17</xdr:col>
      <xdr:colOff>269875</xdr:colOff>
      <xdr:row>17</xdr:row>
      <xdr:rowOff>71437</xdr:rowOff>
    </xdr:from>
    <xdr:to>
      <xdr:col>17</xdr:col>
      <xdr:colOff>523875</xdr:colOff>
      <xdr:row>19</xdr:row>
      <xdr:rowOff>71437</xdr:rowOff>
    </xdr:to>
    <xdr:pic macro="[0]!ThisWorkbook.Masquer_ELT7">
      <xdr:nvPicPr>
        <xdr:cNvPr id="14" name="Image 13">
          <a:extLst>
            <a:ext uri="{FF2B5EF4-FFF2-40B4-BE49-F238E27FC236}">
              <a16:creationId xmlns:a16="http://schemas.microsoft.com/office/drawing/2014/main" id="{00000000-0008-0000-5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8063" y="3016250"/>
          <a:ext cx="254000"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600-000002000000}"/>
            </a:ext>
          </a:extLst>
        </xdr:cNvPr>
        <xdr:cNvPicPr>
          <a:picLocks noChangeAspect="1"/>
        </xdr:cNvPicPr>
      </xdr:nvPicPr>
      <xdr:blipFill>
        <a:blip xmlns:r="http://schemas.openxmlformats.org/officeDocument/2006/relationships" r:embed="rId6"/>
        <a:stretch>
          <a:fillRect/>
        </a:stretch>
      </xdr:blipFill>
      <xdr:spPr>
        <a:xfrm>
          <a:off x="3913188" y="158750"/>
          <a:ext cx="2383743" cy="432854"/>
        </a:xfrm>
        <a:prstGeom prst="rect">
          <a:avLst/>
        </a:prstGeom>
      </xdr:spPr>
    </xdr:pic>
    <xdr:clientData/>
  </xdr:twoCellAnchor>
</xdr:wsDr>
</file>

<file path=xl/drawings/drawing88.xml><?xml version="1.0" encoding="utf-8"?>
<xdr:wsDr xmlns:xdr="http://schemas.openxmlformats.org/drawingml/2006/spreadsheetDrawing" xmlns:a="http://schemas.openxmlformats.org/drawingml/2006/main">
  <xdr:twoCellAnchor>
    <xdr:from>
      <xdr:col>2</xdr:col>
      <xdr:colOff>314325</xdr:colOff>
      <xdr:row>0</xdr:row>
      <xdr:rowOff>133350</xdr:rowOff>
    </xdr:from>
    <xdr:to>
      <xdr:col>5</xdr:col>
      <xdr:colOff>238125</xdr:colOff>
      <xdr:row>2</xdr:row>
      <xdr:rowOff>76200</xdr:rowOff>
    </xdr:to>
    <xdr:sp macro="[0]!ThisWorkbook.Snamelist" textlink="">
      <xdr:nvSpPr>
        <xdr:cNvPr id="2" name="ZoneTexte 1">
          <a:extLst>
            <a:ext uri="{FF2B5EF4-FFF2-40B4-BE49-F238E27FC236}">
              <a16:creationId xmlns:a16="http://schemas.microsoft.com/office/drawing/2014/main" id="{00000000-0008-0000-5700-000002000000}"/>
            </a:ext>
          </a:extLst>
        </xdr:cNvPr>
        <xdr:cNvSpPr txBox="1"/>
      </xdr:nvSpPr>
      <xdr:spPr>
        <a:xfrm>
          <a:off x="1838325" y="133350"/>
          <a:ext cx="2209800" cy="26670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a:t>Liste des feuilles du classeur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38.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drawing" Target="../drawings/drawing19.xml"/><Relationship Id="rId9" Type="http://schemas.openxmlformats.org/officeDocument/2006/relationships/ctrlProp" Target="../ctrlProps/ctrlProp4.xml"/><Relationship Id="rId1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printerSettings" Target="../printerSettings/printerSettings41.bin"/><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printerSettings" Target="../printerSettings/printerSettings40.bin"/><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vmlDrawing" Target="../drawings/vmlDrawing3.v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drawing" Target="../drawings/drawing20.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ctrlProp" Target="../ctrlProps/ctrlProp45.xml"/><Relationship Id="rId3" Type="http://schemas.openxmlformats.org/officeDocument/2006/relationships/printerSettings" Target="../printerSettings/printerSettings44.bin"/><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printerSettings" Target="../printerSettings/printerSettings43.bin"/><Relationship Id="rId16" Type="http://schemas.openxmlformats.org/officeDocument/2006/relationships/ctrlProp" Target="../ctrlProps/ctrlProp35.xml"/><Relationship Id="rId20" Type="http://schemas.openxmlformats.org/officeDocument/2006/relationships/ctrlProp" Target="../ctrlProps/ctrlProp39.xml"/><Relationship Id="rId1" Type="http://schemas.openxmlformats.org/officeDocument/2006/relationships/printerSettings" Target="../printerSettings/printerSettings4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vmlDrawing" Target="../drawings/vmlDrawing4.vml"/><Relationship Id="rId15" Type="http://schemas.openxmlformats.org/officeDocument/2006/relationships/ctrlProp" Target="../ctrlProps/ctrlProp34.xml"/><Relationship Id="rId23" Type="http://schemas.openxmlformats.org/officeDocument/2006/relationships/ctrlProp" Target="../ctrlProps/ctrlProp42.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drawing" Target="../drawings/drawing21.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ctrlProp" Target="../ctrlProps/ctrlProp4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3.xml"/><Relationship Id="rId1" Type="http://schemas.openxmlformats.org/officeDocument/2006/relationships/printerSettings" Target="../printerSettings/printerSettings48.bin"/><Relationship Id="rId5" Type="http://schemas.openxmlformats.org/officeDocument/2006/relationships/comments" Target="../comments3.xml"/><Relationship Id="rId4" Type="http://schemas.openxmlformats.org/officeDocument/2006/relationships/ctrlProp" Target="../ctrlProps/ctrlProp47.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1.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4"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6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6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7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7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printerSettings" Target="../printerSettings/printerSettings74.bin"/><Relationship Id="rId7" Type="http://schemas.openxmlformats.org/officeDocument/2006/relationships/ctrlProp" Target="../ctrlProps/ctrlProp49.xml"/><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vmlDrawing" Target="../drawings/vmlDrawing6.vml"/><Relationship Id="rId10" Type="http://schemas.openxmlformats.org/officeDocument/2006/relationships/ctrlProp" Target="../ctrlProps/ctrlProp52.xml"/><Relationship Id="rId4" Type="http://schemas.openxmlformats.org/officeDocument/2006/relationships/drawing" Target="../drawings/drawing35.xml"/><Relationship Id="rId9" Type="http://schemas.openxmlformats.org/officeDocument/2006/relationships/ctrlProp" Target="../ctrlProps/ctrlProp51.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printerSettings" Target="../printerSettings/printerSettings77.bin"/><Relationship Id="rId7" Type="http://schemas.openxmlformats.org/officeDocument/2006/relationships/ctrlProp" Target="../ctrlProps/ctrlProp55.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vmlDrawing" Target="../drawings/vmlDrawing7.vml"/><Relationship Id="rId10" Type="http://schemas.openxmlformats.org/officeDocument/2006/relationships/ctrlProp" Target="../ctrlProps/ctrlProp58.xml"/><Relationship Id="rId4" Type="http://schemas.openxmlformats.org/officeDocument/2006/relationships/drawing" Target="../drawings/drawing36.xml"/><Relationship Id="rId9" Type="http://schemas.openxmlformats.org/officeDocument/2006/relationships/ctrlProp" Target="../ctrlProps/ctrlProp5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printerSettings" Target="../printerSettings/printerSettings80.bin"/><Relationship Id="rId7" Type="http://schemas.openxmlformats.org/officeDocument/2006/relationships/ctrlProp" Target="../ctrlProps/ctrlProp61.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vmlDrawing" Target="../drawings/vmlDrawing8.vml"/><Relationship Id="rId10" Type="http://schemas.openxmlformats.org/officeDocument/2006/relationships/ctrlProp" Target="../ctrlProps/ctrlProp64.xml"/><Relationship Id="rId4" Type="http://schemas.openxmlformats.org/officeDocument/2006/relationships/drawing" Target="../drawings/drawing37.xml"/><Relationship Id="rId9" Type="http://schemas.openxmlformats.org/officeDocument/2006/relationships/ctrlProp" Target="../ctrlProps/ctrlProp63.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printerSettings" Target="../printerSettings/printerSettings83.bin"/><Relationship Id="rId7" Type="http://schemas.openxmlformats.org/officeDocument/2006/relationships/ctrlProp" Target="../ctrlProps/ctrlProp67.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vmlDrawing" Target="../drawings/vmlDrawing9.vml"/><Relationship Id="rId10" Type="http://schemas.openxmlformats.org/officeDocument/2006/relationships/ctrlProp" Target="../ctrlProps/ctrlProp70.xml"/><Relationship Id="rId4" Type="http://schemas.openxmlformats.org/officeDocument/2006/relationships/drawing" Target="../drawings/drawing38.xml"/><Relationship Id="rId9" Type="http://schemas.openxmlformats.org/officeDocument/2006/relationships/ctrlProp" Target="../ctrlProps/ctrlProp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printerSettings" Target="../printerSettings/printerSettings86.bin"/><Relationship Id="rId7" Type="http://schemas.openxmlformats.org/officeDocument/2006/relationships/ctrlProp" Target="../ctrlProps/ctrlProp73.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vmlDrawing" Target="../drawings/vmlDrawing10.vml"/><Relationship Id="rId10" Type="http://schemas.openxmlformats.org/officeDocument/2006/relationships/ctrlProp" Target="../ctrlProps/ctrlProp76.xml"/><Relationship Id="rId4" Type="http://schemas.openxmlformats.org/officeDocument/2006/relationships/drawing" Target="../drawings/drawing39.xml"/><Relationship Id="rId9" Type="http://schemas.openxmlformats.org/officeDocument/2006/relationships/ctrlProp" Target="../ctrlProps/ctrlProp75.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printerSettings" Target="../printerSettings/printerSettings89.bin"/><Relationship Id="rId7" Type="http://schemas.openxmlformats.org/officeDocument/2006/relationships/ctrlProp" Target="../ctrlProps/ctrlProp79.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vmlDrawing" Target="../drawings/vmlDrawing11.vml"/><Relationship Id="rId10" Type="http://schemas.openxmlformats.org/officeDocument/2006/relationships/ctrlProp" Target="../ctrlProps/ctrlProp82.xml"/><Relationship Id="rId4" Type="http://schemas.openxmlformats.org/officeDocument/2006/relationships/drawing" Target="../drawings/drawing40.xml"/><Relationship Id="rId9" Type="http://schemas.openxmlformats.org/officeDocument/2006/relationships/ctrlProp" Target="../ctrlProps/ctrlProp81.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3.bin"/></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96.bin"/><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99.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4"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105.bin"/><Relationship Id="rId2" Type="http://schemas.openxmlformats.org/officeDocument/2006/relationships/printerSettings" Target="../printerSettings/printerSettings104.bin"/><Relationship Id="rId1" Type="http://schemas.openxmlformats.org/officeDocument/2006/relationships/printerSettings" Target="../printerSettings/printerSettings103.bin"/><Relationship Id="rId4"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108.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4"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0.xml"/><Relationship Id="rId1" Type="http://schemas.openxmlformats.org/officeDocument/2006/relationships/printerSettings" Target="../printerSettings/printerSettings109.bin"/><Relationship Id="rId4" Type="http://schemas.openxmlformats.org/officeDocument/2006/relationships/comments" Target="../comments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5.xml"/><Relationship Id="rId5" Type="http://schemas.openxmlformats.org/officeDocument/2006/relationships/vmlDrawing" Target="../drawings/vmlDrawing13.vml"/><Relationship Id="rId4"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52.xml"/><Relationship Id="rId1" Type="http://schemas.openxmlformats.org/officeDocument/2006/relationships/printerSettings" Target="../printerSettings/printerSettings113.bin"/><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53.xml"/><Relationship Id="rId1" Type="http://schemas.openxmlformats.org/officeDocument/2006/relationships/printerSettings" Target="../printerSettings/printerSettings114.bin"/><Relationship Id="rId4" Type="http://schemas.openxmlformats.org/officeDocument/2006/relationships/comments" Target="../comments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54.xml"/><Relationship Id="rId1" Type="http://schemas.openxmlformats.org/officeDocument/2006/relationships/printerSettings" Target="../printerSettings/printerSettings115.bin"/><Relationship Id="rId4" Type="http://schemas.openxmlformats.org/officeDocument/2006/relationships/comments" Target="../comments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5.xml"/><Relationship Id="rId1" Type="http://schemas.openxmlformats.org/officeDocument/2006/relationships/printerSettings" Target="../printerSettings/printerSettings116.bin"/><Relationship Id="rId4" Type="http://schemas.openxmlformats.org/officeDocument/2006/relationships/comments" Target="../comments9.xml"/></Relationships>
</file>

<file path=xl/worksheets/_rels/sheet56.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4"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4"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125.bin"/><Relationship Id="rId2" Type="http://schemas.openxmlformats.org/officeDocument/2006/relationships/printerSettings" Target="../printerSettings/printerSettings124.bin"/><Relationship Id="rId1" Type="http://schemas.openxmlformats.org/officeDocument/2006/relationships/printerSettings" Target="../printerSettings/printerSettings123.bin"/><Relationship Id="rId4"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printerSettings" Target="../printerSettings/printerSettings134.bin"/><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4"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6" Type="http://schemas.openxmlformats.org/officeDocument/2006/relationships/comments" Target="../comments10.xml"/><Relationship Id="rId5" Type="http://schemas.openxmlformats.org/officeDocument/2006/relationships/vmlDrawing" Target="../drawings/vmlDrawing18.vml"/><Relationship Id="rId4"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140.bin"/><Relationship Id="rId2" Type="http://schemas.openxmlformats.org/officeDocument/2006/relationships/printerSettings" Target="../printerSettings/printerSettings139.bin"/><Relationship Id="rId1" Type="http://schemas.openxmlformats.org/officeDocument/2006/relationships/printerSettings" Target="../printerSettings/printerSettings138.bin"/><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143.bin"/><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4"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146.bin"/><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147.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148.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149.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150.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151.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152.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153.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154.bin"/></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157.bin"/><Relationship Id="rId2" Type="http://schemas.openxmlformats.org/officeDocument/2006/relationships/printerSettings" Target="../printerSettings/printerSettings156.bin"/><Relationship Id="rId1" Type="http://schemas.openxmlformats.org/officeDocument/2006/relationships/printerSettings" Target="../printerSettings/printerSettings155.bin"/><Relationship Id="rId5" Type="http://schemas.openxmlformats.org/officeDocument/2006/relationships/comments" Target="../comments11.xml"/><Relationship Id="rId4" Type="http://schemas.openxmlformats.org/officeDocument/2006/relationships/vmlDrawing" Target="../drawings/vmlDrawing19.vm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160.bin"/><Relationship Id="rId2" Type="http://schemas.openxmlformats.org/officeDocument/2006/relationships/printerSettings" Target="../printerSettings/printerSettings159.bin"/><Relationship Id="rId1" Type="http://schemas.openxmlformats.org/officeDocument/2006/relationships/printerSettings" Target="../printerSettings/printerSettings158.bin"/><Relationship Id="rId4"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161.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77.xml"/><Relationship Id="rId1" Type="http://schemas.openxmlformats.org/officeDocument/2006/relationships/printerSettings" Target="../printerSettings/printerSettings162.bin"/><Relationship Id="rId4" Type="http://schemas.openxmlformats.org/officeDocument/2006/relationships/ctrlProp" Target="../ctrlProps/ctrlProp8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78.xml"/><Relationship Id="rId1" Type="http://schemas.openxmlformats.org/officeDocument/2006/relationships/printerSettings" Target="../printerSettings/printerSettings163.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79.xml"/><Relationship Id="rId1" Type="http://schemas.openxmlformats.org/officeDocument/2006/relationships/printerSettings" Target="../printerSettings/printerSettings164.bin"/><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printerSettings" Target="../printerSettings/printerSettings167.bin"/><Relationship Id="rId7" Type="http://schemas.openxmlformats.org/officeDocument/2006/relationships/ctrlProp" Target="../ctrlProps/ctrlProp90.xml"/><Relationship Id="rId2" Type="http://schemas.openxmlformats.org/officeDocument/2006/relationships/printerSettings" Target="../printerSettings/printerSettings166.bin"/><Relationship Id="rId1" Type="http://schemas.openxmlformats.org/officeDocument/2006/relationships/printerSettings" Target="../printerSettings/printerSettings165.bin"/><Relationship Id="rId6" Type="http://schemas.openxmlformats.org/officeDocument/2006/relationships/ctrlProp" Target="../ctrlProps/ctrlProp89.xml"/><Relationship Id="rId5" Type="http://schemas.openxmlformats.org/officeDocument/2006/relationships/vmlDrawing" Target="../drawings/vmlDrawing23.vml"/><Relationship Id="rId4"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81.xml"/><Relationship Id="rId1" Type="http://schemas.openxmlformats.org/officeDocument/2006/relationships/printerSettings" Target="../printerSettings/printerSettings168.bin"/><Relationship Id="rId6" Type="http://schemas.openxmlformats.org/officeDocument/2006/relationships/ctrlProp" Target="../ctrlProps/ctrlProp94.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82.xml"/><Relationship Id="rId1" Type="http://schemas.openxmlformats.org/officeDocument/2006/relationships/printerSettings" Target="../printerSettings/printerSettings16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83.xml"/><Relationship Id="rId1" Type="http://schemas.openxmlformats.org/officeDocument/2006/relationships/printerSettings" Target="../printerSettings/printerSettings170.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84.xml"/><Relationship Id="rId1" Type="http://schemas.openxmlformats.org/officeDocument/2006/relationships/printerSettings" Target="../printerSettings/printerSettings171.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85.xml"/><Relationship Id="rId1" Type="http://schemas.openxmlformats.org/officeDocument/2006/relationships/printerSettings" Target="../printerSettings/printerSettings17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86.xml"/><Relationship Id="rId1" Type="http://schemas.openxmlformats.org/officeDocument/2006/relationships/printerSettings" Target="../printerSettings/printerSettings173.bin"/><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7.xml"/><Relationship Id="rId1" Type="http://schemas.openxmlformats.org/officeDocument/2006/relationships/printerSettings" Target="../printerSettings/printerSettings174.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177.bin"/><Relationship Id="rId2" Type="http://schemas.openxmlformats.org/officeDocument/2006/relationships/printerSettings" Target="../printerSettings/printerSettings176.bin"/><Relationship Id="rId1" Type="http://schemas.openxmlformats.org/officeDocument/2006/relationships/printerSettings" Target="../printerSettings/printerSettings175.bin"/><Relationship Id="rId4" Type="http://schemas.openxmlformats.org/officeDocument/2006/relationships/drawing" Target="../drawings/drawing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4">
    <pageSetUpPr fitToPage="1"/>
  </sheetPr>
  <dimension ref="A1"/>
  <sheetViews>
    <sheetView showGridLines="0" showRowColHeaders="0" zoomScaleNormal="100" workbookViewId="0">
      <selection activeCell="P11" sqref="P11"/>
    </sheetView>
  </sheetViews>
  <sheetFormatPr baseColWidth="10" defaultColWidth="11.453125" defaultRowHeight="12.5"/>
  <cols>
    <col min="1" max="3" width="11.453125" customWidth="1"/>
    <col min="4" max="4" width="28.453125" customWidth="1"/>
    <col min="5" max="7" width="11.453125" customWidth="1"/>
    <col min="8" max="8" width="28.453125" customWidth="1"/>
    <col min="9" max="14" width="11.453125" customWidth="1"/>
    <col min="15" max="15" width="16.36328125" customWidth="1"/>
  </cols>
  <sheetData/>
  <sheetProtection password="E242" sheet="1" objects="1" scenarios="1"/>
  <customSheetViews>
    <customSheetView guid="{30D0538C-360A-4CDF-8D89-584CED1967CC}" scale="111" showGridLines="0" showRowCol="0" fitToPage="1">
      <selection activeCell="H14" sqref="H14"/>
      <pageMargins left="0.7" right="0.7" top="0.75" bottom="0.75" header="0.3" footer="0.3"/>
      <pageSetup scale="67" orientation="portrait" r:id="rId1"/>
    </customSheetView>
    <customSheetView guid="{4F3169C3-3348-49DE-A6DC-8AA4D2A9D7A1}" scale="111" showGridLines="0" showRowCol="0" fitToPage="1">
      <selection activeCell="D17" sqref="D17"/>
      <pageMargins left="0.7" right="0.7" top="0.75" bottom="0.75" header="0.3" footer="0.3"/>
      <pageSetup scale="67" orientation="portrait" r:id="rId2"/>
    </customSheetView>
  </customSheetViews>
  <phoneticPr fontId="0" type="noConversion"/>
  <pageMargins left="0.7" right="0.7" top="0.75" bottom="0.75" header="0.3" footer="0.3"/>
  <pageSetup scale="50"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5">
    <pageSetUpPr fitToPage="1"/>
  </sheetPr>
  <dimension ref="A10"/>
  <sheetViews>
    <sheetView showGridLines="0" showRowColHeaders="0" zoomScale="167" zoomScaleNormal="167" workbookViewId="0">
      <selection activeCell="A5" sqref="A5"/>
    </sheetView>
  </sheetViews>
  <sheetFormatPr baseColWidth="10" defaultColWidth="11.453125" defaultRowHeight="12.5"/>
  <cols>
    <col min="1" max="10" width="11.453125" customWidth="1"/>
  </cols>
  <sheetData>
    <row r="10" ht="4.5" customHeight="1"/>
  </sheetData>
  <sheetProtection password="E242" sheet="1" objects="1" scenarios="1"/>
  <customSheetViews>
    <customSheetView guid="{30D0538C-360A-4CDF-8D89-584CED1967CC}" scale="130" showGridLines="0">
      <selection activeCell="C21" sqref="C21"/>
      <pageMargins left="0.7" right="0.7" top="0.75" bottom="0.75" header="0.3" footer="0.3"/>
      <pageSetup orientation="portrait" r:id="rId1"/>
    </customSheetView>
    <customSheetView guid="{4F3169C3-3348-49DE-A6DC-8AA4D2A9D7A1}" scale="167" showGridLines="0" showRowCol="0">
      <selection activeCell="E20" sqref="E20"/>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0">
    <pageSetUpPr fitToPage="1"/>
  </sheetPr>
  <dimension ref="A10"/>
  <sheetViews>
    <sheetView showGridLines="0" showRowColHeaders="0" zoomScaleNormal="100" workbookViewId="0">
      <selection activeCell="M16" sqref="M16"/>
    </sheetView>
  </sheetViews>
  <sheetFormatPr baseColWidth="10" defaultColWidth="11.453125" defaultRowHeight="12.5"/>
  <cols>
    <col min="1" max="4" width="11.453125" customWidth="1"/>
    <col min="5" max="5" width="21.453125" customWidth="1"/>
    <col min="6" max="10" width="11.453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7">
    <pageSetUpPr fitToPage="1"/>
  </sheetPr>
  <dimension ref="A10"/>
  <sheetViews>
    <sheetView showGridLines="0" showRowColHeaders="0" zoomScale="149" zoomScaleNormal="149" workbookViewId="0">
      <selection activeCell="A5" sqref="A5"/>
    </sheetView>
  </sheetViews>
  <sheetFormatPr baseColWidth="10" defaultColWidth="11.453125" defaultRowHeight="12.5"/>
  <cols>
    <col min="1" max="4" width="11.453125" customWidth="1"/>
    <col min="5" max="5" width="21.453125" customWidth="1"/>
    <col min="6" max="10" width="11.453125" customWidth="1"/>
  </cols>
  <sheetData>
    <row r="10" ht="4.5" customHeight="1"/>
  </sheetData>
  <sheetProtection password="E242" sheet="1" objects="1" scenarios="1"/>
  <customSheetViews>
    <customSheetView guid="{30D0538C-360A-4CDF-8D89-584CED1967CC}" scale="110" showGridLines="0">
      <selection activeCell="E22" sqref="E22"/>
      <pageMargins left="0.7" right="0.7" top="0.75" bottom="0.75" header="0.3" footer="0.3"/>
    </customSheetView>
    <customSheetView guid="{4F3169C3-3348-49DE-A6DC-8AA4D2A9D7A1}" scale="149" showGridLines="0">
      <selection activeCell="E16" sqref="E16"/>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3">
    <pageSetUpPr fitToPage="1"/>
  </sheetPr>
  <dimension ref="A10"/>
  <sheetViews>
    <sheetView showGridLines="0" showRowColHeaders="0" zoomScale="123" zoomScaleNormal="123" workbookViewId="0">
      <selection activeCell="A5" sqref="A5"/>
    </sheetView>
  </sheetViews>
  <sheetFormatPr baseColWidth="10" defaultColWidth="11.453125" defaultRowHeight="12.5"/>
  <cols>
    <col min="1" max="4" width="11.453125" customWidth="1"/>
    <col min="5" max="5" width="21.453125" customWidth="1"/>
    <col min="6" max="10" width="11.453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8">
    <pageSetUpPr fitToPage="1"/>
  </sheetPr>
  <dimension ref="A10"/>
  <sheetViews>
    <sheetView showGridLines="0" showRowColHeaders="0" zoomScale="149" zoomScaleNormal="149" workbookViewId="0">
      <selection activeCell="L12" sqref="L12:L13"/>
    </sheetView>
  </sheetViews>
  <sheetFormatPr baseColWidth="10" defaultColWidth="11.453125" defaultRowHeight="12.5"/>
  <cols>
    <col min="1" max="4" width="11.453125" customWidth="1"/>
    <col min="5" max="5" width="21.453125" customWidth="1"/>
    <col min="6" max="10" width="11.453125" customWidth="1"/>
  </cols>
  <sheetData>
    <row r="10" ht="4.5" customHeight="1"/>
  </sheetData>
  <sheetProtection password="E242" sheet="1" objects="1" scenarios="1"/>
  <customSheetViews>
    <customSheetView guid="{30D0538C-360A-4CDF-8D89-584CED1967CC}" scale="110" showGridLines="0">
      <selection activeCell="E22" sqref="E22"/>
      <pageMargins left="0.7" right="0.7" top="0.75" bottom="0.75" header="0.3" footer="0.3"/>
    </customSheetView>
    <customSheetView guid="{4F3169C3-3348-49DE-A6DC-8AA4D2A9D7A1}" scale="149" showGridLines="0">
      <selection activeCell="J19" sqref="A1:J19"/>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6">
    <pageSetUpPr fitToPage="1"/>
  </sheetPr>
  <dimension ref="A10:A13"/>
  <sheetViews>
    <sheetView showGridLines="0" showRowColHeaders="0" zoomScale="160" zoomScaleNormal="160" workbookViewId="0">
      <selection activeCell="A5" sqref="A5"/>
    </sheetView>
  </sheetViews>
  <sheetFormatPr baseColWidth="10" defaultColWidth="11.453125" defaultRowHeight="12.75" customHeight="1"/>
  <cols>
    <col min="1" max="1" width="16.453125" customWidth="1"/>
    <col min="2" max="3" width="17.36328125" customWidth="1"/>
    <col min="4" max="5" width="16" customWidth="1"/>
    <col min="6" max="10" width="17.36328125" customWidth="1"/>
  </cols>
  <sheetData>
    <row r="10" ht="4.5" customHeight="1"/>
    <row r="13" ht="37.5" customHeight="1"/>
  </sheetData>
  <sheetProtection password="E242" sheet="1" objects="1" scenarios="1"/>
  <customSheetViews>
    <customSheetView guid="{30D0538C-360A-4CDF-8D89-584CED1967CC}" scale="120" showGridLines="0" topLeftCell="A4">
      <selection activeCell="F31" sqref="F31"/>
      <pageMargins left="0.7" right="0.7" top="0.75" bottom="0.75" header="0.3" footer="0.3"/>
    </customSheetView>
    <customSheetView guid="{4F3169C3-3348-49DE-A6DC-8AA4D2A9D7A1}" scale="108" showGridLines="0" showRowCol="0">
      <selection activeCell="G26" sqref="G26"/>
      <pageMargins left="0.7" right="0.7" top="0.75" bottom="0.75" header="0.3" footer="0.3"/>
      <pageSetup orientation="portrait" r:id="rId1"/>
    </customSheetView>
  </customSheetViews>
  <pageMargins left="0.7" right="0.7" top="0.75" bottom="0.75" header="0.3" footer="0.3"/>
  <pageSetup scale="73"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4">
    <pageSetUpPr fitToPage="1"/>
  </sheetPr>
  <dimension ref="A10"/>
  <sheetViews>
    <sheetView showGridLines="0" showRowColHeaders="0" zoomScale="132" zoomScaleNormal="132" workbookViewId="0">
      <selection activeCell="A5" sqref="A5"/>
    </sheetView>
  </sheetViews>
  <sheetFormatPr baseColWidth="10" defaultColWidth="11.453125" defaultRowHeight="12.75" customHeight="1"/>
  <cols>
    <col min="1" max="10" width="11.453125" customWidth="1"/>
  </cols>
  <sheetData>
    <row r="10" ht="4.5" customHeight="1"/>
  </sheetData>
  <sheetProtection password="E242" sheet="1" objects="1" scenarios="1"/>
  <pageMargins left="0.7" right="0.7" top="0.75" bottom="0.75" header="0.3" footer="0.3"/>
  <pageSetup scale="72"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2">
    <pageSetUpPr fitToPage="1"/>
  </sheetPr>
  <dimension ref="A10"/>
  <sheetViews>
    <sheetView showGridLines="0" showRowColHeaders="0" zoomScale="97" zoomScaleNormal="97" workbookViewId="0">
      <selection activeCell="A5" sqref="A5"/>
    </sheetView>
  </sheetViews>
  <sheetFormatPr baseColWidth="10" defaultColWidth="11.453125" defaultRowHeight="12.75" customHeight="1"/>
  <cols>
    <col min="1" max="10" width="11.453125" customWidth="1"/>
  </cols>
  <sheetData>
    <row r="10" ht="4.5" customHeight="1"/>
  </sheetData>
  <sheetProtection password="E242" sheet="1" objects="1" scenarios="1"/>
  <customSheetViews>
    <customSheetView guid="{30D0538C-360A-4CDF-8D89-584CED1967CC}" scale="120" showGridLines="0" topLeftCell="A7">
      <selection activeCell="G21" sqref="G21:J24"/>
      <pageMargins left="0.7" right="0.7" top="0.75" bottom="0.75" header="0.3" footer="0.3"/>
    </customSheetView>
    <customSheetView guid="{4F3169C3-3348-49DE-A6DC-8AA4D2A9D7A1}" scale="120" showGridLines="0" topLeftCell="A7">
      <selection activeCell="G21" sqref="G21:J24"/>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7">
    <pageSetUpPr fitToPage="1"/>
  </sheetPr>
  <dimension ref="A10"/>
  <sheetViews>
    <sheetView showGridLines="0" showRowColHeaders="0" zoomScale="160" zoomScaleNormal="160" workbookViewId="0">
      <selection activeCell="A5" sqref="A5"/>
    </sheetView>
  </sheetViews>
  <sheetFormatPr baseColWidth="10" defaultColWidth="11.453125" defaultRowHeight="12.75" customHeight="1"/>
  <cols>
    <col min="1" max="10" width="11.453125" customWidth="1"/>
  </cols>
  <sheetData>
    <row r="10" ht="4.5" customHeight="1"/>
  </sheetData>
  <sheetProtection password="E242" sheet="1" objects="1" scenarios="1"/>
  <customSheetViews>
    <customSheetView guid="{30D0538C-360A-4CDF-8D89-584CED1967CC}" scale="120" showGridLines="0">
      <selection activeCell="D31" sqref="D31"/>
      <pageMargins left="0.7" right="0.7" top="0.75" bottom="0.75" header="0.3" footer="0.3"/>
    </customSheetView>
    <customSheetView guid="{4F3169C3-3348-49DE-A6DC-8AA4D2A9D7A1}" scale="120" showGridLines="0">
      <selection activeCell="D31" sqref="D31"/>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9">
    <pageSetUpPr fitToPage="1"/>
  </sheetPr>
  <dimension ref="A9:J28"/>
  <sheetViews>
    <sheetView showGridLines="0" showRowColHeaders="0" zoomScale="149" zoomScaleNormal="149" workbookViewId="0">
      <selection activeCell="L6" sqref="L6"/>
    </sheetView>
  </sheetViews>
  <sheetFormatPr baseColWidth="10" defaultColWidth="11.453125" defaultRowHeight="12.5"/>
  <cols>
    <col min="1" max="4" width="11.453125" customWidth="1"/>
    <col min="5" max="5" width="21.453125" customWidth="1"/>
    <col min="6" max="10" width="11.453125" customWidth="1"/>
  </cols>
  <sheetData>
    <row r="9" ht="4.5" customHeight="1"/>
    <row r="19" spans="1:10" ht="13">
      <c r="A19" s="1110" t="s">
        <v>662</v>
      </c>
      <c r="B19" s="1110"/>
      <c r="C19" s="1110"/>
      <c r="E19" s="1110" t="s">
        <v>663</v>
      </c>
      <c r="F19" s="1110"/>
      <c r="H19" s="1111" t="s">
        <v>240</v>
      </c>
      <c r="I19" s="1111"/>
      <c r="J19" s="1111"/>
    </row>
    <row r="21" spans="1:10" ht="14">
      <c r="C21" s="747"/>
    </row>
    <row r="22" spans="1:10" ht="14">
      <c r="F22" s="747"/>
    </row>
    <row r="28" spans="1:10" ht="14">
      <c r="C28" s="747"/>
    </row>
  </sheetData>
  <sheetProtection password="E242" sheet="1" objects="1" scenarios="1"/>
  <customSheetViews>
    <customSheetView guid="{30D0538C-360A-4CDF-8D89-584CED1967CC}" scale="110" showGridLines="0">
      <selection activeCell="D17" sqref="D17"/>
      <pageMargins left="0.7" right="0.7" top="0.75" bottom="0.75" header="0.3" footer="0.3"/>
      <pageSetup orientation="portrait" r:id="rId1"/>
    </customSheetView>
    <customSheetView guid="{4F3169C3-3348-49DE-A6DC-8AA4D2A9D7A1}" scale="110" showGridLines="0">
      <selection activeCell="D17" sqref="D17"/>
      <pageMargins left="0.7" right="0.7" top="0.75" bottom="0.75" header="0.3" footer="0.3"/>
      <pageSetup orientation="portrait" r:id="rId2"/>
    </customSheetView>
  </customSheetViews>
  <mergeCells count="3">
    <mergeCell ref="A19:C19"/>
    <mergeCell ref="E19:F19"/>
    <mergeCell ref="H19:J19"/>
  </mergeCells>
  <pageMargins left="0.7" right="0.7" top="0.75" bottom="0.75" header="0.3" footer="0.3"/>
  <pageSetup scale="67"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
  <dimension ref="A5:G58"/>
  <sheetViews>
    <sheetView showGridLines="0" showRowColHeaders="0" workbookViewId="0">
      <selection activeCell="F23" sqref="F23"/>
    </sheetView>
  </sheetViews>
  <sheetFormatPr baseColWidth="10" defaultColWidth="11.453125" defaultRowHeight="13"/>
  <cols>
    <col min="1" max="1" width="13.6328125" style="167" customWidth="1"/>
    <col min="2" max="2" width="18.08984375" style="167" customWidth="1"/>
    <col min="3" max="3" width="6.08984375" style="167" customWidth="1"/>
    <col min="4" max="4" width="11.453125" style="167"/>
    <col min="5" max="5" width="10" style="167" customWidth="1"/>
    <col min="6" max="16384" width="11.453125" style="167"/>
  </cols>
  <sheetData>
    <row r="5" spans="1:7" ht="21.75" customHeight="1">
      <c r="A5" s="1112" t="s">
        <v>15</v>
      </c>
      <c r="B5" s="1112"/>
      <c r="C5" s="1112"/>
      <c r="D5" s="1112"/>
      <c r="E5" s="1112"/>
      <c r="F5" s="1112"/>
      <c r="G5" s="1112"/>
    </row>
    <row r="6" spans="1:7" ht="21.75" customHeight="1">
      <c r="A6" s="532"/>
      <c r="B6" s="532"/>
      <c r="C6" s="532"/>
      <c r="D6" s="532"/>
      <c r="E6" s="532"/>
      <c r="F6" s="532"/>
      <c r="G6" s="532"/>
    </row>
    <row r="7" spans="1:7" ht="21.75" customHeight="1">
      <c r="A7" s="532"/>
      <c r="B7" s="1112" t="s">
        <v>0</v>
      </c>
      <c r="C7" s="1112"/>
      <c r="D7" s="1112"/>
      <c r="E7" s="1112"/>
      <c r="F7" s="1112"/>
      <c r="G7" s="532"/>
    </row>
    <row r="8" spans="1:7" ht="21.75" customHeight="1">
      <c r="A8" s="532"/>
      <c r="B8" s="532"/>
      <c r="C8" s="532"/>
      <c r="D8" s="532"/>
      <c r="E8" s="532"/>
      <c r="F8" s="532"/>
      <c r="G8" s="532"/>
    </row>
    <row r="9" spans="1:7" ht="21.75" customHeight="1">
      <c r="A9" s="532"/>
      <c r="B9" s="1112" t="s">
        <v>1</v>
      </c>
      <c r="C9" s="1112"/>
      <c r="D9" s="1112"/>
      <c r="E9" s="1112"/>
      <c r="F9" s="1112"/>
      <c r="G9" s="532"/>
    </row>
    <row r="10" spans="1:7" ht="21.75" customHeight="1">
      <c r="A10" s="532"/>
      <c r="B10" s="1112" t="s">
        <v>743</v>
      </c>
      <c r="C10" s="1112"/>
      <c r="D10" s="1112"/>
      <c r="E10" s="1112"/>
      <c r="F10" s="1112"/>
      <c r="G10" s="532"/>
    </row>
    <row r="11" spans="1:7" ht="21.75" customHeight="1">
      <c r="A11" s="532"/>
      <c r="B11" s="532"/>
      <c r="C11" s="532"/>
      <c r="D11" s="532"/>
      <c r="E11" s="532"/>
      <c r="F11" s="532"/>
      <c r="G11" s="532"/>
    </row>
    <row r="12" spans="1:7" ht="21.75" customHeight="1">
      <c r="A12" s="532"/>
      <c r="B12" s="532"/>
      <c r="C12" s="532"/>
      <c r="D12" s="532"/>
      <c r="E12" s="532"/>
      <c r="F12" s="532"/>
      <c r="G12" s="532"/>
    </row>
    <row r="13" spans="1:7" ht="21.75" customHeight="1">
      <c r="A13" s="532"/>
      <c r="B13" s="532"/>
      <c r="C13" s="532"/>
      <c r="D13" s="532"/>
      <c r="E13" s="532"/>
      <c r="F13" s="532"/>
      <c r="G13" s="532"/>
    </row>
    <row r="14" spans="1:7" ht="21.75" customHeight="1">
      <c r="A14" s="532"/>
      <c r="B14" s="532"/>
      <c r="C14" s="532"/>
      <c r="D14" s="532"/>
      <c r="E14" s="532"/>
      <c r="F14" s="532"/>
      <c r="G14" s="532"/>
    </row>
    <row r="15" spans="1:7" ht="21.75" customHeight="1">
      <c r="A15" s="532"/>
      <c r="B15" s="532"/>
      <c r="C15" s="532"/>
      <c r="D15" s="532"/>
      <c r="E15" s="532"/>
      <c r="F15" s="532"/>
      <c r="G15" s="532"/>
    </row>
    <row r="16" spans="1:7" ht="21.75" customHeight="1">
      <c r="A16" s="532"/>
      <c r="B16" s="532"/>
      <c r="C16" s="532"/>
      <c r="D16" s="532"/>
      <c r="E16" s="532"/>
      <c r="F16" s="532"/>
      <c r="G16" s="532"/>
    </row>
    <row r="17" spans="1:7" ht="21.75" customHeight="1">
      <c r="A17" s="547"/>
      <c r="B17"/>
      <c r="C17" s="532"/>
      <c r="D17" s="532"/>
      <c r="E17" s="532"/>
      <c r="F17" s="532"/>
      <c r="G17" s="532"/>
    </row>
    <row r="18" spans="1:7" ht="21.75" customHeight="1">
      <c r="A18"/>
      <c r="B18"/>
      <c r="C18" s="532"/>
      <c r="D18" s="532"/>
      <c r="E18" s="532"/>
      <c r="F18" s="532"/>
      <c r="G18" s="532"/>
    </row>
    <row r="19" spans="1:7" ht="21.75" customHeight="1">
      <c r="A19"/>
      <c r="G19" s="532"/>
    </row>
    <row r="20" spans="1:7" ht="21.75" customHeight="1">
      <c r="A20"/>
      <c r="G20" s="532"/>
    </row>
    <row r="21" spans="1:7" ht="21.75" customHeight="1">
      <c r="A21" s="532"/>
      <c r="B21" s="548"/>
      <c r="C21" s="532"/>
      <c r="D21" s="532"/>
      <c r="E21" s="532"/>
      <c r="F21" s="532"/>
      <c r="G21" s="532"/>
    </row>
    <row r="22" spans="1:7" ht="21.75" customHeight="1">
      <c r="A22" s="532"/>
      <c r="B22" s="548"/>
      <c r="C22" s="532"/>
      <c r="D22" s="532"/>
      <c r="E22" s="532"/>
      <c r="F22" s="532"/>
      <c r="G22" s="532"/>
    </row>
    <row r="23" spans="1:7" ht="21.75" customHeight="1">
      <c r="A23" s="532"/>
      <c r="B23" s="548"/>
      <c r="C23" s="532"/>
      <c r="D23" s="532"/>
      <c r="E23" s="532"/>
      <c r="F23" s="532"/>
      <c r="G23" s="532"/>
    </row>
    <row r="24" spans="1:7" ht="21.75" customHeight="1">
      <c r="A24" s="532"/>
      <c r="B24" s="548"/>
      <c r="C24" s="532"/>
      <c r="D24" s="532"/>
      <c r="E24" s="532"/>
      <c r="F24" s="532"/>
      <c r="G24" s="532"/>
    </row>
    <row r="25" spans="1:7" ht="21.75" customHeight="1">
      <c r="A25" s="532"/>
      <c r="B25" s="548"/>
      <c r="C25" s="532"/>
      <c r="D25" s="532"/>
      <c r="E25" s="532"/>
      <c r="F25" s="532"/>
      <c r="G25" s="532"/>
    </row>
    <row r="26" spans="1:7" ht="21.75" customHeight="1">
      <c r="A26" s="532"/>
      <c r="B26" s="548"/>
      <c r="C26" s="532"/>
      <c r="D26" s="532"/>
      <c r="E26" s="532"/>
      <c r="F26" s="532"/>
      <c r="G26" s="532"/>
    </row>
    <row r="27" spans="1:7" ht="21.75" customHeight="1">
      <c r="A27" s="532"/>
      <c r="B27" s="548"/>
      <c r="C27" s="532"/>
      <c r="D27" s="532"/>
      <c r="E27" s="532"/>
      <c r="F27" s="532"/>
      <c r="G27" s="532"/>
    </row>
    <row r="28" spans="1:7" ht="21.75" customHeight="1">
      <c r="A28" s="532"/>
      <c r="B28" s="532"/>
      <c r="C28" s="532"/>
      <c r="D28" s="532"/>
      <c r="E28" s="532"/>
      <c r="F28" s="532"/>
      <c r="G28" s="532"/>
    </row>
    <row r="29" spans="1:7" ht="21.75" customHeight="1">
      <c r="A29" s="532"/>
      <c r="B29" s="532"/>
      <c r="C29" s="532"/>
      <c r="D29" s="532"/>
      <c r="E29" s="532"/>
      <c r="F29" s="532"/>
      <c r="G29" s="532"/>
    </row>
    <row r="30" spans="1:7">
      <c r="A30" s="1114"/>
      <c r="B30" s="1114"/>
      <c r="C30" s="1114"/>
      <c r="D30" s="1114"/>
      <c r="E30" s="1114"/>
      <c r="F30" s="1114"/>
      <c r="G30" s="1114"/>
    </row>
    <row r="32" spans="1:7">
      <c r="A32" s="1114"/>
      <c r="B32" s="1114"/>
      <c r="C32" s="1114"/>
      <c r="D32" s="1114"/>
      <c r="E32" s="1114"/>
      <c r="F32" s="1114"/>
      <c r="G32" s="1114"/>
    </row>
    <row r="34" spans="1:7">
      <c r="B34" s="1113" t="s">
        <v>16</v>
      </c>
      <c r="C34" s="1113"/>
      <c r="D34" s="1113"/>
      <c r="E34" s="1113"/>
      <c r="F34" s="1113"/>
    </row>
    <row r="35" spans="1:7">
      <c r="B35" s="1113"/>
      <c r="C35" s="1113"/>
      <c r="D35" s="1113"/>
      <c r="E35" s="1113"/>
      <c r="F35" s="1113"/>
    </row>
    <row r="36" spans="1:7">
      <c r="B36" s="1113"/>
      <c r="C36" s="1113"/>
      <c r="D36" s="1113"/>
      <c r="E36" s="1113"/>
      <c r="F36" s="1113"/>
    </row>
    <row r="37" spans="1:7" ht="25">
      <c r="B37" s="535"/>
      <c r="C37" s="535"/>
      <c r="D37" s="535"/>
      <c r="E37" s="535"/>
      <c r="F37" s="535"/>
    </row>
    <row r="38" spans="1:7" ht="25">
      <c r="B38" s="535"/>
      <c r="C38" s="535"/>
      <c r="D38" s="535"/>
      <c r="E38" s="535"/>
      <c r="F38" s="535"/>
    </row>
    <row r="39" spans="1:7" ht="25">
      <c r="B39" s="535"/>
      <c r="C39" s="535"/>
      <c r="D39" s="535"/>
      <c r="E39" s="535"/>
      <c r="F39" s="535"/>
    </row>
    <row r="42" spans="1:7" ht="15">
      <c r="A42" s="429" t="s">
        <v>204</v>
      </c>
      <c r="C42" s="429"/>
      <c r="D42" s="534"/>
      <c r="E42" s="534"/>
      <c r="F42" s="534"/>
      <c r="G42" s="536" t="s">
        <v>205</v>
      </c>
    </row>
    <row r="43" spans="1:7" ht="15">
      <c r="C43" s="429"/>
      <c r="G43" s="536"/>
    </row>
    <row r="44" spans="1:7" ht="15">
      <c r="A44" s="429" t="s">
        <v>248</v>
      </c>
      <c r="C44" s="429"/>
      <c r="D44" s="534"/>
      <c r="E44" s="534"/>
      <c r="F44" s="534"/>
      <c r="G44" s="536" t="s">
        <v>206</v>
      </c>
    </row>
    <row r="45" spans="1:7" ht="15">
      <c r="C45" s="429"/>
      <c r="G45" s="536"/>
    </row>
    <row r="46" spans="1:7" ht="15">
      <c r="A46" s="429" t="s">
        <v>35</v>
      </c>
      <c r="C46" s="429"/>
      <c r="D46" s="534"/>
      <c r="E46" s="534"/>
      <c r="F46" s="534"/>
      <c r="G46" s="536" t="s">
        <v>30</v>
      </c>
    </row>
    <row r="47" spans="1:7" ht="15">
      <c r="A47" s="429"/>
      <c r="C47" s="429"/>
      <c r="G47" s="536"/>
    </row>
    <row r="48" spans="1:7" ht="15">
      <c r="A48" s="429" t="s">
        <v>99</v>
      </c>
      <c r="C48" s="429"/>
      <c r="D48" s="534"/>
      <c r="E48" s="534"/>
      <c r="F48" s="534"/>
      <c r="G48" s="536" t="s">
        <v>31</v>
      </c>
    </row>
    <row r="49" spans="1:7" ht="15">
      <c r="A49" s="429"/>
      <c r="C49" s="429"/>
      <c r="G49" s="536"/>
    </row>
    <row r="50" spans="1:7" ht="15">
      <c r="A50" s="429" t="s">
        <v>933</v>
      </c>
      <c r="C50" s="429"/>
      <c r="D50" s="534"/>
      <c r="E50" s="534"/>
      <c r="F50" s="534"/>
      <c r="G50" s="536" t="s">
        <v>32</v>
      </c>
    </row>
    <row r="52" spans="1:7" ht="15">
      <c r="A52" s="429" t="s">
        <v>249</v>
      </c>
      <c r="C52" s="533"/>
      <c r="D52" s="534"/>
      <c r="E52" s="534"/>
      <c r="F52" s="534"/>
      <c r="G52" s="536" t="s">
        <v>33</v>
      </c>
    </row>
    <row r="53" spans="1:7" ht="15">
      <c r="A53" s="429"/>
      <c r="C53" s="429"/>
      <c r="G53" s="536"/>
    </row>
    <row r="54" spans="1:7" ht="15">
      <c r="A54" s="429" t="s">
        <v>250</v>
      </c>
      <c r="C54" s="429"/>
      <c r="F54" s="534"/>
      <c r="G54" s="536" t="s">
        <v>34</v>
      </c>
    </row>
    <row r="55" spans="1:7" ht="15">
      <c r="A55" s="429"/>
      <c r="C55" s="429"/>
      <c r="G55" s="536"/>
    </row>
    <row r="56" spans="1:7" ht="15">
      <c r="A56" s="429" t="s">
        <v>368</v>
      </c>
      <c r="C56" s="533"/>
      <c r="D56" s="534"/>
      <c r="E56" s="534"/>
      <c r="F56" s="534"/>
      <c r="G56" s="536" t="s">
        <v>100</v>
      </c>
    </row>
    <row r="57" spans="1:7" ht="15">
      <c r="A57" s="429"/>
      <c r="C57" s="429"/>
      <c r="G57" s="536"/>
    </row>
    <row r="58" spans="1:7" ht="15">
      <c r="A58" s="429" t="s">
        <v>251</v>
      </c>
      <c r="C58" s="533"/>
      <c r="D58" s="534"/>
      <c r="E58" s="534"/>
      <c r="F58" s="534"/>
      <c r="G58" s="536" t="s">
        <v>934</v>
      </c>
    </row>
  </sheetData>
  <sheetProtection password="E242" sheet="1" objects="1" scenarios="1"/>
  <customSheetViews>
    <customSheetView guid="{30D0538C-360A-4CDF-8D89-584CED1967CC}">
      <pageMargins left="0.78740157499999996" right="0.78740157499999996" top="0.51" bottom="1.81" header="0.4921259845" footer="0.4921259845"/>
      <pageSetup orientation="portrait" horizontalDpi="300" verticalDpi="300" r:id="rId1"/>
      <headerFooter alignWithMargins="0"/>
    </customSheetView>
    <customSheetView guid="{4F3169C3-3348-49DE-A6DC-8AA4D2A9D7A1}">
      <pageMargins left="0.78740157499999996" right="0.78740157499999996" top="0.51" bottom="1.81" header="0.4921259845" footer="0.4921259845"/>
      <pageSetup orientation="portrait" horizontalDpi="300" verticalDpi="300" r:id="rId2"/>
      <headerFooter alignWithMargins="0"/>
    </customSheetView>
  </customSheetViews>
  <mergeCells count="7">
    <mergeCell ref="A5:G5"/>
    <mergeCell ref="B7:F7"/>
    <mergeCell ref="B34:F36"/>
    <mergeCell ref="A30:G30"/>
    <mergeCell ref="A32:G32"/>
    <mergeCell ref="B9:F9"/>
    <mergeCell ref="B10:F10"/>
  </mergeCells>
  <phoneticPr fontId="0" type="noConversion"/>
  <pageMargins left="0.78740157499999996" right="0.78740157499999996" top="0.51" bottom="1.81" header="0.4921259845" footer="0.4921259845"/>
  <pageSetup orientation="portrait" r:id="rId3"/>
  <headerFooter alignWithMargins="0"/>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3">
    <pageSetUpPr fitToPage="1"/>
  </sheetPr>
  <dimension ref="A2:O78"/>
  <sheetViews>
    <sheetView showGridLines="0" showRowColHeaders="0" topLeftCell="A59" zoomScale="75" workbookViewId="0">
      <selection activeCell="I77" sqref="I77"/>
    </sheetView>
  </sheetViews>
  <sheetFormatPr baseColWidth="10" defaultColWidth="11.453125" defaultRowHeight="13"/>
  <cols>
    <col min="1" max="1" width="5" style="44" customWidth="1"/>
    <col min="2" max="2" width="5.6328125" style="44" customWidth="1"/>
    <col min="3" max="3" width="45.6328125" style="44" customWidth="1"/>
    <col min="4" max="4" width="7.08984375" style="44" customWidth="1"/>
    <col min="5" max="5" width="25.81640625" style="44" customWidth="1"/>
    <col min="6" max="6" width="7.08984375" style="44" customWidth="1"/>
    <col min="7" max="7" width="25.81640625" style="44" customWidth="1"/>
    <col min="8" max="8" width="7.08984375" style="44" customWidth="1"/>
    <col min="9" max="9" width="25.81640625" style="44" customWidth="1"/>
    <col min="10" max="16384" width="11.453125" style="43"/>
  </cols>
  <sheetData>
    <row r="2" spans="1:9">
      <c r="A2" s="116"/>
    </row>
    <row r="3" spans="1:9" ht="19.5" customHeight="1">
      <c r="A3" s="80"/>
    </row>
    <row r="4" spans="1:9" ht="19.5" customHeight="1">
      <c r="A4" s="80"/>
    </row>
    <row r="5" spans="1:9" ht="19.5" customHeight="1">
      <c r="A5" s="80"/>
    </row>
    <row r="6" spans="1:9" ht="19.5" customHeight="1">
      <c r="A6" s="80"/>
    </row>
    <row r="7" spans="1:9" ht="19.5" customHeight="1">
      <c r="A7" s="80"/>
    </row>
    <row r="8" spans="1:9" ht="33">
      <c r="A8" s="120" t="str">
        <f>RG!D17</f>
        <v>Jhon Wesly inc.</v>
      </c>
    </row>
    <row r="9" spans="1:9" ht="18.75" customHeight="1">
      <c r="A9" s="45" t="s">
        <v>733</v>
      </c>
    </row>
    <row r="10" spans="1:9" ht="18.75" hidden="1" customHeight="1">
      <c r="A10" s="46"/>
    </row>
    <row r="11" spans="1:9" ht="18.75" customHeight="1" thickBot="1">
      <c r="A11" s="46"/>
      <c r="E11" s="177"/>
      <c r="G11" s="177"/>
      <c r="I11" s="177"/>
    </row>
    <row r="12" spans="1:9" ht="18.75" customHeight="1" thickBot="1">
      <c r="D12" s="185"/>
      <c r="E12" s="531" t="s">
        <v>202</v>
      </c>
      <c r="F12" s="177"/>
      <c r="G12" s="531" t="s">
        <v>172</v>
      </c>
      <c r="H12" s="177"/>
      <c r="I12" s="531" t="s">
        <v>172</v>
      </c>
    </row>
    <row r="13" spans="1:9" ht="18.75" customHeight="1">
      <c r="C13" s="177" t="s">
        <v>412</v>
      </c>
    </row>
    <row r="14" spans="1:9" ht="18.75" customHeight="1">
      <c r="A14" s="46" t="s">
        <v>378</v>
      </c>
    </row>
    <row r="15" spans="1:9" ht="18.75" customHeight="1" thickBot="1"/>
    <row r="16" spans="1:9" ht="18.75" customHeight="1" thickBot="1">
      <c r="B16" s="44" t="s">
        <v>49</v>
      </c>
      <c r="D16" s="112"/>
      <c r="E16" s="530">
        <v>0</v>
      </c>
      <c r="F16" s="526"/>
      <c r="G16" s="530">
        <v>0</v>
      </c>
      <c r="H16" s="526"/>
      <c r="I16" s="530">
        <v>0</v>
      </c>
    </row>
    <row r="17" spans="1:13" ht="18.75" customHeight="1" thickBot="1">
      <c r="B17" s="44" t="s">
        <v>585</v>
      </c>
      <c r="D17" s="112"/>
      <c r="E17" s="530">
        <v>0</v>
      </c>
      <c r="F17" s="526"/>
      <c r="G17" s="530">
        <v>0</v>
      </c>
      <c r="H17" s="526"/>
      <c r="I17" s="530">
        <v>0</v>
      </c>
      <c r="J17" s="178"/>
    </row>
    <row r="18" spans="1:13" ht="18.75" customHeight="1" thickBot="1">
      <c r="B18" s="44" t="s">
        <v>413</v>
      </c>
      <c r="D18" s="112"/>
      <c r="E18" s="530">
        <v>0</v>
      </c>
      <c r="F18" s="526"/>
      <c r="G18" s="530">
        <v>0</v>
      </c>
      <c r="H18" s="526"/>
      <c r="I18" s="530">
        <v>0</v>
      </c>
    </row>
    <row r="19" spans="1:13" ht="18.75" customHeight="1" thickBot="1">
      <c r="B19" s="44" t="s">
        <v>586</v>
      </c>
      <c r="D19" s="112"/>
      <c r="E19" s="530">
        <v>0</v>
      </c>
      <c r="F19" s="526"/>
      <c r="G19" s="530">
        <v>0</v>
      </c>
      <c r="H19" s="526"/>
      <c r="I19" s="530">
        <v>0</v>
      </c>
    </row>
    <row r="20" spans="1:13" ht="18.75" customHeight="1">
      <c r="A20" s="179" t="s">
        <v>459</v>
      </c>
      <c r="B20" s="180"/>
      <c r="C20" s="180"/>
      <c r="D20" s="113"/>
      <c r="E20" s="529">
        <f>SUM(E16:E19)</f>
        <v>0</v>
      </c>
      <c r="F20" s="113"/>
      <c r="G20" s="512">
        <f>SUM(G16:G19)</f>
        <v>0</v>
      </c>
      <c r="H20" s="113"/>
      <c r="I20" s="512">
        <f>SUM(I16:I19)</f>
        <v>0</v>
      </c>
    </row>
    <row r="21" spans="1:13" ht="18.75" customHeight="1">
      <c r="A21" s="46"/>
      <c r="D21" s="112"/>
      <c r="E21" s="112"/>
      <c r="F21" s="112"/>
      <c r="G21" s="112"/>
      <c r="H21" s="112"/>
      <c r="I21" s="112"/>
    </row>
    <row r="22" spans="1:13" ht="18.75" customHeight="1" thickBot="1">
      <c r="A22" s="46" t="s">
        <v>80</v>
      </c>
      <c r="D22" s="112"/>
      <c r="E22" s="112"/>
      <c r="F22" s="112"/>
      <c r="G22" s="112"/>
      <c r="H22" s="112"/>
      <c r="I22" s="112"/>
    </row>
    <row r="23" spans="1:13" ht="18.75" customHeight="1" thickBot="1">
      <c r="A23" s="46"/>
      <c r="B23" s="44" t="s">
        <v>439</v>
      </c>
      <c r="C23" s="43"/>
      <c r="D23" s="112"/>
      <c r="E23" s="530">
        <v>0</v>
      </c>
      <c r="F23" s="526"/>
      <c r="G23" s="530">
        <v>0</v>
      </c>
      <c r="H23" s="526"/>
      <c r="I23" s="530">
        <v>0</v>
      </c>
    </row>
    <row r="24" spans="1:13" ht="18.75" customHeight="1" thickBot="1">
      <c r="A24" s="46"/>
      <c r="B24" s="44" t="s">
        <v>440</v>
      </c>
      <c r="C24" s="43"/>
      <c r="D24" s="112"/>
      <c r="E24" s="530">
        <v>0</v>
      </c>
      <c r="F24" s="526"/>
      <c r="G24" s="530">
        <v>0</v>
      </c>
      <c r="H24" s="526"/>
      <c r="I24" s="530">
        <v>0</v>
      </c>
    </row>
    <row r="25" spans="1:13" ht="18.75" customHeight="1" thickBot="1">
      <c r="A25" s="46"/>
      <c r="B25" s="44" t="s">
        <v>296</v>
      </c>
      <c r="C25" s="43"/>
      <c r="D25" s="112"/>
      <c r="E25" s="530">
        <v>0</v>
      </c>
      <c r="F25" s="526"/>
      <c r="G25" s="530">
        <v>0</v>
      </c>
      <c r="H25" s="526"/>
      <c r="I25" s="530">
        <v>0</v>
      </c>
      <c r="M25"/>
    </row>
    <row r="26" spans="1:13" ht="18.75" customHeight="1" thickBot="1">
      <c r="A26" s="46"/>
      <c r="B26" s="44" t="s">
        <v>441</v>
      </c>
      <c r="C26" s="43"/>
      <c r="D26" s="112"/>
      <c r="E26" s="530">
        <v>0</v>
      </c>
      <c r="F26" s="526"/>
      <c r="G26" s="530">
        <v>0</v>
      </c>
      <c r="H26" s="526"/>
      <c r="I26" s="530">
        <v>0</v>
      </c>
    </row>
    <row r="27" spans="1:13" ht="18.75" customHeight="1" thickBot="1">
      <c r="A27" s="46"/>
      <c r="B27" s="44" t="s">
        <v>278</v>
      </c>
      <c r="C27" s="43"/>
      <c r="D27" s="112"/>
      <c r="E27" s="530">
        <v>0</v>
      </c>
      <c r="F27" s="526"/>
      <c r="G27" s="530">
        <v>0</v>
      </c>
      <c r="H27" s="526"/>
      <c r="I27" s="530">
        <v>0</v>
      </c>
    </row>
    <row r="28" spans="1:13" ht="18.75" customHeight="1" thickBot="1">
      <c r="A28" s="46"/>
      <c r="B28" s="44" t="s">
        <v>338</v>
      </c>
      <c r="C28" s="43"/>
      <c r="D28" s="112"/>
      <c r="E28" s="530">
        <v>0</v>
      </c>
      <c r="F28" s="526"/>
      <c r="G28" s="530">
        <v>0</v>
      </c>
      <c r="H28" s="526"/>
      <c r="I28" s="530">
        <v>0</v>
      </c>
    </row>
    <row r="29" spans="1:13" ht="18.75" customHeight="1" thickBot="1">
      <c r="A29" s="46"/>
      <c r="B29" s="44" t="s">
        <v>442</v>
      </c>
      <c r="C29" s="43"/>
      <c r="D29" s="112"/>
      <c r="E29" s="530">
        <v>0</v>
      </c>
      <c r="F29" s="526"/>
      <c r="G29" s="530">
        <v>0</v>
      </c>
      <c r="H29" s="526"/>
      <c r="I29" s="530">
        <v>0</v>
      </c>
    </row>
    <row r="30" spans="1:13" ht="18.75" customHeight="1" thickBot="1">
      <c r="A30" s="46"/>
      <c r="B30" s="44" t="s">
        <v>138</v>
      </c>
      <c r="C30" s="43"/>
      <c r="D30" s="112"/>
      <c r="E30" s="530">
        <v>0</v>
      </c>
      <c r="F30" s="526"/>
      <c r="G30" s="530">
        <v>0</v>
      </c>
      <c r="H30" s="526"/>
      <c r="I30" s="530">
        <v>0</v>
      </c>
    </row>
    <row r="31" spans="1:13" ht="18.75" customHeight="1" thickBot="1">
      <c r="A31" s="43"/>
      <c r="B31" s="44" t="s">
        <v>340</v>
      </c>
      <c r="C31" s="43"/>
      <c r="D31" s="112"/>
      <c r="E31" s="530">
        <v>0</v>
      </c>
      <c r="F31" s="526"/>
      <c r="G31" s="530">
        <v>0</v>
      </c>
      <c r="H31" s="526"/>
      <c r="I31" s="530">
        <v>0</v>
      </c>
    </row>
    <row r="32" spans="1:13" ht="18.75" customHeight="1" thickBot="1">
      <c r="B32" s="44" t="s">
        <v>608</v>
      </c>
      <c r="C32" s="43"/>
      <c r="D32" s="112"/>
      <c r="E32" s="530">
        <v>0</v>
      </c>
      <c r="F32" s="526"/>
      <c r="G32" s="530">
        <v>0</v>
      </c>
      <c r="H32" s="526"/>
      <c r="I32" s="530">
        <v>0</v>
      </c>
    </row>
    <row r="33" spans="1:13" ht="18.75" customHeight="1" thickBot="1">
      <c r="B33" s="44" t="s">
        <v>416</v>
      </c>
      <c r="C33" s="43"/>
      <c r="D33" s="112"/>
      <c r="E33" s="530">
        <v>0</v>
      </c>
      <c r="F33" s="526"/>
      <c r="G33" s="530">
        <v>0</v>
      </c>
      <c r="H33" s="526"/>
      <c r="I33" s="530">
        <v>0</v>
      </c>
    </row>
    <row r="34" spans="1:13" ht="18.75" customHeight="1">
      <c r="C34" s="43"/>
      <c r="D34" s="112"/>
      <c r="E34" s="527"/>
      <c r="F34" s="527"/>
      <c r="G34" s="527"/>
      <c r="H34" s="527"/>
      <c r="I34" s="527"/>
      <c r="M34" s="112"/>
    </row>
    <row r="35" spans="1:13" ht="18.75" customHeight="1">
      <c r="A35" s="179" t="s">
        <v>460</v>
      </c>
      <c r="B35" s="180"/>
      <c r="C35" s="180"/>
      <c r="D35" s="113"/>
      <c r="E35" s="529">
        <f>SUM(E23:E34)+0.0001</f>
        <v>1E-4</v>
      </c>
      <c r="F35" s="514"/>
      <c r="G35" s="529">
        <f>SUM(G23:G34)+0.0001</f>
        <v>1E-4</v>
      </c>
      <c r="H35" s="514"/>
      <c r="I35" s="529">
        <f>SUM(I23:I34)+0.0001</f>
        <v>1E-4</v>
      </c>
    </row>
    <row r="36" spans="1:13" ht="18.75" customHeight="1">
      <c r="A36" s="90"/>
      <c r="B36" s="90"/>
      <c r="C36" s="1125" t="s">
        <v>461</v>
      </c>
      <c r="D36" s="513"/>
      <c r="E36" s="1116">
        <f>E35+E20</f>
        <v>1E-4</v>
      </c>
      <c r="F36" s="513"/>
      <c r="G36" s="1116">
        <f>G35+G20</f>
        <v>1E-4</v>
      </c>
      <c r="H36" s="513"/>
      <c r="I36" s="1116">
        <f>I35+I20</f>
        <v>1E-4</v>
      </c>
    </row>
    <row r="37" spans="1:13" ht="18.75" customHeight="1" thickBot="1">
      <c r="A37" s="100"/>
      <c r="B37" s="100"/>
      <c r="C37" s="1119"/>
      <c r="D37" s="114"/>
      <c r="E37" s="1121"/>
      <c r="F37" s="114"/>
      <c r="G37" s="1121"/>
      <c r="H37" s="114"/>
      <c r="I37" s="1121"/>
    </row>
    <row r="38" spans="1:13" ht="18.75" customHeight="1" thickTop="1">
      <c r="C38" s="177" t="s">
        <v>407</v>
      </c>
      <c r="D38" s="112"/>
      <c r="E38" s="112"/>
      <c r="F38" s="112"/>
      <c r="G38" s="112"/>
      <c r="H38" s="112"/>
      <c r="I38" s="112"/>
    </row>
    <row r="39" spans="1:13" ht="18.75" customHeight="1" thickBot="1">
      <c r="A39" s="46" t="s">
        <v>575</v>
      </c>
      <c r="D39" s="112"/>
      <c r="E39" s="112"/>
      <c r="F39" s="112"/>
      <c r="G39" s="112"/>
      <c r="H39" s="112"/>
      <c r="I39" s="112"/>
    </row>
    <row r="40" spans="1:13" ht="18.75" customHeight="1" thickBot="1">
      <c r="B40" s="44" t="s">
        <v>572</v>
      </c>
      <c r="D40" s="112"/>
      <c r="E40" s="530">
        <v>0</v>
      </c>
      <c r="F40" s="526"/>
      <c r="G40" s="530">
        <v>0</v>
      </c>
      <c r="H40" s="526"/>
      <c r="I40" s="530">
        <v>0</v>
      </c>
    </row>
    <row r="41" spans="1:13" ht="18.75" customHeight="1" thickBot="1">
      <c r="B41" s="44" t="s">
        <v>56</v>
      </c>
      <c r="D41" s="112"/>
      <c r="E41" s="530">
        <v>0</v>
      </c>
      <c r="F41" s="526"/>
      <c r="G41" s="530">
        <v>0</v>
      </c>
      <c r="H41" s="526"/>
      <c r="I41" s="530">
        <v>0</v>
      </c>
    </row>
    <row r="42" spans="1:13" ht="18.75" customHeight="1" thickBot="1">
      <c r="B42" s="44" t="s">
        <v>348</v>
      </c>
      <c r="D42" s="112"/>
      <c r="E42" s="530">
        <v>0</v>
      </c>
      <c r="F42" s="526"/>
      <c r="G42" s="530">
        <v>0</v>
      </c>
      <c r="H42" s="526"/>
      <c r="I42" s="530">
        <v>0</v>
      </c>
    </row>
    <row r="43" spans="1:13" ht="18.75" customHeight="1" thickBot="1">
      <c r="B43" s="44" t="s">
        <v>295</v>
      </c>
      <c r="D43" s="112"/>
      <c r="E43" s="530">
        <v>0</v>
      </c>
      <c r="F43" s="526"/>
      <c r="G43" s="530">
        <v>0</v>
      </c>
      <c r="H43" s="526"/>
      <c r="I43" s="530">
        <v>0</v>
      </c>
    </row>
    <row r="44" spans="1:13" ht="18.75" customHeight="1" thickBot="1">
      <c r="B44" s="44" t="s">
        <v>102</v>
      </c>
      <c r="D44" s="112"/>
      <c r="E44" s="530">
        <v>0</v>
      </c>
      <c r="F44" s="526"/>
      <c r="G44" s="530">
        <v>0</v>
      </c>
      <c r="H44" s="526"/>
      <c r="I44" s="530">
        <v>0</v>
      </c>
    </row>
    <row r="45" spans="1:13" ht="18.75" customHeight="1" thickBot="1">
      <c r="B45" s="44" t="s">
        <v>106</v>
      </c>
      <c r="D45" s="112"/>
      <c r="E45" s="530">
        <v>0</v>
      </c>
      <c r="F45" s="526"/>
      <c r="G45" s="530">
        <v>0</v>
      </c>
      <c r="H45" s="526"/>
      <c r="I45" s="530">
        <v>0</v>
      </c>
    </row>
    <row r="46" spans="1:13" ht="18.75" customHeight="1" thickBot="1">
      <c r="B46" s="44" t="s">
        <v>541</v>
      </c>
      <c r="D46" s="112"/>
      <c r="E46" s="530">
        <v>0</v>
      </c>
      <c r="F46" s="526"/>
      <c r="G46" s="530">
        <v>0</v>
      </c>
      <c r="H46" s="526"/>
      <c r="I46" s="530">
        <v>0</v>
      </c>
    </row>
    <row r="47" spans="1:13" ht="18.75" customHeight="1">
      <c r="A47" s="179" t="s">
        <v>462</v>
      </c>
      <c r="B47" s="180"/>
      <c r="C47" s="180"/>
      <c r="D47" s="113"/>
      <c r="E47" s="529">
        <f>SUM(E40:E46)</f>
        <v>0</v>
      </c>
      <c r="F47" s="113"/>
      <c r="G47" s="512">
        <f>SUM(G40:G46)</f>
        <v>0</v>
      </c>
      <c r="H47" s="113"/>
      <c r="I47" s="512">
        <f>SUM(I40:I46)</f>
        <v>0</v>
      </c>
    </row>
    <row r="48" spans="1:13" ht="18.75" customHeight="1">
      <c r="A48" s="46"/>
      <c r="D48" s="112"/>
      <c r="E48" s="112"/>
      <c r="F48" s="112"/>
      <c r="G48" s="112"/>
      <c r="H48" s="112"/>
      <c r="I48" s="112"/>
    </row>
    <row r="49" spans="1:15" ht="18.75" customHeight="1" thickBot="1">
      <c r="A49" s="46" t="s">
        <v>574</v>
      </c>
      <c r="D49" s="112"/>
      <c r="E49" s="112"/>
      <c r="F49" s="112"/>
      <c r="G49" s="112"/>
      <c r="H49" s="112"/>
      <c r="I49" s="112"/>
    </row>
    <row r="50" spans="1:15" ht="18.75" customHeight="1" thickBot="1">
      <c r="B50" s="44" t="s">
        <v>127</v>
      </c>
      <c r="D50" s="112"/>
      <c r="E50" s="530">
        <v>0</v>
      </c>
      <c r="F50" s="526"/>
      <c r="G50" s="530">
        <v>0</v>
      </c>
      <c r="H50" s="526"/>
      <c r="I50" s="530">
        <v>0</v>
      </c>
    </row>
    <row r="51" spans="1:15" ht="18.75" customHeight="1" thickBot="1">
      <c r="B51" s="44" t="s">
        <v>61</v>
      </c>
      <c r="D51" s="112"/>
      <c r="E51" s="530">
        <v>0</v>
      </c>
      <c r="F51" s="526"/>
      <c r="G51" s="530">
        <v>0</v>
      </c>
      <c r="H51" s="526"/>
      <c r="I51" s="530">
        <v>0</v>
      </c>
    </row>
    <row r="52" spans="1:15" ht="18.75" customHeight="1" thickBot="1">
      <c r="B52" s="44" t="s">
        <v>104</v>
      </c>
      <c r="D52" s="112"/>
      <c r="E52" s="530">
        <v>0</v>
      </c>
      <c r="F52" s="526"/>
      <c r="G52" s="530">
        <v>0</v>
      </c>
      <c r="H52" s="526"/>
      <c r="I52" s="530">
        <v>0</v>
      </c>
    </row>
    <row r="53" spans="1:15" ht="18.75" customHeight="1" thickBot="1">
      <c r="B53" s="44" t="s">
        <v>105</v>
      </c>
      <c r="D53" s="112"/>
      <c r="E53" s="530">
        <v>0</v>
      </c>
      <c r="F53" s="526"/>
      <c r="G53" s="530">
        <v>0</v>
      </c>
      <c r="H53" s="526"/>
      <c r="I53" s="530">
        <v>0</v>
      </c>
    </row>
    <row r="54" spans="1:15" ht="18.75" customHeight="1" thickBot="1">
      <c r="B54" s="44" t="s">
        <v>103</v>
      </c>
      <c r="D54" s="112"/>
      <c r="E54" s="530">
        <v>0</v>
      </c>
      <c r="F54" s="526"/>
      <c r="G54" s="530">
        <v>0</v>
      </c>
      <c r="H54" s="526"/>
      <c r="I54" s="530">
        <v>0</v>
      </c>
    </row>
    <row r="55" spans="1:15" ht="18.75" customHeight="1" thickBot="1">
      <c r="B55" s="44" t="s">
        <v>147</v>
      </c>
      <c r="D55" s="112"/>
      <c r="E55" s="530">
        <v>0</v>
      </c>
      <c r="F55" s="526"/>
      <c r="G55" s="530">
        <v>0</v>
      </c>
      <c r="H55" s="526"/>
      <c r="I55" s="530">
        <v>0</v>
      </c>
    </row>
    <row r="56" spans="1:15" ht="18.75" customHeight="1" thickBot="1">
      <c r="B56" s="44" t="s">
        <v>148</v>
      </c>
      <c r="D56" s="112"/>
      <c r="E56" s="530">
        <v>0</v>
      </c>
      <c r="F56" s="526"/>
      <c r="G56" s="530">
        <v>0</v>
      </c>
      <c r="H56" s="526"/>
      <c r="I56" s="530">
        <v>0</v>
      </c>
    </row>
    <row r="57" spans="1:15" ht="18.75" customHeight="1" thickBot="1">
      <c r="B57" s="44" t="s">
        <v>149</v>
      </c>
      <c r="D57" s="112"/>
      <c r="E57" s="530">
        <v>0</v>
      </c>
      <c r="F57" s="526"/>
      <c r="G57" s="530">
        <v>0</v>
      </c>
      <c r="H57" s="526"/>
      <c r="I57" s="530">
        <v>0</v>
      </c>
    </row>
    <row r="58" spans="1:15" ht="18.75" customHeight="1" thickBot="1">
      <c r="B58" s="44" t="s">
        <v>541</v>
      </c>
      <c r="D58" s="112"/>
      <c r="E58" s="530">
        <f>-E46</f>
        <v>0</v>
      </c>
      <c r="F58" s="526"/>
      <c r="G58" s="530">
        <f>-G46</f>
        <v>0</v>
      </c>
      <c r="H58" s="526"/>
      <c r="I58" s="530">
        <f>-I46</f>
        <v>0</v>
      </c>
    </row>
    <row r="59" spans="1:15" ht="18.75" customHeight="1">
      <c r="D59" s="112"/>
      <c r="E59" s="112"/>
      <c r="F59" s="112"/>
      <c r="G59" s="112"/>
      <c r="H59" s="112"/>
      <c r="I59" s="112"/>
    </row>
    <row r="60" spans="1:15" ht="18.75" customHeight="1">
      <c r="A60" s="179" t="s">
        <v>463</v>
      </c>
      <c r="B60" s="180"/>
      <c r="C60" s="180"/>
      <c r="D60" s="113"/>
      <c r="E60" s="512">
        <f>SUM(E50:E59)+0.0001</f>
        <v>1E-4</v>
      </c>
      <c r="F60" s="113"/>
      <c r="G60" s="512">
        <f>SUM(G50:G59)+0.0001</f>
        <v>1E-4</v>
      </c>
      <c r="H60" s="113"/>
      <c r="I60" s="512">
        <f>SUM(I50:I59)+0.0001</f>
        <v>1E-4</v>
      </c>
    </row>
    <row r="61" spans="1:15" s="48" customFormat="1" ht="18.75" customHeight="1">
      <c r="A61" s="181"/>
      <c r="B61" s="181"/>
      <c r="C61" s="1122" t="s">
        <v>464</v>
      </c>
      <c r="D61" s="517"/>
      <c r="E61" s="1116">
        <f>E60+E47</f>
        <v>1E-4</v>
      </c>
      <c r="F61" s="517"/>
      <c r="G61" s="1116">
        <f>G60+G47</f>
        <v>1E-4</v>
      </c>
      <c r="H61" s="517"/>
      <c r="I61" s="1116">
        <f>I60+I47</f>
        <v>1E-4</v>
      </c>
    </row>
    <row r="62" spans="1:15" s="48" customFormat="1" ht="18.75" customHeight="1" thickBot="1">
      <c r="A62" s="182"/>
      <c r="B62" s="182"/>
      <c r="C62" s="1123"/>
      <c r="D62" s="519"/>
      <c r="E62" s="1117"/>
      <c r="F62" s="519"/>
      <c r="G62" s="1117"/>
      <c r="H62" s="519"/>
      <c r="I62" s="1117"/>
    </row>
    <row r="63" spans="1:15" ht="18.75" customHeight="1" thickBot="1">
      <c r="C63" s="177" t="s">
        <v>408</v>
      </c>
      <c r="D63" s="112"/>
      <c r="E63" s="112"/>
      <c r="F63" s="112"/>
      <c r="G63" s="112"/>
      <c r="H63" s="112"/>
      <c r="I63" s="112"/>
      <c r="O63" s="112"/>
    </row>
    <row r="64" spans="1:15" ht="18.75" customHeight="1" thickBot="1">
      <c r="A64" s="46"/>
      <c r="B64" s="103" t="s">
        <v>87</v>
      </c>
      <c r="D64" s="112"/>
      <c r="E64" s="530">
        <v>0</v>
      </c>
      <c r="F64" s="526"/>
      <c r="G64" s="530">
        <v>0</v>
      </c>
      <c r="H64" s="526"/>
      <c r="I64" s="530">
        <v>0</v>
      </c>
    </row>
    <row r="65" spans="1:9" ht="18.75" customHeight="1" thickBot="1">
      <c r="A65" s="46"/>
      <c r="B65" s="103" t="s">
        <v>88</v>
      </c>
      <c r="D65" s="112"/>
      <c r="E65" s="530">
        <v>0</v>
      </c>
      <c r="F65" s="526"/>
      <c r="G65" s="530">
        <v>0</v>
      </c>
      <c r="H65" s="526"/>
      <c r="I65" s="530">
        <v>0</v>
      </c>
    </row>
    <row r="66" spans="1:9" ht="18.75" customHeight="1" thickBot="1">
      <c r="A66" s="46"/>
      <c r="B66" s="103" t="s">
        <v>64</v>
      </c>
      <c r="D66" s="112"/>
      <c r="E66" s="530">
        <v>0</v>
      </c>
      <c r="F66" s="526"/>
      <c r="G66" s="530">
        <v>0</v>
      </c>
      <c r="H66" s="526"/>
      <c r="I66" s="530">
        <v>0</v>
      </c>
    </row>
    <row r="67" spans="1:9" ht="18.75" customHeight="1" thickBot="1">
      <c r="A67" s="46"/>
      <c r="B67" s="103" t="s">
        <v>167</v>
      </c>
      <c r="D67" s="112"/>
      <c r="E67" s="530">
        <v>0</v>
      </c>
      <c r="F67" s="526"/>
      <c r="G67" s="530">
        <v>0</v>
      </c>
      <c r="H67" s="526"/>
      <c r="I67" s="530">
        <v>0</v>
      </c>
    </row>
    <row r="68" spans="1:9" ht="18.75" customHeight="1" thickBot="1">
      <c r="A68" s="46"/>
      <c r="B68" s="103" t="s">
        <v>124</v>
      </c>
      <c r="D68" s="112"/>
      <c r="E68" s="530">
        <v>0</v>
      </c>
      <c r="F68" s="526"/>
      <c r="G68" s="530">
        <v>0</v>
      </c>
      <c r="H68" s="526"/>
      <c r="I68" s="530">
        <v>0</v>
      </c>
    </row>
    <row r="69" spans="1:9" ht="18.75" customHeight="1" thickBot="1">
      <c r="A69" s="87"/>
      <c r="B69" s="183" t="s">
        <v>168</v>
      </c>
      <c r="C69" s="83"/>
      <c r="D69" s="514"/>
      <c r="E69" s="530">
        <v>0</v>
      </c>
      <c r="F69" s="527"/>
      <c r="G69" s="530">
        <v>0</v>
      </c>
      <c r="H69" s="527"/>
      <c r="I69" s="530">
        <v>0</v>
      </c>
    </row>
    <row r="70" spans="1:9" s="48" customFormat="1" ht="18.75" customHeight="1">
      <c r="A70" s="181"/>
      <c r="B70" s="181"/>
      <c r="C70" s="1122" t="s">
        <v>465</v>
      </c>
      <c r="D70" s="517"/>
      <c r="E70" s="1124">
        <f>SUM(E64:E69)</f>
        <v>0</v>
      </c>
      <c r="F70" s="517"/>
      <c r="G70" s="1116">
        <f>SUM(G64:G69)</f>
        <v>0</v>
      </c>
      <c r="H70" s="517"/>
      <c r="I70" s="1116">
        <f>SUM(I64:I69)</f>
        <v>0</v>
      </c>
    </row>
    <row r="71" spans="1:9" s="48" customFormat="1" ht="18.75" customHeight="1" thickBot="1">
      <c r="A71" s="182"/>
      <c r="B71" s="182"/>
      <c r="C71" s="1123"/>
      <c r="D71" s="519"/>
      <c r="E71" s="1117"/>
      <c r="F71" s="519"/>
      <c r="G71" s="1117"/>
      <c r="H71" s="519"/>
      <c r="I71" s="1117"/>
    </row>
    <row r="72" spans="1:9" ht="18.75" customHeight="1">
      <c r="A72" s="1118" t="s">
        <v>347</v>
      </c>
      <c r="B72" s="1118"/>
      <c r="C72" s="1118"/>
      <c r="D72" s="520"/>
      <c r="E72" s="1120">
        <f>E70+E61</f>
        <v>1E-4</v>
      </c>
      <c r="F72" s="520"/>
      <c r="G72" s="1120">
        <f>G70+G61</f>
        <v>1E-4</v>
      </c>
      <c r="H72" s="520"/>
      <c r="I72" s="1120">
        <f>I70+I61</f>
        <v>1E-4</v>
      </c>
    </row>
    <row r="73" spans="1:9" ht="18.75" customHeight="1" thickBot="1">
      <c r="A73" s="1119"/>
      <c r="B73" s="1119"/>
      <c r="C73" s="1119"/>
      <c r="D73" s="518"/>
      <c r="E73" s="1121"/>
      <c r="F73" s="518"/>
      <c r="G73" s="1121"/>
      <c r="H73" s="518"/>
      <c r="I73" s="1121"/>
    </row>
    <row r="74" spans="1:9" ht="13.5" thickTop="1"/>
    <row r="75" spans="1:9" ht="19.5" customHeight="1">
      <c r="A75" s="46"/>
      <c r="D75" s="184"/>
      <c r="E75" s="184"/>
      <c r="F75" s="184"/>
      <c r="G75" s="184"/>
      <c r="H75" s="184"/>
      <c r="I75" s="184"/>
    </row>
    <row r="77" spans="1:9">
      <c r="D77" s="1115"/>
      <c r="E77" s="1115"/>
      <c r="F77" s="115"/>
      <c r="G77" s="43"/>
      <c r="H77" s="43"/>
      <c r="I77" s="43"/>
    </row>
    <row r="78" spans="1:9" hidden="1">
      <c r="A78" s="104">
        <v>1</v>
      </c>
    </row>
  </sheetData>
  <sheetProtection password="E242" sheet="1" objects="1" scenarios="1"/>
  <customSheetViews>
    <customSheetView guid="{30D0538C-360A-4CDF-8D89-584CED1967CC}" scale="75" showGridLines="0" fitToPage="1" hiddenRows="1">
      <selection activeCell="C7" sqref="C7"/>
      <pageMargins left="0.78740157499999996" right="0.78740157499999996" top="0.984251969" bottom="0.984251969" header="0.4921259845" footer="0.4921259845"/>
      <pageSetup scale="49" orientation="portrait" r:id="rId1"/>
      <headerFooter alignWithMargins="0"/>
    </customSheetView>
    <customSheetView guid="{4F3169C3-3348-49DE-A6DC-8AA4D2A9D7A1}" scale="75" showGridLines="0" fitToPage="1" hiddenRows="1">
      <selection activeCell="C7" sqref="C7"/>
      <pageMargins left="0.78740157499999996" right="0.78740157499999996" top="0.984251969" bottom="0.984251969" header="0.4921259845" footer="0.4921259845"/>
      <pageSetup scale="49" orientation="portrait" r:id="rId2"/>
      <headerFooter alignWithMargins="0"/>
    </customSheetView>
  </customSheetViews>
  <mergeCells count="17">
    <mergeCell ref="I36:I37"/>
    <mergeCell ref="C61:C62"/>
    <mergeCell ref="E61:E62"/>
    <mergeCell ref="G61:G62"/>
    <mergeCell ref="I61:I62"/>
    <mergeCell ref="C36:C37"/>
    <mergeCell ref="E36:E37"/>
    <mergeCell ref="G36:G37"/>
    <mergeCell ref="D77:E77"/>
    <mergeCell ref="I70:I71"/>
    <mergeCell ref="A72:C73"/>
    <mergeCell ref="E72:E73"/>
    <mergeCell ref="G72:G73"/>
    <mergeCell ref="I72:I73"/>
    <mergeCell ref="C70:C71"/>
    <mergeCell ref="E70:E71"/>
    <mergeCell ref="G70:G71"/>
  </mergeCells>
  <phoneticPr fontId="0" type="noConversion"/>
  <pageMargins left="0.78740157499999996" right="0.78740157499999996" top="0.984251969" bottom="0.984251969" header="0.4921259845" footer="0.4921259845"/>
  <pageSetup scale="47" orientation="portrait"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2">
    <pageSetUpPr fitToPage="1"/>
  </sheetPr>
  <dimension ref="A2:H89"/>
  <sheetViews>
    <sheetView showGridLines="0" showRowColHeaders="0" showOutlineSymbols="0" topLeftCell="A52" zoomScale="75" zoomScaleNormal="75" workbookViewId="0">
      <selection activeCell="G88" sqref="G88"/>
    </sheetView>
  </sheetViews>
  <sheetFormatPr baseColWidth="10" defaultColWidth="11.453125" defaultRowHeight="13"/>
  <cols>
    <col min="1" max="1" width="5" style="44" customWidth="1"/>
    <col min="2" max="2" width="58.08984375" style="44" customWidth="1"/>
    <col min="3" max="3" width="25.453125" style="171" customWidth="1"/>
    <col min="4" max="4" width="7.36328125" style="81" customWidth="1"/>
    <col min="5" max="5" width="25.453125" style="171" customWidth="1"/>
    <col min="6" max="6" width="7.36328125" style="81" customWidth="1"/>
    <col min="7" max="7" width="25.453125" style="171" customWidth="1"/>
    <col min="8" max="8" width="7.36328125" style="82" customWidth="1"/>
    <col min="9" max="16384" width="11.453125" style="43"/>
  </cols>
  <sheetData>
    <row r="2" spans="1:8">
      <c r="A2" s="116"/>
    </row>
    <row r="3" spans="1:8">
      <c r="A3" s="80"/>
    </row>
    <row r="8" spans="1:8" s="772" customFormat="1" ht="25">
      <c r="A8" s="235" t="str">
        <f>RG!D17</f>
        <v>Jhon Wesly inc.</v>
      </c>
      <c r="B8" s="44"/>
      <c r="C8" s="171"/>
      <c r="D8" s="81"/>
      <c r="E8" s="171"/>
      <c r="F8" s="81"/>
      <c r="G8" s="171"/>
      <c r="H8" s="82"/>
    </row>
    <row r="9" spans="1:8" s="772" customFormat="1" hidden="1">
      <c r="A9" s="44"/>
      <c r="B9" s="44"/>
      <c r="C9" s="171"/>
      <c r="D9" s="81"/>
      <c r="E9" s="171"/>
      <c r="F9" s="81"/>
      <c r="G9" s="171"/>
      <c r="H9" s="82"/>
    </row>
    <row r="10" spans="1:8" s="772" customFormat="1" ht="15" customHeight="1">
      <c r="A10" s="45" t="s">
        <v>734</v>
      </c>
      <c r="B10" s="44"/>
      <c r="C10" s="171"/>
      <c r="D10" s="81"/>
      <c r="E10" s="171"/>
      <c r="F10" s="81"/>
      <c r="G10" s="171"/>
      <c r="H10" s="82"/>
    </row>
    <row r="11" spans="1:8" s="772" customFormat="1" hidden="1">
      <c r="A11" s="46"/>
      <c r="B11" s="44"/>
      <c r="C11" s="171"/>
      <c r="D11" s="81"/>
      <c r="E11" s="171"/>
      <c r="F11" s="81"/>
      <c r="G11" s="171"/>
      <c r="H11" s="82"/>
    </row>
    <row r="12" spans="1:8" s="772" customFormat="1">
      <c r="A12" s="46"/>
      <c r="B12" s="44"/>
      <c r="C12" s="171"/>
      <c r="D12" s="81"/>
      <c r="E12" s="171"/>
      <c r="F12" s="81"/>
      <c r="G12" s="171"/>
      <c r="H12" s="82"/>
    </row>
    <row r="13" spans="1:8" s="772" customFormat="1">
      <c r="A13" s="46"/>
      <c r="B13" s="44"/>
      <c r="C13" s="168" t="s">
        <v>173</v>
      </c>
      <c r="D13" s="81"/>
      <c r="E13" s="168" t="s">
        <v>173</v>
      </c>
      <c r="F13" s="81"/>
      <c r="G13" s="168" t="s">
        <v>173</v>
      </c>
      <c r="H13" s="82"/>
    </row>
    <row r="14" spans="1:8" s="772" customFormat="1" ht="12.75" customHeight="1" thickBot="1">
      <c r="A14" s="1126"/>
      <c r="B14" s="1126"/>
      <c r="C14" s="168" t="s">
        <v>174</v>
      </c>
      <c r="D14" s="89"/>
      <c r="E14" s="168" t="s">
        <v>174</v>
      </c>
      <c r="F14" s="89"/>
      <c r="G14" s="168" t="s">
        <v>174</v>
      </c>
      <c r="H14" s="82"/>
    </row>
    <row r="15" spans="1:8" s="772" customFormat="1" ht="18.75" customHeight="1" thickBot="1">
      <c r="A15" s="44"/>
      <c r="B15" s="44"/>
      <c r="C15" s="995"/>
      <c r="D15" s="88"/>
      <c r="E15" s="995"/>
      <c r="F15" s="89"/>
      <c r="G15" s="995"/>
      <c r="H15" s="170"/>
    </row>
    <row r="16" spans="1:8" s="772" customFormat="1" ht="18.75" customHeight="1" thickBot="1">
      <c r="A16" s="44"/>
      <c r="B16" s="44"/>
      <c r="C16" s="171"/>
      <c r="D16" s="81"/>
      <c r="E16" s="171"/>
      <c r="F16" s="88"/>
      <c r="G16" s="171"/>
      <c r="H16" s="82"/>
    </row>
    <row r="17" spans="1:8" s="772" customFormat="1" ht="18.75" customHeight="1" thickBot="1">
      <c r="A17" s="87" t="s">
        <v>409</v>
      </c>
      <c r="B17" s="83"/>
      <c r="C17" s="996">
        <v>0</v>
      </c>
      <c r="D17" s="85"/>
      <c r="E17" s="996">
        <v>0</v>
      </c>
      <c r="F17" s="85"/>
      <c r="G17" s="996">
        <v>0</v>
      </c>
      <c r="H17" s="86"/>
    </row>
    <row r="18" spans="1:8" s="772" customFormat="1" ht="18.75" customHeight="1">
      <c r="A18" s="46"/>
      <c r="B18" s="44"/>
      <c r="C18" s="172"/>
      <c r="D18" s="88"/>
      <c r="E18" s="172"/>
      <c r="F18" s="88"/>
      <c r="G18" s="172"/>
      <c r="H18" s="82"/>
    </row>
    <row r="19" spans="1:8" s="772" customFormat="1" ht="18.75" customHeight="1" thickBot="1">
      <c r="A19" s="44"/>
      <c r="B19" s="44"/>
      <c r="C19" s="173"/>
      <c r="D19" s="81"/>
      <c r="E19" s="173"/>
      <c r="F19" s="81"/>
      <c r="G19" s="173"/>
      <c r="H19" s="82"/>
    </row>
    <row r="20" spans="1:8" s="772" customFormat="1" ht="18.75" customHeight="1" thickBot="1">
      <c r="A20" s="46" t="s">
        <v>178</v>
      </c>
      <c r="B20" s="44"/>
      <c r="C20" s="997">
        <v>-1E-3</v>
      </c>
      <c r="D20" s="998" t="e">
        <f>-C20/C17</f>
        <v>#DIV/0!</v>
      </c>
      <c r="E20" s="997">
        <v>-1E-3</v>
      </c>
      <c r="F20" s="81" t="e">
        <f>-E20/E17</f>
        <v>#DIV/0!</v>
      </c>
      <c r="G20" s="997">
        <v>-1E-3</v>
      </c>
      <c r="H20" s="81" t="e">
        <f>-G20/G17</f>
        <v>#DIV/0!</v>
      </c>
    </row>
    <row r="21" spans="1:8" s="772" customFormat="1" ht="18.75" customHeight="1" thickBot="1">
      <c r="A21" s="46"/>
      <c r="B21" s="44"/>
      <c r="C21" s="173"/>
      <c r="D21" s="81"/>
      <c r="E21" s="173"/>
      <c r="F21" s="81"/>
      <c r="G21" s="173"/>
      <c r="H21" s="89"/>
    </row>
    <row r="22" spans="1:8" s="772" customFormat="1" ht="18.75" customHeight="1" thickBot="1">
      <c r="A22" s="46" t="s">
        <v>612</v>
      </c>
      <c r="B22" s="44"/>
      <c r="C22" s="997">
        <v>-1E-3</v>
      </c>
      <c r="D22" s="81" t="e">
        <f>-C22/C17</f>
        <v>#DIV/0!</v>
      </c>
      <c r="E22" s="997">
        <v>-1E-3</v>
      </c>
      <c r="F22" s="81" t="e">
        <f>-E22/E17</f>
        <v>#DIV/0!</v>
      </c>
      <c r="G22" s="997">
        <v>-1E-3</v>
      </c>
      <c r="H22" s="89" t="e">
        <f>-G22/G17</f>
        <v>#DIV/0!</v>
      </c>
    </row>
    <row r="23" spans="1:8" s="772" customFormat="1" ht="18.75" customHeight="1">
      <c r="A23" s="83"/>
      <c r="B23" s="83"/>
      <c r="C23" s="174"/>
      <c r="D23" s="84"/>
      <c r="E23" s="174"/>
      <c r="F23" s="84"/>
      <c r="G23" s="174"/>
      <c r="H23" s="84"/>
    </row>
    <row r="24" spans="1:8" s="772" customFormat="1" ht="18.75" customHeight="1">
      <c r="A24" s="90"/>
      <c r="B24" s="90"/>
      <c r="C24" s="175"/>
      <c r="D24" s="91"/>
      <c r="E24" s="175"/>
      <c r="F24" s="91"/>
      <c r="G24" s="175"/>
      <c r="H24" s="89"/>
    </row>
    <row r="25" spans="1:8" s="772" customFormat="1" ht="18.75" customHeight="1">
      <c r="A25" s="46" t="s">
        <v>566</v>
      </c>
      <c r="B25" s="44"/>
      <c r="C25" s="172">
        <f>SUM(C17:C22)</f>
        <v>-2E-3</v>
      </c>
      <c r="D25" s="89" t="e">
        <f>C25/C17</f>
        <v>#DIV/0!</v>
      </c>
      <c r="E25" s="172">
        <f>SUM(E17:E22)</f>
        <v>-2E-3</v>
      </c>
      <c r="F25" s="89" t="e">
        <f>E25/E17</f>
        <v>#DIV/0!</v>
      </c>
      <c r="G25" s="172">
        <f>SUM(G17:G22)</f>
        <v>-2E-3</v>
      </c>
      <c r="H25" s="89" t="e">
        <f>F25</f>
        <v>#DIV/0!</v>
      </c>
    </row>
    <row r="26" spans="1:8" s="772" customFormat="1" ht="18.75" customHeight="1">
      <c r="A26" s="83"/>
      <c r="B26" s="83"/>
      <c r="C26" s="174"/>
      <c r="D26" s="84"/>
      <c r="E26" s="174"/>
      <c r="F26" s="84"/>
      <c r="G26" s="174"/>
      <c r="H26" s="84"/>
    </row>
    <row r="27" spans="1:8" s="772" customFormat="1" ht="18.75" customHeight="1">
      <c r="A27" s="46" t="str">
        <f>ER!A27</f>
        <v>FRAIS GÉNÉRAUX</v>
      </c>
      <c r="B27" s="44"/>
      <c r="C27" s="173"/>
      <c r="D27" s="81"/>
      <c r="E27" s="173"/>
      <c r="F27" s="81"/>
      <c r="G27" s="173"/>
      <c r="H27" s="89"/>
    </row>
    <row r="28" spans="1:8" s="772" customFormat="1" ht="18.75" customHeight="1" thickBot="1">
      <c r="A28" s="1127" t="str">
        <f>'BC1'!A38</f>
        <v>FRAIS D'EXPLOITATION</v>
      </c>
      <c r="B28" s="1127"/>
      <c r="C28" s="173"/>
      <c r="D28" s="81"/>
      <c r="E28" s="173"/>
      <c r="F28" s="81"/>
      <c r="G28" s="173"/>
      <c r="H28" s="89"/>
    </row>
    <row r="29" spans="1:8" s="772" customFormat="1" ht="18.75" customHeight="1" thickBot="1">
      <c r="A29" s="576"/>
      <c r="B29" s="576" t="str">
        <f>'BC1'!A39</f>
        <v>Loyer</v>
      </c>
      <c r="C29" s="997">
        <v>0</v>
      </c>
      <c r="D29" s="92" t="e">
        <f t="shared" ref="D29:D45" si="0">C29/$C$17</f>
        <v>#DIV/0!</v>
      </c>
      <c r="E29" s="997">
        <v>0</v>
      </c>
      <c r="F29" s="92" t="e">
        <f t="shared" ref="F29:F45" si="1">E29/$E$17</f>
        <v>#DIV/0!</v>
      </c>
      <c r="G29" s="997">
        <v>0</v>
      </c>
      <c r="H29" s="93" t="e">
        <f t="shared" ref="H29:H45" si="2">G29/$G$17</f>
        <v>#DIV/0!</v>
      </c>
    </row>
    <row r="30" spans="1:8" s="772" customFormat="1" ht="18.75" customHeight="1" thickBot="1">
      <c r="A30" s="576"/>
      <c r="B30" s="576" t="str">
        <f>'BC1'!A40</f>
        <v>Coût d'énergie</v>
      </c>
      <c r="C30" s="997">
        <v>0</v>
      </c>
      <c r="D30" s="92" t="e">
        <f t="shared" si="0"/>
        <v>#DIV/0!</v>
      </c>
      <c r="E30" s="997">
        <v>0</v>
      </c>
      <c r="F30" s="92" t="e">
        <f t="shared" si="1"/>
        <v>#DIV/0!</v>
      </c>
      <c r="G30" s="997">
        <v>0</v>
      </c>
      <c r="H30" s="93" t="e">
        <f t="shared" si="2"/>
        <v>#DIV/0!</v>
      </c>
    </row>
    <row r="31" spans="1:8" s="772" customFormat="1" ht="18.75" customHeight="1" thickBot="1">
      <c r="A31" s="576"/>
      <c r="B31" s="576" t="str">
        <f>'BC1'!A41</f>
        <v>Entretien / réparation</v>
      </c>
      <c r="C31" s="997">
        <v>0</v>
      </c>
      <c r="D31" s="92" t="e">
        <f t="shared" si="0"/>
        <v>#DIV/0!</v>
      </c>
      <c r="E31" s="997">
        <v>0</v>
      </c>
      <c r="F31" s="92" t="e">
        <f t="shared" si="1"/>
        <v>#DIV/0!</v>
      </c>
      <c r="G31" s="997">
        <v>0</v>
      </c>
      <c r="H31" s="93" t="e">
        <f t="shared" si="2"/>
        <v>#DIV/0!</v>
      </c>
    </row>
    <row r="32" spans="1:8" s="772" customFormat="1" ht="18.75" customHeight="1" thickBot="1">
      <c r="A32" s="576"/>
      <c r="B32" s="576" t="str">
        <f>'BC1'!A42</f>
        <v>Services sanitaires</v>
      </c>
      <c r="C32" s="997">
        <v>0</v>
      </c>
      <c r="D32" s="92" t="e">
        <f t="shared" si="0"/>
        <v>#DIV/0!</v>
      </c>
      <c r="E32" s="997">
        <v>0</v>
      </c>
      <c r="F32" s="92" t="e">
        <f t="shared" si="1"/>
        <v>#DIV/0!</v>
      </c>
      <c r="G32" s="997">
        <v>0</v>
      </c>
      <c r="H32" s="93" t="e">
        <f t="shared" si="2"/>
        <v>#DIV/0!</v>
      </c>
    </row>
    <row r="33" spans="1:8" s="772" customFormat="1" ht="18.75" customHeight="1" thickBot="1">
      <c r="A33" s="576"/>
      <c r="B33" s="576" t="str">
        <f>'BC1'!A43</f>
        <v>Frais de déplacement</v>
      </c>
      <c r="C33" s="997">
        <v>0</v>
      </c>
      <c r="D33" s="92" t="e">
        <f t="shared" si="0"/>
        <v>#DIV/0!</v>
      </c>
      <c r="E33" s="997">
        <v>0</v>
      </c>
      <c r="F33" s="92" t="e">
        <f t="shared" si="1"/>
        <v>#DIV/0!</v>
      </c>
      <c r="G33" s="997">
        <v>0</v>
      </c>
      <c r="H33" s="93" t="e">
        <f t="shared" si="2"/>
        <v>#DIV/0!</v>
      </c>
    </row>
    <row r="34" spans="1:8" s="772" customFormat="1" ht="18.75" customHeight="1" thickBot="1">
      <c r="A34" s="576"/>
      <c r="B34" s="576" t="str">
        <f>'BC1'!A44</f>
        <v>Immatriculation et permis</v>
      </c>
      <c r="C34" s="997">
        <v>0</v>
      </c>
      <c r="D34" s="92" t="e">
        <f t="shared" si="0"/>
        <v>#DIV/0!</v>
      </c>
      <c r="E34" s="997">
        <v>0</v>
      </c>
      <c r="F34" s="92" t="e">
        <f t="shared" si="1"/>
        <v>#DIV/0!</v>
      </c>
      <c r="G34" s="997">
        <v>0</v>
      </c>
      <c r="H34" s="93" t="e">
        <f t="shared" si="2"/>
        <v>#DIV/0!</v>
      </c>
    </row>
    <row r="35" spans="1:8" s="772" customFormat="1" ht="18.75" customHeight="1" thickBot="1">
      <c r="A35" s="576"/>
      <c r="B35" s="576" t="str">
        <f>'BC1'!A45</f>
        <v>Assurances</v>
      </c>
      <c r="C35" s="997">
        <v>0</v>
      </c>
      <c r="D35" s="92" t="e">
        <f t="shared" si="0"/>
        <v>#DIV/0!</v>
      </c>
      <c r="E35" s="997">
        <v>0</v>
      </c>
      <c r="F35" s="92" t="e">
        <f t="shared" si="1"/>
        <v>#DIV/0!</v>
      </c>
      <c r="G35" s="997">
        <v>0</v>
      </c>
      <c r="H35" s="93" t="e">
        <f t="shared" si="2"/>
        <v>#DIV/0!</v>
      </c>
    </row>
    <row r="36" spans="1:8" s="772" customFormat="1" ht="18.75" customHeight="1" thickBot="1">
      <c r="A36" s="576"/>
      <c r="B36" s="576" t="str">
        <f>'BC1'!A46</f>
        <v>Dépenses R&amp;D</v>
      </c>
      <c r="C36" s="997">
        <v>0</v>
      </c>
      <c r="D36" s="92" t="e">
        <f t="shared" si="0"/>
        <v>#DIV/0!</v>
      </c>
      <c r="E36" s="997">
        <v>0</v>
      </c>
      <c r="F36" s="92" t="e">
        <f t="shared" si="1"/>
        <v>#DIV/0!</v>
      </c>
      <c r="G36" s="997">
        <v>0</v>
      </c>
      <c r="H36" s="93" t="e">
        <f t="shared" si="2"/>
        <v>#DIV/0!</v>
      </c>
    </row>
    <row r="37" spans="1:8" s="772" customFormat="1" ht="18.75" customHeight="1" thickBot="1">
      <c r="A37" s="576"/>
      <c r="B37" s="576" t="str">
        <f>'BC1'!A47</f>
        <v>Autre frais d'exploitation 1</v>
      </c>
      <c r="C37" s="997">
        <v>0</v>
      </c>
      <c r="D37" s="92" t="e">
        <f t="shared" si="0"/>
        <v>#DIV/0!</v>
      </c>
      <c r="E37" s="997">
        <v>0</v>
      </c>
      <c r="F37" s="92" t="e">
        <f t="shared" si="1"/>
        <v>#DIV/0!</v>
      </c>
      <c r="G37" s="997">
        <v>0</v>
      </c>
      <c r="H37" s="93" t="e">
        <f t="shared" si="2"/>
        <v>#DIV/0!</v>
      </c>
    </row>
    <row r="38" spans="1:8" s="772" customFormat="1" ht="18.75" customHeight="1" thickBot="1">
      <c r="A38" s="576"/>
      <c r="B38" s="576" t="str">
        <f>'BC1'!A48</f>
        <v>Autre frais d'exploitation 2</v>
      </c>
      <c r="C38" s="997">
        <v>0</v>
      </c>
      <c r="D38" s="92" t="e">
        <f t="shared" si="0"/>
        <v>#DIV/0!</v>
      </c>
      <c r="E38" s="997">
        <v>0</v>
      </c>
      <c r="F38" s="92" t="e">
        <f t="shared" si="1"/>
        <v>#DIV/0!</v>
      </c>
      <c r="G38" s="997">
        <v>0</v>
      </c>
      <c r="H38" s="93" t="e">
        <f t="shared" si="2"/>
        <v>#DIV/0!</v>
      </c>
    </row>
    <row r="39" spans="1:8" s="772" customFormat="1" ht="18.75" customHeight="1" thickBot="1">
      <c r="A39" s="1127" t="str">
        <f>'BC1'!A55</f>
        <v>FRAIS DE VENTE</v>
      </c>
      <c r="B39" s="1127"/>
      <c r="C39" s="999"/>
      <c r="D39" s="93"/>
      <c r="E39" s="999"/>
      <c r="F39" s="93"/>
      <c r="G39" s="999"/>
      <c r="H39" s="93"/>
    </row>
    <row r="40" spans="1:8" s="772" customFormat="1" ht="18.75" customHeight="1" thickBot="1">
      <c r="A40" s="576"/>
      <c r="B40" s="576" t="str">
        <f>'BC1'!A56</f>
        <v>Frais de représentation</v>
      </c>
      <c r="C40" s="997">
        <v>0</v>
      </c>
      <c r="D40" s="92" t="e">
        <f t="shared" si="0"/>
        <v>#DIV/0!</v>
      </c>
      <c r="E40" s="997">
        <v>0</v>
      </c>
      <c r="F40" s="92" t="e">
        <f t="shared" si="1"/>
        <v>#DIV/0!</v>
      </c>
      <c r="G40" s="997">
        <v>0</v>
      </c>
      <c r="H40" s="93" t="e">
        <f t="shared" si="2"/>
        <v>#DIV/0!</v>
      </c>
    </row>
    <row r="41" spans="1:8" s="772" customFormat="1" ht="18.75" customHeight="1" thickBot="1">
      <c r="A41" s="576"/>
      <c r="B41" s="576" t="str">
        <f>'BC1'!A57</f>
        <v>Publicité</v>
      </c>
      <c r="C41" s="997">
        <v>0</v>
      </c>
      <c r="D41" s="92" t="e">
        <f t="shared" si="0"/>
        <v>#DIV/0!</v>
      </c>
      <c r="E41" s="997">
        <v>0</v>
      </c>
      <c r="F41" s="92" t="e">
        <f t="shared" si="1"/>
        <v>#DIV/0!</v>
      </c>
      <c r="G41" s="997">
        <v>0</v>
      </c>
      <c r="H41" s="93" t="e">
        <f t="shared" si="2"/>
        <v>#DIV/0!</v>
      </c>
    </row>
    <row r="42" spans="1:8" s="772" customFormat="1" ht="18.75" customHeight="1" thickBot="1">
      <c r="A42" s="576"/>
      <c r="B42" s="576" t="str">
        <f>'BC1'!A58</f>
        <v>Autres frais de vente 1</v>
      </c>
      <c r="C42" s="997">
        <v>0</v>
      </c>
      <c r="D42" s="92" t="e">
        <f t="shared" si="0"/>
        <v>#DIV/0!</v>
      </c>
      <c r="E42" s="997">
        <v>0</v>
      </c>
      <c r="F42" s="92" t="e">
        <f t="shared" si="1"/>
        <v>#DIV/0!</v>
      </c>
      <c r="G42" s="997">
        <v>0</v>
      </c>
      <c r="H42" s="93" t="e">
        <f t="shared" si="2"/>
        <v>#DIV/0!</v>
      </c>
    </row>
    <row r="43" spans="1:8" s="772" customFormat="1" ht="18.75" customHeight="1" thickBot="1">
      <c r="A43" s="1127" t="str">
        <f>'BC1'!A63</f>
        <v>FRAIS D'ADMINISTRATION</v>
      </c>
      <c r="B43" s="1127"/>
      <c r="C43" s="999"/>
      <c r="D43" s="93"/>
      <c r="E43" s="999"/>
      <c r="F43" s="93"/>
      <c r="G43" s="999"/>
      <c r="H43" s="93"/>
    </row>
    <row r="44" spans="1:8" s="772" customFormat="1" ht="18.75" customHeight="1" thickBot="1">
      <c r="A44" s="871"/>
      <c r="B44" s="576" t="str">
        <f>'BC1'!A64</f>
        <v>Salaires administratifs</v>
      </c>
      <c r="C44" s="997">
        <v>0</v>
      </c>
      <c r="D44" s="92" t="e">
        <f t="shared" si="0"/>
        <v>#DIV/0!</v>
      </c>
      <c r="E44" s="997">
        <v>0</v>
      </c>
      <c r="F44" s="92" t="e">
        <f t="shared" si="1"/>
        <v>#DIV/0!</v>
      </c>
      <c r="G44" s="997">
        <v>0</v>
      </c>
      <c r="H44" s="93" t="e">
        <f t="shared" si="2"/>
        <v>#DIV/0!</v>
      </c>
    </row>
    <row r="45" spans="1:8" s="772" customFormat="1" ht="18.75" customHeight="1" thickBot="1">
      <c r="A45" s="871"/>
      <c r="B45" s="576" t="str">
        <f>'BC1'!A65</f>
        <v xml:space="preserve">   avantages</v>
      </c>
      <c r="C45" s="997">
        <v>0</v>
      </c>
      <c r="D45" s="92" t="e">
        <f t="shared" si="0"/>
        <v>#DIV/0!</v>
      </c>
      <c r="E45" s="997">
        <v>0</v>
      </c>
      <c r="F45" s="92" t="e">
        <f t="shared" si="1"/>
        <v>#DIV/0!</v>
      </c>
      <c r="G45" s="997">
        <v>0</v>
      </c>
      <c r="H45" s="93" t="e">
        <f t="shared" si="2"/>
        <v>#DIV/0!</v>
      </c>
    </row>
    <row r="46" spans="1:8" s="772" customFormat="1" ht="18.75" customHeight="1" thickBot="1">
      <c r="A46" s="871"/>
      <c r="B46" s="576" t="str">
        <f>'BC1'!A66</f>
        <v>Téléphonie et internet</v>
      </c>
      <c r="C46" s="997">
        <v>0</v>
      </c>
      <c r="D46" s="92" t="e">
        <f t="shared" ref="D46:D56" si="3">C46/$C$17</f>
        <v>#DIV/0!</v>
      </c>
      <c r="E46" s="997">
        <v>0</v>
      </c>
      <c r="F46" s="92" t="e">
        <f t="shared" ref="F46:F56" si="4">E46/$E$17</f>
        <v>#DIV/0!</v>
      </c>
      <c r="G46" s="997">
        <v>0</v>
      </c>
      <c r="H46" s="93" t="e">
        <f t="shared" ref="H46:H56" si="5">G46/$G$17</f>
        <v>#DIV/0!</v>
      </c>
    </row>
    <row r="47" spans="1:8" s="772" customFormat="1" ht="18.75" customHeight="1" thickBot="1">
      <c r="A47" s="871"/>
      <c r="B47" s="576" t="str">
        <f>'BC1'!A67</f>
        <v>Honoraires professionnels</v>
      </c>
      <c r="C47" s="997">
        <v>0</v>
      </c>
      <c r="D47" s="92" t="e">
        <f t="shared" si="3"/>
        <v>#DIV/0!</v>
      </c>
      <c r="E47" s="997">
        <v>0</v>
      </c>
      <c r="F47" s="92" t="e">
        <f t="shared" si="4"/>
        <v>#DIV/0!</v>
      </c>
      <c r="G47" s="997">
        <v>0</v>
      </c>
      <c r="H47" s="93" t="e">
        <f t="shared" si="5"/>
        <v>#DIV/0!</v>
      </c>
    </row>
    <row r="48" spans="1:8" s="772" customFormat="1" ht="18.75" customHeight="1" thickBot="1">
      <c r="A48" s="871"/>
      <c r="B48" s="576" t="str">
        <f>'BC1'!A68</f>
        <v>Frais de bureau</v>
      </c>
      <c r="C48" s="997">
        <v>0</v>
      </c>
      <c r="D48" s="92" t="e">
        <f t="shared" si="3"/>
        <v>#DIV/0!</v>
      </c>
      <c r="E48" s="997">
        <v>0</v>
      </c>
      <c r="F48" s="92" t="e">
        <f t="shared" si="4"/>
        <v>#DIV/0!</v>
      </c>
      <c r="G48" s="997">
        <v>0</v>
      </c>
      <c r="H48" s="93" t="e">
        <f t="shared" si="5"/>
        <v>#DIV/0!</v>
      </c>
    </row>
    <row r="49" spans="1:8" s="772" customFormat="1" ht="18.75" customHeight="1" thickBot="1">
      <c r="A49" s="871"/>
      <c r="B49" s="576" t="str">
        <f>'BC1'!A69</f>
        <v>Mauvaises créances</v>
      </c>
      <c r="C49" s="997">
        <v>0</v>
      </c>
      <c r="D49" s="92" t="e">
        <f t="shared" si="3"/>
        <v>#DIV/0!</v>
      </c>
      <c r="E49" s="997">
        <v>0</v>
      </c>
      <c r="F49" s="92" t="e">
        <f t="shared" si="4"/>
        <v>#DIV/0!</v>
      </c>
      <c r="G49" s="997">
        <v>0</v>
      </c>
      <c r="H49" s="93" t="e">
        <f t="shared" si="5"/>
        <v>#DIV/0!</v>
      </c>
    </row>
    <row r="50" spans="1:8" s="772" customFormat="1" ht="18.75" customHeight="1" thickBot="1">
      <c r="A50" s="871"/>
      <c r="B50" s="576" t="str">
        <f>'BC1'!A70</f>
        <v>Fournitures de bureau</v>
      </c>
      <c r="C50" s="997">
        <v>0</v>
      </c>
      <c r="D50" s="92" t="e">
        <f t="shared" si="3"/>
        <v>#DIV/0!</v>
      </c>
      <c r="E50" s="997">
        <v>0</v>
      </c>
      <c r="F50" s="92" t="e">
        <f t="shared" si="4"/>
        <v>#DIV/0!</v>
      </c>
      <c r="G50" s="997">
        <v>0</v>
      </c>
      <c r="H50" s="93" t="e">
        <f t="shared" si="5"/>
        <v>#DIV/0!</v>
      </c>
    </row>
    <row r="51" spans="1:8" s="772" customFormat="1" ht="18.75" customHeight="1" thickBot="1">
      <c r="A51" s="871"/>
      <c r="B51" s="576" t="str">
        <f>'BC1'!A71</f>
        <v>Fais d'hébèrgement de site Web</v>
      </c>
      <c r="C51" s="997">
        <v>0</v>
      </c>
      <c r="D51" s="92" t="e">
        <f t="shared" si="3"/>
        <v>#DIV/0!</v>
      </c>
      <c r="E51" s="997">
        <v>0</v>
      </c>
      <c r="F51" s="92" t="e">
        <f t="shared" si="4"/>
        <v>#DIV/0!</v>
      </c>
      <c r="G51" s="997">
        <v>0</v>
      </c>
      <c r="H51" s="93" t="e">
        <f t="shared" si="5"/>
        <v>#DIV/0!</v>
      </c>
    </row>
    <row r="52" spans="1:8" s="772" customFormat="1" ht="18.75" customHeight="1" thickBot="1">
      <c r="A52" s="1127" t="str">
        <f>'BC1'!A77</f>
        <v>FRAIS FINANCIERS</v>
      </c>
      <c r="B52" s="1127"/>
      <c r="C52" s="999"/>
      <c r="D52" s="93"/>
      <c r="E52" s="999"/>
      <c r="F52" s="93"/>
      <c r="G52" s="999"/>
      <c r="H52" s="93"/>
    </row>
    <row r="53" spans="1:8" s="772" customFormat="1" ht="18.75" customHeight="1" thickBot="1">
      <c r="A53" s="871"/>
      <c r="B53" s="576" t="str">
        <f>'BC1'!A78</f>
        <v>Frais bancaires</v>
      </c>
      <c r="C53" s="997">
        <v>0</v>
      </c>
      <c r="D53" s="92" t="e">
        <f t="shared" si="3"/>
        <v>#DIV/0!</v>
      </c>
      <c r="E53" s="997">
        <v>0</v>
      </c>
      <c r="F53" s="92" t="e">
        <f t="shared" si="4"/>
        <v>#DIV/0!</v>
      </c>
      <c r="G53" s="997">
        <v>0</v>
      </c>
      <c r="H53" s="93" t="e">
        <f t="shared" si="5"/>
        <v>#DIV/0!</v>
      </c>
    </row>
    <row r="54" spans="1:8" s="772" customFormat="1" ht="18.75" customHeight="1" thickBot="1">
      <c r="A54" s="871"/>
      <c r="B54" s="576" t="str">
        <f>'BC1'!A79</f>
        <v>Frais de carte de crédit</v>
      </c>
      <c r="C54" s="997">
        <v>0</v>
      </c>
      <c r="D54" s="92" t="e">
        <f t="shared" si="3"/>
        <v>#DIV/0!</v>
      </c>
      <c r="E54" s="997">
        <v>0</v>
      </c>
      <c r="F54" s="92" t="e">
        <f t="shared" si="4"/>
        <v>#DIV/0!</v>
      </c>
      <c r="G54" s="997">
        <v>0</v>
      </c>
      <c r="H54" s="93" t="e">
        <f t="shared" si="5"/>
        <v>#DIV/0!</v>
      </c>
    </row>
    <row r="55" spans="1:8" s="772" customFormat="1" ht="18.75" customHeight="1" thickBot="1">
      <c r="A55" s="871"/>
      <c r="B55" s="576" t="str">
        <f>'BC1'!A83</f>
        <v>Autres frais financiers 4</v>
      </c>
      <c r="C55" s="997">
        <v>0</v>
      </c>
      <c r="D55" s="92" t="e">
        <f t="shared" si="3"/>
        <v>#DIV/0!</v>
      </c>
      <c r="E55" s="997">
        <v>0</v>
      </c>
      <c r="F55" s="92" t="e">
        <f t="shared" si="4"/>
        <v>#DIV/0!</v>
      </c>
      <c r="G55" s="997">
        <v>0</v>
      </c>
      <c r="H55" s="93" t="e">
        <f t="shared" si="5"/>
        <v>#DIV/0!</v>
      </c>
    </row>
    <row r="56" spans="1:8" s="772" customFormat="1" ht="18.75" customHeight="1" thickBot="1">
      <c r="A56" s="576"/>
      <c r="B56" s="576" t="s">
        <v>730</v>
      </c>
      <c r="C56" s="997">
        <v>0</v>
      </c>
      <c r="D56" s="92" t="e">
        <f t="shared" si="3"/>
        <v>#DIV/0!</v>
      </c>
      <c r="E56" s="997">
        <v>0</v>
      </c>
      <c r="F56" s="92" t="e">
        <f t="shared" si="4"/>
        <v>#DIV/0!</v>
      </c>
      <c r="G56" s="997">
        <v>0</v>
      </c>
      <c r="H56" s="93" t="e">
        <f t="shared" si="5"/>
        <v>#DIV/0!</v>
      </c>
    </row>
    <row r="57" spans="1:8" s="772" customFormat="1" ht="18.75" customHeight="1">
      <c r="A57" s="44"/>
      <c r="B57" s="44"/>
      <c r="C57" s="1087"/>
      <c r="D57" s="93"/>
      <c r="E57" s="1087"/>
      <c r="F57" s="93"/>
      <c r="G57" s="1087"/>
      <c r="H57" s="93"/>
    </row>
    <row r="58" spans="1:8" s="772" customFormat="1" ht="18.75" customHeight="1">
      <c r="A58" s="83"/>
      <c r="B58" s="83"/>
      <c r="C58" s="173"/>
      <c r="D58" s="89"/>
      <c r="E58" s="173"/>
      <c r="F58" s="89"/>
      <c r="G58" s="173"/>
      <c r="H58" s="84"/>
    </row>
    <row r="59" spans="1:8" s="772" customFormat="1" ht="18.75" customHeight="1">
      <c r="A59" s="44"/>
      <c r="B59" s="44"/>
      <c r="C59" s="175"/>
      <c r="D59" s="91"/>
      <c r="E59" s="175"/>
      <c r="F59" s="91"/>
      <c r="G59" s="175"/>
      <c r="H59" s="89"/>
    </row>
    <row r="60" spans="1:8" s="772" customFormat="1" ht="18.75" customHeight="1">
      <c r="A60" s="46" t="s">
        <v>731</v>
      </c>
      <c r="B60" s="44"/>
      <c r="C60" s="172">
        <f>-SUM(C29:C57)</f>
        <v>0</v>
      </c>
      <c r="D60" s="94" t="e">
        <f>-C60/C17</f>
        <v>#DIV/0!</v>
      </c>
      <c r="E60" s="172">
        <f>-SUM(E29:E57)</f>
        <v>0</v>
      </c>
      <c r="F60" s="94" t="e">
        <f>-E60/E17</f>
        <v>#DIV/0!</v>
      </c>
      <c r="G60" s="172">
        <f>-SUM(G29:G57)</f>
        <v>0</v>
      </c>
      <c r="H60" s="89" t="e">
        <f>-G60/G17</f>
        <v>#DIV/0!</v>
      </c>
    </row>
    <row r="61" spans="1:8" s="772" customFormat="1" ht="18.75" customHeight="1">
      <c r="A61" s="83"/>
      <c r="B61" s="83"/>
      <c r="C61" s="174"/>
      <c r="D61" s="95"/>
      <c r="E61" s="174"/>
      <c r="F61" s="95"/>
      <c r="G61" s="174"/>
      <c r="H61" s="84"/>
    </row>
    <row r="62" spans="1:8" s="772" customFormat="1" ht="18.75" customHeight="1">
      <c r="A62" s="44"/>
      <c r="B62" s="44"/>
      <c r="C62" s="96"/>
      <c r="D62" s="94"/>
      <c r="E62" s="96"/>
      <c r="F62" s="94"/>
      <c r="G62" s="96"/>
      <c r="H62" s="89"/>
    </row>
    <row r="63" spans="1:8" s="772" customFormat="1" ht="18.75" customHeight="1">
      <c r="A63" s="46" t="s">
        <v>231</v>
      </c>
      <c r="B63" s="44"/>
      <c r="C63" s="96"/>
      <c r="D63" s="94"/>
      <c r="E63" s="96"/>
      <c r="F63" s="94"/>
      <c r="G63" s="96"/>
      <c r="H63" s="89"/>
    </row>
    <row r="64" spans="1:8" s="772" customFormat="1" ht="18.75" customHeight="1" thickBot="1">
      <c r="A64" s="44"/>
      <c r="B64" s="44"/>
      <c r="C64" s="97"/>
      <c r="D64" s="98"/>
      <c r="E64" s="97"/>
      <c r="F64" s="98"/>
      <c r="G64" s="97"/>
      <c r="H64" s="89"/>
    </row>
    <row r="65" spans="1:8" s="772" customFormat="1" ht="18.75" customHeight="1" thickBot="1">
      <c r="A65" s="44"/>
      <c r="B65" s="44" t="str">
        <f>'AE1'!A26</f>
        <v>Subventions</v>
      </c>
      <c r="C65" s="997">
        <v>0</v>
      </c>
      <c r="D65" s="92" t="e">
        <f t="shared" ref="D65:D70" si="6">C65/$C$17</f>
        <v>#DIV/0!</v>
      </c>
      <c r="E65" s="997">
        <v>0</v>
      </c>
      <c r="F65" s="92" t="e">
        <f t="shared" ref="F65:F70" si="7">E65/$E$17</f>
        <v>#DIV/0!</v>
      </c>
      <c r="G65" s="997">
        <v>0</v>
      </c>
      <c r="H65" s="93" t="e">
        <f t="shared" ref="H65:H70" si="8">G65/$G$17</f>
        <v>#DIV/0!</v>
      </c>
    </row>
    <row r="66" spans="1:8" s="772" customFormat="1" ht="18.75" customHeight="1" thickBot="1">
      <c r="A66" s="44"/>
      <c r="B66" s="44" t="str">
        <f>'AE1'!A16</f>
        <v>Autres revenus 1</v>
      </c>
      <c r="C66" s="997">
        <v>0</v>
      </c>
      <c r="D66" s="92" t="e">
        <f t="shared" si="6"/>
        <v>#DIV/0!</v>
      </c>
      <c r="E66" s="997">
        <v>0</v>
      </c>
      <c r="F66" s="92" t="e">
        <f t="shared" si="7"/>
        <v>#DIV/0!</v>
      </c>
      <c r="G66" s="997">
        <v>0</v>
      </c>
      <c r="H66" s="93" t="e">
        <f t="shared" si="8"/>
        <v>#DIV/0!</v>
      </c>
    </row>
    <row r="67" spans="1:8" s="772" customFormat="1" ht="18.75" customHeight="1" thickBot="1">
      <c r="A67" s="44"/>
      <c r="B67" s="44" t="str">
        <f>'AE1'!A17</f>
        <v>Autres revenus 2</v>
      </c>
      <c r="C67" s="997">
        <v>0</v>
      </c>
      <c r="D67" s="92" t="e">
        <f t="shared" si="6"/>
        <v>#DIV/0!</v>
      </c>
      <c r="E67" s="997">
        <v>0</v>
      </c>
      <c r="F67" s="92" t="e">
        <f t="shared" si="7"/>
        <v>#DIV/0!</v>
      </c>
      <c r="G67" s="997">
        <v>0</v>
      </c>
      <c r="H67" s="93" t="e">
        <f t="shared" si="8"/>
        <v>#DIV/0!</v>
      </c>
    </row>
    <row r="68" spans="1:8" s="772" customFormat="1" ht="18.75" customHeight="1" thickBot="1">
      <c r="A68" s="44"/>
      <c r="B68" s="44" t="str">
        <f>'AE1'!A18</f>
        <v>Autres revenus 3</v>
      </c>
      <c r="C68" s="997">
        <v>0</v>
      </c>
      <c r="D68" s="92" t="e">
        <f t="shared" si="6"/>
        <v>#DIV/0!</v>
      </c>
      <c r="E68" s="997">
        <v>0</v>
      </c>
      <c r="F68" s="92" t="e">
        <f t="shared" si="7"/>
        <v>#DIV/0!</v>
      </c>
      <c r="G68" s="997">
        <v>0</v>
      </c>
      <c r="H68" s="93" t="e">
        <f t="shared" si="8"/>
        <v>#DIV/0!</v>
      </c>
    </row>
    <row r="69" spans="1:8" s="772" customFormat="1" ht="18.75" customHeight="1" thickBot="1">
      <c r="A69" s="44"/>
      <c r="B69" s="44" t="str">
        <f>'AE1'!A19</f>
        <v>Autres revenus 4</v>
      </c>
      <c r="C69" s="997">
        <v>0</v>
      </c>
      <c r="D69" s="92" t="e">
        <f t="shared" si="6"/>
        <v>#DIV/0!</v>
      </c>
      <c r="E69" s="997">
        <v>0</v>
      </c>
      <c r="F69" s="92" t="e">
        <f t="shared" si="7"/>
        <v>#DIV/0!</v>
      </c>
      <c r="G69" s="997">
        <v>0</v>
      </c>
      <c r="H69" s="93" t="e">
        <f t="shared" si="8"/>
        <v>#DIV/0!</v>
      </c>
    </row>
    <row r="70" spans="1:8" s="772" customFormat="1" ht="18.75" customHeight="1" thickBot="1">
      <c r="A70" s="44"/>
      <c r="B70" s="44" t="str">
        <f>'AE1'!A20</f>
        <v>Autres revenus 5</v>
      </c>
      <c r="C70" s="997">
        <v>0</v>
      </c>
      <c r="D70" s="92" t="e">
        <f t="shared" si="6"/>
        <v>#DIV/0!</v>
      </c>
      <c r="E70" s="997">
        <v>0</v>
      </c>
      <c r="F70" s="92" t="e">
        <f t="shared" si="7"/>
        <v>#DIV/0!</v>
      </c>
      <c r="G70" s="997">
        <v>0</v>
      </c>
      <c r="H70" s="93" t="e">
        <f t="shared" si="8"/>
        <v>#DIV/0!</v>
      </c>
    </row>
    <row r="71" spans="1:8" s="772" customFormat="1" ht="18.75" customHeight="1">
      <c r="A71" s="44"/>
      <c r="B71" s="44"/>
      <c r="C71" s="173"/>
      <c r="D71" s="81"/>
      <c r="E71" s="173"/>
      <c r="F71" s="81"/>
      <c r="G71" s="173"/>
      <c r="H71" s="89"/>
    </row>
    <row r="72" spans="1:8" s="772" customFormat="1" ht="18.75" customHeight="1">
      <c r="A72" s="1000" t="s">
        <v>177</v>
      </c>
      <c r="B72" s="44"/>
      <c r="C72" s="172">
        <f>C25+C60+C65+C66+C67+C68+C69+C70</f>
        <v>-2E-3</v>
      </c>
      <c r="D72" s="81" t="e">
        <f>C72/$C$17</f>
        <v>#DIV/0!</v>
      </c>
      <c r="E72" s="172">
        <f>E25+E60+E65+E66+E67+E68+E69+E70</f>
        <v>-2E-3</v>
      </c>
      <c r="F72" s="92" t="e">
        <f>E72/$E$17</f>
        <v>#DIV/0!</v>
      </c>
      <c r="G72" s="172">
        <f>G25+G60+G65+G66+G67+G68+G69+G70</f>
        <v>-2E-3</v>
      </c>
      <c r="H72" s="93" t="e">
        <f>G72/$G$17</f>
        <v>#DIV/0!</v>
      </c>
    </row>
    <row r="73" spans="1:8" s="772" customFormat="1" ht="18.75" customHeight="1">
      <c r="A73" s="83"/>
      <c r="B73" s="83"/>
      <c r="C73" s="174"/>
      <c r="D73" s="84"/>
      <c r="E73" s="174"/>
      <c r="F73" s="84"/>
      <c r="G73" s="174"/>
      <c r="H73" s="99"/>
    </row>
    <row r="74" spans="1:8" s="772" customFormat="1" ht="18.75" customHeight="1" thickBot="1">
      <c r="A74" s="44"/>
      <c r="B74" s="44"/>
      <c r="C74" s="173"/>
      <c r="D74" s="81"/>
      <c r="E74" s="173"/>
      <c r="F74" s="81"/>
      <c r="G74" s="173"/>
      <c r="H74" s="93"/>
    </row>
    <row r="75" spans="1:8" s="772" customFormat="1" ht="18.75" customHeight="1" thickBot="1">
      <c r="A75" s="46" t="s">
        <v>568</v>
      </c>
      <c r="B75" s="44"/>
      <c r="C75" s="997">
        <v>-1E-4</v>
      </c>
      <c r="D75" s="81" t="e">
        <f>-C75/$C$17</f>
        <v>#DIV/0!</v>
      </c>
      <c r="E75" s="997">
        <v>-1E-4</v>
      </c>
      <c r="F75" s="92" t="e">
        <f>-E75/$E$17</f>
        <v>#DIV/0!</v>
      </c>
      <c r="G75" s="997">
        <v>-1E-4</v>
      </c>
      <c r="H75" s="93" t="e">
        <f>-G75/$G$17</f>
        <v>#DIV/0!</v>
      </c>
    </row>
    <row r="76" spans="1:8" s="772" customFormat="1" ht="18.75" customHeight="1">
      <c r="A76" s="83"/>
      <c r="B76" s="83"/>
      <c r="C76" s="174"/>
      <c r="D76" s="84"/>
      <c r="E76" s="174"/>
      <c r="F76" s="84"/>
      <c r="G76" s="174"/>
      <c r="H76" s="99"/>
    </row>
    <row r="77" spans="1:8" s="772" customFormat="1" ht="18.75" customHeight="1">
      <c r="A77" s="90"/>
      <c r="B77" s="90"/>
      <c r="C77" s="175"/>
      <c r="D77" s="91"/>
      <c r="E77" s="175"/>
      <c r="F77" s="91"/>
      <c r="G77" s="175"/>
      <c r="H77" s="93"/>
    </row>
    <row r="78" spans="1:8" s="772" customFormat="1" ht="18.75" customHeight="1">
      <c r="A78" s="1000" t="s">
        <v>176</v>
      </c>
      <c r="B78" s="44"/>
      <c r="C78" s="172">
        <f>SUM(C72:C75)</f>
        <v>-2.0999999999999999E-3</v>
      </c>
      <c r="D78" s="81" t="e">
        <f>C78/$C$17</f>
        <v>#DIV/0!</v>
      </c>
      <c r="E78" s="172">
        <f>SUM(E72:E75)</f>
        <v>-2.0999999999999999E-3</v>
      </c>
      <c r="F78" s="81" t="e">
        <f>E78/$E$17</f>
        <v>#DIV/0!</v>
      </c>
      <c r="G78" s="172">
        <f>SUM(G72:G75)</f>
        <v>-2.0999999999999999E-3</v>
      </c>
      <c r="H78" s="93" t="e">
        <f>G78/$G$17</f>
        <v>#DIV/0!</v>
      </c>
    </row>
    <row r="79" spans="1:8" s="772" customFormat="1" ht="18.75" customHeight="1">
      <c r="A79" s="83"/>
      <c r="B79" s="83"/>
      <c r="C79" s="174"/>
      <c r="D79" s="84"/>
      <c r="E79" s="174"/>
      <c r="F79" s="84"/>
      <c r="G79" s="174"/>
      <c r="H79" s="99"/>
    </row>
    <row r="80" spans="1:8" s="772" customFormat="1" ht="18.75" customHeight="1" thickBot="1">
      <c r="A80" s="44"/>
      <c r="B80" s="44"/>
      <c r="C80" s="171"/>
      <c r="D80" s="81"/>
      <c r="E80" s="173"/>
      <c r="F80" s="81"/>
      <c r="G80" s="173"/>
      <c r="H80" s="93"/>
    </row>
    <row r="81" spans="1:8" s="772" customFormat="1" ht="18.75" customHeight="1" thickBot="1">
      <c r="A81" s="46" t="s">
        <v>583</v>
      </c>
      <c r="B81" s="44"/>
      <c r="C81" s="997">
        <v>-1E-4</v>
      </c>
      <c r="D81" s="99">
        <f>-C81/$C$78</f>
        <v>-4.7619047619047623E-2</v>
      </c>
      <c r="E81" s="997">
        <v>-1E-4</v>
      </c>
      <c r="F81" s="99">
        <f>-E81/$E$78</f>
        <v>-4.7619047619047623E-2</v>
      </c>
      <c r="G81" s="997">
        <v>-1E-4</v>
      </c>
      <c r="H81" s="99">
        <f>-G81/$G$78</f>
        <v>-4.7619047619047623E-2</v>
      </c>
    </row>
    <row r="82" spans="1:8" s="772" customFormat="1" ht="18.75" customHeight="1">
      <c r="A82" s="83"/>
      <c r="B82" s="83"/>
      <c r="C82" s="174"/>
      <c r="D82" s="84"/>
      <c r="E82" s="174"/>
      <c r="F82" s="84"/>
      <c r="G82" s="174"/>
      <c r="H82" s="99"/>
    </row>
    <row r="83" spans="1:8" s="772" customFormat="1" ht="18.75" customHeight="1" thickBot="1">
      <c r="A83" s="1001" t="s">
        <v>175</v>
      </c>
      <c r="B83" s="100"/>
      <c r="C83" s="176">
        <f>SUM(C78:C81)</f>
        <v>-2.1999999999999997E-3</v>
      </c>
      <c r="D83" s="101" t="e">
        <f>C83/$C$17</f>
        <v>#DIV/0!</v>
      </c>
      <c r="E83" s="176">
        <f>SUM(E78:E81)</f>
        <v>-2.1999999999999997E-3</v>
      </c>
      <c r="F83" s="101" t="e">
        <f>E83/$E$17</f>
        <v>#DIV/0!</v>
      </c>
      <c r="G83" s="176">
        <f>SUM(G78:G81)</f>
        <v>-2.1999999999999997E-3</v>
      </c>
      <c r="H83" s="102" t="e">
        <f>G83/$G$17</f>
        <v>#DIV/0!</v>
      </c>
    </row>
    <row r="84" spans="1:8" ht="13.5" thickTop="1"/>
    <row r="85" spans="1:8">
      <c r="A85" s="103"/>
    </row>
    <row r="88" spans="1:8">
      <c r="A88" s="104"/>
    </row>
    <row r="89" spans="1:8">
      <c r="E89" s="65"/>
      <c r="G89" s="65"/>
    </row>
  </sheetData>
  <sheetProtection password="E242" sheet="1" objects="1" scenarios="1"/>
  <customSheetViews>
    <customSheetView guid="{30D0538C-360A-4CDF-8D89-584CED1967CC}"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1"/>
      <headerFooter alignWithMargins="0">
        <oddHeader>&amp;RPRF - 2</oddHeader>
      </headerFooter>
    </customSheetView>
    <customSheetView guid="{4F3169C3-3348-49DE-A6DC-8AA4D2A9D7A1}"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2"/>
      <headerFooter alignWithMargins="0">
        <oddHeader>&amp;RPRF - 2</oddHeader>
      </headerFooter>
    </customSheetView>
  </customSheetViews>
  <mergeCells count="5">
    <mergeCell ref="A14:B14"/>
    <mergeCell ref="A28:B28"/>
    <mergeCell ref="A39:B39"/>
    <mergeCell ref="A43:B43"/>
    <mergeCell ref="A52:B52"/>
  </mergeCells>
  <phoneticPr fontId="0" type="noConversion"/>
  <pageMargins left="0.78740157499999996" right="0.78740157499999996" top="0.984251969" bottom="0.984251969" header="0.4921259845" footer="0.4921259845"/>
  <pageSetup scale="44" orientation="portrait" r:id="rId3"/>
  <headerFooter alignWithMargins="0">
    <oddHeader>&amp;RPRF - 2</oddHeader>
  </headerFooter>
  <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4">
    <pageSetUpPr fitToPage="1"/>
  </sheetPr>
  <dimension ref="A2:L73"/>
  <sheetViews>
    <sheetView showGridLines="0" showRowColHeaders="0" showOutlineSymbols="0" topLeftCell="A37" zoomScale="75" zoomScaleNormal="75" workbookViewId="0">
      <selection activeCell="K75" sqref="K75"/>
    </sheetView>
  </sheetViews>
  <sheetFormatPr baseColWidth="10" defaultColWidth="11.453125" defaultRowHeight="13"/>
  <cols>
    <col min="1" max="1" width="12" style="43" bestFit="1" customWidth="1"/>
    <col min="2" max="2" width="14.6328125" style="43" customWidth="1"/>
    <col min="3" max="3" width="15.36328125" style="43" customWidth="1"/>
    <col min="4" max="4" width="14.453125" style="43" customWidth="1"/>
    <col min="5" max="5" width="30.81640625" style="43" customWidth="1"/>
    <col min="6" max="6" width="3.453125" style="43" customWidth="1"/>
    <col min="7" max="7" width="15.81640625" style="186" customWidth="1"/>
    <col min="8" max="8" width="3.453125" style="43" customWidth="1"/>
    <col min="9" max="9" width="15.81640625" style="43" customWidth="1"/>
    <col min="10" max="10" width="3.453125" style="43" customWidth="1"/>
    <col min="11" max="11" width="15.81640625" style="43" customWidth="1"/>
    <col min="12" max="16384" width="11.453125" style="43"/>
  </cols>
  <sheetData>
    <row r="2" spans="1:11">
      <c r="A2" s="116"/>
    </row>
    <row r="3" spans="1:11">
      <c r="A3" s="63"/>
    </row>
    <row r="8" spans="1:11" ht="25.5">
      <c r="A8" s="42" t="str">
        <f>RG!D17</f>
        <v>Jhon Wesly inc.</v>
      </c>
      <c r="B8" s="44"/>
      <c r="C8" s="44"/>
      <c r="D8" s="44"/>
      <c r="E8" s="44"/>
      <c r="F8" s="44"/>
      <c r="H8" s="44"/>
      <c r="I8" s="44"/>
      <c r="J8" s="44"/>
    </row>
    <row r="9" spans="1:11">
      <c r="A9" s="44"/>
      <c r="B9" s="44"/>
      <c r="C9" s="44"/>
      <c r="D9" s="44"/>
      <c r="E9" s="44"/>
      <c r="F9" s="44"/>
      <c r="H9" s="44"/>
      <c r="I9" s="44"/>
      <c r="J9" s="44"/>
    </row>
    <row r="10" spans="1:11" ht="15">
      <c r="A10" s="45" t="s">
        <v>473</v>
      </c>
      <c r="B10" s="44"/>
      <c r="C10" s="44"/>
      <c r="D10" s="44"/>
      <c r="E10" s="44"/>
      <c r="F10" s="44"/>
      <c r="H10" s="44"/>
      <c r="I10" s="44"/>
      <c r="J10" s="44"/>
    </row>
    <row r="11" spans="1:11" ht="15">
      <c r="A11" s="45" t="s">
        <v>519</v>
      </c>
      <c r="B11" s="44"/>
      <c r="C11" s="44"/>
      <c r="D11" s="44"/>
      <c r="E11" s="44"/>
      <c r="F11" s="44"/>
      <c r="H11" s="44"/>
      <c r="I11" s="44"/>
      <c r="J11" s="44"/>
    </row>
    <row r="12" spans="1:11">
      <c r="A12" s="46"/>
      <c r="B12" s="44"/>
      <c r="C12" s="44"/>
      <c r="D12" s="44"/>
      <c r="E12" s="44"/>
      <c r="F12" s="44"/>
      <c r="H12" s="44"/>
      <c r="I12" s="44"/>
      <c r="J12" s="44"/>
    </row>
    <row r="13" spans="1:11">
      <c r="F13" s="44"/>
      <c r="G13" s="177"/>
      <c r="H13" s="44"/>
      <c r="I13" s="177"/>
      <c r="J13" s="44"/>
      <c r="K13" s="177"/>
    </row>
    <row r="14" spans="1:11" ht="13.5" thickBot="1">
      <c r="F14" s="185"/>
      <c r="G14" s="169" t="str">
        <f>'HISTO BILAN'!E12</f>
        <v>Au</v>
      </c>
      <c r="H14" s="177"/>
      <c r="I14" s="169" t="str">
        <f>'HISTO BILAN'!G12</f>
        <v xml:space="preserve">Au </v>
      </c>
      <c r="J14" s="177"/>
      <c r="K14" s="169" t="str">
        <f>'HISTO BILAN'!I12</f>
        <v xml:space="preserve">Au </v>
      </c>
    </row>
    <row r="15" spans="1:11" ht="15">
      <c r="A15" s="72" t="s">
        <v>535</v>
      </c>
      <c r="G15" s="187"/>
      <c r="I15" s="107"/>
      <c r="K15" s="107"/>
    </row>
    <row r="16" spans="1:11">
      <c r="G16" s="187"/>
      <c r="I16" s="107"/>
      <c r="K16" s="107"/>
    </row>
    <row r="17" spans="1:11" ht="18">
      <c r="A17" s="59" t="s">
        <v>536</v>
      </c>
      <c r="B17" s="58"/>
      <c r="C17" s="58"/>
      <c r="D17" s="58"/>
      <c r="E17" s="58"/>
      <c r="F17" s="58"/>
      <c r="G17" s="188" t="str">
        <f>IF('HISTO BILAN'!E61&lt;1,"s/o",'HISTO BILAN'!E61/'HISTO BILAN'!E36)</f>
        <v>s/o</v>
      </c>
      <c r="H17" s="58"/>
      <c r="I17" s="188" t="str">
        <f>IF('HISTO BILAN'!G61&lt;1,"s/o",'HISTO BILAN'!G61/'HISTO BILAN'!G36)</f>
        <v>s/o</v>
      </c>
      <c r="J17" s="58"/>
      <c r="K17" s="188" t="str">
        <f>IF('HISTO BILAN'!I61&lt;1,"s/o",'HISTO BILAN'!I61/'HISTO BILAN'!I36)</f>
        <v>s/o</v>
      </c>
    </row>
    <row r="18" spans="1:11" ht="15.5">
      <c r="A18" s="58" t="s">
        <v>887</v>
      </c>
      <c r="B18" s="58"/>
      <c r="C18" s="58"/>
      <c r="D18" s="58"/>
      <c r="E18" s="58"/>
      <c r="F18" s="58"/>
      <c r="G18" s="189"/>
      <c r="H18" s="58"/>
      <c r="I18" s="189"/>
      <c r="J18" s="58"/>
      <c r="K18" s="189"/>
    </row>
    <row r="19" spans="1:11" ht="15.5">
      <c r="A19" s="58"/>
      <c r="B19" s="58"/>
      <c r="C19" s="58"/>
      <c r="D19" s="58"/>
      <c r="E19" s="58"/>
      <c r="F19" s="58"/>
      <c r="G19" s="190"/>
      <c r="H19" s="58"/>
      <c r="I19" s="190"/>
      <c r="J19" s="58"/>
      <c r="K19" s="190"/>
    </row>
    <row r="20" spans="1:11" ht="18">
      <c r="A20" s="59" t="s">
        <v>537</v>
      </c>
      <c r="B20" s="58"/>
      <c r="C20" s="58"/>
      <c r="D20" s="58"/>
      <c r="E20" s="58"/>
      <c r="F20" s="58"/>
      <c r="G20" s="188" t="str">
        <f>IF('HISTO BILAN'!E61&lt;1,"s/o",'HISTO BILAN'!E61/'HISTO BILAN'!E70)</f>
        <v>s/o</v>
      </c>
      <c r="H20" s="58"/>
      <c r="I20" s="188" t="str">
        <f>IF('HISTO BILAN'!G61&lt;1,"s/o",'HISTO BILAN'!G61/'HISTO BILAN'!G70)</f>
        <v>s/o</v>
      </c>
      <c r="J20" s="58"/>
      <c r="K20" s="188" t="str">
        <f>IF('HISTO BILAN'!I61&lt;1,"s/o",'HISTO BILAN'!I61/'HISTO BILAN'!I70)</f>
        <v>s/o</v>
      </c>
    </row>
    <row r="21" spans="1:11" ht="15.5">
      <c r="A21" s="58" t="s">
        <v>888</v>
      </c>
      <c r="B21" s="58"/>
      <c r="C21" s="58"/>
      <c r="D21" s="58"/>
      <c r="E21" s="58"/>
      <c r="F21" s="58"/>
      <c r="G21" s="190"/>
      <c r="H21" s="58"/>
      <c r="I21" s="190"/>
      <c r="J21" s="58"/>
      <c r="K21" s="190"/>
    </row>
    <row r="22" spans="1:11" ht="15.5">
      <c r="A22" s="58"/>
      <c r="B22" s="58"/>
      <c r="C22" s="58"/>
      <c r="D22" s="58"/>
      <c r="E22" s="58"/>
      <c r="F22" s="58"/>
      <c r="G22" s="190"/>
      <c r="H22" s="58"/>
      <c r="I22" s="190"/>
      <c r="J22" s="58"/>
      <c r="K22" s="190"/>
    </row>
    <row r="23" spans="1:11" ht="15.5">
      <c r="A23" s="72" t="s">
        <v>509</v>
      </c>
      <c r="B23" s="58"/>
      <c r="C23" s="58"/>
      <c r="D23" s="58"/>
      <c r="E23" s="58"/>
      <c r="F23" s="58"/>
      <c r="G23" s="190"/>
      <c r="H23" s="58"/>
      <c r="I23" s="190"/>
      <c r="J23" s="58"/>
      <c r="K23" s="190"/>
    </row>
    <row r="24" spans="1:11" ht="15.5">
      <c r="A24" s="58"/>
      <c r="B24" s="58"/>
      <c r="C24" s="58"/>
      <c r="D24" s="58"/>
      <c r="E24" s="58"/>
      <c r="F24" s="58"/>
      <c r="G24" s="189"/>
      <c r="H24" s="58"/>
      <c r="I24" s="189"/>
      <c r="J24" s="58"/>
      <c r="K24" s="189"/>
    </row>
    <row r="25" spans="1:11" ht="18">
      <c r="A25" s="59" t="s">
        <v>474</v>
      </c>
      <c r="B25" s="58"/>
      <c r="C25" s="58"/>
      <c r="D25" s="58"/>
      <c r="E25" s="58"/>
      <c r="F25" s="58"/>
      <c r="G25" s="188" t="str">
        <f>IF('HISTO BILAN'!E47&lt;1,"s/o",('HISTO BILAN'!E16+'HISTO BILAN'!E17+'HISTO BILAN'!E18+'HISTO BILAN'!E19)/('HISTO BILAN'!E40+'HISTO BILAN'!E41+'HISTO BILAN'!E42+'HISTO BILAN'!E43+'HISTO BILAN'!E44+'HISTO BILAN'!E45+'HISTO BILAN'!E46))</f>
        <v>s/o</v>
      </c>
      <c r="H25" s="58"/>
      <c r="I25" s="188" t="str">
        <f>IF('HISTO BILAN'!G47&lt;1,"s/o",('HISTO BILAN'!G16+'HISTO BILAN'!G17+'HISTO BILAN'!G18+'HISTO BILAN'!G19)/('HISTO BILAN'!G40+'HISTO BILAN'!G41+'HISTO BILAN'!G42+'HISTO BILAN'!G43+'HISTO BILAN'!G44+'HISTO BILAN'!G45+'HISTO BILAN'!G46))</f>
        <v>s/o</v>
      </c>
      <c r="J25" s="58"/>
      <c r="K25" s="188" t="str">
        <f>IF('HISTO BILAN'!I47&lt;1,"s/o",('HISTO BILAN'!I16+'HISTO BILAN'!I17+'HISTO BILAN'!I18+'HISTO BILAN'!I19)/('HISTO BILAN'!I40+'HISTO BILAN'!I41+'HISTO BILAN'!I42+'HISTO BILAN'!I43+'HISTO BILAN'!I44+'HISTO BILAN'!I45+'HISTO BILAN'!I46))</f>
        <v>s/o</v>
      </c>
    </row>
    <row r="26" spans="1:11" ht="15.5">
      <c r="A26" s="58" t="s">
        <v>405</v>
      </c>
      <c r="B26" s="58"/>
      <c r="C26" s="58"/>
      <c r="D26" s="58"/>
      <c r="E26" s="58"/>
      <c r="F26" s="58"/>
      <c r="G26" s="189"/>
      <c r="H26" s="58"/>
      <c r="I26" s="189"/>
      <c r="J26" s="58"/>
      <c r="K26" s="189"/>
    </row>
    <row r="27" spans="1:11" ht="15.5">
      <c r="A27" s="58"/>
      <c r="B27" s="58"/>
      <c r="C27" s="58"/>
      <c r="D27" s="58"/>
      <c r="E27" s="58"/>
      <c r="F27" s="58"/>
      <c r="G27" s="189"/>
      <c r="H27" s="58"/>
      <c r="I27" s="189"/>
      <c r="J27" s="58"/>
      <c r="K27" s="189"/>
    </row>
    <row r="28" spans="1:11" ht="18">
      <c r="A28" s="59" t="s">
        <v>12</v>
      </c>
      <c r="B28" s="58"/>
      <c r="C28" s="58"/>
      <c r="D28" s="58"/>
      <c r="E28" s="58"/>
      <c r="F28" s="58"/>
      <c r="G28" s="188" t="str">
        <f>IF('HISTO BILAN'!E47&lt;1,"s/o",('HISTO BILAN'!E16+'HISTO BILAN'!E17)/('HISTO BILAN'!E40+'HISTO BILAN'!E41+'HISTO BILAN'!E42+'HISTO BILAN'!E43+'HISTO BILAN'!E44+'HISTO BILAN'!E45+'HISTO BILAN'!E46))</f>
        <v>s/o</v>
      </c>
      <c r="H28" s="58"/>
      <c r="I28" s="188" t="str">
        <f>IF('HISTO BILAN'!G47&lt;1,"s/o",('HISTO BILAN'!G16+'HISTO BILAN'!G17)/('HISTO BILAN'!G40+'HISTO BILAN'!G41+'HISTO BILAN'!G42+'HISTO BILAN'!G43+'HISTO BILAN'!G44+'HISTO BILAN'!G45+'HISTO BILAN'!G46))</f>
        <v>s/o</v>
      </c>
      <c r="J28" s="58"/>
      <c r="K28" s="188" t="str">
        <f>IF('HISTO BILAN'!I47&lt;1,"s/o",('HISTO BILAN'!I16+'HISTO BILAN'!I17)/('HISTO BILAN'!I40+'HISTO BILAN'!I41+'HISTO BILAN'!I42+'HISTO BILAN'!I43+'HISTO BILAN'!I44+'HISTO BILAN'!I45+'HISTO BILAN'!I46))</f>
        <v>s/o</v>
      </c>
    </row>
    <row r="29" spans="1:11" ht="15.5">
      <c r="A29" s="58" t="s">
        <v>403</v>
      </c>
      <c r="B29" s="58"/>
      <c r="C29" s="58"/>
      <c r="D29" s="58"/>
      <c r="E29" s="58"/>
      <c r="F29" s="58"/>
      <c r="G29" s="189"/>
      <c r="H29" s="58"/>
      <c r="I29" s="189"/>
      <c r="J29" s="58"/>
      <c r="K29" s="189"/>
    </row>
    <row r="30" spans="1:11" ht="15.5">
      <c r="A30" s="58"/>
      <c r="B30" s="58"/>
      <c r="C30" s="58"/>
      <c r="D30" s="58"/>
      <c r="E30" s="58"/>
      <c r="F30" s="58"/>
      <c r="G30" s="189"/>
      <c r="H30" s="58"/>
      <c r="I30" s="189"/>
      <c r="J30" s="58"/>
      <c r="K30" s="189"/>
    </row>
    <row r="31" spans="1:11" ht="18">
      <c r="A31" s="59" t="s">
        <v>73</v>
      </c>
      <c r="B31" s="58"/>
      <c r="C31" s="58"/>
      <c r="D31" s="58"/>
      <c r="E31" s="58"/>
      <c r="F31" s="58"/>
      <c r="G31" s="188" t="s">
        <v>75</v>
      </c>
      <c r="H31" s="58"/>
      <c r="I31" s="188" t="s">
        <v>75</v>
      </c>
      <c r="J31" s="58"/>
      <c r="K31" s="188" t="s">
        <v>75</v>
      </c>
    </row>
    <row r="32" spans="1:11" ht="15.5">
      <c r="A32" s="549" t="s">
        <v>74</v>
      </c>
      <c r="B32" s="58"/>
      <c r="C32" s="58"/>
      <c r="D32" s="58"/>
      <c r="E32" s="58"/>
      <c r="F32" s="58"/>
      <c r="G32" s="189"/>
      <c r="H32" s="58"/>
      <c r="I32" s="189"/>
      <c r="J32" s="58"/>
      <c r="K32" s="189"/>
    </row>
    <row r="33" spans="1:12" ht="15.5">
      <c r="A33" s="58"/>
      <c r="B33" s="58"/>
      <c r="C33" s="58"/>
      <c r="D33" s="58"/>
      <c r="E33" s="58"/>
      <c r="F33" s="58"/>
      <c r="G33" s="189"/>
      <c r="H33" s="58"/>
      <c r="I33" s="189"/>
      <c r="J33" s="58"/>
      <c r="K33" s="189"/>
    </row>
    <row r="34" spans="1:12" ht="18">
      <c r="A34" s="59" t="s">
        <v>508</v>
      </c>
      <c r="B34" s="58"/>
      <c r="C34" s="58"/>
      <c r="D34" s="58"/>
      <c r="E34" s="58"/>
      <c r="F34" s="58"/>
      <c r="G34" s="188" t="str">
        <f>IF(OR('HISTO BILAN'!E19&lt;1,'HISTO BILAN'!E47&lt;1),"s/o",('HISTO BILAN'!E19/('HISTO BILAN'!E16+'HISTO BILAN'!E17+'HISTO BILAN'!E18+'HISTO BILAN'!E19-'HISTO BILAN'!E40-'HISTO BILAN'!E41-'HISTO BILAN'!E42-'HISTO BILAN'!E43-'HISTO BILAN'!E44-'HISTO BILAN'!E45-'HISTO BILAN'!E46)))</f>
        <v>s/o</v>
      </c>
      <c r="H34" s="58"/>
      <c r="I34" s="188" t="str">
        <f>IF(OR('HISTO BILAN'!G19&lt;1,'HISTO BILAN'!G47&lt;1),"s/o",('HISTO BILAN'!G19/('HISTO BILAN'!G16+'HISTO BILAN'!G17+'HISTO BILAN'!G18+'HISTO BILAN'!G19-'HISTO BILAN'!G40-'HISTO BILAN'!G41-'HISTO BILAN'!G42-'HISTO BILAN'!G43-'HISTO BILAN'!G44-'HISTO BILAN'!G45-'HISTO BILAN'!G46)))</f>
        <v>s/o</v>
      </c>
      <c r="J34" s="58"/>
      <c r="K34" s="188" t="str">
        <f>IF(OR('HISTO BILAN'!I19&lt;1,'HISTO BILAN'!I47&lt;1),"s/o",('HISTO BILAN'!I19/('HISTO BILAN'!I16+'HISTO BILAN'!I17+'HISTO BILAN'!I18+'HISTO BILAN'!I19-'HISTO BILAN'!I40-'HISTO BILAN'!I41-'HISTO BILAN'!I42-'HISTO BILAN'!I43-'HISTO BILAN'!I44-'HISTO BILAN'!I45-'HISTO BILAN'!I46)))</f>
        <v>s/o</v>
      </c>
    </row>
    <row r="35" spans="1:12" ht="15.5">
      <c r="A35" s="58" t="s">
        <v>404</v>
      </c>
      <c r="B35" s="58"/>
      <c r="C35" s="58"/>
      <c r="D35" s="58"/>
      <c r="E35" s="58"/>
      <c r="F35" s="58"/>
      <c r="G35" s="189"/>
      <c r="H35" s="58"/>
      <c r="I35" s="58"/>
      <c r="J35" s="58"/>
      <c r="K35" s="58"/>
    </row>
    <row r="36" spans="1:12" ht="15.5">
      <c r="A36" s="58"/>
      <c r="B36" s="58"/>
      <c r="C36" s="58"/>
      <c r="D36" s="58"/>
      <c r="E36" s="58"/>
      <c r="F36" s="58"/>
      <c r="G36" s="189"/>
      <c r="H36" s="58"/>
      <c r="I36" s="58"/>
      <c r="J36" s="58"/>
      <c r="K36" s="58"/>
    </row>
    <row r="37" spans="1:12" ht="15.5">
      <c r="A37" s="58"/>
      <c r="B37" s="58"/>
      <c r="C37" s="58"/>
      <c r="D37" s="58"/>
      <c r="E37" s="58"/>
      <c r="F37" s="58"/>
      <c r="G37" s="177" t="s">
        <v>173</v>
      </c>
      <c r="H37" s="44"/>
      <c r="I37" s="177" t="s">
        <v>173</v>
      </c>
      <c r="J37" s="44"/>
      <c r="K37" s="177" t="s">
        <v>173</v>
      </c>
    </row>
    <row r="38" spans="1:12" ht="15.5">
      <c r="A38" s="58"/>
      <c r="B38" s="58"/>
      <c r="C38" s="58"/>
      <c r="D38" s="58"/>
      <c r="E38" s="58"/>
      <c r="F38" s="58"/>
      <c r="G38" s="177" t="s">
        <v>174</v>
      </c>
      <c r="H38" s="44"/>
      <c r="I38" s="177" t="s">
        <v>174</v>
      </c>
      <c r="J38" s="44"/>
      <c r="K38" s="177" t="s">
        <v>174</v>
      </c>
    </row>
    <row r="39" spans="1:12" ht="16" thickBot="1">
      <c r="A39" s="72" t="s">
        <v>538</v>
      </c>
      <c r="B39" s="58"/>
      <c r="C39" s="58"/>
      <c r="D39" s="58"/>
      <c r="E39" s="58"/>
      <c r="F39" s="58"/>
      <c r="G39" s="169">
        <f>'HISTO RESULTATS'!C15</f>
        <v>0</v>
      </c>
      <c r="H39" s="177"/>
      <c r="I39" s="169">
        <f>'HISTO RESULTATS'!E15</f>
        <v>0</v>
      </c>
      <c r="J39" s="177"/>
      <c r="K39" s="169">
        <f>'HISTO RESULTATS'!G15</f>
        <v>0</v>
      </c>
    </row>
    <row r="40" spans="1:12" ht="15.5">
      <c r="A40" s="58"/>
      <c r="B40" s="58"/>
      <c r="C40" s="58"/>
      <c r="D40" s="58"/>
      <c r="E40" s="58"/>
      <c r="F40" s="58"/>
      <c r="G40" s="189"/>
      <c r="H40" s="58"/>
      <c r="I40" s="58"/>
      <c r="J40" s="58"/>
      <c r="K40" s="58"/>
    </row>
    <row r="41" spans="1:12" ht="15.5">
      <c r="A41" s="58"/>
      <c r="B41" s="58"/>
      <c r="C41" s="58"/>
      <c r="D41" s="58"/>
      <c r="E41" s="58"/>
      <c r="F41" s="58"/>
      <c r="G41" s="192"/>
      <c r="H41" s="59"/>
      <c r="I41" s="59"/>
      <c r="J41" s="59"/>
      <c r="K41" s="59"/>
      <c r="L41" s="48"/>
    </row>
    <row r="42" spans="1:12" ht="15.5">
      <c r="A42" s="59" t="s">
        <v>291</v>
      </c>
      <c r="B42" s="58"/>
      <c r="C42" s="58"/>
      <c r="D42" s="58"/>
      <c r="E42" s="58"/>
      <c r="F42" s="58"/>
      <c r="G42" s="192" t="str">
        <f>IF('HISTO BILAN'!E17=0,"s/o",(365*'HISTO BILAN'!E17)/'HISTO RESULTATS'!C17)</f>
        <v>s/o</v>
      </c>
      <c r="H42" s="59" t="s">
        <v>306</v>
      </c>
      <c r="I42" s="192" t="str">
        <f>IF('HISTO BILAN'!G17=0,"s/o",(365*'HISTO BILAN'!G17)/'HISTO RESULTATS'!E17)</f>
        <v>s/o</v>
      </c>
      <c r="J42" s="59" t="s">
        <v>306</v>
      </c>
      <c r="K42" s="192" t="str">
        <f>IF('HISTO BILAN'!I17=0,"s/o",(365*'HISTO BILAN'!I17)/'HISTO RESULTATS'!G17)</f>
        <v>s/o</v>
      </c>
      <c r="L42" s="48" t="s">
        <v>306</v>
      </c>
    </row>
    <row r="43" spans="1:12" ht="15.5">
      <c r="A43" s="58" t="s">
        <v>549</v>
      </c>
      <c r="B43" s="58"/>
      <c r="C43" s="58"/>
      <c r="D43" s="58"/>
      <c r="E43" s="58"/>
      <c r="F43" s="58"/>
      <c r="G43" s="192"/>
      <c r="H43" s="59"/>
      <c r="I43" s="192"/>
      <c r="J43" s="59"/>
      <c r="K43" s="192"/>
      <c r="L43" s="48"/>
    </row>
    <row r="44" spans="1:12" ht="15.5">
      <c r="A44" s="58"/>
      <c r="B44" s="58"/>
      <c r="C44" s="58"/>
      <c r="D44" s="58"/>
      <c r="E44" s="58"/>
      <c r="F44" s="58"/>
      <c r="G44" s="192"/>
      <c r="H44" s="59"/>
      <c r="I44" s="192"/>
      <c r="J44" s="59"/>
      <c r="K44" s="192"/>
      <c r="L44" s="48"/>
    </row>
    <row r="45" spans="1:12" ht="15.5">
      <c r="A45" s="59" t="s">
        <v>292</v>
      </c>
      <c r="B45" s="58"/>
      <c r="C45" s="58"/>
      <c r="D45" s="58"/>
      <c r="E45" s="58"/>
      <c r="F45" s="58"/>
      <c r="G45" s="192" t="str">
        <f>IF('HISTO BILAN'!E40=0,"s/o",(365*'HISTO BILAN'!E40)/'HISTO RESULTATS'!C17)</f>
        <v>s/o</v>
      </c>
      <c r="H45" s="59" t="s">
        <v>306</v>
      </c>
      <c r="I45" s="192" t="str">
        <f>IF('HISTO BILAN'!G40=0,"s/o",(365*'HISTO BILAN'!G40)/'HISTO RESULTATS'!E17)</f>
        <v>s/o</v>
      </c>
      <c r="J45" s="59" t="s">
        <v>306</v>
      </c>
      <c r="K45" s="192" t="str">
        <f>IF('HISTO BILAN'!I40=0,"s/o",(365*'HISTO BILAN'!I40)/'HISTO RESULTATS'!G17)</f>
        <v>s/o</v>
      </c>
      <c r="L45" s="48" t="s">
        <v>306</v>
      </c>
    </row>
    <row r="46" spans="1:12" ht="15.5">
      <c r="A46" s="58" t="s">
        <v>539</v>
      </c>
      <c r="B46" s="58"/>
      <c r="C46" s="58"/>
      <c r="D46" s="58"/>
      <c r="E46" s="58"/>
      <c r="F46" s="58"/>
      <c r="G46" s="192"/>
      <c r="H46" s="59"/>
      <c r="I46" s="192"/>
      <c r="J46" s="59"/>
      <c r="K46" s="192"/>
      <c r="L46" s="48"/>
    </row>
    <row r="47" spans="1:12" ht="15.5">
      <c r="A47" s="58"/>
      <c r="B47" s="58"/>
      <c r="C47" s="58"/>
      <c r="D47" s="58"/>
      <c r="E47" s="58"/>
      <c r="F47" s="58"/>
      <c r="G47" s="192"/>
      <c r="H47" s="59"/>
      <c r="I47" s="192"/>
      <c r="J47" s="59"/>
      <c r="K47" s="192"/>
      <c r="L47" s="48"/>
    </row>
    <row r="48" spans="1:12" ht="15.5">
      <c r="A48" s="59" t="s">
        <v>398</v>
      </c>
      <c r="B48" s="58"/>
      <c r="C48" s="58"/>
      <c r="D48" s="58"/>
      <c r="E48" s="58"/>
      <c r="F48" s="58"/>
      <c r="G48" s="192">
        <f>'HISTO RESULTATS'!C17/'HISTO BILAN'!E36</f>
        <v>0</v>
      </c>
      <c r="H48" s="59"/>
      <c r="I48" s="192">
        <f>'HISTO RESULTATS'!E17/'HISTO BILAN'!G36</f>
        <v>0</v>
      </c>
      <c r="J48" s="59"/>
      <c r="K48" s="192">
        <f>'HISTO RESULTATS'!G17/'HISTO BILAN'!I36</f>
        <v>0</v>
      </c>
      <c r="L48" s="48"/>
    </row>
    <row r="49" spans="1:12" ht="15.5">
      <c r="A49" s="58" t="s">
        <v>889</v>
      </c>
      <c r="B49" s="58"/>
      <c r="C49" s="58"/>
      <c r="D49" s="58"/>
      <c r="E49" s="58"/>
      <c r="F49" s="58"/>
      <c r="G49" s="192"/>
      <c r="H49" s="59"/>
      <c r="I49" s="192"/>
      <c r="J49" s="59"/>
      <c r="K49" s="192"/>
      <c r="L49" s="48"/>
    </row>
    <row r="50" spans="1:12" ht="15.5">
      <c r="A50" s="58"/>
      <c r="B50" s="58"/>
      <c r="C50" s="58"/>
      <c r="D50" s="58"/>
      <c r="E50" s="58"/>
      <c r="F50" s="58"/>
      <c r="G50" s="192"/>
      <c r="H50" s="59"/>
      <c r="I50" s="192"/>
      <c r="J50" s="59"/>
      <c r="K50" s="192"/>
      <c r="L50" s="48"/>
    </row>
    <row r="51" spans="1:12" ht="15.5">
      <c r="A51" s="59" t="s">
        <v>399</v>
      </c>
      <c r="B51" s="58"/>
      <c r="C51" s="58"/>
      <c r="D51" s="58"/>
      <c r="E51" s="58"/>
      <c r="F51" s="58"/>
      <c r="G51" s="192" t="e">
        <f>'HISTO BILAN'!E35/'HISTO RESULTATS'!C17</f>
        <v>#DIV/0!</v>
      </c>
      <c r="H51" s="59"/>
      <c r="I51" s="192" t="e">
        <f>(('HISTO BILAN'!E35+'HISTO BILAN'!G35)/2)/'HISTO RESULTATS'!E17</f>
        <v>#DIV/0!</v>
      </c>
      <c r="J51" s="59"/>
      <c r="K51" s="192" t="e">
        <f>(('HISTO BILAN'!G35+'HISTO BILAN'!I35)/2)/'HISTO RESULTATS'!G17</f>
        <v>#DIV/0!</v>
      </c>
      <c r="L51" s="48"/>
    </row>
    <row r="52" spans="1:12" ht="15.5">
      <c r="A52" s="58" t="s">
        <v>545</v>
      </c>
      <c r="B52" s="58"/>
      <c r="C52" s="58"/>
      <c r="D52" s="58"/>
      <c r="E52" s="58"/>
      <c r="F52" s="58"/>
      <c r="G52" s="192"/>
      <c r="H52" s="59"/>
      <c r="I52" s="192"/>
      <c r="J52" s="59"/>
      <c r="K52" s="192"/>
      <c r="L52" s="48"/>
    </row>
    <row r="53" spans="1:12" ht="15.5">
      <c r="A53" s="58"/>
      <c r="B53" s="58"/>
      <c r="C53" s="58"/>
      <c r="D53" s="58"/>
      <c r="E53" s="58"/>
      <c r="F53" s="58"/>
      <c r="G53" s="192"/>
      <c r="H53" s="59"/>
      <c r="I53" s="192"/>
      <c r="J53" s="59"/>
      <c r="K53" s="192"/>
      <c r="L53" s="48"/>
    </row>
    <row r="54" spans="1:12" ht="15.5">
      <c r="A54" s="59" t="s">
        <v>400</v>
      </c>
      <c r="B54" s="58"/>
      <c r="C54" s="58"/>
      <c r="D54" s="58"/>
      <c r="E54" s="58"/>
      <c r="F54" s="58"/>
      <c r="G54" s="192" t="str">
        <f>IF('HISTO BILAN'!E17=0,"s/o",'HISTO RESULTATS'!C17/('HISTO BILAN'!E17))</f>
        <v>s/o</v>
      </c>
      <c r="H54" s="59"/>
      <c r="I54" s="192" t="str">
        <f>IF('HISTO BILAN'!G17=0,"s/o",'HISTO RESULTATS'!E17/('HISTO BILAN'!G17))</f>
        <v>s/o</v>
      </c>
      <c r="J54" s="59"/>
      <c r="K54" s="192" t="str">
        <f>IF('HISTO BILAN'!I17=0,"s/o",'HISTO RESULTATS'!G17/('HISTO BILAN'!I17))</f>
        <v>s/o</v>
      </c>
      <c r="L54" s="48"/>
    </row>
    <row r="55" spans="1:12" ht="15.5">
      <c r="A55" s="58" t="s">
        <v>342</v>
      </c>
      <c r="B55" s="58"/>
      <c r="C55" s="58"/>
      <c r="D55" s="58"/>
      <c r="E55" s="58"/>
      <c r="F55" s="58"/>
      <c r="G55" s="192"/>
      <c r="H55" s="59"/>
      <c r="I55" s="192"/>
      <c r="J55" s="59"/>
      <c r="K55" s="192"/>
      <c r="L55" s="48"/>
    </row>
    <row r="56" spans="1:12" ht="15.5">
      <c r="A56" s="58"/>
      <c r="B56" s="58"/>
      <c r="C56" s="58"/>
      <c r="D56" s="58"/>
      <c r="E56" s="58"/>
      <c r="F56" s="58"/>
      <c r="G56" s="192"/>
      <c r="H56" s="59"/>
      <c r="I56" s="192"/>
      <c r="J56" s="59"/>
      <c r="K56" s="192"/>
      <c r="L56" s="48"/>
    </row>
    <row r="57" spans="1:12" ht="15.5">
      <c r="A57" s="58"/>
      <c r="B57" s="58"/>
      <c r="C57" s="58"/>
      <c r="D57" s="58"/>
      <c r="E57" s="58"/>
      <c r="F57" s="58"/>
      <c r="G57" s="192"/>
      <c r="H57" s="59"/>
      <c r="I57" s="192"/>
      <c r="J57" s="59"/>
      <c r="K57" s="192"/>
      <c r="L57" s="48"/>
    </row>
    <row r="58" spans="1:12" ht="15.5">
      <c r="A58" s="58"/>
      <c r="B58" s="58"/>
      <c r="C58" s="58"/>
      <c r="D58" s="58"/>
      <c r="E58" s="58"/>
      <c r="F58" s="58"/>
      <c r="G58" s="192"/>
      <c r="H58" s="59"/>
      <c r="I58" s="192"/>
      <c r="J58" s="59"/>
      <c r="K58" s="192"/>
      <c r="L58" s="48"/>
    </row>
    <row r="59" spans="1:12" ht="15.5">
      <c r="A59" s="72" t="s">
        <v>402</v>
      </c>
      <c r="B59" s="58"/>
      <c r="C59" s="58"/>
      <c r="D59" s="58"/>
      <c r="E59" s="58"/>
      <c r="F59" s="58"/>
      <c r="G59" s="192"/>
      <c r="H59" s="59"/>
      <c r="I59" s="192"/>
      <c r="J59" s="59"/>
      <c r="K59" s="192"/>
      <c r="L59" s="48"/>
    </row>
    <row r="60" spans="1:12" ht="15.5">
      <c r="A60" s="58"/>
      <c r="B60" s="58"/>
      <c r="C60" s="58"/>
      <c r="D60" s="58"/>
      <c r="E60" s="58"/>
      <c r="F60" s="58"/>
      <c r="G60" s="192"/>
      <c r="H60" s="59"/>
      <c r="I60" s="192"/>
      <c r="J60" s="59"/>
      <c r="K60" s="192"/>
      <c r="L60" s="48"/>
    </row>
    <row r="61" spans="1:12" ht="15.5">
      <c r="A61" s="59" t="s">
        <v>298</v>
      </c>
      <c r="B61" s="58"/>
      <c r="C61" s="58"/>
      <c r="D61" s="58"/>
      <c r="E61" s="58"/>
      <c r="F61" s="58"/>
      <c r="G61" s="191" t="e">
        <f>-'HISTO RESULTATS'!$C$60/('HISTO RESULTATS'!$C$25/'HISTO RESULTATS'!$C$17)</f>
        <v>#DIV/0!</v>
      </c>
      <c r="H61" s="59"/>
      <c r="I61" s="191" t="e">
        <f>-'HISTO RESULTATS'!$C$60/('HISTO RESULTATS'!$C$25/'HISTO RESULTATS'!$C$17)</f>
        <v>#DIV/0!</v>
      </c>
      <c r="J61" s="59"/>
      <c r="K61" s="191" t="e">
        <f>-'HISTO RESULTATS'!$C$60/('HISTO RESULTATS'!$C$25/'HISTO RESULTATS'!$C$17)</f>
        <v>#DIV/0!</v>
      </c>
      <c r="L61" s="48"/>
    </row>
    <row r="62" spans="1:12" ht="15.5">
      <c r="A62" s="58" t="s">
        <v>299</v>
      </c>
      <c r="B62" s="58"/>
      <c r="C62" s="58"/>
      <c r="D62" s="58"/>
      <c r="E62" s="58"/>
      <c r="F62" s="58"/>
      <c r="G62" s="192"/>
      <c r="H62" s="59"/>
      <c r="I62" s="192"/>
      <c r="J62" s="59"/>
      <c r="K62" s="192"/>
      <c r="L62" s="48"/>
    </row>
    <row r="63" spans="1:12" ht="15.5">
      <c r="A63" s="58"/>
      <c r="B63" s="58"/>
      <c r="C63" s="58"/>
      <c r="D63" s="58"/>
      <c r="E63" s="58"/>
      <c r="F63" s="58"/>
      <c r="G63" s="192"/>
      <c r="H63" s="59"/>
      <c r="I63" s="192"/>
      <c r="J63" s="59"/>
      <c r="K63" s="192"/>
      <c r="L63" s="48"/>
    </row>
    <row r="64" spans="1:12" ht="15.5">
      <c r="A64" s="59" t="s">
        <v>300</v>
      </c>
      <c r="B64" s="58"/>
      <c r="C64" s="58"/>
      <c r="D64" s="58"/>
      <c r="E64" s="58"/>
      <c r="F64" s="58"/>
      <c r="G64" s="191" t="e">
        <f>-('HISTO RESULTATS'!$C$60+'HISTO RESULTATS'!$C$75)/('HISTO RESULTATS'!$C$25/'HISTO RESULTATS'!$C$17)</f>
        <v>#DIV/0!</v>
      </c>
      <c r="H64" s="59"/>
      <c r="I64" s="191" t="e">
        <f>-('HISTO RESULTATS'!$C$60+'HISTO RESULTATS'!$C$75)/('HISTO RESULTATS'!$C$25/'HISTO RESULTATS'!$C$17)</f>
        <v>#DIV/0!</v>
      </c>
      <c r="J64" s="59"/>
      <c r="K64" s="191" t="e">
        <f>-('HISTO RESULTATS'!$C$60+'HISTO RESULTATS'!$C$75)/('HISTO RESULTATS'!$C$25/'HISTO RESULTATS'!$C$17)</f>
        <v>#DIV/0!</v>
      </c>
      <c r="L64" s="48"/>
    </row>
    <row r="65" spans="1:12" ht="15.5">
      <c r="A65" s="58" t="s">
        <v>289</v>
      </c>
      <c r="B65" s="58"/>
      <c r="C65" s="58"/>
      <c r="D65" s="58"/>
      <c r="E65" s="58"/>
      <c r="F65" s="58"/>
      <c r="G65" s="192"/>
      <c r="H65" s="59"/>
      <c r="I65" s="192"/>
      <c r="J65" s="59"/>
      <c r="K65" s="192"/>
      <c r="L65" s="48"/>
    </row>
    <row r="66" spans="1:12" ht="15.5">
      <c r="A66" s="58"/>
      <c r="B66" s="58"/>
      <c r="C66" s="58"/>
      <c r="D66" s="58"/>
      <c r="E66" s="58"/>
      <c r="F66" s="58"/>
      <c r="G66" s="192"/>
      <c r="H66" s="59"/>
      <c r="I66" s="192"/>
      <c r="J66" s="59"/>
      <c r="K66" s="192"/>
      <c r="L66" s="48"/>
    </row>
    <row r="67" spans="1:12" ht="15.5">
      <c r="A67" s="59" t="str">
        <f>IF(RG!A74=3,"Seuil de rentabilité après amortissements et prise en compte des dividendes","Seuil de rentabilité après amortissements et prise en compte des prélèvements")</f>
        <v>Seuil de rentabilité après amortissements et prise en compte des dividendes</v>
      </c>
      <c r="B67" s="58"/>
      <c r="C67" s="58"/>
      <c r="D67" s="58"/>
      <c r="E67" s="58"/>
      <c r="F67" s="58"/>
      <c r="G67" s="191" t="e">
        <f>-('HISTO RESULTATS'!$C$60+'HISTO RESULTATS'!$C$75+BILAN!E69)/('HISTO RESULTATS'!$C$25/'HISTO RESULTATS'!$C$17)</f>
        <v>#DIV/0!</v>
      </c>
      <c r="H67" s="59"/>
      <c r="I67" s="191" t="e">
        <f>-('HISTO RESULTATS'!$C$60+'HISTO RESULTATS'!$C$75+BILAN!G69)/('HISTO RESULTATS'!$C$25/'HISTO RESULTATS'!$C$17)</f>
        <v>#DIV/0!</v>
      </c>
      <c r="J67" s="59"/>
      <c r="K67" s="191" t="e">
        <f>-('HISTO RESULTATS'!$C$60+'HISTO RESULTATS'!$C$75+BILAN!I69)/('HISTO RESULTATS'!$C$25/'HISTO RESULTATS'!$C$17)</f>
        <v>#DIV/0!</v>
      </c>
      <c r="L67" s="48"/>
    </row>
    <row r="68" spans="1:12" ht="15.5">
      <c r="A68" s="58" t="s">
        <v>294</v>
      </c>
      <c r="B68" s="58"/>
      <c r="C68" s="58"/>
      <c r="D68" s="58"/>
      <c r="E68" s="58"/>
      <c r="F68" s="58"/>
      <c r="G68" s="192"/>
      <c r="H68" s="59"/>
      <c r="I68" s="59"/>
      <c r="J68" s="59"/>
      <c r="K68" s="59"/>
      <c r="L68" s="48"/>
    </row>
    <row r="69" spans="1:12">
      <c r="G69" s="193"/>
      <c r="H69" s="48"/>
      <c r="I69" s="48"/>
      <c r="J69" s="48"/>
      <c r="K69" s="48"/>
      <c r="L69" s="48"/>
    </row>
    <row r="70" spans="1:12">
      <c r="G70" s="193"/>
      <c r="H70" s="48"/>
      <c r="I70" s="48"/>
      <c r="J70" s="48"/>
      <c r="K70" s="48"/>
      <c r="L70" s="48"/>
    </row>
    <row r="71" spans="1:12">
      <c r="G71" s="193"/>
      <c r="H71" s="48"/>
      <c r="I71" s="48"/>
      <c r="J71" s="48"/>
      <c r="K71" s="48"/>
      <c r="L71" s="48"/>
    </row>
    <row r="72" spans="1:12">
      <c r="G72" s="193"/>
      <c r="H72" s="48"/>
      <c r="I72" s="48"/>
      <c r="J72" s="48"/>
      <c r="K72" s="48"/>
      <c r="L72" s="48"/>
    </row>
    <row r="73" spans="1:12" hidden="1">
      <c r="A73" s="71">
        <v>1</v>
      </c>
    </row>
  </sheetData>
  <sheetProtection password="E242" sheet="1" objects="1" scenarios="1"/>
  <customSheetViews>
    <customSheetView guid="{30D0538C-360A-4CDF-8D89-584CED1967CC}"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 guid="{4F3169C3-3348-49DE-A6DC-8AA4D2A9D7A1}"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57" orientation="portrait" horizontalDpi="4294967293" r:id="rId1"/>
  <headerFooter alignWithMargins="0">
    <oddHeader>&amp;RPRF - 8</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4">
    <pageSetUpPr fitToPage="1"/>
  </sheetPr>
  <dimension ref="A1:P77"/>
  <sheetViews>
    <sheetView showGridLines="0" showRowColHeaders="0" topLeftCell="A31" zoomScale="80" zoomScaleNormal="80" workbookViewId="0">
      <selection activeCell="P76" sqref="P76"/>
    </sheetView>
  </sheetViews>
  <sheetFormatPr baseColWidth="10" defaultColWidth="11.453125" defaultRowHeight="13"/>
  <cols>
    <col min="1" max="1" width="5" style="576" customWidth="1"/>
    <col min="2" max="2" width="5.6328125" style="576" customWidth="1"/>
    <col min="3" max="3" width="37.36328125" style="576" customWidth="1"/>
    <col min="4" max="7" width="14.36328125" style="576" customWidth="1"/>
    <col min="8" max="16" width="14.36328125" style="167" customWidth="1"/>
    <col min="17" max="16384" width="11.453125" style="167"/>
  </cols>
  <sheetData>
    <row r="1" spans="1:16" s="234" customFormat="1" ht="12.5"/>
    <row r="2" spans="1:16" s="234" customFormat="1" ht="12.5"/>
    <row r="3" spans="1:16" s="234" customFormat="1" ht="12.5"/>
    <row r="4" spans="1:16" s="234" customFormat="1" ht="12.5"/>
    <row r="5" spans="1:16" s="234" customFormat="1" ht="12.5"/>
    <row r="6" spans="1:16" s="234" customFormat="1" ht="12.5"/>
    <row r="7" spans="1:16" s="234" customFormat="1" ht="12.5"/>
    <row r="8" spans="1:16" s="234" customFormat="1" ht="12.5"/>
    <row r="9" spans="1:16" ht="33">
      <c r="A9" s="1049" t="str">
        <f>RG!D17</f>
        <v>Jhon Wesly inc.</v>
      </c>
    </row>
    <row r="11" spans="1:16" ht="15">
      <c r="A11" s="577" t="s">
        <v>150</v>
      </c>
    </row>
    <row r="12" spans="1:16">
      <c r="A12" s="578" t="s">
        <v>151</v>
      </c>
    </row>
    <row r="13" spans="1:16" ht="12.75" customHeight="1">
      <c r="A13" s="578"/>
      <c r="E13" s="579"/>
      <c r="F13" s="579"/>
      <c r="G13" s="579"/>
    </row>
    <row r="14" spans="1:16" ht="15" customHeight="1" thickBot="1">
      <c r="D14" s="580" t="s">
        <v>584</v>
      </c>
      <c r="E14" s="581">
        <f>'BC1'!$D$13</f>
        <v>45292</v>
      </c>
      <c r="F14" s="581">
        <f>'BC1'!$E$13</f>
        <v>45323</v>
      </c>
      <c r="G14" s="581">
        <f>'BC1'!$F$13</f>
        <v>45352</v>
      </c>
      <c r="H14" s="581">
        <f>'BC1'!$G$13</f>
        <v>45383</v>
      </c>
      <c r="I14" s="581">
        <f>'BC1'!$H$13</f>
        <v>45413</v>
      </c>
      <c r="J14" s="581">
        <f>'BC1'!$I$13</f>
        <v>45444</v>
      </c>
      <c r="K14" s="581">
        <f>'BC1'!$J$13</f>
        <v>45474</v>
      </c>
      <c r="L14" s="581">
        <f>'BC1'!$K$13</f>
        <v>45505</v>
      </c>
      <c r="M14" s="581">
        <f>'BC1'!$L$13</f>
        <v>45536</v>
      </c>
      <c r="N14" s="581">
        <f>'BC1'!$M$13</f>
        <v>45566</v>
      </c>
      <c r="O14" s="581">
        <f>'BC1'!$N$13</f>
        <v>45597</v>
      </c>
      <c r="P14" s="581">
        <f>'BC1'!$O$13</f>
        <v>45627</v>
      </c>
    </row>
    <row r="15" spans="1:16">
      <c r="C15" s="579" t="s">
        <v>412</v>
      </c>
    </row>
    <row r="16" spans="1:16">
      <c r="A16" s="578" t="s">
        <v>378</v>
      </c>
    </row>
    <row r="18" spans="1:16">
      <c r="B18" s="576" t="s">
        <v>49</v>
      </c>
      <c r="D18" s="582">
        <f>BILAN!D17</f>
        <v>3399.1025</v>
      </c>
      <c r="E18" s="582">
        <f>'BC1'!D148</f>
        <v>6803</v>
      </c>
      <c r="F18" s="582">
        <f>'BC1'!E148</f>
        <v>5406</v>
      </c>
      <c r="G18" s="582">
        <f>'BC1'!F148</f>
        <v>4153</v>
      </c>
      <c r="H18" s="582">
        <f>'BC1'!G148</f>
        <v>3049</v>
      </c>
      <c r="I18" s="582">
        <f>'BC1'!H148</f>
        <v>2089</v>
      </c>
      <c r="J18" s="582">
        <f>'BC1'!I148</f>
        <v>1279</v>
      </c>
      <c r="K18" s="582">
        <f>'BC1'!J148</f>
        <v>612</v>
      </c>
      <c r="L18" s="582">
        <f>'BC1'!K148</f>
        <v>92</v>
      </c>
      <c r="M18" s="582">
        <f>'BC1'!L148</f>
        <v>219</v>
      </c>
      <c r="N18" s="582">
        <f>'BC1'!M148</f>
        <v>491</v>
      </c>
      <c r="O18" s="582">
        <f>'BC1'!N148</f>
        <v>410</v>
      </c>
      <c r="P18" s="582">
        <f>'BC1'!O148</f>
        <v>474</v>
      </c>
    </row>
    <row r="19" spans="1:16">
      <c r="B19" s="576" t="s">
        <v>585</v>
      </c>
      <c r="D19" s="582">
        <f>BILAN!D18</f>
        <v>3594.8985000000002</v>
      </c>
      <c r="E19" s="582">
        <f>'V1'!G93-'V1'!G91</f>
        <v>0</v>
      </c>
      <c r="F19" s="582">
        <f>E19+'V1'!H93-'V1'!H91</f>
        <v>0</v>
      </c>
      <c r="G19" s="582">
        <f>F19+'V1'!I93-'V1'!I91</f>
        <v>0</v>
      </c>
      <c r="H19" s="582">
        <f>G19+'V1'!J93-'V1'!J91</f>
        <v>0</v>
      </c>
      <c r="I19" s="582">
        <f>H19+'V1'!K93-'V1'!K91</f>
        <v>0</v>
      </c>
      <c r="J19" s="582">
        <f>I19+'V1'!L93-'V1'!L91</f>
        <v>0</v>
      </c>
      <c r="K19" s="582">
        <f>J19+'V1'!M93-'V1'!M91</f>
        <v>0</v>
      </c>
      <c r="L19" s="582">
        <f>K19+'V1'!N93-'V1'!N91</f>
        <v>0</v>
      </c>
      <c r="M19" s="582">
        <f>L19+'V1'!O93-'V1'!O91</f>
        <v>0</v>
      </c>
      <c r="N19" s="582">
        <f>M19+'V1'!P93-'V1'!P91</f>
        <v>0</v>
      </c>
      <c r="O19" s="582">
        <f>N19+'V1'!Q93-'V1'!Q91</f>
        <v>0</v>
      </c>
      <c r="P19" s="582">
        <f>O19+'V1'!R93-'V1'!R91</f>
        <v>0</v>
      </c>
    </row>
    <row r="20" spans="1:16">
      <c r="B20" s="576" t="s">
        <v>413</v>
      </c>
      <c r="D20" s="582">
        <f>BILAN!D19</f>
        <v>6</v>
      </c>
      <c r="E20" s="582">
        <f>NE!I40</f>
        <v>0</v>
      </c>
      <c r="F20" s="582">
        <f t="shared" ref="F20:P20" si="0">$E$20</f>
        <v>0</v>
      </c>
      <c r="G20" s="582">
        <f t="shared" si="0"/>
        <v>0</v>
      </c>
      <c r="H20" s="582">
        <f t="shared" si="0"/>
        <v>0</v>
      </c>
      <c r="I20" s="582">
        <f t="shared" si="0"/>
        <v>0</v>
      </c>
      <c r="J20" s="582">
        <f t="shared" si="0"/>
        <v>0</v>
      </c>
      <c r="K20" s="582">
        <f t="shared" si="0"/>
        <v>0</v>
      </c>
      <c r="L20" s="582">
        <f t="shared" si="0"/>
        <v>0</v>
      </c>
      <c r="M20" s="582">
        <f t="shared" si="0"/>
        <v>0</v>
      </c>
      <c r="N20" s="582">
        <f t="shared" si="0"/>
        <v>0</v>
      </c>
      <c r="O20" s="582">
        <f t="shared" si="0"/>
        <v>0</v>
      </c>
      <c r="P20" s="582">
        <f t="shared" si="0"/>
        <v>0</v>
      </c>
    </row>
    <row r="21" spans="1:16">
      <c r="B21" s="576" t="s">
        <v>586</v>
      </c>
      <c r="D21" s="582">
        <f>BILAN!D20</f>
        <v>0</v>
      </c>
      <c r="E21" s="582">
        <f>D21+'A1'!E25+'A1'!E38+'A1'!E51+'A1'!E64+'A1'!E77+'A1'!E90</f>
        <v>0</v>
      </c>
      <c r="F21" s="582">
        <f>E21+'A1'!F25+'A1'!F38+'A1'!F51+'A1'!F64+'A1'!F77+'A1'!F90</f>
        <v>0</v>
      </c>
      <c r="G21" s="582">
        <f>F21+'A1'!G25+'A1'!G38+'A1'!G51+'A1'!G64+'A1'!G77+'A1'!G90</f>
        <v>0</v>
      </c>
      <c r="H21" s="582">
        <f>G21+'A1'!H25+'A1'!H38+'A1'!H51+'A1'!H64+'A1'!H77+'A1'!H90</f>
        <v>0</v>
      </c>
      <c r="I21" s="582">
        <f>H21+'A1'!I25+'A1'!I38+'A1'!I51+'A1'!I64+'A1'!I77+'A1'!I90</f>
        <v>0</v>
      </c>
      <c r="J21" s="582">
        <f>I21+'A1'!J25+'A1'!J38+'A1'!J51+'A1'!J64+'A1'!J77+'A1'!J90</f>
        <v>0</v>
      </c>
      <c r="K21" s="582">
        <f>J21+'A1'!K25+'A1'!K38+'A1'!K51+'A1'!K64+'A1'!K77+'A1'!K90</f>
        <v>0</v>
      </c>
      <c r="L21" s="582">
        <f>K21+'A1'!L25+'A1'!L38+'A1'!L51+'A1'!L64+'A1'!L77+'A1'!L90</f>
        <v>0</v>
      </c>
      <c r="M21" s="582">
        <f>L21+'A1'!M25+'A1'!M38+'A1'!M51+'A1'!M64+'A1'!M77+'A1'!M90</f>
        <v>0</v>
      </c>
      <c r="N21" s="582">
        <f>M21+'A1'!N25+'A1'!N38+'A1'!N51+'A1'!N64+'A1'!N77+'A1'!N90</f>
        <v>0</v>
      </c>
      <c r="O21" s="582">
        <f>N21+'A1'!O25+'A1'!O38+'A1'!O51+'A1'!O64+'A1'!O77+'A1'!O90</f>
        <v>0</v>
      </c>
      <c r="P21" s="582">
        <f>O21+'A1'!P25+'A1'!P38+'A1'!P51+'A1'!P64+'A1'!P77+'A1'!P90</f>
        <v>0</v>
      </c>
    </row>
    <row r="22" spans="1:16">
      <c r="A22" s="609" t="s">
        <v>459</v>
      </c>
      <c r="B22" s="610"/>
      <c r="C22" s="610"/>
      <c r="D22" s="1050">
        <f t="shared" ref="D22:P22" si="1">SUM(D18:D21)</f>
        <v>7000.0010000000002</v>
      </c>
      <c r="E22" s="1050">
        <f t="shared" si="1"/>
        <v>6803</v>
      </c>
      <c r="F22" s="1050">
        <f t="shared" si="1"/>
        <v>5406</v>
      </c>
      <c r="G22" s="1050">
        <f t="shared" si="1"/>
        <v>4153</v>
      </c>
      <c r="H22" s="1050">
        <f t="shared" si="1"/>
        <v>3049</v>
      </c>
      <c r="I22" s="1050">
        <f t="shared" si="1"/>
        <v>2089</v>
      </c>
      <c r="J22" s="1050">
        <f t="shared" si="1"/>
        <v>1279</v>
      </c>
      <c r="K22" s="1050">
        <f t="shared" si="1"/>
        <v>612</v>
      </c>
      <c r="L22" s="1050">
        <f t="shared" si="1"/>
        <v>92</v>
      </c>
      <c r="M22" s="1050">
        <f t="shared" si="1"/>
        <v>219</v>
      </c>
      <c r="N22" s="1050">
        <f t="shared" si="1"/>
        <v>491</v>
      </c>
      <c r="O22" s="1050">
        <f t="shared" si="1"/>
        <v>410</v>
      </c>
      <c r="P22" s="1050">
        <f t="shared" si="1"/>
        <v>474</v>
      </c>
    </row>
    <row r="23" spans="1:16">
      <c r="A23" s="578"/>
      <c r="D23" s="582"/>
      <c r="E23" s="582"/>
      <c r="F23" s="582"/>
      <c r="G23" s="582"/>
    </row>
    <row r="24" spans="1:16">
      <c r="A24" s="578" t="s">
        <v>379</v>
      </c>
      <c r="D24" s="582"/>
      <c r="E24" s="582"/>
      <c r="F24" s="582"/>
      <c r="G24" s="582"/>
    </row>
    <row r="25" spans="1:16">
      <c r="A25" s="578"/>
      <c r="B25" s="576" t="str">
        <f>CF!B31</f>
        <v>Terrain</v>
      </c>
      <c r="C25" s="167"/>
      <c r="D25" s="582">
        <f>BILAN!D25</f>
        <v>0</v>
      </c>
      <c r="E25" s="582">
        <f>D25</f>
        <v>0</v>
      </c>
      <c r="F25" s="582">
        <f>E25</f>
        <v>0</v>
      </c>
      <c r="G25" s="582">
        <f>F25+DG!E$239</f>
        <v>0</v>
      </c>
      <c r="H25" s="582">
        <f>G25</f>
        <v>0</v>
      </c>
      <c r="I25" s="582">
        <f>H25</f>
        <v>0</v>
      </c>
      <c r="J25" s="582">
        <f>I25+DG!F$239</f>
        <v>0</v>
      </c>
      <c r="K25" s="582">
        <f>J25</f>
        <v>0</v>
      </c>
      <c r="L25" s="582">
        <f>K25</f>
        <v>0</v>
      </c>
      <c r="M25" s="582">
        <f>L25+DG!R$239</f>
        <v>0</v>
      </c>
      <c r="N25" s="582">
        <f>M25</f>
        <v>0</v>
      </c>
      <c r="O25" s="582">
        <f>N25</f>
        <v>0</v>
      </c>
      <c r="P25" s="582">
        <f>O25+DG!S$239</f>
        <v>0</v>
      </c>
    </row>
    <row r="26" spans="1:16">
      <c r="A26" s="578"/>
      <c r="B26" s="576" t="str">
        <f>CF!B32</f>
        <v>Aménagement de terrain</v>
      </c>
      <c r="C26" s="167"/>
      <c r="D26" s="582">
        <f>BILAN!D26</f>
        <v>0</v>
      </c>
      <c r="E26" s="582">
        <f t="shared" ref="E26:E35" si="2">D26</f>
        <v>0</v>
      </c>
      <c r="F26" s="582">
        <f t="shared" ref="F26:F35" si="3">E26</f>
        <v>0</v>
      </c>
      <c r="G26" s="582">
        <f>F26+DG!Q239</f>
        <v>0</v>
      </c>
      <c r="H26" s="582">
        <f t="shared" ref="H26:H35" si="4">G26</f>
        <v>0</v>
      </c>
      <c r="I26" s="582">
        <f t="shared" ref="I26:I35" si="5">H26</f>
        <v>0</v>
      </c>
      <c r="J26" s="582">
        <f>I26+DG!R$239</f>
        <v>0</v>
      </c>
      <c r="K26" s="582">
        <f t="shared" ref="K26:K35" si="6">J26</f>
        <v>0</v>
      </c>
      <c r="L26" s="582">
        <f t="shared" ref="L26:L35" si="7">K26</f>
        <v>0</v>
      </c>
      <c r="M26" s="582">
        <f>L26+DG!G$239</f>
        <v>0</v>
      </c>
      <c r="N26" s="582">
        <f t="shared" ref="N26:N35" si="8">M26</f>
        <v>0</v>
      </c>
      <c r="O26" s="582">
        <f t="shared" ref="O26:O35" si="9">N26</f>
        <v>0</v>
      </c>
      <c r="P26" s="582">
        <f>O26+DG!H$239</f>
        <v>0</v>
      </c>
    </row>
    <row r="27" spans="1:16">
      <c r="A27" s="578"/>
      <c r="B27" s="576" t="str">
        <f>CF!B33</f>
        <v>Bâtiment</v>
      </c>
      <c r="C27" s="167"/>
      <c r="D27" s="582">
        <f>BILAN!D27</f>
        <v>0</v>
      </c>
      <c r="E27" s="582">
        <f t="shared" si="2"/>
        <v>0</v>
      </c>
      <c r="F27" s="582">
        <f t="shared" si="3"/>
        <v>0</v>
      </c>
      <c r="G27" s="582">
        <f>F27+DG!AC239</f>
        <v>0</v>
      </c>
      <c r="H27" s="582">
        <f t="shared" si="4"/>
        <v>0</v>
      </c>
      <c r="I27" s="582">
        <f t="shared" si="5"/>
        <v>0</v>
      </c>
      <c r="J27" s="582">
        <f>I27+DG!AD$239</f>
        <v>0</v>
      </c>
      <c r="K27" s="582">
        <f t="shared" si="6"/>
        <v>0</v>
      </c>
      <c r="L27" s="582">
        <f t="shared" si="7"/>
        <v>0</v>
      </c>
      <c r="M27" s="582">
        <f>L27+DG!AE$239</f>
        <v>0</v>
      </c>
      <c r="N27" s="582">
        <f t="shared" si="8"/>
        <v>0</v>
      </c>
      <c r="O27" s="582">
        <f t="shared" si="9"/>
        <v>0</v>
      </c>
      <c r="P27" s="582">
        <f>O27+DG!AF$239</f>
        <v>0</v>
      </c>
    </row>
    <row r="28" spans="1:16">
      <c r="A28" s="578"/>
      <c r="B28" s="576" t="str">
        <f>CF!B34</f>
        <v>Améliorations locatives</v>
      </c>
      <c r="C28" s="167"/>
      <c r="D28" s="582">
        <f>BILAN!D28</f>
        <v>0</v>
      </c>
      <c r="E28" s="582">
        <f t="shared" si="2"/>
        <v>0</v>
      </c>
      <c r="F28" s="582">
        <f t="shared" si="3"/>
        <v>0</v>
      </c>
      <c r="G28" s="582">
        <f>F28+DG!AO239</f>
        <v>0</v>
      </c>
      <c r="H28" s="582">
        <f t="shared" si="4"/>
        <v>0</v>
      </c>
      <c r="I28" s="582">
        <f t="shared" si="5"/>
        <v>0</v>
      </c>
      <c r="J28" s="582">
        <f>I28+DG!AP$239</f>
        <v>0</v>
      </c>
      <c r="K28" s="582">
        <f t="shared" si="6"/>
        <v>0</v>
      </c>
      <c r="L28" s="582">
        <f t="shared" si="7"/>
        <v>0</v>
      </c>
      <c r="M28" s="582">
        <f>L28+DG!AR239</f>
        <v>0</v>
      </c>
      <c r="N28" s="582">
        <f t="shared" si="8"/>
        <v>0</v>
      </c>
      <c r="O28" s="582">
        <f t="shared" si="9"/>
        <v>0</v>
      </c>
      <c r="P28" s="582">
        <f>O28+DG!AS239</f>
        <v>0</v>
      </c>
    </row>
    <row r="29" spans="1:16">
      <c r="A29" s="578"/>
      <c r="B29" s="576" t="str">
        <f>CF!B35</f>
        <v>Matériel roulant</v>
      </c>
      <c r="C29" s="167"/>
      <c r="D29" s="582">
        <f>BILAN!D29</f>
        <v>0</v>
      </c>
      <c r="E29" s="582">
        <f t="shared" si="2"/>
        <v>0</v>
      </c>
      <c r="F29" s="582">
        <f t="shared" si="3"/>
        <v>0</v>
      </c>
      <c r="G29" s="582">
        <f>F29+DG!BA$239</f>
        <v>0</v>
      </c>
      <c r="H29" s="582">
        <f t="shared" si="4"/>
        <v>0</v>
      </c>
      <c r="I29" s="582">
        <f t="shared" si="5"/>
        <v>0</v>
      </c>
      <c r="J29" s="582">
        <f>I29+DG!F$239</f>
        <v>0</v>
      </c>
      <c r="K29" s="582">
        <f t="shared" si="6"/>
        <v>0</v>
      </c>
      <c r="L29" s="582">
        <f t="shared" si="7"/>
        <v>0</v>
      </c>
      <c r="M29" s="582">
        <f>L29+DG!G$239</f>
        <v>0</v>
      </c>
      <c r="N29" s="582">
        <f t="shared" si="8"/>
        <v>0</v>
      </c>
      <c r="O29" s="582">
        <f t="shared" si="9"/>
        <v>0</v>
      </c>
      <c r="P29" s="582">
        <f>O29+DG!AR$239</f>
        <v>0</v>
      </c>
    </row>
    <row r="30" spans="1:16">
      <c r="A30" s="578"/>
      <c r="B30" s="576" t="str">
        <f>CF!B36</f>
        <v>Équipement</v>
      </c>
      <c r="C30" s="167"/>
      <c r="D30" s="582">
        <f>BILAN!D30</f>
        <v>500</v>
      </c>
      <c r="E30" s="582">
        <f t="shared" si="2"/>
        <v>500</v>
      </c>
      <c r="F30" s="582">
        <f t="shared" si="3"/>
        <v>500</v>
      </c>
      <c r="G30" s="582">
        <f>F30+DG!BM239</f>
        <v>500</v>
      </c>
      <c r="H30" s="582">
        <f t="shared" si="4"/>
        <v>500</v>
      </c>
      <c r="I30" s="582">
        <f t="shared" si="5"/>
        <v>500</v>
      </c>
      <c r="J30" s="582">
        <f>I30+DG!BN$239</f>
        <v>500</v>
      </c>
      <c r="K30" s="582">
        <f t="shared" si="6"/>
        <v>500</v>
      </c>
      <c r="L30" s="582">
        <f t="shared" si="7"/>
        <v>500</v>
      </c>
      <c r="M30" s="582">
        <f>L30+DG!BO$239</f>
        <v>500</v>
      </c>
      <c r="N30" s="582">
        <f t="shared" si="8"/>
        <v>500</v>
      </c>
      <c r="O30" s="582">
        <f t="shared" si="9"/>
        <v>500</v>
      </c>
      <c r="P30" s="582">
        <f>O30+DG!BP$239</f>
        <v>500</v>
      </c>
    </row>
    <row r="31" spans="1:16">
      <c r="A31" s="578"/>
      <c r="B31" s="576" t="str">
        <f>CF!B37</f>
        <v>Système informatique</v>
      </c>
      <c r="C31" s="167"/>
      <c r="D31" s="582">
        <f>BILAN!D31</f>
        <v>1000</v>
      </c>
      <c r="E31" s="582">
        <f t="shared" si="2"/>
        <v>1000</v>
      </c>
      <c r="F31" s="582">
        <f t="shared" si="3"/>
        <v>1000</v>
      </c>
      <c r="G31" s="582">
        <f>F31+DG!BY239</f>
        <v>1000</v>
      </c>
      <c r="H31" s="582">
        <f t="shared" si="4"/>
        <v>1000</v>
      </c>
      <c r="I31" s="582">
        <f t="shared" si="5"/>
        <v>1000</v>
      </c>
      <c r="J31" s="582">
        <f>I31+DG!BZ$239</f>
        <v>1000</v>
      </c>
      <c r="K31" s="582">
        <f t="shared" si="6"/>
        <v>1000</v>
      </c>
      <c r="L31" s="582">
        <f t="shared" si="7"/>
        <v>1000</v>
      </c>
      <c r="M31" s="582">
        <f>L31+DG!CA$239</f>
        <v>1000</v>
      </c>
      <c r="N31" s="582">
        <f t="shared" si="8"/>
        <v>1000</v>
      </c>
      <c r="O31" s="582">
        <f t="shared" si="9"/>
        <v>1000</v>
      </c>
      <c r="P31" s="582">
        <f>O31+DG!CB$239</f>
        <v>1000</v>
      </c>
    </row>
    <row r="32" spans="1:16">
      <c r="A32" s="578"/>
      <c r="B32" s="576" t="str">
        <f>CF!B38</f>
        <v>Logiciel</v>
      </c>
      <c r="C32" s="167"/>
      <c r="D32" s="582">
        <f>BILAN!D32</f>
        <v>15000</v>
      </c>
      <c r="E32" s="582">
        <f t="shared" si="2"/>
        <v>15000</v>
      </c>
      <c r="F32" s="582">
        <f t="shared" si="3"/>
        <v>15000</v>
      </c>
      <c r="G32" s="582">
        <f>F32+DG!CK239</f>
        <v>15000</v>
      </c>
      <c r="H32" s="582">
        <f t="shared" si="4"/>
        <v>15000</v>
      </c>
      <c r="I32" s="582">
        <f t="shared" si="5"/>
        <v>15000</v>
      </c>
      <c r="J32" s="582">
        <f>I32+DG!CL$239</f>
        <v>15000</v>
      </c>
      <c r="K32" s="582">
        <f t="shared" si="6"/>
        <v>15000</v>
      </c>
      <c r="L32" s="582">
        <f t="shared" si="7"/>
        <v>15000</v>
      </c>
      <c r="M32" s="582">
        <f>L32+DG!CM$239</f>
        <v>15000</v>
      </c>
      <c r="N32" s="582">
        <f t="shared" si="8"/>
        <v>15000</v>
      </c>
      <c r="O32" s="582">
        <f t="shared" si="9"/>
        <v>15000</v>
      </c>
      <c r="P32" s="582">
        <f>O32+DG!CN$239</f>
        <v>15000</v>
      </c>
    </row>
    <row r="33" spans="1:16">
      <c r="A33" s="167"/>
      <c r="B33" s="576" t="str">
        <f>CF!B39</f>
        <v>Mobilier de bureau</v>
      </c>
      <c r="C33" s="167"/>
      <c r="D33" s="582">
        <f>BILAN!D33</f>
        <v>0</v>
      </c>
      <c r="E33" s="582">
        <f t="shared" si="2"/>
        <v>0</v>
      </c>
      <c r="F33" s="582">
        <f t="shared" si="3"/>
        <v>0</v>
      </c>
      <c r="G33" s="582">
        <f>F33+DG!CW239</f>
        <v>0</v>
      </c>
      <c r="H33" s="582">
        <f t="shared" si="4"/>
        <v>0</v>
      </c>
      <c r="I33" s="582">
        <f t="shared" si="5"/>
        <v>0</v>
      </c>
      <c r="J33" s="582">
        <f>I33+DG!CX$239</f>
        <v>0</v>
      </c>
      <c r="K33" s="582">
        <f t="shared" si="6"/>
        <v>0</v>
      </c>
      <c r="L33" s="582">
        <f t="shared" si="7"/>
        <v>0</v>
      </c>
      <c r="M33" s="582">
        <f>L33+DG!CY$239</f>
        <v>0</v>
      </c>
      <c r="N33" s="582">
        <f t="shared" si="8"/>
        <v>0</v>
      </c>
      <c r="O33" s="582">
        <f t="shared" si="9"/>
        <v>0</v>
      </c>
      <c r="P33" s="582">
        <f>O33+DG!CZ$239</f>
        <v>0</v>
      </c>
    </row>
    <row r="34" spans="1:16">
      <c r="B34" s="576" t="str">
        <f>CF!B42</f>
        <v>Site internet</v>
      </c>
      <c r="C34" s="167"/>
      <c r="D34" s="582">
        <f>BILAN!D34</f>
        <v>5000</v>
      </c>
      <c r="E34" s="582">
        <f t="shared" si="2"/>
        <v>5000</v>
      </c>
      <c r="F34" s="582">
        <f t="shared" si="3"/>
        <v>5000</v>
      </c>
      <c r="G34" s="582">
        <f>F34+DG!DI239</f>
        <v>5000</v>
      </c>
      <c r="H34" s="582">
        <f t="shared" si="4"/>
        <v>5000</v>
      </c>
      <c r="I34" s="582">
        <f t="shared" si="5"/>
        <v>5000</v>
      </c>
      <c r="J34" s="582">
        <f>I34+DG!DJ$239</f>
        <v>5000</v>
      </c>
      <c r="K34" s="582">
        <f t="shared" si="6"/>
        <v>5000</v>
      </c>
      <c r="L34" s="582">
        <f t="shared" si="7"/>
        <v>5000</v>
      </c>
      <c r="M34" s="582">
        <f>L34+DG!DK$239</f>
        <v>5000</v>
      </c>
      <c r="N34" s="582">
        <f t="shared" si="8"/>
        <v>5000</v>
      </c>
      <c r="O34" s="582">
        <f t="shared" si="9"/>
        <v>5000</v>
      </c>
      <c r="P34" s="582">
        <f>O34+DG!DL$239</f>
        <v>5000</v>
      </c>
    </row>
    <row r="35" spans="1:16">
      <c r="B35" s="576" t="str">
        <f>CF!B43</f>
        <v>Autres actifs intangibles</v>
      </c>
      <c r="C35" s="167"/>
      <c r="D35" s="582">
        <f>BILAN!D35</f>
        <v>2500</v>
      </c>
      <c r="E35" s="582">
        <f t="shared" si="2"/>
        <v>2500</v>
      </c>
      <c r="F35" s="582">
        <f t="shared" si="3"/>
        <v>2500</v>
      </c>
      <c r="G35" s="582">
        <f>F35+DG!DU239</f>
        <v>2500</v>
      </c>
      <c r="H35" s="582">
        <f t="shared" si="4"/>
        <v>2500</v>
      </c>
      <c r="I35" s="582">
        <f t="shared" si="5"/>
        <v>2500</v>
      </c>
      <c r="J35" s="582">
        <f>I35+DG!DV$239</f>
        <v>2500</v>
      </c>
      <c r="K35" s="582">
        <f t="shared" si="6"/>
        <v>2500</v>
      </c>
      <c r="L35" s="582">
        <f t="shared" si="7"/>
        <v>2500</v>
      </c>
      <c r="M35" s="582">
        <f>L35+DG!DW$239</f>
        <v>2500</v>
      </c>
      <c r="N35" s="582">
        <f t="shared" si="8"/>
        <v>2500</v>
      </c>
      <c r="O35" s="582">
        <f t="shared" si="9"/>
        <v>2500</v>
      </c>
      <c r="P35" s="582">
        <f>O35+DG!DX$239</f>
        <v>2500</v>
      </c>
    </row>
    <row r="36" spans="1:16">
      <c r="A36" s="609" t="s">
        <v>460</v>
      </c>
      <c r="B36" s="610"/>
      <c r="C36" s="610"/>
      <c r="D36" s="1050">
        <f t="shared" ref="D36:P36" si="10">SUM(D25:D35)</f>
        <v>24000</v>
      </c>
      <c r="E36" s="1050">
        <f t="shared" si="10"/>
        <v>24000</v>
      </c>
      <c r="F36" s="1050">
        <f t="shared" si="10"/>
        <v>24000</v>
      </c>
      <c r="G36" s="1050">
        <f t="shared" si="10"/>
        <v>24000</v>
      </c>
      <c r="H36" s="1050">
        <f t="shared" si="10"/>
        <v>24000</v>
      </c>
      <c r="I36" s="1050">
        <f t="shared" si="10"/>
        <v>24000</v>
      </c>
      <c r="J36" s="1050">
        <f t="shared" si="10"/>
        <v>24000</v>
      </c>
      <c r="K36" s="1050">
        <f t="shared" si="10"/>
        <v>24000</v>
      </c>
      <c r="L36" s="1050">
        <f t="shared" si="10"/>
        <v>24000</v>
      </c>
      <c r="M36" s="1050">
        <f t="shared" si="10"/>
        <v>24000</v>
      </c>
      <c r="N36" s="1050">
        <f t="shared" si="10"/>
        <v>24000</v>
      </c>
      <c r="O36" s="1050">
        <f t="shared" si="10"/>
        <v>24000</v>
      </c>
      <c r="P36" s="1050">
        <f t="shared" si="10"/>
        <v>24000</v>
      </c>
    </row>
    <row r="37" spans="1:16">
      <c r="C37" s="1135" t="s">
        <v>461</v>
      </c>
      <c r="D37" s="1136">
        <f t="shared" ref="D37:P37" si="11">D36+D22</f>
        <v>31000.001</v>
      </c>
      <c r="E37" s="1136">
        <f t="shared" si="11"/>
        <v>30803</v>
      </c>
      <c r="F37" s="1136">
        <f t="shared" si="11"/>
        <v>29406</v>
      </c>
      <c r="G37" s="1136">
        <f t="shared" si="11"/>
        <v>28153</v>
      </c>
      <c r="H37" s="1136">
        <f t="shared" si="11"/>
        <v>27049</v>
      </c>
      <c r="I37" s="1136">
        <f t="shared" si="11"/>
        <v>26089</v>
      </c>
      <c r="J37" s="1136">
        <f t="shared" si="11"/>
        <v>25279</v>
      </c>
      <c r="K37" s="1136">
        <f t="shared" si="11"/>
        <v>24612</v>
      </c>
      <c r="L37" s="1136">
        <f t="shared" si="11"/>
        <v>24092</v>
      </c>
      <c r="M37" s="1136">
        <f t="shared" si="11"/>
        <v>24219</v>
      </c>
      <c r="N37" s="1136">
        <f t="shared" si="11"/>
        <v>24491</v>
      </c>
      <c r="O37" s="1136">
        <f t="shared" si="11"/>
        <v>24410</v>
      </c>
      <c r="P37" s="1136">
        <f t="shared" si="11"/>
        <v>24474</v>
      </c>
    </row>
    <row r="38" spans="1:16" ht="13.5" thickBot="1">
      <c r="A38" s="583"/>
      <c r="B38" s="583"/>
      <c r="C38" s="1132"/>
      <c r="D38" s="1134"/>
      <c r="E38" s="1134"/>
      <c r="F38" s="1134"/>
      <c r="G38" s="1134"/>
      <c r="H38" s="1134"/>
      <c r="I38" s="1134"/>
      <c r="J38" s="1134"/>
      <c r="K38" s="1134"/>
      <c r="L38" s="1134"/>
      <c r="M38" s="1134"/>
      <c r="N38" s="1134"/>
      <c r="O38" s="1134"/>
      <c r="P38" s="1134"/>
    </row>
    <row r="39" spans="1:16" ht="13.5" thickTop="1">
      <c r="C39" s="579" t="s">
        <v>407</v>
      </c>
      <c r="D39" s="582"/>
      <c r="E39" s="582"/>
      <c r="F39" s="582"/>
      <c r="G39" s="582"/>
    </row>
    <row r="40" spans="1:16">
      <c r="A40" s="578" t="s">
        <v>575</v>
      </c>
      <c r="D40" s="582"/>
      <c r="E40" s="582"/>
      <c r="F40" s="582"/>
      <c r="G40" s="582"/>
    </row>
    <row r="41" spans="1:16">
      <c r="B41" s="576" t="s">
        <v>572</v>
      </c>
      <c r="D41" s="582">
        <f>BILAN!D42</f>
        <v>0</v>
      </c>
      <c r="E41" s="582">
        <f>IF(D41&gt;0,'A1'!E94+D41-'A1'!E95+'A1'!E93,'A1'!E94+'A1'!E93-'BC1'!D29)</f>
        <v>0</v>
      </c>
      <c r="F41" s="582">
        <f>IF(E41&gt;0,'A1'!F94+E41-'A1'!F95+'A1'!F93,'A1'!F94+'A1'!F93-'BC1'!E29)</f>
        <v>0</v>
      </c>
      <c r="G41" s="582">
        <f>IF(F41&gt;0,'A1'!G94+F41-'A1'!G95+'A1'!G93,'A1'!G94+'A1'!G93-'BC1'!F29)</f>
        <v>0</v>
      </c>
      <c r="H41" s="582">
        <f>IF(G41&gt;0,'A1'!H94+G41-'A1'!H95+'A1'!H93,'A1'!H94+'A1'!H93-'BC1'!G29)</f>
        <v>0</v>
      </c>
      <c r="I41" s="582">
        <f>IF(H41&gt;0,'A1'!I94+H41-'A1'!I95+'A1'!I93,'A1'!I94+'A1'!I93-'BC1'!H29)</f>
        <v>0</v>
      </c>
      <c r="J41" s="582">
        <f>IF(I41&gt;0,'A1'!J94+I41-'A1'!J95+'A1'!J93,'A1'!J94+'A1'!J93-'BC1'!I29)</f>
        <v>0</v>
      </c>
      <c r="K41" s="582">
        <f>IF(J41&gt;0,'A1'!K94+J41-'A1'!K95+'A1'!K93,'A1'!K94+'A1'!K93-'BC1'!J29)</f>
        <v>0</v>
      </c>
      <c r="L41" s="582">
        <f>IF(K41&gt;0,'A1'!L94+K41-'A1'!L95+'A1'!L93,'A1'!L94+'A1'!L93-'BC1'!K29)</f>
        <v>0</v>
      </c>
      <c r="M41" s="582">
        <f>IF(L41&gt;0,'A1'!M94+L41-'A1'!M95+'A1'!M93,'A1'!M94+'A1'!M93-'BC1'!L29)</f>
        <v>0</v>
      </c>
      <c r="N41" s="582">
        <f>IF(M41&gt;0,'A1'!N94+M41-'A1'!N95+'A1'!N93,'A1'!N94+'A1'!N93-'BC1'!M29)</f>
        <v>0</v>
      </c>
      <c r="O41" s="582">
        <f>IF(N41&gt;0,'A1'!O94+N41-'A1'!O95+'A1'!O93,'A1'!O94+'A1'!O93-'BC1'!N29)</f>
        <v>0</v>
      </c>
      <c r="P41" s="582">
        <f>IF(O41&gt;0,'A1'!P94+O41-'A1'!P95+'A1'!P93,'A1'!P94+'A1'!P93-'BC1'!O29)</f>
        <v>0</v>
      </c>
    </row>
    <row r="42" spans="1:16">
      <c r="B42" s="576" t="s">
        <v>56</v>
      </c>
      <c r="D42" s="582">
        <f>BILAN!D43</f>
        <v>0</v>
      </c>
      <c r="E42" s="582">
        <f>'BC1'!D146+CF!J32</f>
        <v>0</v>
      </c>
      <c r="F42" s="582">
        <f>+'BC1'!E143+'BC1'!E144+'BC1'!E145+RG!$J$38</f>
        <v>0</v>
      </c>
      <c r="G42" s="582">
        <f>+'BC1'!F143+'BC1'!F144+'BC1'!F145+RG!$J$38</f>
        <v>0</v>
      </c>
      <c r="H42" s="582">
        <f>+'BC1'!G143+'BC1'!G144+'BC1'!G145+RG!$J$38</f>
        <v>0</v>
      </c>
      <c r="I42" s="582">
        <f>+'BC1'!H143+'BC1'!H144+'BC1'!H145+RG!$J$38</f>
        <v>0</v>
      </c>
      <c r="J42" s="582">
        <f>+'BC1'!I143+'BC1'!I144+'BC1'!I145+RG!$J$38</f>
        <v>0</v>
      </c>
      <c r="K42" s="582">
        <f>+'BC1'!J143+'BC1'!J144+'BC1'!J145+RG!$J$38</f>
        <v>0</v>
      </c>
      <c r="L42" s="582">
        <f>+'BC1'!K143+'BC1'!K144+'BC1'!K145+RG!$J$38</f>
        <v>0</v>
      </c>
      <c r="M42" s="582">
        <f>+'BC1'!L143+'BC1'!L144+'BC1'!L145+RG!$J$38</f>
        <v>500</v>
      </c>
      <c r="N42" s="582">
        <f>+'BC1'!M143+'BC1'!M144+'BC1'!M145+RG!$J$38</f>
        <v>1000</v>
      </c>
      <c r="O42" s="582">
        <f>+'BC1'!N143+'BC1'!N144+'BC1'!N145+RG!$J$38</f>
        <v>1000</v>
      </c>
      <c r="P42" s="582">
        <f>+'BC1'!O143+'BC1'!O144+'BC1'!O145+RG!$J$38</f>
        <v>1000</v>
      </c>
    </row>
    <row r="43" spans="1:16">
      <c r="B43" s="576" t="s">
        <v>153</v>
      </c>
      <c r="D43" s="582">
        <f>BILAN!D44</f>
        <v>0</v>
      </c>
      <c r="E43" s="582">
        <f>'BC1'!E31+'BC1'!E65</f>
        <v>898</v>
      </c>
      <c r="F43" s="582">
        <f>'BC1'!F31+'BC1'!F65</f>
        <v>898</v>
      </c>
      <c r="G43" s="582">
        <f>'BC1'!G31+'BC1'!G65</f>
        <v>898</v>
      </c>
      <c r="H43" s="582">
        <f>'BC1'!H31+'BC1'!H65</f>
        <v>898</v>
      </c>
      <c r="I43" s="582">
        <f>'BC1'!I31+'BC1'!I65</f>
        <v>898</v>
      </c>
      <c r="J43" s="582">
        <f>'BC1'!J31+'BC1'!J65</f>
        <v>898</v>
      </c>
      <c r="K43" s="582">
        <f>'BC1'!K31+'BC1'!K65</f>
        <v>898</v>
      </c>
      <c r="L43" s="582">
        <f>'BC1'!L31+'BC1'!L65</f>
        <v>898</v>
      </c>
      <c r="M43" s="582">
        <f>'BC1'!M31+'BC1'!M65</f>
        <v>898</v>
      </c>
      <c r="N43" s="582">
        <f>'BC1'!N31+'BC1'!N65</f>
        <v>898</v>
      </c>
      <c r="O43" s="582">
        <f>'BC1'!O31+'BC1'!O65</f>
        <v>898</v>
      </c>
      <c r="P43" s="582">
        <f>'BC2'!C30+'BC2'!C38</f>
        <v>0</v>
      </c>
    </row>
    <row r="44" spans="1:16">
      <c r="B44" s="576" t="s">
        <v>190</v>
      </c>
      <c r="D44" s="582">
        <f>BILAN!D45</f>
        <v>0</v>
      </c>
      <c r="E44" s="582">
        <f>'BC1'!E139</f>
        <v>475</v>
      </c>
      <c r="F44" s="582">
        <f>'BC1'!F139</f>
        <v>497</v>
      </c>
      <c r="G44" s="582">
        <f>'BC1'!G139</f>
        <v>518</v>
      </c>
      <c r="H44" s="582">
        <f>'BC1'!H139</f>
        <v>541</v>
      </c>
      <c r="I44" s="582">
        <f>'BC1'!I139</f>
        <v>562</v>
      </c>
      <c r="J44" s="582">
        <f>'BC1'!J139</f>
        <v>585</v>
      </c>
      <c r="K44" s="582">
        <f>'BC1'!K139</f>
        <v>606</v>
      </c>
      <c r="L44" s="582">
        <f>'BC1'!L139</f>
        <v>628</v>
      </c>
      <c r="M44" s="582">
        <f>'BC1'!M139</f>
        <v>650</v>
      </c>
      <c r="N44" s="582">
        <f>'BC1'!N139</f>
        <v>671</v>
      </c>
      <c r="O44" s="582">
        <f>'BC1'!O139</f>
        <v>694</v>
      </c>
      <c r="P44" s="582">
        <f>'BC2'!C135</f>
        <v>715</v>
      </c>
    </row>
    <row r="45" spans="1:16">
      <c r="B45" s="576" t="str">
        <f>CF!F35</f>
        <v>Billet à payer</v>
      </c>
      <c r="D45" s="582">
        <f>BILAN!D46</f>
        <v>0</v>
      </c>
      <c r="E45" s="582">
        <f>D45-'BC1'!D88</f>
        <v>0</v>
      </c>
      <c r="F45" s="582">
        <f>E45-'BC1'!E88</f>
        <v>0</v>
      </c>
      <c r="G45" s="582">
        <f>F45-'BC1'!F88</f>
        <v>0</v>
      </c>
      <c r="H45" s="582">
        <f>G45-'BC1'!G88</f>
        <v>0</v>
      </c>
      <c r="I45" s="582">
        <f>H45-'BC1'!H88</f>
        <v>0</v>
      </c>
      <c r="J45" s="582">
        <f>I45-'BC1'!I88</f>
        <v>0</v>
      </c>
      <c r="K45" s="582">
        <f>J45-'BC1'!J88</f>
        <v>0</v>
      </c>
      <c r="L45" s="582">
        <f>K45-'BC1'!K88</f>
        <v>0</v>
      </c>
      <c r="M45" s="582">
        <f>L45-'BC1'!L88</f>
        <v>0</v>
      </c>
      <c r="N45" s="582">
        <f>M45-'BC1'!M88</f>
        <v>0</v>
      </c>
      <c r="O45" s="582">
        <f>N45-'BC1'!N88</f>
        <v>0</v>
      </c>
      <c r="P45" s="582">
        <f>O45-'BC1'!O88</f>
        <v>0</v>
      </c>
    </row>
    <row r="46" spans="1:16">
      <c r="B46" s="576" t="str">
        <f>CF!F36</f>
        <v>Emprunt à court terme 1</v>
      </c>
      <c r="D46" s="582">
        <f>BILAN!D47</f>
        <v>0</v>
      </c>
      <c r="E46" s="582">
        <f>D46-'BC1'!D91</f>
        <v>0</v>
      </c>
      <c r="F46" s="582">
        <f>E46-'BC1'!E91</f>
        <v>0</v>
      </c>
      <c r="G46" s="582">
        <f>F46-'BC1'!F91</f>
        <v>0</v>
      </c>
      <c r="H46" s="582">
        <f>G46-'BC1'!G91</f>
        <v>0</v>
      </c>
      <c r="I46" s="582">
        <f>H46-'BC1'!H91</f>
        <v>0</v>
      </c>
      <c r="J46" s="582">
        <f>I46-'BC1'!I91</f>
        <v>0</v>
      </c>
      <c r="K46" s="582">
        <f>J46-'BC1'!J91</f>
        <v>0</v>
      </c>
      <c r="L46" s="582">
        <f>K46-'BC1'!K91</f>
        <v>0</v>
      </c>
      <c r="M46" s="582">
        <f>L46-'BC1'!L91</f>
        <v>0</v>
      </c>
      <c r="N46" s="582">
        <f>M46-'BC1'!M91</f>
        <v>0</v>
      </c>
      <c r="O46" s="582">
        <f>N46-'BC1'!N91</f>
        <v>0</v>
      </c>
      <c r="P46" s="582">
        <f>O46-'BC1'!O91</f>
        <v>0</v>
      </c>
    </row>
    <row r="47" spans="1:16">
      <c r="B47" s="576" t="str">
        <f>CF!F37</f>
        <v>Emprunt à court terme 2</v>
      </c>
      <c r="D47" s="582">
        <f>BILAN!D48</f>
        <v>0</v>
      </c>
      <c r="E47" s="582">
        <f>D47-'BC1'!D94</f>
        <v>0</v>
      </c>
      <c r="F47" s="582">
        <f>E47-'BC1'!E94</f>
        <v>0</v>
      </c>
      <c r="G47" s="582">
        <f>F47-'BC1'!F94</f>
        <v>0</v>
      </c>
      <c r="H47" s="582">
        <f>G47-'BC1'!G94</f>
        <v>0</v>
      </c>
      <c r="I47" s="582">
        <f>H47-'BC1'!H94</f>
        <v>0</v>
      </c>
      <c r="J47" s="582">
        <f>I47-'BC1'!I94</f>
        <v>0</v>
      </c>
      <c r="K47" s="582">
        <f>J47-'BC1'!J94</f>
        <v>0</v>
      </c>
      <c r="L47" s="582">
        <f>K47-'BC1'!K94</f>
        <v>0</v>
      </c>
      <c r="M47" s="582">
        <f>L47-'BC1'!L94</f>
        <v>0</v>
      </c>
      <c r="N47" s="582">
        <f>M47-'BC1'!M94</f>
        <v>0</v>
      </c>
      <c r="O47" s="582">
        <f>N47-'BC1'!N94</f>
        <v>0</v>
      </c>
      <c r="P47" s="582">
        <f>O47-'BC1'!O94</f>
        <v>0</v>
      </c>
    </row>
    <row r="48" spans="1:16">
      <c r="A48" s="609" t="s">
        <v>462</v>
      </c>
      <c r="B48" s="610"/>
      <c r="C48" s="610"/>
      <c r="D48" s="1050">
        <f t="shared" ref="D48:P48" si="12">SUM(D41:D47)</f>
        <v>0</v>
      </c>
      <c r="E48" s="1050">
        <f t="shared" si="12"/>
        <v>1373</v>
      </c>
      <c r="F48" s="1050">
        <f t="shared" si="12"/>
        <v>1395</v>
      </c>
      <c r="G48" s="1050">
        <f t="shared" si="12"/>
        <v>1416</v>
      </c>
      <c r="H48" s="1050">
        <f t="shared" si="12"/>
        <v>1439</v>
      </c>
      <c r="I48" s="1050">
        <f t="shared" si="12"/>
        <v>1460</v>
      </c>
      <c r="J48" s="1050">
        <f t="shared" si="12"/>
        <v>1483</v>
      </c>
      <c r="K48" s="1050">
        <f t="shared" si="12"/>
        <v>1504</v>
      </c>
      <c r="L48" s="1050">
        <f t="shared" si="12"/>
        <v>1526</v>
      </c>
      <c r="M48" s="1050">
        <f t="shared" si="12"/>
        <v>2048</v>
      </c>
      <c r="N48" s="1050">
        <f t="shared" si="12"/>
        <v>2569</v>
      </c>
      <c r="O48" s="1050">
        <f t="shared" si="12"/>
        <v>2592</v>
      </c>
      <c r="P48" s="1050">
        <f t="shared" si="12"/>
        <v>1715</v>
      </c>
    </row>
    <row r="49" spans="1:16">
      <c r="A49" s="578"/>
      <c r="D49" s="582"/>
      <c r="E49" s="582"/>
      <c r="F49" s="582"/>
      <c r="G49" s="582"/>
    </row>
    <row r="50" spans="1:16">
      <c r="A50" s="578" t="s">
        <v>574</v>
      </c>
      <c r="D50" s="582"/>
      <c r="E50" s="582"/>
      <c r="F50" s="582"/>
      <c r="G50" s="582"/>
    </row>
    <row r="51" spans="1:16">
      <c r="B51" s="576" t="str">
        <f>CF!F40</f>
        <v>Emprunt hypothécaire</v>
      </c>
      <c r="D51" s="582">
        <f>BILAN!D53</f>
        <v>0</v>
      </c>
      <c r="E51" s="582">
        <f>D51-'BC1'!D97</f>
        <v>0</v>
      </c>
      <c r="F51" s="582">
        <f>E51-'BC1'!E97</f>
        <v>0</v>
      </c>
      <c r="G51" s="582">
        <f>F51-'BC1'!F97</f>
        <v>0</v>
      </c>
      <c r="H51" s="582">
        <f>G51-'BC1'!G97</f>
        <v>0</v>
      </c>
      <c r="I51" s="582">
        <f>H51-'BC1'!H97</f>
        <v>0</v>
      </c>
      <c r="J51" s="582">
        <f>I51-'BC1'!I97</f>
        <v>0</v>
      </c>
      <c r="K51" s="582">
        <f>J51-'BC1'!J97</f>
        <v>0</v>
      </c>
      <c r="L51" s="582">
        <f>K51-'BC1'!K97</f>
        <v>0</v>
      </c>
      <c r="M51" s="582">
        <f>L51-'BC1'!L97</f>
        <v>0</v>
      </c>
      <c r="N51" s="582">
        <f>M51-'BC1'!M97</f>
        <v>0</v>
      </c>
      <c r="O51" s="582">
        <f>N51-'BC1'!N97</f>
        <v>0</v>
      </c>
      <c r="P51" s="582">
        <f>O51-'BC1'!O97</f>
        <v>0</v>
      </c>
    </row>
    <row r="52" spans="1:16">
      <c r="B52" s="576" t="str">
        <f>CF!F41</f>
        <v>Emprunt bancaire - Logiciel &amp; Site Web</v>
      </c>
      <c r="D52" s="582">
        <f>BILAN!D54</f>
        <v>20000</v>
      </c>
      <c r="E52" s="582">
        <f>D52-'BC1'!D100</f>
        <v>19706</v>
      </c>
      <c r="F52" s="582">
        <f>E52-'BC1'!E100</f>
        <v>19411</v>
      </c>
      <c r="G52" s="582">
        <f>F52-'BC1'!F100</f>
        <v>19114</v>
      </c>
      <c r="H52" s="582">
        <f>G52-'BC1'!G100</f>
        <v>18816</v>
      </c>
      <c r="I52" s="582">
        <f>H52-'BC1'!H100</f>
        <v>18517</v>
      </c>
      <c r="J52" s="582">
        <f>I52-'BC1'!I100</f>
        <v>18217</v>
      </c>
      <c r="K52" s="582">
        <f>J52-'BC1'!J100</f>
        <v>17915</v>
      </c>
      <c r="L52" s="582">
        <f>K52-'BC1'!K100</f>
        <v>17612</v>
      </c>
      <c r="M52" s="582">
        <f>L52-'BC1'!L100</f>
        <v>17308</v>
      </c>
      <c r="N52" s="582">
        <f>M52-'BC1'!M100</f>
        <v>17003</v>
      </c>
      <c r="O52" s="582">
        <f>N52-'BC1'!N100</f>
        <v>16696</v>
      </c>
      <c r="P52" s="582">
        <f>O52-'BC1'!O100</f>
        <v>16388</v>
      </c>
    </row>
    <row r="53" spans="1:16">
      <c r="B53" s="576" t="str">
        <f>CF!F42</f>
        <v>Emprunt à long terme 2</v>
      </c>
      <c r="D53" s="582">
        <f>BILAN!D55</f>
        <v>0</v>
      </c>
      <c r="E53" s="582">
        <f>D53-'BC1'!D103</f>
        <v>0</v>
      </c>
      <c r="F53" s="582">
        <f>E53-'BC1'!E103</f>
        <v>0</v>
      </c>
      <c r="G53" s="582">
        <f>F53-'BC1'!F103</f>
        <v>0</v>
      </c>
      <c r="H53" s="582">
        <f>G53-'BC1'!G103</f>
        <v>0</v>
      </c>
      <c r="I53" s="582">
        <f>H53-'BC1'!H103</f>
        <v>0</v>
      </c>
      <c r="J53" s="582">
        <f>I53-'BC1'!I103</f>
        <v>0</v>
      </c>
      <c r="K53" s="582">
        <f>J53-'BC1'!J103</f>
        <v>0</v>
      </c>
      <c r="L53" s="582">
        <f>K53-'BC1'!K103</f>
        <v>0</v>
      </c>
      <c r="M53" s="582">
        <f>L53-'BC1'!L103</f>
        <v>0</v>
      </c>
      <c r="N53" s="582">
        <f>M53-'BC1'!M103</f>
        <v>0</v>
      </c>
      <c r="O53" s="582">
        <f>N53-'BC1'!N103</f>
        <v>0</v>
      </c>
      <c r="P53" s="582">
        <f>O53-'BC1'!O103</f>
        <v>0</v>
      </c>
    </row>
    <row r="54" spans="1:16">
      <c r="B54" s="576" t="str">
        <f>CF!F43</f>
        <v>Emprunt à long terme 3</v>
      </c>
      <c r="D54" s="582">
        <f>BILAN!D56</f>
        <v>0</v>
      </c>
      <c r="E54" s="582">
        <f>D54-'BC1'!D106</f>
        <v>0</v>
      </c>
      <c r="F54" s="582">
        <f>E54-'BC1'!E106</f>
        <v>0</v>
      </c>
      <c r="G54" s="582">
        <f>F54-'BC1'!F106</f>
        <v>0</v>
      </c>
      <c r="H54" s="582">
        <f>G54-'BC1'!G106</f>
        <v>0</v>
      </c>
      <c r="I54" s="582">
        <f>H54-'BC1'!H106</f>
        <v>0</v>
      </c>
      <c r="J54" s="582">
        <f>I54-'BC1'!I106</f>
        <v>0</v>
      </c>
      <c r="K54" s="582">
        <f>J54-'BC1'!J106</f>
        <v>0</v>
      </c>
      <c r="L54" s="582">
        <f>K54-'BC1'!K106</f>
        <v>0</v>
      </c>
      <c r="M54" s="582">
        <f>L54-'BC1'!L106</f>
        <v>0</v>
      </c>
      <c r="N54" s="582">
        <f>M54-'BC1'!M106</f>
        <v>0</v>
      </c>
      <c r="O54" s="582">
        <f>N54-'BC1'!N106</f>
        <v>0</v>
      </c>
      <c r="P54" s="582">
        <f>O54-'BC1'!O106</f>
        <v>0</v>
      </c>
    </row>
    <row r="55" spans="1:16">
      <c r="B55" s="576" t="str">
        <f>CF!F44</f>
        <v>Emprunt à long terme 4</v>
      </c>
      <c r="D55" s="582">
        <f>BILAN!D57</f>
        <v>0</v>
      </c>
      <c r="E55" s="582">
        <f>D55-'BC1'!D109</f>
        <v>0</v>
      </c>
      <c r="F55" s="582">
        <f>E55-'BC1'!E109</f>
        <v>0</v>
      </c>
      <c r="G55" s="582">
        <f>F55-'BC1'!F109</f>
        <v>0</v>
      </c>
      <c r="H55" s="582">
        <f>G55-'BC1'!G109</f>
        <v>0</v>
      </c>
      <c r="I55" s="582">
        <f>H55-'BC1'!H109</f>
        <v>0</v>
      </c>
      <c r="J55" s="582">
        <f>I55-'BC1'!I109</f>
        <v>0</v>
      </c>
      <c r="K55" s="582">
        <f>J55-'BC1'!J109</f>
        <v>0</v>
      </c>
      <c r="L55" s="582">
        <f>K55-'BC1'!K109</f>
        <v>0</v>
      </c>
      <c r="M55" s="582">
        <f>L55-'BC1'!L109</f>
        <v>0</v>
      </c>
      <c r="N55" s="582">
        <f>M55-'BC1'!M109</f>
        <v>0</v>
      </c>
      <c r="O55" s="582">
        <f>N55-'BC1'!N109</f>
        <v>0</v>
      </c>
      <c r="P55" s="582">
        <f>O55-'BC1'!O109</f>
        <v>0</v>
      </c>
    </row>
    <row r="56" spans="1:16">
      <c r="B56" s="576" t="str">
        <f>CF!F45</f>
        <v>Emprunt à long terme 5</v>
      </c>
      <c r="D56" s="582">
        <f>BILAN!D58</f>
        <v>0</v>
      </c>
      <c r="E56" s="582">
        <f>D56-'BC1'!D112</f>
        <v>0</v>
      </c>
      <c r="F56" s="582">
        <f>E56-'BC1'!E112</f>
        <v>0</v>
      </c>
      <c r="G56" s="582">
        <f>F56-'BC1'!F112</f>
        <v>0</v>
      </c>
      <c r="H56" s="582">
        <f>G56-'BC1'!G112</f>
        <v>0</v>
      </c>
      <c r="I56" s="582">
        <f>H56-'BC1'!H112</f>
        <v>0</v>
      </c>
      <c r="J56" s="582">
        <f>I56-'BC1'!I112</f>
        <v>0</v>
      </c>
      <c r="K56" s="582">
        <f>J56-'BC1'!J112</f>
        <v>0</v>
      </c>
      <c r="L56" s="582">
        <f>K56-'BC1'!K112</f>
        <v>0</v>
      </c>
      <c r="M56" s="582">
        <f>L56-'BC1'!L112</f>
        <v>0</v>
      </c>
      <c r="N56" s="582">
        <f>M56-'BC1'!M112</f>
        <v>0</v>
      </c>
      <c r="O56" s="582">
        <f>N56-'BC1'!N112</f>
        <v>0</v>
      </c>
      <c r="P56" s="582">
        <f>O56-'BC1'!O112</f>
        <v>0</v>
      </c>
    </row>
    <row r="57" spans="1:16">
      <c r="B57" s="576" t="str">
        <f>CF!F46</f>
        <v>Emprunt à long terme 6</v>
      </c>
      <c r="D57" s="582">
        <f>BILAN!D59</f>
        <v>0</v>
      </c>
      <c r="E57" s="582">
        <f>D57-'BC1'!D115</f>
        <v>0</v>
      </c>
      <c r="F57" s="582">
        <f>E57-'BC1'!E115</f>
        <v>0</v>
      </c>
      <c r="G57" s="582">
        <f>F57-'BC1'!F115</f>
        <v>0</v>
      </c>
      <c r="H57" s="582">
        <f>G57-'BC1'!G115</f>
        <v>0</v>
      </c>
      <c r="I57" s="582">
        <f>H57-'BC1'!H115</f>
        <v>0</v>
      </c>
      <c r="J57" s="582">
        <f>I57-'BC1'!I115</f>
        <v>0</v>
      </c>
      <c r="K57" s="582">
        <f>J57-'BC1'!J115</f>
        <v>0</v>
      </c>
      <c r="L57" s="582">
        <f>K57-'BC1'!K115</f>
        <v>0</v>
      </c>
      <c r="M57" s="582">
        <f>L57-'BC1'!L115</f>
        <v>0</v>
      </c>
      <c r="N57" s="582">
        <f>M57-'BC1'!M115</f>
        <v>0</v>
      </c>
      <c r="O57" s="582">
        <f>N57-'BC1'!N115</f>
        <v>0</v>
      </c>
      <c r="P57" s="582">
        <f>O57-'BC1'!O115</f>
        <v>0</v>
      </c>
    </row>
    <row r="58" spans="1:16">
      <c r="B58" s="576" t="str">
        <f>CF!F47</f>
        <v>Emprunt à long terme 7</v>
      </c>
      <c r="D58" s="582">
        <f>BILAN!D60</f>
        <v>0</v>
      </c>
      <c r="E58" s="582">
        <f>D58-'BC1'!D118</f>
        <v>0</v>
      </c>
      <c r="F58" s="582">
        <f>E58-'BC1'!E118</f>
        <v>0</v>
      </c>
      <c r="G58" s="582">
        <f>F58-'BC1'!F118</f>
        <v>0</v>
      </c>
      <c r="H58" s="582">
        <f>G58-'BC1'!G118</f>
        <v>0</v>
      </c>
      <c r="I58" s="582">
        <f>H58-'BC1'!H118</f>
        <v>0</v>
      </c>
      <c r="J58" s="582">
        <f>I58-'BC1'!I118</f>
        <v>0</v>
      </c>
      <c r="K58" s="582">
        <f>J58-'BC1'!J118</f>
        <v>0</v>
      </c>
      <c r="L58" s="582">
        <f>K58-'BC1'!K118</f>
        <v>0</v>
      </c>
      <c r="M58" s="582">
        <f>L58-'BC1'!L118</f>
        <v>0</v>
      </c>
      <c r="N58" s="582">
        <f>M58-'BC1'!M118</f>
        <v>0</v>
      </c>
      <c r="O58" s="582">
        <f>N58-'BC1'!N118</f>
        <v>0</v>
      </c>
      <c r="P58" s="582">
        <f>O58-'BC1'!O118</f>
        <v>0</v>
      </c>
    </row>
    <row r="59" spans="1:16">
      <c r="A59" s="609" t="s">
        <v>463</v>
      </c>
      <c r="B59" s="610"/>
      <c r="C59" s="610"/>
      <c r="D59" s="1050">
        <f t="shared" ref="D59:P59" si="13">SUM(D51:D58)</f>
        <v>20000</v>
      </c>
      <c r="E59" s="1050">
        <f t="shared" si="13"/>
        <v>19706</v>
      </c>
      <c r="F59" s="1050">
        <f t="shared" si="13"/>
        <v>19411</v>
      </c>
      <c r="G59" s="1050">
        <f t="shared" si="13"/>
        <v>19114</v>
      </c>
      <c r="H59" s="1050">
        <f t="shared" si="13"/>
        <v>18816</v>
      </c>
      <c r="I59" s="1050">
        <f t="shared" si="13"/>
        <v>18517</v>
      </c>
      <c r="J59" s="1050">
        <f t="shared" si="13"/>
        <v>18217</v>
      </c>
      <c r="K59" s="1050">
        <f t="shared" si="13"/>
        <v>17915</v>
      </c>
      <c r="L59" s="1050">
        <f t="shared" si="13"/>
        <v>17612</v>
      </c>
      <c r="M59" s="1050">
        <f t="shared" si="13"/>
        <v>17308</v>
      </c>
      <c r="N59" s="1050">
        <f t="shared" si="13"/>
        <v>17003</v>
      </c>
      <c r="O59" s="1050">
        <f t="shared" si="13"/>
        <v>16696</v>
      </c>
      <c r="P59" s="1050">
        <f t="shared" si="13"/>
        <v>16388</v>
      </c>
    </row>
    <row r="60" spans="1:16" s="108" customFormat="1">
      <c r="A60" s="1051"/>
      <c r="B60" s="1051"/>
      <c r="C60" s="1137" t="s">
        <v>464</v>
      </c>
      <c r="D60" s="1129">
        <f t="shared" ref="D60:P60" si="14">D59+D48</f>
        <v>20000</v>
      </c>
      <c r="E60" s="1129">
        <f t="shared" si="14"/>
        <v>21079</v>
      </c>
      <c r="F60" s="1129">
        <f t="shared" si="14"/>
        <v>20806</v>
      </c>
      <c r="G60" s="1129">
        <f t="shared" si="14"/>
        <v>20530</v>
      </c>
      <c r="H60" s="1129">
        <f t="shared" si="14"/>
        <v>20255</v>
      </c>
      <c r="I60" s="1129">
        <f t="shared" si="14"/>
        <v>19977</v>
      </c>
      <c r="J60" s="1129">
        <f t="shared" si="14"/>
        <v>19700</v>
      </c>
      <c r="K60" s="1129">
        <f t="shared" si="14"/>
        <v>19419</v>
      </c>
      <c r="L60" s="1129">
        <f t="shared" si="14"/>
        <v>19138</v>
      </c>
      <c r="M60" s="1129">
        <f t="shared" si="14"/>
        <v>19356</v>
      </c>
      <c r="N60" s="1129">
        <f t="shared" si="14"/>
        <v>19572</v>
      </c>
      <c r="O60" s="1129">
        <f t="shared" si="14"/>
        <v>19288</v>
      </c>
      <c r="P60" s="1129">
        <f t="shared" si="14"/>
        <v>18103</v>
      </c>
    </row>
    <row r="61" spans="1:16" s="108" customFormat="1" ht="13.5" thickBot="1">
      <c r="A61" s="1052"/>
      <c r="B61" s="1052"/>
      <c r="C61" s="1138"/>
      <c r="D61" s="1130"/>
      <c r="E61" s="1130"/>
      <c r="F61" s="1130"/>
      <c r="G61" s="1130"/>
      <c r="H61" s="1130"/>
      <c r="I61" s="1130"/>
      <c r="J61" s="1130"/>
      <c r="K61" s="1130"/>
      <c r="L61" s="1130"/>
      <c r="M61" s="1130"/>
      <c r="N61" s="1130"/>
      <c r="O61" s="1130"/>
      <c r="P61" s="1130"/>
    </row>
    <row r="62" spans="1:16">
      <c r="C62" s="579" t="s">
        <v>408</v>
      </c>
      <c r="D62" s="582"/>
      <c r="E62" s="582"/>
      <c r="F62" s="582"/>
      <c r="G62" s="582"/>
    </row>
    <row r="63" spans="1:16">
      <c r="A63" s="578"/>
      <c r="B63" s="584" t="str">
        <f>IF(RG!A74=3,"Capital-actions",IF(RG!A74=4,"Capital social","Avoir du(des) propriétaire(s)"))</f>
        <v>Capital-actions</v>
      </c>
      <c r="D63" s="582">
        <f>BILAN!D68</f>
        <v>11000</v>
      </c>
      <c r="E63" s="582">
        <f>IF(RG!$A$74=3,D63+D64,IF(RG!$A$74=4,D63,D69))</f>
        <v>11000</v>
      </c>
      <c r="F63" s="582">
        <f>IF(RG!$A$74=3,E63+E64,IF(RG!$A$74=4,E63,E69))</f>
        <v>11000</v>
      </c>
      <c r="G63" s="582">
        <f>IF(RG!$A$74=3,F63+F64,IF(RG!$A$74=4,F63,F69))</f>
        <v>11000</v>
      </c>
      <c r="H63" s="582">
        <f>IF(RG!$A$74=3,G63+G64,IF(RG!$A$74=4,G63,G69))</f>
        <v>11000</v>
      </c>
      <c r="I63" s="582">
        <f>IF(RG!$A$74=3,H63+H64,IF(RG!$A$74=4,H63,H69))</f>
        <v>11000</v>
      </c>
      <c r="J63" s="582">
        <f>IF(RG!$A$74=3,I63+I64,IF(RG!$A$74=4,I63,I69))</f>
        <v>11000</v>
      </c>
      <c r="K63" s="582">
        <f>IF(RG!$A$74=3,J63+J64,IF(RG!$A$74=4,J63,J69))</f>
        <v>11000</v>
      </c>
      <c r="L63" s="582">
        <f>IF(RG!$A$74=3,K63+K64,IF(RG!$A$74=4,K63,K69))</f>
        <v>11000</v>
      </c>
      <c r="M63" s="582">
        <f>IF(RG!$A$74=3,L63+L64,IF(RG!$A$74=4,L63,L69))</f>
        <v>11000</v>
      </c>
      <c r="N63" s="582">
        <f>IF(RG!$A$74=3,M63+M64,IF(RG!$A$74=4,M63,M69))</f>
        <v>11000</v>
      </c>
      <c r="O63" s="582">
        <f>IF(RG!$A$74=3,N63+N64,IF(RG!$A$74=4,N63,N69))</f>
        <v>11000</v>
      </c>
      <c r="P63" s="582">
        <f>IF(RG!$A$74=3,O63+O64,IF(RG!$A$74=4,O63,O69))</f>
        <v>11000</v>
      </c>
    </row>
    <row r="64" spans="1:16">
      <c r="A64" s="578"/>
      <c r="B64" s="584" t="str">
        <f>IF(RG!A74&gt;3," ",IF(RG!A74=3,"Émissions d'actions","Apports"))</f>
        <v>Émissions d'actions</v>
      </c>
      <c r="D64" s="582">
        <f>BILAN!D69</f>
        <v>0</v>
      </c>
      <c r="E64" s="582">
        <f>'AE1'!D25</f>
        <v>0</v>
      </c>
      <c r="F64" s="582">
        <f>'AE2'!E14</f>
        <v>0</v>
      </c>
      <c r="G64" s="582">
        <f>'AE2'!F14</f>
        <v>0</v>
      </c>
      <c r="H64" s="582">
        <f>'AE2'!G14</f>
        <v>0</v>
      </c>
      <c r="I64" s="582">
        <f>'AE2'!H14</f>
        <v>0</v>
      </c>
      <c r="J64" s="582">
        <f>'AE2'!I14</f>
        <v>0</v>
      </c>
      <c r="K64" s="582">
        <f>'AE2'!J14</f>
        <v>0</v>
      </c>
      <c r="L64" s="582">
        <f>'AE2'!K14</f>
        <v>0</v>
      </c>
      <c r="M64" s="582">
        <f>'AE2'!L14</f>
        <v>0</v>
      </c>
      <c r="N64" s="582">
        <f>'AE2'!M14</f>
        <v>0</v>
      </c>
      <c r="O64" s="582">
        <f>'AE2'!N14</f>
        <v>0</v>
      </c>
      <c r="P64" s="582">
        <f>'AE2'!O14</f>
        <v>0</v>
      </c>
    </row>
    <row r="65" spans="1:16">
      <c r="A65" s="578"/>
      <c r="B65" s="584" t="str">
        <f>IF(RG!A74&gt;3," ",IF(RG!A74=3,"Dividendes déclarés","Prélèvements"))</f>
        <v>Dividendes déclarés</v>
      </c>
      <c r="D65" s="582">
        <f>BILAN!D70</f>
        <v>0</v>
      </c>
      <c r="E65" s="582">
        <f>-'BC1'!D128</f>
        <v>0</v>
      </c>
      <c r="F65" s="582">
        <f>-'BC1'!E128</f>
        <v>0</v>
      </c>
      <c r="G65" s="582">
        <f>-'BC1'!F128</f>
        <v>0</v>
      </c>
      <c r="H65" s="582">
        <f>-'BC1'!G128</f>
        <v>0</v>
      </c>
      <c r="I65" s="582">
        <f>-'BC1'!H128</f>
        <v>0</v>
      </c>
      <c r="J65" s="582">
        <f>-'BC1'!I128</f>
        <v>0</v>
      </c>
      <c r="K65" s="582">
        <f>-'BC1'!J128</f>
        <v>0</v>
      </c>
      <c r="L65" s="582">
        <f>-'BC1'!K128</f>
        <v>0</v>
      </c>
      <c r="M65" s="582">
        <f>-'BC1'!L128</f>
        <v>0</v>
      </c>
      <c r="N65" s="582">
        <f>-'BC1'!M128</f>
        <v>0</v>
      </c>
      <c r="O65" s="582">
        <f>-'BC1'!N128</f>
        <v>0</v>
      </c>
      <c r="P65" s="582">
        <f>-'BC1'!O128</f>
        <v>0</v>
      </c>
    </row>
    <row r="66" spans="1:16">
      <c r="A66" s="578"/>
      <c r="B66" s="584" t="str">
        <f>IF(RG!A74=4,"Surplus accumulés",IF(RG!A74=3,"Bénéfices non répartis",""))</f>
        <v>Bénéfices non répartis</v>
      </c>
      <c r="D66" s="582">
        <f>BILAN!D71</f>
        <v>0</v>
      </c>
      <c r="E66" s="582">
        <f>D66</f>
        <v>0</v>
      </c>
      <c r="F66" s="582">
        <f t="shared" ref="F66:P66" si="15">E66</f>
        <v>0</v>
      </c>
      <c r="G66" s="582">
        <f t="shared" si="15"/>
        <v>0</v>
      </c>
      <c r="H66" s="582">
        <f t="shared" si="15"/>
        <v>0</v>
      </c>
      <c r="I66" s="582">
        <f t="shared" si="15"/>
        <v>0</v>
      </c>
      <c r="J66" s="582">
        <f t="shared" si="15"/>
        <v>0</v>
      </c>
      <c r="K66" s="582">
        <f t="shared" si="15"/>
        <v>0</v>
      </c>
      <c r="L66" s="582">
        <f t="shared" si="15"/>
        <v>0</v>
      </c>
      <c r="M66" s="582">
        <f t="shared" si="15"/>
        <v>0</v>
      </c>
      <c r="N66" s="582">
        <f t="shared" si="15"/>
        <v>0</v>
      </c>
      <c r="O66" s="582">
        <f t="shared" si="15"/>
        <v>0</v>
      </c>
      <c r="P66" s="582">
        <f t="shared" si="15"/>
        <v>0</v>
      </c>
    </row>
    <row r="67" spans="1:16">
      <c r="A67" s="578"/>
      <c r="B67" s="584" t="s">
        <v>124</v>
      </c>
      <c r="D67" s="582">
        <f>BILAN!D72</f>
        <v>0</v>
      </c>
      <c r="E67" s="582">
        <v>0</v>
      </c>
      <c r="F67" s="582">
        <v>0</v>
      </c>
      <c r="G67" s="582">
        <v>0</v>
      </c>
      <c r="H67" s="582">
        <v>0</v>
      </c>
      <c r="I67" s="582">
        <v>0</v>
      </c>
      <c r="J67" s="582">
        <v>0</v>
      </c>
      <c r="K67" s="582">
        <v>0</v>
      </c>
      <c r="L67" s="582">
        <v>0</v>
      </c>
      <c r="M67" s="582">
        <v>0</v>
      </c>
      <c r="N67" s="582">
        <v>0</v>
      </c>
      <c r="O67" s="582">
        <v>0</v>
      </c>
      <c r="P67" s="582">
        <v>0</v>
      </c>
    </row>
    <row r="68" spans="1:16">
      <c r="A68" s="585"/>
      <c r="B68" s="1053" t="str">
        <f>IF(RG!A74=4,"SURPLUS DE L'EXERCICE","BÉNÉFICE NET DE L'EXERCICE")</f>
        <v>BÉNÉFICE NET DE L'EXERCICE</v>
      </c>
      <c r="C68" s="586"/>
      <c r="D68" s="582">
        <f>BILAN!D73</f>
        <v>1E-3</v>
      </c>
      <c r="E68" s="1054">
        <f>'RESULTAT MENSUEL'!C90</f>
        <v>-1194.5619999999999</v>
      </c>
      <c r="F68" s="1054">
        <f>'RESULTAT MENSUEL'!G90+E68</f>
        <v>-2237.1239999999998</v>
      </c>
      <c r="G68" s="1054">
        <f>'RESULTAT MENSUEL'!K90+F68</f>
        <v>-3133.6859999999997</v>
      </c>
      <c r="H68" s="1054">
        <f>'RESULTAT MENSUEL'!O90+G68</f>
        <v>-3883.2479999999996</v>
      </c>
      <c r="I68" s="1054">
        <f>'RESULTAT MENSUEL'!S90+H68</f>
        <v>-4487.8099999999995</v>
      </c>
      <c r="J68" s="1054">
        <f>'RESULTAT MENSUEL'!W90+I68</f>
        <v>-4944.3719999999994</v>
      </c>
      <c r="K68" s="1054">
        <f>'RESULTAT MENSUEL'!AA90+J68</f>
        <v>-5254.9339999999993</v>
      </c>
      <c r="L68" s="1054">
        <f>'RESULTAT MENSUEL'!AE90+K68</f>
        <v>-5419.4959999999992</v>
      </c>
      <c r="M68" s="1054">
        <f>'RESULTAT MENSUEL'!AI90+L68</f>
        <v>-5438.0579999999991</v>
      </c>
      <c r="N68" s="1054">
        <f>'RESULTAT MENSUEL'!AM90+M68</f>
        <v>-5310.619999999999</v>
      </c>
      <c r="O68" s="1054">
        <f>'RESULTAT MENSUEL'!AQ90+N68</f>
        <v>-5037.1819999999989</v>
      </c>
      <c r="P68" s="1054">
        <f>'RESULTAT MENSUEL'!AU90+O68</f>
        <v>-4616.7439999999988</v>
      </c>
    </row>
    <row r="69" spans="1:16" s="108" customFormat="1">
      <c r="A69" s="1051"/>
      <c r="B69" s="1051"/>
      <c r="C69" s="1137" t="s">
        <v>465</v>
      </c>
      <c r="D69" s="1129">
        <f t="shared" ref="D69:P69" si="16">SUM(D63:D68)</f>
        <v>11000.001</v>
      </c>
      <c r="E69" s="1129">
        <f t="shared" si="16"/>
        <v>9805.4380000000001</v>
      </c>
      <c r="F69" s="1129">
        <f t="shared" si="16"/>
        <v>8762.8760000000002</v>
      </c>
      <c r="G69" s="1129">
        <f t="shared" si="16"/>
        <v>7866.3140000000003</v>
      </c>
      <c r="H69" s="1129">
        <f t="shared" si="16"/>
        <v>7116.7520000000004</v>
      </c>
      <c r="I69" s="1129">
        <f t="shared" si="16"/>
        <v>6512.1900000000005</v>
      </c>
      <c r="J69" s="1129">
        <f t="shared" si="16"/>
        <v>6055.6280000000006</v>
      </c>
      <c r="K69" s="1129">
        <f t="shared" si="16"/>
        <v>5745.0660000000007</v>
      </c>
      <c r="L69" s="1129">
        <f t="shared" si="16"/>
        <v>5580.5040000000008</v>
      </c>
      <c r="M69" s="1129">
        <f t="shared" si="16"/>
        <v>5561.9420000000009</v>
      </c>
      <c r="N69" s="1129">
        <f t="shared" si="16"/>
        <v>5689.380000000001</v>
      </c>
      <c r="O69" s="1129">
        <f t="shared" si="16"/>
        <v>5962.8180000000011</v>
      </c>
      <c r="P69" s="1129">
        <f t="shared" si="16"/>
        <v>6383.2560000000012</v>
      </c>
    </row>
    <row r="70" spans="1:16" s="108" customFormat="1" ht="13.5" thickBot="1">
      <c r="A70" s="1052"/>
      <c r="B70" s="1052"/>
      <c r="C70" s="1138"/>
      <c r="D70" s="1130"/>
      <c r="E70" s="1130"/>
      <c r="F70" s="1130"/>
      <c r="G70" s="1130"/>
      <c r="H70" s="1130"/>
      <c r="I70" s="1130"/>
      <c r="J70" s="1130"/>
      <c r="K70" s="1130"/>
      <c r="L70" s="1130"/>
      <c r="M70" s="1130"/>
      <c r="N70" s="1130"/>
      <c r="O70" s="1130"/>
      <c r="P70" s="1130"/>
    </row>
    <row r="71" spans="1:16">
      <c r="A71" s="1131" t="s">
        <v>347</v>
      </c>
      <c r="B71" s="1131"/>
      <c r="C71" s="1131"/>
      <c r="D71" s="1133">
        <f t="shared" ref="D71:P71" si="17">D69+D60</f>
        <v>31000.001</v>
      </c>
      <c r="E71" s="1133">
        <f t="shared" si="17"/>
        <v>30884.438000000002</v>
      </c>
      <c r="F71" s="1133">
        <f t="shared" si="17"/>
        <v>29568.876</v>
      </c>
      <c r="G71" s="1133">
        <f t="shared" si="17"/>
        <v>28396.313999999998</v>
      </c>
      <c r="H71" s="1133">
        <f t="shared" si="17"/>
        <v>27371.752</v>
      </c>
      <c r="I71" s="1133">
        <f t="shared" si="17"/>
        <v>26489.190000000002</v>
      </c>
      <c r="J71" s="1133">
        <f t="shared" si="17"/>
        <v>25755.628000000001</v>
      </c>
      <c r="K71" s="1133">
        <f t="shared" si="17"/>
        <v>25164.065999999999</v>
      </c>
      <c r="L71" s="1133">
        <f t="shared" si="17"/>
        <v>24718.504000000001</v>
      </c>
      <c r="M71" s="1133">
        <f t="shared" si="17"/>
        <v>24917.942000000003</v>
      </c>
      <c r="N71" s="1133">
        <f t="shared" si="17"/>
        <v>25261.38</v>
      </c>
      <c r="O71" s="1133">
        <f t="shared" si="17"/>
        <v>25250.817999999999</v>
      </c>
      <c r="P71" s="1133">
        <f t="shared" si="17"/>
        <v>24486.256000000001</v>
      </c>
    </row>
    <row r="72" spans="1:16" ht="13.5" thickBot="1">
      <c r="A72" s="1132"/>
      <c r="B72" s="1132"/>
      <c r="C72" s="1132"/>
      <c r="D72" s="1134"/>
      <c r="E72" s="1134"/>
      <c r="F72" s="1134"/>
      <c r="G72" s="1134"/>
      <c r="H72" s="1134"/>
      <c r="I72" s="1134"/>
      <c r="J72" s="1134"/>
      <c r="K72" s="1134"/>
      <c r="L72" s="1134"/>
      <c r="M72" s="1134"/>
      <c r="N72" s="1134"/>
      <c r="O72" s="1134"/>
      <c r="P72" s="1134"/>
    </row>
    <row r="73" spans="1:16" ht="13.5" thickTop="1"/>
    <row r="74" spans="1:16" ht="19.5" customHeight="1">
      <c r="A74" s="578"/>
      <c r="D74" s="1055"/>
      <c r="E74" s="1055"/>
      <c r="F74" s="1055"/>
      <c r="G74" s="1055"/>
    </row>
    <row r="76" spans="1:16">
      <c r="D76" s="1128"/>
      <c r="E76" s="1128"/>
      <c r="F76" s="167"/>
      <c r="G76" s="167"/>
    </row>
    <row r="77" spans="1:16" hidden="1">
      <c r="A77" s="576">
        <v>1</v>
      </c>
    </row>
  </sheetData>
  <sheetProtection password="E242" sheet="1" objects="1" scenarios="1"/>
  <customSheetViews>
    <customSheetView guid="{30D0538C-360A-4CDF-8D89-584CED1967CC}"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 guid="{4F3169C3-3348-49DE-A6DC-8AA4D2A9D7A1}"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s>
  <mergeCells count="57">
    <mergeCell ref="N71:N72"/>
    <mergeCell ref="N69:N70"/>
    <mergeCell ref="P71:P72"/>
    <mergeCell ref="O69:O70"/>
    <mergeCell ref="L60:L61"/>
    <mergeCell ref="O60:O61"/>
    <mergeCell ref="O71:O72"/>
    <mergeCell ref="P69:P70"/>
    <mergeCell ref="M69:M70"/>
    <mergeCell ref="M71:M72"/>
    <mergeCell ref="K71:K72"/>
    <mergeCell ref="K69:K70"/>
    <mergeCell ref="L71:L72"/>
    <mergeCell ref="G71:G72"/>
    <mergeCell ref="C69:C70"/>
    <mergeCell ref="J71:J72"/>
    <mergeCell ref="L69:L70"/>
    <mergeCell ref="J69:J70"/>
    <mergeCell ref="I69:I70"/>
    <mergeCell ref="H71:H72"/>
    <mergeCell ref="I71:I72"/>
    <mergeCell ref="F69:F70"/>
    <mergeCell ref="F71:F72"/>
    <mergeCell ref="E71:E72"/>
    <mergeCell ref="O37:O38"/>
    <mergeCell ref="P37:P38"/>
    <mergeCell ref="N60:N61"/>
    <mergeCell ref="P60:P61"/>
    <mergeCell ref="N37:N38"/>
    <mergeCell ref="M37:M38"/>
    <mergeCell ref="I60:I61"/>
    <mergeCell ref="J37:J38"/>
    <mergeCell ref="M60:M61"/>
    <mergeCell ref="J60:J61"/>
    <mergeCell ref="L37:L38"/>
    <mergeCell ref="H37:H38"/>
    <mergeCell ref="H60:H61"/>
    <mergeCell ref="H69:H70"/>
    <mergeCell ref="I37:I38"/>
    <mergeCell ref="K37:K38"/>
    <mergeCell ref="K60:K61"/>
    <mergeCell ref="F60:F61"/>
    <mergeCell ref="E69:E70"/>
    <mergeCell ref="G37:G38"/>
    <mergeCell ref="G60:G61"/>
    <mergeCell ref="F37:F38"/>
    <mergeCell ref="E60:E61"/>
    <mergeCell ref="G69:G70"/>
    <mergeCell ref="D76:E76"/>
    <mergeCell ref="D69:D70"/>
    <mergeCell ref="A71:C72"/>
    <mergeCell ref="D71:D72"/>
    <mergeCell ref="C37:C38"/>
    <mergeCell ref="D37:D38"/>
    <mergeCell ref="E37:E38"/>
    <mergeCell ref="C60:C61"/>
    <mergeCell ref="D60:D61"/>
  </mergeCells>
  <phoneticPr fontId="0" type="noConversion"/>
  <pageMargins left="0.78740157499999996" right="0.78740157499999996" top="0.984251969" bottom="0.984251969" header="0.4921259845" footer="0.4921259845"/>
  <pageSetup scale="48" orientation="landscape" horizontalDpi="4294967293"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6">
    <pageSetUpPr fitToPage="1"/>
  </sheetPr>
  <dimension ref="A1:BB91"/>
  <sheetViews>
    <sheetView showGridLines="0" zoomScale="90" zoomScaleNormal="90" workbookViewId="0">
      <pane xSplit="2" ySplit="17" topLeftCell="AL72" activePane="bottomRight" state="frozen"/>
      <selection pane="topRight" activeCell="C1" sqref="C1"/>
      <selection pane="bottomLeft" activeCell="A18" sqref="A18"/>
      <selection pane="bottomRight" activeCell="AZ94" sqref="AZ94"/>
    </sheetView>
  </sheetViews>
  <sheetFormatPr baseColWidth="10" defaultColWidth="11.453125" defaultRowHeight="13"/>
  <cols>
    <col min="1" max="1" width="5" style="876" customWidth="1"/>
    <col min="2" max="2" width="64.6328125" style="876" customWidth="1"/>
    <col min="3" max="5" width="13.6328125" style="877" customWidth="1"/>
    <col min="6" max="6" width="6.453125" style="1041" customWidth="1"/>
    <col min="7" max="9" width="13.81640625" style="877" customWidth="1"/>
    <col min="10" max="10" width="6.453125" style="1041" customWidth="1"/>
    <col min="11" max="13" width="14" style="877" customWidth="1"/>
    <col min="14" max="14" width="6.453125" style="1041" customWidth="1"/>
    <col min="15" max="17" width="13.81640625" style="877" customWidth="1"/>
    <col min="18" max="18" width="6.453125" style="1041" customWidth="1"/>
    <col min="19" max="21" width="14.36328125" style="877" customWidth="1"/>
    <col min="22" max="22" width="7.08984375" style="877" customWidth="1"/>
    <col min="23" max="25" width="14.36328125" style="877" customWidth="1"/>
    <col min="26" max="26" width="7.08984375" style="877" customWidth="1"/>
    <col min="27" max="29" width="14.36328125" style="877" customWidth="1"/>
    <col min="30" max="30" width="7.08984375" style="877" customWidth="1"/>
    <col min="31" max="33" width="14.36328125" style="877" customWidth="1"/>
    <col min="34" max="34" width="7.08984375" style="877" customWidth="1"/>
    <col min="35" max="37" width="14.36328125" style="877" customWidth="1"/>
    <col min="38" max="38" width="7.08984375" style="877" customWidth="1"/>
    <col min="39" max="41" width="14.36328125" style="877" customWidth="1"/>
    <col min="42" max="42" width="7.08984375" style="877" customWidth="1"/>
    <col min="43" max="45" width="14.36328125" style="877" customWidth="1"/>
    <col min="46" max="46" width="7.08984375" style="877" customWidth="1"/>
    <col min="47" max="49" width="14.36328125" style="877" customWidth="1"/>
    <col min="50" max="50" width="7.08984375" style="877" customWidth="1"/>
    <col min="51" max="53" width="14.36328125" style="877" customWidth="1"/>
    <col min="54" max="54" width="7.08984375" style="877" customWidth="1"/>
    <col min="55" max="16384" width="11.453125" style="878"/>
  </cols>
  <sheetData>
    <row r="1" spans="1:54" s="875" customFormat="1" ht="12.5">
      <c r="F1" s="1031"/>
      <c r="J1" s="1031"/>
      <c r="N1" s="1031"/>
      <c r="R1" s="1031"/>
    </row>
    <row r="2" spans="1:54" s="875" customFormat="1" ht="12.5">
      <c r="F2" s="1031"/>
      <c r="J2" s="1031"/>
      <c r="N2" s="1031"/>
      <c r="R2" s="1031"/>
    </row>
    <row r="3" spans="1:54" s="875" customFormat="1" ht="12.5">
      <c r="F3" s="1031"/>
      <c r="J3" s="1031"/>
      <c r="N3" s="1031"/>
      <c r="R3" s="1031"/>
    </row>
    <row r="4" spans="1:54" s="875" customFormat="1" ht="12.5">
      <c r="F4" s="1031"/>
      <c r="J4" s="1031"/>
      <c r="N4" s="1031"/>
      <c r="R4" s="1031"/>
    </row>
    <row r="5" spans="1:54" s="875" customFormat="1" ht="12.5">
      <c r="F5" s="1031"/>
      <c r="J5" s="1031"/>
      <c r="N5" s="1031"/>
      <c r="R5" s="1031"/>
    </row>
    <row r="6" spans="1:54" s="875" customFormat="1" ht="12.5">
      <c r="F6" s="1031"/>
      <c r="J6" s="1031"/>
      <c r="N6" s="1031"/>
      <c r="R6" s="1031"/>
    </row>
    <row r="7" spans="1:54" s="875" customFormat="1" ht="12.5">
      <c r="F7" s="1031"/>
      <c r="J7" s="1031"/>
      <c r="N7" s="1031"/>
      <c r="R7" s="1031"/>
    </row>
    <row r="8" spans="1:54" ht="25">
      <c r="A8" s="589" t="str">
        <f>RG!D17</f>
        <v>Jhon Wesly inc.</v>
      </c>
      <c r="B8" s="576"/>
      <c r="C8" s="588"/>
      <c r="D8" s="588"/>
      <c r="E8" s="588"/>
      <c r="F8" s="1032"/>
      <c r="G8" s="588"/>
      <c r="H8" s="588"/>
      <c r="I8" s="588"/>
      <c r="J8" s="1032"/>
      <c r="K8" s="588"/>
      <c r="L8" s="588"/>
      <c r="M8" s="588"/>
      <c r="N8" s="1032"/>
      <c r="O8" s="588"/>
      <c r="P8" s="588"/>
      <c r="Q8" s="588"/>
      <c r="R8" s="1032"/>
      <c r="S8" s="588"/>
      <c r="T8" s="588"/>
      <c r="U8" s="588"/>
      <c r="V8" s="588"/>
      <c r="W8" s="588"/>
      <c r="X8" s="588"/>
      <c r="Y8" s="588"/>
      <c r="Z8" s="588"/>
      <c r="AA8" s="588"/>
      <c r="AB8" s="588"/>
      <c r="AC8" s="588"/>
      <c r="AD8" s="588"/>
      <c r="AE8" s="588"/>
      <c r="AF8" s="588"/>
      <c r="AG8" s="588"/>
      <c r="AH8" s="588"/>
      <c r="AI8" s="588"/>
      <c r="AJ8" s="588"/>
      <c r="AK8" s="588"/>
      <c r="AL8" s="588"/>
      <c r="AM8" s="588"/>
      <c r="AN8" s="588"/>
      <c r="AO8" s="588"/>
      <c r="AP8" s="588"/>
      <c r="AQ8" s="588"/>
      <c r="AR8" s="588"/>
      <c r="AS8" s="588"/>
      <c r="AT8" s="588"/>
      <c r="AU8" s="588"/>
      <c r="AV8" s="588"/>
      <c r="AW8" s="588"/>
      <c r="AX8" s="588"/>
      <c r="AY8" s="588"/>
      <c r="AZ8" s="588"/>
      <c r="BA8" s="588"/>
      <c r="BB8" s="588"/>
    </row>
    <row r="9" spans="1:54">
      <c r="A9" s="576"/>
      <c r="B9" s="576"/>
      <c r="C9" s="588"/>
      <c r="D9" s="588"/>
      <c r="E9" s="588"/>
      <c r="F9" s="1032"/>
      <c r="G9" s="588"/>
      <c r="H9" s="588"/>
      <c r="I9" s="588"/>
      <c r="J9" s="1032"/>
      <c r="K9" s="588"/>
      <c r="L9" s="588"/>
      <c r="M9" s="588"/>
      <c r="N9" s="1032"/>
      <c r="O9" s="588"/>
      <c r="P9" s="588"/>
      <c r="Q9" s="588"/>
      <c r="R9" s="1032"/>
      <c r="S9" s="588"/>
      <c r="T9" s="588"/>
      <c r="U9" s="588"/>
      <c r="V9" s="588"/>
      <c r="W9" s="588"/>
      <c r="X9" s="588"/>
      <c r="Y9" s="588"/>
      <c r="Z9" s="588"/>
      <c r="AA9" s="588"/>
      <c r="AB9" s="588"/>
      <c r="AC9" s="588"/>
      <c r="AD9" s="588"/>
      <c r="AE9" s="588"/>
      <c r="AF9" s="588"/>
      <c r="AG9" s="588"/>
      <c r="AH9" s="588"/>
      <c r="AI9" s="588"/>
      <c r="AJ9" s="588"/>
      <c r="AK9" s="588"/>
      <c r="AL9" s="588"/>
      <c r="AM9" s="588"/>
      <c r="AN9" s="588"/>
      <c r="AO9" s="588"/>
      <c r="AP9" s="588"/>
      <c r="AQ9" s="588"/>
      <c r="AR9" s="588"/>
      <c r="AS9" s="588"/>
      <c r="AT9" s="588"/>
      <c r="AU9" s="588"/>
      <c r="AV9" s="588"/>
      <c r="AW9" s="588"/>
      <c r="AX9" s="588"/>
      <c r="AY9" s="588"/>
      <c r="AZ9" s="588"/>
      <c r="BA9" s="588"/>
      <c r="BB9" s="588"/>
    </row>
    <row r="10" spans="1:54" ht="15" customHeight="1">
      <c r="A10" s="577" t="s">
        <v>152</v>
      </c>
      <c r="B10" s="576"/>
      <c r="C10" s="588"/>
      <c r="D10" s="588"/>
      <c r="E10" s="588"/>
      <c r="F10" s="1032"/>
      <c r="G10" s="588"/>
      <c r="H10" s="588"/>
      <c r="I10" s="588"/>
      <c r="J10" s="1032"/>
      <c r="K10" s="588"/>
      <c r="L10" s="588"/>
      <c r="M10" s="588"/>
      <c r="N10" s="1032"/>
      <c r="O10" s="588"/>
      <c r="P10" s="588"/>
      <c r="Q10" s="588"/>
      <c r="R10" s="1032"/>
      <c r="S10" s="588"/>
      <c r="T10" s="588"/>
      <c r="U10" s="588"/>
      <c r="V10" s="588"/>
      <c r="W10" s="588"/>
      <c r="X10" s="588"/>
      <c r="Y10" s="588"/>
      <c r="Z10" s="588"/>
      <c r="AA10" s="588"/>
      <c r="AB10" s="588"/>
      <c r="AC10" s="588"/>
      <c r="AD10" s="588"/>
      <c r="AE10" s="588"/>
      <c r="AF10" s="588"/>
      <c r="AG10" s="588"/>
      <c r="AH10" s="588"/>
      <c r="AI10" s="588"/>
      <c r="AJ10" s="588"/>
      <c r="AK10" s="588"/>
      <c r="AL10" s="588"/>
      <c r="AM10" s="588"/>
      <c r="AN10" s="588"/>
      <c r="AO10" s="588"/>
      <c r="AP10" s="588"/>
      <c r="AQ10" s="588"/>
      <c r="AR10" s="588"/>
      <c r="AS10" s="588"/>
      <c r="AT10" s="588"/>
      <c r="AU10" s="588"/>
      <c r="AV10" s="588"/>
      <c r="AW10" s="588"/>
      <c r="AX10" s="588"/>
      <c r="AY10" s="588"/>
      <c r="AZ10" s="588"/>
      <c r="BA10" s="588"/>
      <c r="BB10" s="588"/>
    </row>
    <row r="11" spans="1:54">
      <c r="A11" s="578" t="s">
        <v>471</v>
      </c>
      <c r="B11" s="576"/>
      <c r="C11" s="588"/>
      <c r="D11" s="588"/>
      <c r="E11" s="588"/>
      <c r="F11" s="1032"/>
      <c r="G11" s="588"/>
      <c r="H11" s="588"/>
      <c r="I11" s="588"/>
      <c r="J11" s="1032"/>
      <c r="K11" s="588"/>
      <c r="L11" s="588"/>
      <c r="M11" s="588"/>
      <c r="N11" s="1032"/>
      <c r="O11" s="588"/>
      <c r="P11" s="588"/>
      <c r="Q11" s="588"/>
      <c r="R11" s="1032"/>
      <c r="S11" s="588"/>
      <c r="T11" s="588"/>
      <c r="U11" s="588"/>
      <c r="V11" s="588"/>
      <c r="W11" s="588"/>
      <c r="X11" s="588"/>
      <c r="Y11" s="588"/>
      <c r="Z11" s="588"/>
      <c r="AA11" s="588"/>
      <c r="AB11" s="588"/>
      <c r="AC11" s="588"/>
      <c r="AD11" s="588"/>
      <c r="AE11" s="588"/>
      <c r="AF11" s="588"/>
      <c r="AG11" s="588"/>
      <c r="AH11" s="588"/>
      <c r="AI11" s="588"/>
      <c r="AJ11" s="588"/>
      <c r="AK11" s="588"/>
      <c r="AL11" s="588"/>
      <c r="AM11" s="588"/>
      <c r="AN11" s="588"/>
      <c r="AO11" s="588"/>
      <c r="AP11" s="588"/>
      <c r="AQ11" s="588"/>
      <c r="AR11" s="588"/>
      <c r="AS11" s="588"/>
      <c r="AT11" s="588"/>
      <c r="AU11" s="588"/>
      <c r="AV11" s="588"/>
      <c r="AW11" s="588"/>
      <c r="AX11" s="588"/>
      <c r="AY11" s="588"/>
      <c r="AZ11" s="588"/>
      <c r="BA11" s="588"/>
      <c r="BB11" s="588"/>
    </row>
    <row r="12" spans="1:54">
      <c r="A12" s="578"/>
      <c r="B12" s="576"/>
      <c r="C12" s="588"/>
      <c r="D12" s="588"/>
      <c r="E12" s="588"/>
      <c r="F12" s="1032"/>
      <c r="G12" s="588"/>
      <c r="H12" s="588"/>
      <c r="I12" s="588"/>
      <c r="J12" s="1032"/>
      <c r="K12" s="588"/>
      <c r="L12" s="588"/>
      <c r="M12" s="588"/>
      <c r="N12" s="1032"/>
      <c r="O12" s="588"/>
      <c r="P12" s="588"/>
      <c r="Q12" s="588"/>
      <c r="R12" s="1032"/>
      <c r="S12" s="588"/>
      <c r="T12" s="588"/>
      <c r="U12" s="588"/>
      <c r="V12" s="588"/>
      <c r="W12" s="588"/>
      <c r="X12" s="588"/>
      <c r="Y12" s="588"/>
      <c r="Z12" s="588"/>
      <c r="AA12" s="588"/>
      <c r="AB12" s="588"/>
      <c r="AC12" s="588"/>
      <c r="AD12" s="588"/>
      <c r="AE12" s="588"/>
      <c r="AF12" s="588"/>
      <c r="AG12" s="588"/>
      <c r="AH12" s="588"/>
      <c r="AI12" s="588"/>
      <c r="AJ12" s="588"/>
      <c r="AK12" s="588"/>
      <c r="AL12" s="588"/>
      <c r="AM12" s="588"/>
      <c r="AN12" s="588"/>
      <c r="AO12" s="588"/>
      <c r="AP12" s="588"/>
      <c r="AQ12" s="588"/>
      <c r="AR12" s="588"/>
      <c r="AS12" s="588"/>
      <c r="AT12" s="588"/>
      <c r="AU12" s="588"/>
      <c r="AV12" s="588"/>
      <c r="AW12" s="588"/>
      <c r="AX12" s="588"/>
      <c r="AY12" s="588"/>
      <c r="AZ12" s="588"/>
      <c r="BA12" s="588"/>
      <c r="BB12" s="588"/>
    </row>
    <row r="13" spans="1:54">
      <c r="A13" s="578"/>
      <c r="B13" s="576"/>
      <c r="C13" s="168"/>
      <c r="D13" s="168"/>
      <c r="E13" s="168"/>
      <c r="F13" s="1033"/>
      <c r="G13" s="168"/>
      <c r="H13" s="168"/>
      <c r="I13" s="168"/>
      <c r="J13" s="1033"/>
      <c r="K13" s="168"/>
      <c r="L13" s="168"/>
      <c r="M13" s="168"/>
      <c r="N13" s="1033"/>
      <c r="O13" s="168"/>
      <c r="P13" s="168"/>
      <c r="Q13" s="168"/>
      <c r="R13" s="1033"/>
      <c r="S13" s="168"/>
      <c r="T13" s="168"/>
      <c r="U13" s="168"/>
      <c r="V13" s="593"/>
      <c r="W13" s="168"/>
      <c r="X13" s="168"/>
      <c r="Y13" s="168"/>
      <c r="Z13" s="593"/>
      <c r="AA13" s="168"/>
      <c r="AB13" s="168"/>
      <c r="AC13" s="168"/>
      <c r="AD13" s="593"/>
      <c r="AE13" s="168"/>
      <c r="AF13" s="168"/>
      <c r="AG13" s="168"/>
      <c r="AH13" s="593"/>
      <c r="AI13" s="168"/>
      <c r="AJ13" s="168"/>
      <c r="AK13" s="168"/>
      <c r="AL13" s="593"/>
      <c r="AM13" s="168"/>
      <c r="AN13" s="168"/>
      <c r="AO13" s="168"/>
      <c r="AP13" s="593"/>
      <c r="AQ13" s="168"/>
      <c r="AR13" s="168"/>
      <c r="AS13" s="168"/>
      <c r="AT13" s="593"/>
      <c r="AU13" s="168"/>
      <c r="AV13" s="168"/>
      <c r="AW13" s="168"/>
      <c r="AX13" s="593"/>
      <c r="AY13" s="168"/>
      <c r="AZ13" s="168"/>
      <c r="BA13" s="168"/>
      <c r="BB13" s="593"/>
    </row>
    <row r="14" spans="1:54" ht="12.75" customHeight="1" thickBot="1">
      <c r="A14" s="1139"/>
      <c r="B14" s="1139"/>
      <c r="C14" s="168"/>
      <c r="D14" s="168"/>
      <c r="E14" s="168"/>
      <c r="F14" s="1033"/>
      <c r="G14" s="168"/>
      <c r="H14" s="168"/>
      <c r="I14" s="168"/>
      <c r="J14" s="1033"/>
      <c r="K14" s="168"/>
      <c r="L14" s="168"/>
      <c r="M14" s="168"/>
      <c r="N14" s="1033"/>
      <c r="O14" s="168"/>
      <c r="P14" s="168"/>
      <c r="Q14" s="168"/>
      <c r="R14" s="1033"/>
      <c r="S14" s="168"/>
      <c r="T14" s="168"/>
      <c r="U14" s="168"/>
      <c r="V14" s="593"/>
      <c r="W14" s="168"/>
      <c r="X14" s="168"/>
      <c r="Y14" s="168"/>
      <c r="Z14" s="593"/>
      <c r="AA14" s="168"/>
      <c r="AB14" s="168"/>
      <c r="AC14" s="168"/>
      <c r="AD14" s="593"/>
      <c r="AE14" s="168"/>
      <c r="AF14" s="168"/>
      <c r="AG14" s="168"/>
      <c r="AH14" s="593"/>
      <c r="AI14" s="168"/>
      <c r="AJ14" s="168"/>
      <c r="AK14" s="168"/>
      <c r="AL14" s="593"/>
      <c r="AM14" s="168"/>
      <c r="AN14" s="168"/>
      <c r="AO14" s="168"/>
      <c r="AP14" s="593"/>
      <c r="AQ14" s="168"/>
      <c r="AR14" s="168"/>
      <c r="AS14" s="168"/>
      <c r="AT14" s="593"/>
      <c r="AU14" s="168"/>
      <c r="AV14" s="168"/>
      <c r="AW14" s="168"/>
      <c r="AX14" s="593"/>
      <c r="AY14" s="168"/>
      <c r="AZ14" s="168"/>
      <c r="BA14" s="168"/>
      <c r="BB14" s="593"/>
    </row>
    <row r="15" spans="1:54" ht="15" customHeight="1" thickBot="1">
      <c r="A15" s="576"/>
      <c r="B15" s="576"/>
      <c r="C15" s="1140">
        <f>'BC1'!$D$13</f>
        <v>45292</v>
      </c>
      <c r="D15" s="1141"/>
      <c r="E15" s="1141"/>
      <c r="F15" s="1142"/>
      <c r="G15" s="1140">
        <f>'BC1'!$E$13</f>
        <v>45323</v>
      </c>
      <c r="H15" s="1141"/>
      <c r="I15" s="1141"/>
      <c r="J15" s="1142"/>
      <c r="K15" s="1140">
        <f>'BC1'!$F$13</f>
        <v>45352</v>
      </c>
      <c r="L15" s="1141"/>
      <c r="M15" s="1141"/>
      <c r="N15" s="1142"/>
      <c r="O15" s="1140">
        <f>'BC1'!$G$13</f>
        <v>45383</v>
      </c>
      <c r="P15" s="1141"/>
      <c r="Q15" s="1141"/>
      <c r="R15" s="1142"/>
      <c r="S15" s="1140">
        <f>'BC1'!$H$13</f>
        <v>45413</v>
      </c>
      <c r="T15" s="1141"/>
      <c r="U15" s="1141"/>
      <c r="V15" s="1142"/>
      <c r="W15" s="1140">
        <f>'BC1'!$I$13</f>
        <v>45444</v>
      </c>
      <c r="X15" s="1141"/>
      <c r="Y15" s="1141"/>
      <c r="Z15" s="1142"/>
      <c r="AA15" s="1140">
        <f>'BC1'!$J$13</f>
        <v>45474</v>
      </c>
      <c r="AB15" s="1141"/>
      <c r="AC15" s="1141"/>
      <c r="AD15" s="1142"/>
      <c r="AE15" s="1140">
        <f>'BC1'!$K$13</f>
        <v>45505</v>
      </c>
      <c r="AF15" s="1141"/>
      <c r="AG15" s="1141"/>
      <c r="AH15" s="1142"/>
      <c r="AI15" s="1140">
        <f>'BC1'!$L$13</f>
        <v>45536</v>
      </c>
      <c r="AJ15" s="1141"/>
      <c r="AK15" s="1141"/>
      <c r="AL15" s="1142"/>
      <c r="AM15" s="1140">
        <f>'BC1'!$M$13</f>
        <v>45566</v>
      </c>
      <c r="AN15" s="1141"/>
      <c r="AO15" s="1141"/>
      <c r="AP15" s="1142"/>
      <c r="AQ15" s="1140">
        <f>'BC1'!$N$13</f>
        <v>45597</v>
      </c>
      <c r="AR15" s="1141"/>
      <c r="AS15" s="1141"/>
      <c r="AT15" s="1142"/>
      <c r="AU15" s="1140">
        <f>'BC1'!$O$13</f>
        <v>45627</v>
      </c>
      <c r="AV15" s="1141"/>
      <c r="AW15" s="1141"/>
      <c r="AX15" s="1142"/>
      <c r="AY15" s="1140" t="s">
        <v>180</v>
      </c>
      <c r="AZ15" s="1141"/>
      <c r="BA15" s="1141"/>
      <c r="BB15" s="1142"/>
    </row>
    <row r="16" spans="1:54" ht="15" customHeight="1">
      <c r="A16" s="576"/>
      <c r="B16" s="576"/>
      <c r="C16" s="961" t="s">
        <v>866</v>
      </c>
      <c r="D16" s="962" t="s">
        <v>867</v>
      </c>
      <c r="E16" s="1143" t="s">
        <v>868</v>
      </c>
      <c r="F16" s="1144"/>
      <c r="G16" s="961" t="s">
        <v>866</v>
      </c>
      <c r="H16" s="962" t="s">
        <v>867</v>
      </c>
      <c r="I16" s="1143" t="s">
        <v>868</v>
      </c>
      <c r="J16" s="1144"/>
      <c r="K16" s="961" t="s">
        <v>866</v>
      </c>
      <c r="L16" s="962" t="s">
        <v>867</v>
      </c>
      <c r="M16" s="1143" t="s">
        <v>868</v>
      </c>
      <c r="N16" s="1144"/>
      <c r="O16" s="961" t="s">
        <v>866</v>
      </c>
      <c r="P16" s="962" t="s">
        <v>867</v>
      </c>
      <c r="Q16" s="1143" t="s">
        <v>868</v>
      </c>
      <c r="R16" s="1144"/>
      <c r="S16" s="961" t="s">
        <v>866</v>
      </c>
      <c r="T16" s="962" t="s">
        <v>867</v>
      </c>
      <c r="U16" s="1143" t="s">
        <v>868</v>
      </c>
      <c r="V16" s="1144"/>
      <c r="W16" s="961" t="s">
        <v>866</v>
      </c>
      <c r="X16" s="962" t="s">
        <v>867</v>
      </c>
      <c r="Y16" s="1143" t="s">
        <v>868</v>
      </c>
      <c r="Z16" s="1144"/>
      <c r="AA16" s="961" t="s">
        <v>866</v>
      </c>
      <c r="AB16" s="962" t="s">
        <v>867</v>
      </c>
      <c r="AC16" s="1143" t="s">
        <v>868</v>
      </c>
      <c r="AD16" s="1144"/>
      <c r="AE16" s="961" t="s">
        <v>866</v>
      </c>
      <c r="AF16" s="962" t="s">
        <v>867</v>
      </c>
      <c r="AG16" s="1143" t="s">
        <v>868</v>
      </c>
      <c r="AH16" s="1144"/>
      <c r="AI16" s="961" t="s">
        <v>866</v>
      </c>
      <c r="AJ16" s="962" t="s">
        <v>867</v>
      </c>
      <c r="AK16" s="1143" t="s">
        <v>868</v>
      </c>
      <c r="AL16" s="1144"/>
      <c r="AM16" s="961" t="s">
        <v>866</v>
      </c>
      <c r="AN16" s="962" t="s">
        <v>867</v>
      </c>
      <c r="AO16" s="1143" t="s">
        <v>868</v>
      </c>
      <c r="AP16" s="1144"/>
      <c r="AQ16" s="961" t="s">
        <v>866</v>
      </c>
      <c r="AR16" s="962" t="s">
        <v>867</v>
      </c>
      <c r="AS16" s="1143" t="s">
        <v>868</v>
      </c>
      <c r="AT16" s="1144"/>
      <c r="AU16" s="961" t="s">
        <v>866</v>
      </c>
      <c r="AV16" s="962" t="s">
        <v>867</v>
      </c>
      <c r="AW16" s="1143" t="s">
        <v>868</v>
      </c>
      <c r="AX16" s="1144"/>
      <c r="AY16" s="961" t="s">
        <v>866</v>
      </c>
      <c r="AZ16" s="962" t="s">
        <v>867</v>
      </c>
      <c r="BA16" s="1143" t="s">
        <v>868</v>
      </c>
      <c r="BB16" s="1144"/>
    </row>
    <row r="17" spans="1:54" ht="13.5" thickBot="1">
      <c r="A17" s="576"/>
      <c r="B17" s="576"/>
      <c r="C17" s="963"/>
      <c r="D17" s="588"/>
      <c r="E17" s="964"/>
      <c r="F17" s="1034"/>
      <c r="G17" s="963"/>
      <c r="H17" s="588"/>
      <c r="I17" s="964"/>
      <c r="J17" s="1034"/>
      <c r="K17" s="963"/>
      <c r="L17" s="588"/>
      <c r="M17" s="964"/>
      <c r="N17" s="1034"/>
      <c r="O17" s="963"/>
      <c r="P17" s="588"/>
      <c r="Q17" s="964"/>
      <c r="R17" s="1034"/>
      <c r="S17" s="963"/>
      <c r="T17" s="588"/>
      <c r="U17" s="964"/>
      <c r="V17" s="965"/>
      <c r="W17" s="963"/>
      <c r="X17" s="588"/>
      <c r="Y17" s="964"/>
      <c r="Z17" s="965"/>
      <c r="AA17" s="963"/>
      <c r="AB17" s="588"/>
      <c r="AC17" s="964"/>
      <c r="AD17" s="965"/>
      <c r="AE17" s="963"/>
      <c r="AF17" s="588"/>
      <c r="AG17" s="964"/>
      <c r="AH17" s="965"/>
      <c r="AI17" s="963"/>
      <c r="AJ17" s="588"/>
      <c r="AK17" s="964"/>
      <c r="AL17" s="965"/>
      <c r="AM17" s="963"/>
      <c r="AN17" s="588"/>
      <c r="AO17" s="964"/>
      <c r="AP17" s="965"/>
      <c r="AQ17" s="963"/>
      <c r="AR17" s="588"/>
      <c r="AS17" s="964"/>
      <c r="AT17" s="965"/>
      <c r="AU17" s="963"/>
      <c r="AV17" s="588"/>
      <c r="AW17" s="964"/>
      <c r="AX17" s="965"/>
      <c r="AY17" s="981"/>
      <c r="AZ17" s="588"/>
      <c r="BA17" s="588"/>
      <c r="BB17" s="965"/>
    </row>
    <row r="18" spans="1:54" ht="13.5" thickBot="1">
      <c r="A18" s="585" t="s">
        <v>409</v>
      </c>
      <c r="B18" s="586"/>
      <c r="C18" s="966">
        <f>'V1'!G93</f>
        <v>3250</v>
      </c>
      <c r="D18" s="846"/>
      <c r="E18" s="953">
        <f>D18-C18</f>
        <v>-3250</v>
      </c>
      <c r="F18" s="1035">
        <f>IF(C18=0,0,E18/C18)</f>
        <v>-1</v>
      </c>
      <c r="G18" s="966">
        <f>'V1'!H93</f>
        <v>3400</v>
      </c>
      <c r="H18" s="846"/>
      <c r="I18" s="953">
        <f>H18-G18</f>
        <v>-3400</v>
      </c>
      <c r="J18" s="1035">
        <f>IF(G18=0,0,I18/G18)</f>
        <v>-1</v>
      </c>
      <c r="K18" s="966">
        <f>'V1'!I93</f>
        <v>3550</v>
      </c>
      <c r="L18" s="846"/>
      <c r="M18" s="953">
        <f>L18-K18</f>
        <v>-3550</v>
      </c>
      <c r="N18" s="1035">
        <f>IF(K18=0,0,M18/K18)</f>
        <v>-1</v>
      </c>
      <c r="O18" s="966">
        <f>'V1'!J93</f>
        <v>3700</v>
      </c>
      <c r="P18" s="846"/>
      <c r="Q18" s="953">
        <f>P18-O18</f>
        <v>-3700</v>
      </c>
      <c r="R18" s="1035">
        <f>IF(O18=0,0,Q18/O18)</f>
        <v>-1</v>
      </c>
      <c r="S18" s="966">
        <f>'V1'!K93</f>
        <v>3850</v>
      </c>
      <c r="T18" s="846"/>
      <c r="U18" s="953">
        <f>T18-S18</f>
        <v>-3850</v>
      </c>
      <c r="V18" s="967">
        <f>IF(S18=0,0,U18/S18)</f>
        <v>-1</v>
      </c>
      <c r="W18" s="966">
        <f>'V1'!L93</f>
        <v>4000</v>
      </c>
      <c r="X18" s="846"/>
      <c r="Y18" s="953">
        <f>X18-W18</f>
        <v>-4000</v>
      </c>
      <c r="Z18" s="967">
        <f>IF(W18=0,0,Y18/W18)</f>
        <v>-1</v>
      </c>
      <c r="AA18" s="966">
        <f>'V1'!M93</f>
        <v>4150</v>
      </c>
      <c r="AB18" s="846"/>
      <c r="AC18" s="953">
        <f>AB18-AA18</f>
        <v>-4150</v>
      </c>
      <c r="AD18" s="967">
        <f>IF(AA18=0,0,AC18/AA18)</f>
        <v>-1</v>
      </c>
      <c r="AE18" s="966">
        <f>'V1'!N93</f>
        <v>4300</v>
      </c>
      <c r="AF18" s="846"/>
      <c r="AG18" s="953">
        <f>AF18-AE18</f>
        <v>-4300</v>
      </c>
      <c r="AH18" s="967">
        <f>IF(AE18=0,0,AG18/AE18)</f>
        <v>-1</v>
      </c>
      <c r="AI18" s="966">
        <f>'V1'!O93</f>
        <v>4450</v>
      </c>
      <c r="AJ18" s="846"/>
      <c r="AK18" s="953">
        <f>AJ18-AI18</f>
        <v>-4450</v>
      </c>
      <c r="AL18" s="967">
        <f>IF(AI18=0,0,AK18/AI18)</f>
        <v>-1</v>
      </c>
      <c r="AM18" s="966">
        <f>'V1'!P93</f>
        <v>4600</v>
      </c>
      <c r="AN18" s="846"/>
      <c r="AO18" s="953">
        <f>AN18-AM18</f>
        <v>-4600</v>
      </c>
      <c r="AP18" s="967">
        <f>IF(AM18=0,0,AO18/AM18)</f>
        <v>-1</v>
      </c>
      <c r="AQ18" s="966">
        <f>'V1'!Q93</f>
        <v>4750</v>
      </c>
      <c r="AR18" s="846"/>
      <c r="AS18" s="953">
        <f>AR18-AQ18</f>
        <v>-4750</v>
      </c>
      <c r="AT18" s="967">
        <f>IF(AQ18=0,0,AS18/AQ18)</f>
        <v>-1</v>
      </c>
      <c r="AU18" s="966">
        <f>'V1'!R93</f>
        <v>4900</v>
      </c>
      <c r="AV18" s="846"/>
      <c r="AW18" s="953">
        <f>AV18-AU18</f>
        <v>-4900</v>
      </c>
      <c r="AX18" s="967">
        <f>IF(AU18=0,0,AW18/AU18)</f>
        <v>-1</v>
      </c>
      <c r="AY18" s="982">
        <f>C18+G18+K18+O18+S18+W18+AA18+AE18+AI18+AM18+AQ18+AU18</f>
        <v>48900</v>
      </c>
      <c r="AZ18" s="990">
        <f>D18+H18+L18+P18+T18+X18+AB18+AF18+AJ18+AN18+AR18+AV18</f>
        <v>0</v>
      </c>
      <c r="BA18" s="942">
        <f>E18+I18+M18+Q18+U18+Y18+AC18+AG18+AK18+AO18+AS18+AW18</f>
        <v>-48900</v>
      </c>
      <c r="BB18" s="967">
        <f>IF(AY18=0,0,BA18/AY18)</f>
        <v>-1</v>
      </c>
    </row>
    <row r="19" spans="1:54">
      <c r="A19" s="578"/>
      <c r="B19" s="576"/>
      <c r="C19" s="968"/>
      <c r="D19" s="943"/>
      <c r="E19" s="954"/>
      <c r="F19" s="1036"/>
      <c r="G19" s="968"/>
      <c r="H19" s="943"/>
      <c r="I19" s="954"/>
      <c r="J19" s="1036"/>
      <c r="K19" s="968"/>
      <c r="L19" s="943"/>
      <c r="M19" s="954"/>
      <c r="N19" s="1036"/>
      <c r="O19" s="968"/>
      <c r="P19" s="943"/>
      <c r="Q19" s="954"/>
      <c r="R19" s="1036"/>
      <c r="S19" s="968"/>
      <c r="T19" s="943"/>
      <c r="U19" s="954"/>
      <c r="V19" s="969"/>
      <c r="W19" s="968"/>
      <c r="X19" s="943"/>
      <c r="Y19" s="954"/>
      <c r="Z19" s="969"/>
      <c r="AA19" s="968"/>
      <c r="AB19" s="943"/>
      <c r="AC19" s="954"/>
      <c r="AD19" s="969"/>
      <c r="AE19" s="968"/>
      <c r="AF19" s="943"/>
      <c r="AG19" s="954"/>
      <c r="AH19" s="969"/>
      <c r="AI19" s="968"/>
      <c r="AJ19" s="943"/>
      <c r="AK19" s="954"/>
      <c r="AL19" s="969"/>
      <c r="AM19" s="968"/>
      <c r="AN19" s="943"/>
      <c r="AO19" s="954"/>
      <c r="AP19" s="969"/>
      <c r="AQ19" s="968"/>
      <c r="AR19" s="943"/>
      <c r="AS19" s="954"/>
      <c r="AT19" s="969"/>
      <c r="AU19" s="968"/>
      <c r="AV19" s="943"/>
      <c r="AW19" s="954"/>
      <c r="AX19" s="969"/>
      <c r="AY19" s="983"/>
      <c r="AZ19" s="943"/>
      <c r="BA19" s="943"/>
      <c r="BB19" s="969"/>
    </row>
    <row r="20" spans="1:54" ht="13.5" thickBot="1">
      <c r="A20" s="576"/>
      <c r="B20" s="576"/>
      <c r="C20" s="970"/>
      <c r="D20" s="946"/>
      <c r="E20" s="957"/>
      <c r="F20" s="1036"/>
      <c r="G20" s="970"/>
      <c r="H20" s="946"/>
      <c r="I20" s="957"/>
      <c r="J20" s="1036"/>
      <c r="K20" s="970"/>
      <c r="L20" s="946"/>
      <c r="M20" s="957"/>
      <c r="N20" s="1036"/>
      <c r="O20" s="970"/>
      <c r="P20" s="946"/>
      <c r="Q20" s="957"/>
      <c r="R20" s="1036"/>
      <c r="S20" s="970"/>
      <c r="T20" s="946"/>
      <c r="U20" s="957"/>
      <c r="V20" s="969"/>
      <c r="W20" s="970"/>
      <c r="X20" s="946"/>
      <c r="Y20" s="957"/>
      <c r="Z20" s="969"/>
      <c r="AA20" s="970"/>
      <c r="AB20" s="946"/>
      <c r="AC20" s="957"/>
      <c r="AD20" s="969"/>
      <c r="AE20" s="970"/>
      <c r="AF20" s="946"/>
      <c r="AG20" s="957"/>
      <c r="AH20" s="969"/>
      <c r="AI20" s="970"/>
      <c r="AJ20" s="946"/>
      <c r="AK20" s="957"/>
      <c r="AL20" s="969"/>
      <c r="AM20" s="970"/>
      <c r="AN20" s="946"/>
      <c r="AO20" s="957"/>
      <c r="AP20" s="969"/>
      <c r="AQ20" s="970"/>
      <c r="AR20" s="946"/>
      <c r="AS20" s="957"/>
      <c r="AT20" s="969"/>
      <c r="AU20" s="970"/>
      <c r="AV20" s="946"/>
      <c r="AW20" s="957"/>
      <c r="AX20" s="969"/>
      <c r="AY20" s="984"/>
      <c r="AZ20" s="946"/>
      <c r="BA20" s="946"/>
      <c r="BB20" s="969"/>
    </row>
    <row r="21" spans="1:54" ht="13.5" thickBot="1">
      <c r="A21" s="578" t="str">
        <f>IF(C21=" "," ",IF(RG!$A$78&lt;3,"COÛT DES MARCHANDISES VENDUES (NOTE 5)","COÛT DES SERVICES RENDUS"))</f>
        <v>COÛT DES SERVICES RENDUS</v>
      </c>
      <c r="B21" s="576"/>
      <c r="C21" s="970">
        <f>-'A1'!E94</f>
        <v>0</v>
      </c>
      <c r="D21" s="846"/>
      <c r="E21" s="957">
        <f>C21-D21</f>
        <v>0</v>
      </c>
      <c r="F21" s="1035">
        <f>IF(C21=0,0,-E21/C21)</f>
        <v>0</v>
      </c>
      <c r="G21" s="970">
        <f>-'A1'!F94</f>
        <v>0</v>
      </c>
      <c r="H21" s="846"/>
      <c r="I21" s="957">
        <f>G21-H21</f>
        <v>0</v>
      </c>
      <c r="J21" s="1035">
        <f>IF(G21=0,0,-I21/G21)</f>
        <v>0</v>
      </c>
      <c r="K21" s="970">
        <f>-'A1'!G94</f>
        <v>0</v>
      </c>
      <c r="L21" s="846"/>
      <c r="M21" s="957">
        <f>K21-L21</f>
        <v>0</v>
      </c>
      <c r="N21" s="1035">
        <f>IF(K21=0,0,-M21/K21)</f>
        <v>0</v>
      </c>
      <c r="O21" s="970">
        <f>-'A1'!H94</f>
        <v>0</v>
      </c>
      <c r="P21" s="846"/>
      <c r="Q21" s="957">
        <f>O21-P21</f>
        <v>0</v>
      </c>
      <c r="R21" s="1035">
        <f>IF(O21=0,0,-Q21/O21)</f>
        <v>0</v>
      </c>
      <c r="S21" s="970">
        <f>-'A1'!I94</f>
        <v>0</v>
      </c>
      <c r="T21" s="846"/>
      <c r="U21" s="957">
        <f>S21-T21</f>
        <v>0</v>
      </c>
      <c r="V21" s="967">
        <f>IF(S21=0,0,-U21/S21)</f>
        <v>0</v>
      </c>
      <c r="W21" s="970">
        <f>-'A1'!J94</f>
        <v>0</v>
      </c>
      <c r="X21" s="846"/>
      <c r="Y21" s="957">
        <f>W21-X21</f>
        <v>0</v>
      </c>
      <c r="Z21" s="967">
        <f>IF(W21=0,0,-Y21/W21)</f>
        <v>0</v>
      </c>
      <c r="AA21" s="970">
        <f>-'A1'!K94</f>
        <v>0</v>
      </c>
      <c r="AB21" s="846"/>
      <c r="AC21" s="957">
        <f>AA21-AB21</f>
        <v>0</v>
      </c>
      <c r="AD21" s="967">
        <f>IF(AA21=0,0,-AC21/AA21)</f>
        <v>0</v>
      </c>
      <c r="AE21" s="970">
        <f>-'A1'!L94</f>
        <v>0</v>
      </c>
      <c r="AF21" s="846"/>
      <c r="AG21" s="957">
        <f>AE21-AF21</f>
        <v>0</v>
      </c>
      <c r="AH21" s="967">
        <f>IF(AE21=0,0,-AG21/AE21)</f>
        <v>0</v>
      </c>
      <c r="AI21" s="970">
        <f>-'A1'!M94</f>
        <v>0</v>
      </c>
      <c r="AJ21" s="846"/>
      <c r="AK21" s="957">
        <f>AI21-AJ21</f>
        <v>0</v>
      </c>
      <c r="AL21" s="967">
        <f>IF(AI21=0,0,-AK21/AI21)</f>
        <v>0</v>
      </c>
      <c r="AM21" s="970">
        <f>-'A1'!N94</f>
        <v>0</v>
      </c>
      <c r="AN21" s="846"/>
      <c r="AO21" s="957">
        <f>AM21-AN21</f>
        <v>0</v>
      </c>
      <c r="AP21" s="967">
        <f>IF(AM21=0,0,-AO21/AM21)</f>
        <v>0</v>
      </c>
      <c r="AQ21" s="970">
        <f>-'A1'!O94</f>
        <v>0</v>
      </c>
      <c r="AR21" s="846"/>
      <c r="AS21" s="957">
        <f>AQ21-AR21</f>
        <v>0</v>
      </c>
      <c r="AT21" s="967">
        <f>IF(AQ21=0,0,-AS21/AQ21)</f>
        <v>0</v>
      </c>
      <c r="AU21" s="970">
        <f>-'A1'!P94</f>
        <v>0</v>
      </c>
      <c r="AV21" s="846"/>
      <c r="AW21" s="957">
        <f>AU21-AV21</f>
        <v>0</v>
      </c>
      <c r="AX21" s="967">
        <f>IF(AU21=0,0,-AW21/AU21)</f>
        <v>0</v>
      </c>
      <c r="AY21" s="946">
        <f>C21+G21+K21+O21+S21+W21+AA21+AE21+AI21+AM21+AQ21+AU21</f>
        <v>0</v>
      </c>
      <c r="AZ21" s="946">
        <f>D21+H21+L21+P21+T21+X21+AB21+AF21+AJ21+AN21+AR21+AV21</f>
        <v>0</v>
      </c>
      <c r="BA21" s="946">
        <f>AY21-AZ21</f>
        <v>0</v>
      </c>
      <c r="BB21" s="967">
        <f>IF(AY21=0,0,-BA21/AY21)</f>
        <v>0</v>
      </c>
    </row>
    <row r="22" spans="1:54" ht="13.5" thickBot="1">
      <c r="A22" s="578"/>
      <c r="B22" s="576"/>
      <c r="C22" s="970"/>
      <c r="D22" s="946"/>
      <c r="E22" s="957"/>
      <c r="F22" s="1036"/>
      <c r="G22" s="970"/>
      <c r="H22" s="946"/>
      <c r="I22" s="957"/>
      <c r="J22" s="1036"/>
      <c r="K22" s="970"/>
      <c r="L22" s="946"/>
      <c r="M22" s="957"/>
      <c r="N22" s="1036"/>
      <c r="O22" s="970"/>
      <c r="P22" s="946"/>
      <c r="Q22" s="957"/>
      <c r="R22" s="1036"/>
      <c r="S22" s="970"/>
      <c r="T22" s="946"/>
      <c r="U22" s="957"/>
      <c r="V22" s="969"/>
      <c r="W22" s="970"/>
      <c r="X22" s="946"/>
      <c r="Y22" s="957"/>
      <c r="Z22" s="969"/>
      <c r="AA22" s="970"/>
      <c r="AB22" s="946"/>
      <c r="AC22" s="957"/>
      <c r="AD22" s="969"/>
      <c r="AE22" s="970"/>
      <c r="AF22" s="946"/>
      <c r="AG22" s="957"/>
      <c r="AH22" s="969"/>
      <c r="AI22" s="970"/>
      <c r="AJ22" s="946"/>
      <c r="AK22" s="957"/>
      <c r="AL22" s="969"/>
      <c r="AM22" s="970"/>
      <c r="AN22" s="946"/>
      <c r="AO22" s="957"/>
      <c r="AP22" s="969"/>
      <c r="AQ22" s="970"/>
      <c r="AR22" s="946"/>
      <c r="AS22" s="957"/>
      <c r="AT22" s="969"/>
      <c r="AU22" s="970"/>
      <c r="AV22" s="946"/>
      <c r="AW22" s="957"/>
      <c r="AX22" s="969"/>
      <c r="AY22" s="984"/>
      <c r="AZ22" s="946"/>
      <c r="BA22" s="946"/>
      <c r="BB22" s="969"/>
    </row>
    <row r="23" spans="1:54" ht="13.5" thickBot="1">
      <c r="A23" s="578" t="s">
        <v>612</v>
      </c>
      <c r="B23" s="576"/>
      <c r="C23" s="970">
        <f>-'FD1'!C84-TE!C128-TE!C129-TE!C130-TE!C131</f>
        <v>-80</v>
      </c>
      <c r="D23" s="846"/>
      <c r="E23" s="957">
        <f>C23-D23</f>
        <v>-80</v>
      </c>
      <c r="F23" s="1035">
        <f>IF(C23=0,0,-E23/C23)</f>
        <v>-1</v>
      </c>
      <c r="G23" s="970">
        <f>-'FD1'!D84-TE!D128-TE!D129-TE!D130-TE!D131</f>
        <v>-84</v>
      </c>
      <c r="H23" s="846"/>
      <c r="I23" s="957">
        <f>G23-H23</f>
        <v>-84</v>
      </c>
      <c r="J23" s="1035">
        <f>IF(G23=0,0,-I23/G23)</f>
        <v>-1</v>
      </c>
      <c r="K23" s="970">
        <f>-'FD1'!E84-TE!E128-TE!E129-TE!E130-TE!E131</f>
        <v>-88</v>
      </c>
      <c r="L23" s="846"/>
      <c r="M23" s="957">
        <f>K23-L23</f>
        <v>-88</v>
      </c>
      <c r="N23" s="1035">
        <f>IF(K23=0,0,-M23/K23)</f>
        <v>-1</v>
      </c>
      <c r="O23" s="970">
        <f>-'FD1'!F84-TE!F128-TE!F129-TE!F130-TE!F131</f>
        <v>-91</v>
      </c>
      <c r="P23" s="846"/>
      <c r="Q23" s="957">
        <f>O23-P23</f>
        <v>-91</v>
      </c>
      <c r="R23" s="1035">
        <f>IF(O23=0,0,-Q23/O23)</f>
        <v>-1</v>
      </c>
      <c r="S23" s="970">
        <f>-'FD1'!G84-TE!G128-TE!G129-TE!G130-TE!G131</f>
        <v>-96</v>
      </c>
      <c r="T23" s="846"/>
      <c r="U23" s="957">
        <f>S23-T23</f>
        <v>-96</v>
      </c>
      <c r="V23" s="967">
        <f>IF(S23=0,0,-U23/S23)</f>
        <v>-1</v>
      </c>
      <c r="W23" s="970">
        <f>-'FD1'!H84-TE!H128-TE!H129-TE!H130-TE!H131</f>
        <v>-98</v>
      </c>
      <c r="X23" s="846"/>
      <c r="Y23" s="957">
        <f>W23-X23</f>
        <v>-98</v>
      </c>
      <c r="Z23" s="967">
        <f>IF(W23=0,0,-Y23/W23)</f>
        <v>-1</v>
      </c>
      <c r="AA23" s="970">
        <f>-'FD1'!I84-TE!I128-TE!I129-TE!I130-TE!I131</f>
        <v>-102</v>
      </c>
      <c r="AB23" s="846"/>
      <c r="AC23" s="957">
        <f>AA23-AB23</f>
        <v>-102</v>
      </c>
      <c r="AD23" s="967">
        <f>IF(AA23=0,0,-AC23/AA23)</f>
        <v>-1</v>
      </c>
      <c r="AE23" s="970">
        <f>-'FD1'!J84-TE!J128-TE!J129-TE!J130-TE!J131</f>
        <v>-106</v>
      </c>
      <c r="AF23" s="846"/>
      <c r="AG23" s="957">
        <f>AE23-AF23</f>
        <v>-106</v>
      </c>
      <c r="AH23" s="967">
        <f>IF(AE23=0,0,-AG23/AE23)</f>
        <v>-1</v>
      </c>
      <c r="AI23" s="970">
        <f>-'FD1'!K84-TE!K128-TE!K129-TE!K130-TE!K131</f>
        <v>-110</v>
      </c>
      <c r="AJ23" s="846"/>
      <c r="AK23" s="957">
        <f>AI23-AJ23</f>
        <v>-110</v>
      </c>
      <c r="AL23" s="967">
        <f>IF(AI23=0,0,-AK23/AI23)</f>
        <v>-1</v>
      </c>
      <c r="AM23" s="970">
        <f>-'FD1'!L84-TE!L128-TE!L129-TE!L130-TE!L131</f>
        <v>-114</v>
      </c>
      <c r="AN23" s="846"/>
      <c r="AO23" s="957">
        <f>AM23-AN23</f>
        <v>-114</v>
      </c>
      <c r="AP23" s="967">
        <f>IF(AM23=0,0,-AO23/AM23)</f>
        <v>-1</v>
      </c>
      <c r="AQ23" s="970">
        <f>-'FD1'!M84-TE!M128-TE!M129-TE!M130-TE!M131</f>
        <v>-118</v>
      </c>
      <c r="AR23" s="846"/>
      <c r="AS23" s="957">
        <f>AQ23-AR23</f>
        <v>-118</v>
      </c>
      <c r="AT23" s="967">
        <f>IF(AQ23=0,0,-AS23/AQ23)</f>
        <v>-1</v>
      </c>
      <c r="AU23" s="970">
        <f>-'FD1'!N84-TE!N128-TE!N129-TE!N130-TE!N131</f>
        <v>-121</v>
      </c>
      <c r="AV23" s="846"/>
      <c r="AW23" s="957">
        <f>AU23-AV23</f>
        <v>-121</v>
      </c>
      <c r="AX23" s="967">
        <f>IF(AU23=0,0,-AW23/AU23)</f>
        <v>-1</v>
      </c>
      <c r="AY23" s="984">
        <f>SUM(C23:AU23)</f>
        <v>-2306</v>
      </c>
      <c r="AZ23" s="946">
        <f>D23+H23+L23+P23+T23+X23+AB23+AF23+AJ23+AN23+AR23+AV23</f>
        <v>0</v>
      </c>
      <c r="BA23" s="946">
        <f>AY23-AZ23</f>
        <v>-2306</v>
      </c>
      <c r="BB23" s="967">
        <f>IF(AY23=0,0,-BA23/AY23)</f>
        <v>-1</v>
      </c>
    </row>
    <row r="24" spans="1:54">
      <c r="A24" s="586"/>
      <c r="B24" s="586"/>
      <c r="C24" s="971"/>
      <c r="D24" s="944"/>
      <c r="E24" s="955"/>
      <c r="F24" s="1037"/>
      <c r="G24" s="971"/>
      <c r="H24" s="944"/>
      <c r="I24" s="955"/>
      <c r="J24" s="1037"/>
      <c r="K24" s="971"/>
      <c r="L24" s="944"/>
      <c r="M24" s="955"/>
      <c r="N24" s="1037"/>
      <c r="O24" s="971"/>
      <c r="P24" s="944"/>
      <c r="Q24" s="955"/>
      <c r="R24" s="1037"/>
      <c r="S24" s="971"/>
      <c r="T24" s="944"/>
      <c r="U24" s="955"/>
      <c r="V24" s="972"/>
      <c r="W24" s="971"/>
      <c r="X24" s="944"/>
      <c r="Y24" s="955"/>
      <c r="Z24" s="972"/>
      <c r="AA24" s="971"/>
      <c r="AB24" s="944"/>
      <c r="AC24" s="955"/>
      <c r="AD24" s="972"/>
      <c r="AE24" s="971"/>
      <c r="AF24" s="944"/>
      <c r="AG24" s="955"/>
      <c r="AH24" s="972"/>
      <c r="AI24" s="971"/>
      <c r="AJ24" s="944"/>
      <c r="AK24" s="955"/>
      <c r="AL24" s="972"/>
      <c r="AM24" s="971"/>
      <c r="AN24" s="944"/>
      <c r="AO24" s="955"/>
      <c r="AP24" s="972"/>
      <c r="AQ24" s="971"/>
      <c r="AR24" s="944"/>
      <c r="AS24" s="955"/>
      <c r="AT24" s="972"/>
      <c r="AU24" s="971"/>
      <c r="AV24" s="944"/>
      <c r="AW24" s="955"/>
      <c r="AX24" s="972"/>
      <c r="AY24" s="985"/>
      <c r="AZ24" s="944"/>
      <c r="BA24" s="944"/>
      <c r="BB24" s="972"/>
    </row>
    <row r="25" spans="1:54">
      <c r="A25" s="590"/>
      <c r="B25" s="590"/>
      <c r="C25" s="973"/>
      <c r="D25" s="945"/>
      <c r="E25" s="956"/>
      <c r="F25" s="1038"/>
      <c r="G25" s="973"/>
      <c r="H25" s="945"/>
      <c r="I25" s="956"/>
      <c r="J25" s="1038"/>
      <c r="K25" s="973"/>
      <c r="L25" s="945"/>
      <c r="M25" s="956"/>
      <c r="N25" s="1038"/>
      <c r="O25" s="973"/>
      <c r="P25" s="945"/>
      <c r="Q25" s="956"/>
      <c r="R25" s="1038"/>
      <c r="S25" s="973"/>
      <c r="T25" s="945"/>
      <c r="U25" s="956"/>
      <c r="V25" s="974"/>
      <c r="W25" s="973"/>
      <c r="X25" s="945"/>
      <c r="Y25" s="956"/>
      <c r="Z25" s="974"/>
      <c r="AA25" s="973"/>
      <c r="AB25" s="945"/>
      <c r="AC25" s="956"/>
      <c r="AD25" s="974"/>
      <c r="AE25" s="973"/>
      <c r="AF25" s="945"/>
      <c r="AG25" s="956"/>
      <c r="AH25" s="974"/>
      <c r="AI25" s="973"/>
      <c r="AJ25" s="945"/>
      <c r="AK25" s="956"/>
      <c r="AL25" s="974"/>
      <c r="AM25" s="973"/>
      <c r="AN25" s="945"/>
      <c r="AO25" s="956"/>
      <c r="AP25" s="974"/>
      <c r="AQ25" s="973"/>
      <c r="AR25" s="945"/>
      <c r="AS25" s="956"/>
      <c r="AT25" s="974"/>
      <c r="AU25" s="973"/>
      <c r="AV25" s="945"/>
      <c r="AW25" s="956"/>
      <c r="AX25" s="974"/>
      <c r="AY25" s="986"/>
      <c r="AZ25" s="945"/>
      <c r="BA25" s="945"/>
      <c r="BB25" s="974"/>
    </row>
    <row r="26" spans="1:54">
      <c r="A26" s="578" t="s">
        <v>566</v>
      </c>
      <c r="B26" s="576"/>
      <c r="C26" s="968">
        <f>SUM(C18:C23)</f>
        <v>3170</v>
      </c>
      <c r="D26" s="949">
        <f>SUM(D18:D23)</f>
        <v>0</v>
      </c>
      <c r="E26" s="975">
        <f>D26-C26</f>
        <v>-3170</v>
      </c>
      <c r="F26" s="1035">
        <f>IF(C26=0,0,E26/C26)</f>
        <v>-1</v>
      </c>
      <c r="G26" s="968">
        <f>SUM(G18:G23)</f>
        <v>3316</v>
      </c>
      <c r="H26" s="949">
        <f>SUM(H18:H23)</f>
        <v>0</v>
      </c>
      <c r="I26" s="975">
        <f>H26-G26</f>
        <v>-3316</v>
      </c>
      <c r="J26" s="1035">
        <f>IF(G26=0,0,I26/G26)</f>
        <v>-1</v>
      </c>
      <c r="K26" s="968">
        <f>SUM(K18:K23)</f>
        <v>3462</v>
      </c>
      <c r="L26" s="949">
        <f>SUM(L18:L23)</f>
        <v>0</v>
      </c>
      <c r="M26" s="975">
        <f>L26-K26</f>
        <v>-3462</v>
      </c>
      <c r="N26" s="1035">
        <f>IF(K26=0,0,M26/K26)</f>
        <v>-1</v>
      </c>
      <c r="O26" s="968">
        <f>SUM(O18:O23)</f>
        <v>3609</v>
      </c>
      <c r="P26" s="949">
        <f>SUM(P18:P23)</f>
        <v>0</v>
      </c>
      <c r="Q26" s="975">
        <f>P26-O26</f>
        <v>-3609</v>
      </c>
      <c r="R26" s="1035">
        <f>IF(O26=0,0,Q26/O26)</f>
        <v>-1</v>
      </c>
      <c r="S26" s="968">
        <f>SUM(S18:S23)</f>
        <v>3754</v>
      </c>
      <c r="T26" s="949">
        <f>SUM(T18:T23)</f>
        <v>0</v>
      </c>
      <c r="U26" s="975">
        <f>T26-S26</f>
        <v>-3754</v>
      </c>
      <c r="V26" s="967">
        <f>IF(S26=0,0,U26/S26)</f>
        <v>-1</v>
      </c>
      <c r="W26" s="968">
        <f>SUM(W18:W23)</f>
        <v>3902</v>
      </c>
      <c r="X26" s="949">
        <f>SUM(X18:X23)</f>
        <v>0</v>
      </c>
      <c r="Y26" s="975">
        <f>X26-W26</f>
        <v>-3902</v>
      </c>
      <c r="Z26" s="967">
        <f>IF(W26=0,0,Y26/W26)</f>
        <v>-1</v>
      </c>
      <c r="AA26" s="968">
        <f>SUM(AA18:AA23)</f>
        <v>4048</v>
      </c>
      <c r="AB26" s="949">
        <f>SUM(AB18:AB23)</f>
        <v>0</v>
      </c>
      <c r="AC26" s="975">
        <f>AB26-AA26</f>
        <v>-4048</v>
      </c>
      <c r="AD26" s="967">
        <f>IF(AA26=0,0,AC26/AA26)</f>
        <v>-1</v>
      </c>
      <c r="AE26" s="968">
        <f>SUM(AE18:AE23)</f>
        <v>4194</v>
      </c>
      <c r="AF26" s="949">
        <f>SUM(AF18:AF23)</f>
        <v>0</v>
      </c>
      <c r="AG26" s="975">
        <f>AF26-AE26</f>
        <v>-4194</v>
      </c>
      <c r="AH26" s="967">
        <f>IF(AE26=0,0,AG26/AE26)</f>
        <v>-1</v>
      </c>
      <c r="AI26" s="968">
        <f>SUM(AI18:AI23)</f>
        <v>4340</v>
      </c>
      <c r="AJ26" s="949">
        <f>SUM(AJ18:AJ23)</f>
        <v>0</v>
      </c>
      <c r="AK26" s="975">
        <f>AJ26-AI26</f>
        <v>-4340</v>
      </c>
      <c r="AL26" s="967">
        <f>IF(AI26=0,0,AK26/AI26)</f>
        <v>-1</v>
      </c>
      <c r="AM26" s="968">
        <f>SUM(AM18:AM23)</f>
        <v>4486</v>
      </c>
      <c r="AN26" s="949">
        <f>SUM(AN18:AN23)</f>
        <v>0</v>
      </c>
      <c r="AO26" s="975">
        <f>AN26-AM26</f>
        <v>-4486</v>
      </c>
      <c r="AP26" s="967">
        <f>IF(AM26=0,0,AO26/AM26)</f>
        <v>-1</v>
      </c>
      <c r="AQ26" s="968">
        <f>SUM(AQ18:AQ23)</f>
        <v>4632</v>
      </c>
      <c r="AR26" s="949">
        <f>SUM(AR18:AR23)</f>
        <v>0</v>
      </c>
      <c r="AS26" s="975">
        <f>AR26-AQ26</f>
        <v>-4632</v>
      </c>
      <c r="AT26" s="967">
        <f>IF(AQ26=0,0,AS26/AQ26)</f>
        <v>-1</v>
      </c>
      <c r="AU26" s="968">
        <f>SUM(AU18:AU23)</f>
        <v>4779</v>
      </c>
      <c r="AV26" s="949">
        <f>SUM(AV18:AV23)</f>
        <v>0</v>
      </c>
      <c r="AW26" s="975">
        <f>AV26-AU26</f>
        <v>-4779</v>
      </c>
      <c r="AX26" s="967">
        <f>IF(AU26=0,0,AW26/AU26)</f>
        <v>-1</v>
      </c>
      <c r="AY26" s="983">
        <f>SUM(AY18:AY23)</f>
        <v>46594</v>
      </c>
      <c r="AZ26" s="949">
        <f>SUM(AZ18:AZ23)</f>
        <v>0</v>
      </c>
      <c r="BA26" s="949">
        <f>AZ26-AY26</f>
        <v>-46594</v>
      </c>
      <c r="BB26" s="967">
        <f>IF(AY26=0,0,BA26/AY26)</f>
        <v>-1</v>
      </c>
    </row>
    <row r="27" spans="1:54">
      <c r="A27" s="586"/>
      <c r="B27" s="586"/>
      <c r="C27" s="971"/>
      <c r="D27" s="944"/>
      <c r="E27" s="955"/>
      <c r="F27" s="1037"/>
      <c r="G27" s="971"/>
      <c r="H27" s="944"/>
      <c r="I27" s="955"/>
      <c r="J27" s="1037"/>
      <c r="K27" s="971"/>
      <c r="L27" s="944"/>
      <c r="M27" s="955"/>
      <c r="N27" s="1037"/>
      <c r="O27" s="971"/>
      <c r="P27" s="944"/>
      <c r="Q27" s="955"/>
      <c r="R27" s="1037"/>
      <c r="S27" s="971"/>
      <c r="T27" s="944"/>
      <c r="U27" s="955"/>
      <c r="V27" s="972"/>
      <c r="W27" s="971"/>
      <c r="X27" s="944"/>
      <c r="Y27" s="955"/>
      <c r="Z27" s="972"/>
      <c r="AA27" s="971"/>
      <c r="AB27" s="944"/>
      <c r="AC27" s="955"/>
      <c r="AD27" s="972"/>
      <c r="AE27" s="971"/>
      <c r="AF27" s="944"/>
      <c r="AG27" s="955"/>
      <c r="AH27" s="972"/>
      <c r="AI27" s="971"/>
      <c r="AJ27" s="944"/>
      <c r="AK27" s="955"/>
      <c r="AL27" s="972"/>
      <c r="AM27" s="971"/>
      <c r="AN27" s="944"/>
      <c r="AO27" s="955"/>
      <c r="AP27" s="972"/>
      <c r="AQ27" s="971"/>
      <c r="AR27" s="944"/>
      <c r="AS27" s="955"/>
      <c r="AT27" s="972"/>
      <c r="AU27" s="971"/>
      <c r="AV27" s="944"/>
      <c r="AW27" s="955"/>
      <c r="AX27" s="972"/>
      <c r="AY27" s="985"/>
      <c r="AZ27" s="944"/>
      <c r="BA27" s="944"/>
      <c r="BB27" s="972"/>
    </row>
    <row r="28" spans="1:54">
      <c r="A28" s="578" t="s">
        <v>729</v>
      </c>
      <c r="B28" s="576"/>
      <c r="C28" s="970"/>
      <c r="D28" s="946"/>
      <c r="E28" s="957"/>
      <c r="F28" s="1036"/>
      <c r="G28" s="970"/>
      <c r="H28" s="946"/>
      <c r="I28" s="957"/>
      <c r="J28" s="1036"/>
      <c r="K28" s="970"/>
      <c r="L28" s="946"/>
      <c r="M28" s="957"/>
      <c r="N28" s="1036"/>
      <c r="O28" s="970"/>
      <c r="P28" s="946"/>
      <c r="Q28" s="957"/>
      <c r="R28" s="1036"/>
      <c r="S28" s="970"/>
      <c r="T28" s="946"/>
      <c r="U28" s="957"/>
      <c r="V28" s="969"/>
      <c r="W28" s="970"/>
      <c r="X28" s="946"/>
      <c r="Y28" s="957"/>
      <c r="Z28" s="969"/>
      <c r="AA28" s="970"/>
      <c r="AB28" s="946"/>
      <c r="AC28" s="957"/>
      <c r="AD28" s="969"/>
      <c r="AE28" s="970"/>
      <c r="AF28" s="946"/>
      <c r="AG28" s="957"/>
      <c r="AH28" s="969"/>
      <c r="AI28" s="970"/>
      <c r="AJ28" s="946"/>
      <c r="AK28" s="957"/>
      <c r="AL28" s="969"/>
      <c r="AM28" s="970"/>
      <c r="AN28" s="946"/>
      <c r="AO28" s="957"/>
      <c r="AP28" s="969"/>
      <c r="AQ28" s="970"/>
      <c r="AR28" s="946"/>
      <c r="AS28" s="957"/>
      <c r="AT28" s="969"/>
      <c r="AU28" s="970"/>
      <c r="AV28" s="946"/>
      <c r="AW28" s="957"/>
      <c r="AX28" s="969"/>
      <c r="AY28" s="984"/>
      <c r="AZ28" s="946"/>
      <c r="BA28" s="946"/>
      <c r="BB28" s="969"/>
    </row>
    <row r="29" spans="1:54" ht="13.5" thickBot="1">
      <c r="A29" s="1127" t="str">
        <f>'BC1'!A38</f>
        <v>FRAIS D'EXPLOITATION</v>
      </c>
      <c r="B29" s="1127"/>
      <c r="C29" s="970"/>
      <c r="D29" s="946"/>
      <c r="E29" s="957"/>
      <c r="F29" s="1036"/>
      <c r="G29" s="970"/>
      <c r="H29" s="946"/>
      <c r="I29" s="957"/>
      <c r="J29" s="1036"/>
      <c r="K29" s="970"/>
      <c r="L29" s="946"/>
      <c r="M29" s="957"/>
      <c r="N29" s="1036"/>
      <c r="O29" s="970"/>
      <c r="P29" s="946"/>
      <c r="Q29" s="957"/>
      <c r="R29" s="1036"/>
      <c r="S29" s="970"/>
      <c r="T29" s="946"/>
      <c r="U29" s="957"/>
      <c r="V29" s="969"/>
      <c r="W29" s="970"/>
      <c r="X29" s="946"/>
      <c r="Y29" s="957"/>
      <c r="Z29" s="969"/>
      <c r="AA29" s="970"/>
      <c r="AB29" s="946"/>
      <c r="AC29" s="957"/>
      <c r="AD29" s="969"/>
      <c r="AE29" s="970"/>
      <c r="AF29" s="946"/>
      <c r="AG29" s="957"/>
      <c r="AH29" s="969"/>
      <c r="AI29" s="970"/>
      <c r="AJ29" s="946"/>
      <c r="AK29" s="957"/>
      <c r="AL29" s="969"/>
      <c r="AM29" s="970"/>
      <c r="AN29" s="946"/>
      <c r="AO29" s="957"/>
      <c r="AP29" s="969"/>
      <c r="AQ29" s="970"/>
      <c r="AR29" s="946"/>
      <c r="AS29" s="957"/>
      <c r="AT29" s="969"/>
      <c r="AU29" s="970"/>
      <c r="AV29" s="946"/>
      <c r="AW29" s="957"/>
      <c r="AX29" s="969"/>
      <c r="AY29" s="984"/>
      <c r="AZ29" s="946"/>
      <c r="BA29" s="946"/>
      <c r="BB29" s="969"/>
    </row>
    <row r="30" spans="1:54" ht="13.5" thickBot="1">
      <c r="A30" s="576"/>
      <c r="B30" s="576" t="str">
        <f>'BC1'!A39</f>
        <v>Loyer</v>
      </c>
      <c r="C30" s="970">
        <f>'FG1'!C14+'BC1'!C39</f>
        <v>0</v>
      </c>
      <c r="D30" s="846"/>
      <c r="E30" s="957">
        <f>D30-C30</f>
        <v>0</v>
      </c>
      <c r="F30" s="1035">
        <f t="shared" ref="F30:F39" si="0">IF(C30=0,0,E30/C30)</f>
        <v>0</v>
      </c>
      <c r="G30" s="970">
        <f>'FG1'!D14</f>
        <v>0</v>
      </c>
      <c r="H30" s="846"/>
      <c r="I30" s="957">
        <f>H30-G30</f>
        <v>0</v>
      </c>
      <c r="J30" s="1035">
        <f t="shared" ref="J30:J39" si="1">IF(G30=0,0,I30/G30)</f>
        <v>0</v>
      </c>
      <c r="K30" s="970">
        <f>'FG1'!E14</f>
        <v>0</v>
      </c>
      <c r="L30" s="846"/>
      <c r="M30" s="957">
        <f>L30-K30</f>
        <v>0</v>
      </c>
      <c r="N30" s="1035">
        <f t="shared" ref="N30:N39" si="2">IF(K30=0,0,M30/K30)</f>
        <v>0</v>
      </c>
      <c r="O30" s="970">
        <f>'FG1'!F14</f>
        <v>0</v>
      </c>
      <c r="P30" s="846"/>
      <c r="Q30" s="957">
        <f>P30-O30</f>
        <v>0</v>
      </c>
      <c r="R30" s="1035">
        <f t="shared" ref="R30:R39" si="3">IF(O30=0,0,Q30/O30)</f>
        <v>0</v>
      </c>
      <c r="S30" s="970">
        <f>'FG1'!G14</f>
        <v>0</v>
      </c>
      <c r="T30" s="846"/>
      <c r="U30" s="957">
        <f>T30-S30</f>
        <v>0</v>
      </c>
      <c r="V30" s="967">
        <f t="shared" ref="V30:V39" si="4">IF(S30=0,0,U30/S30)</f>
        <v>0</v>
      </c>
      <c r="W30" s="970">
        <f>'FG1'!H14</f>
        <v>0</v>
      </c>
      <c r="X30" s="846"/>
      <c r="Y30" s="957">
        <f>X30-W30</f>
        <v>0</v>
      </c>
      <c r="Z30" s="967">
        <f t="shared" ref="Z30:Z39" si="5">IF(W30=0,0,Y30/W30)</f>
        <v>0</v>
      </c>
      <c r="AA30" s="970">
        <f>'FG1'!I14</f>
        <v>0</v>
      </c>
      <c r="AB30" s="846"/>
      <c r="AC30" s="957">
        <f>AB30-AA30</f>
        <v>0</v>
      </c>
      <c r="AD30" s="967">
        <f t="shared" ref="AD30:AD39" si="6">IF(AA30=0,0,AC30/AA30)</f>
        <v>0</v>
      </c>
      <c r="AE30" s="970">
        <f>'FG1'!J14</f>
        <v>0</v>
      </c>
      <c r="AF30" s="846"/>
      <c r="AG30" s="957">
        <f>AF30-AE30</f>
        <v>0</v>
      </c>
      <c r="AH30" s="967">
        <f t="shared" ref="AH30:AH39" si="7">IF(AE30=0,0,AG30/AE30)</f>
        <v>0</v>
      </c>
      <c r="AI30" s="970">
        <f>'FG1'!K14</f>
        <v>0</v>
      </c>
      <c r="AJ30" s="846"/>
      <c r="AK30" s="957">
        <f>AJ30-AI30</f>
        <v>0</v>
      </c>
      <c r="AL30" s="967">
        <f t="shared" ref="AL30:AL39" si="8">IF(AI30=0,0,AK30/AI30)</f>
        <v>0</v>
      </c>
      <c r="AM30" s="970">
        <f>'FG1'!L14</f>
        <v>0</v>
      </c>
      <c r="AN30" s="846"/>
      <c r="AO30" s="957">
        <f>AN30-AM30</f>
        <v>0</v>
      </c>
      <c r="AP30" s="967">
        <f t="shared" ref="AP30:AP39" si="9">IF(AM30=0,0,AO30/AM30)</f>
        <v>0</v>
      </c>
      <c r="AQ30" s="970">
        <f>'FG1'!M14</f>
        <v>0</v>
      </c>
      <c r="AR30" s="846"/>
      <c r="AS30" s="957">
        <f>AR30-AQ30</f>
        <v>0</v>
      </c>
      <c r="AT30" s="967">
        <f t="shared" ref="AT30:AT39" si="10">IF(AQ30=0,0,AS30/AQ30)</f>
        <v>0</v>
      </c>
      <c r="AU30" s="970">
        <f>'FG1'!N14</f>
        <v>0</v>
      </c>
      <c r="AV30" s="846"/>
      <c r="AW30" s="957">
        <f>AV30-AU30</f>
        <v>0</v>
      </c>
      <c r="AX30" s="967">
        <f t="shared" ref="AX30:AX39" si="11">IF(AU30=0,0,AW30/AU30)</f>
        <v>0</v>
      </c>
      <c r="AY30" s="946">
        <f>C30+G30+K30+O30+S30+W30+AA30+AE30+AI30+AM30+AQ30+AU30</f>
        <v>0</v>
      </c>
      <c r="AZ30" s="991">
        <f>D30+H30+L30+P30+T30+X30+AB30+AF30+AJ30+AN30+AR30+AV30</f>
        <v>0</v>
      </c>
      <c r="BA30" s="946">
        <f>AZ30-AY30</f>
        <v>0</v>
      </c>
      <c r="BB30" s="967">
        <f t="shared" ref="BB30:BB39" si="12">IF(AY30=0,0,BA30/AY30)</f>
        <v>0</v>
      </c>
    </row>
    <row r="31" spans="1:54" ht="13.5" thickBot="1">
      <c r="A31" s="576"/>
      <c r="B31" s="576" t="str">
        <f>'BC1'!A40</f>
        <v>Coût d'énergie</v>
      </c>
      <c r="C31" s="970">
        <f>'FG1'!C16+'BC1'!C40</f>
        <v>0</v>
      </c>
      <c r="D31" s="846"/>
      <c r="E31" s="957">
        <f t="shared" ref="E31:E39" si="13">D31-C31</f>
        <v>0</v>
      </c>
      <c r="F31" s="1035">
        <f t="shared" si="0"/>
        <v>0</v>
      </c>
      <c r="G31" s="970">
        <f>'FG1'!D16</f>
        <v>0</v>
      </c>
      <c r="H31" s="846"/>
      <c r="I31" s="957">
        <f t="shared" ref="I31:I39" si="14">H31-G31</f>
        <v>0</v>
      </c>
      <c r="J31" s="1035">
        <f t="shared" si="1"/>
        <v>0</v>
      </c>
      <c r="K31" s="970">
        <f>'FG1'!E16</f>
        <v>0</v>
      </c>
      <c r="L31" s="846"/>
      <c r="M31" s="957">
        <f t="shared" ref="M31:M39" si="15">L31-K31</f>
        <v>0</v>
      </c>
      <c r="N31" s="1035">
        <f t="shared" si="2"/>
        <v>0</v>
      </c>
      <c r="O31" s="970">
        <f>'FG1'!F16</f>
        <v>0</v>
      </c>
      <c r="P31" s="846"/>
      <c r="Q31" s="957">
        <f t="shared" ref="Q31:Q39" si="16">P31-O31</f>
        <v>0</v>
      </c>
      <c r="R31" s="1035">
        <f t="shared" si="3"/>
        <v>0</v>
      </c>
      <c r="S31" s="970">
        <f>'FG1'!G16</f>
        <v>0</v>
      </c>
      <c r="T31" s="846"/>
      <c r="U31" s="957">
        <f t="shared" ref="U31:U39" si="17">T31-S31</f>
        <v>0</v>
      </c>
      <c r="V31" s="967">
        <f t="shared" si="4"/>
        <v>0</v>
      </c>
      <c r="W31" s="970">
        <f>'FG1'!H16</f>
        <v>0</v>
      </c>
      <c r="X31" s="846"/>
      <c r="Y31" s="957">
        <f t="shared" ref="Y31:Y39" si="18">X31-W31</f>
        <v>0</v>
      </c>
      <c r="Z31" s="967">
        <f t="shared" si="5"/>
        <v>0</v>
      </c>
      <c r="AA31" s="970">
        <f>'FG1'!I16</f>
        <v>0</v>
      </c>
      <c r="AB31" s="846"/>
      <c r="AC31" s="957">
        <f t="shared" ref="AC31:AC39" si="19">AB31-AA31</f>
        <v>0</v>
      </c>
      <c r="AD31" s="967">
        <f t="shared" si="6"/>
        <v>0</v>
      </c>
      <c r="AE31" s="970">
        <f>'FG1'!J16</f>
        <v>0</v>
      </c>
      <c r="AF31" s="846"/>
      <c r="AG31" s="957">
        <f t="shared" ref="AG31:AG39" si="20">AF31-AE31</f>
        <v>0</v>
      </c>
      <c r="AH31" s="967">
        <f t="shared" si="7"/>
        <v>0</v>
      </c>
      <c r="AI31" s="970">
        <f>'FG1'!K16</f>
        <v>0</v>
      </c>
      <c r="AJ31" s="846"/>
      <c r="AK31" s="957">
        <f t="shared" ref="AK31:AK39" si="21">AJ31-AI31</f>
        <v>0</v>
      </c>
      <c r="AL31" s="967">
        <f t="shared" si="8"/>
        <v>0</v>
      </c>
      <c r="AM31" s="970">
        <f>'FG1'!L16</f>
        <v>0</v>
      </c>
      <c r="AN31" s="846"/>
      <c r="AO31" s="957">
        <f t="shared" ref="AO31:AO39" si="22">AN31-AM31</f>
        <v>0</v>
      </c>
      <c r="AP31" s="967">
        <f t="shared" si="9"/>
        <v>0</v>
      </c>
      <c r="AQ31" s="970">
        <f>'FG1'!M16</f>
        <v>0</v>
      </c>
      <c r="AR31" s="846"/>
      <c r="AS31" s="957">
        <f t="shared" ref="AS31:AS39" si="23">AR31-AQ31</f>
        <v>0</v>
      </c>
      <c r="AT31" s="967">
        <f t="shared" si="10"/>
        <v>0</v>
      </c>
      <c r="AU31" s="970">
        <f>'FG1'!N16</f>
        <v>0</v>
      </c>
      <c r="AV31" s="846"/>
      <c r="AW31" s="957">
        <f t="shared" ref="AW31:AW39" si="24">AV31-AU31</f>
        <v>0</v>
      </c>
      <c r="AX31" s="967">
        <f t="shared" si="11"/>
        <v>0</v>
      </c>
      <c r="AY31" s="946">
        <f t="shared" ref="AY31:AY49" si="25">C31+G31+K31+O31+S31+W31+AA31+AE31+AI31+AM31+AQ31+AU31</f>
        <v>0</v>
      </c>
      <c r="AZ31" s="991">
        <f t="shared" ref="AZ31:AZ49" si="26">D31+H31+L31+P31+T31+X31+AB31+AF31+AJ31+AN31+AR31+AV31</f>
        <v>0</v>
      </c>
      <c r="BA31" s="946">
        <f t="shared" ref="BA31:BA39" si="27">AZ31-AY31</f>
        <v>0</v>
      </c>
      <c r="BB31" s="967">
        <f t="shared" si="12"/>
        <v>0</v>
      </c>
    </row>
    <row r="32" spans="1:54" ht="13.5" thickBot="1">
      <c r="A32" s="576"/>
      <c r="B32" s="576" t="str">
        <f>'BC1'!A41</f>
        <v>Entretien / réparation</v>
      </c>
      <c r="C32" s="970">
        <f>'FG1'!C18+'BC1'!C41</f>
        <v>0</v>
      </c>
      <c r="D32" s="846"/>
      <c r="E32" s="957">
        <f t="shared" si="13"/>
        <v>0</v>
      </c>
      <c r="F32" s="1035">
        <f t="shared" si="0"/>
        <v>0</v>
      </c>
      <c r="G32" s="970">
        <f>'FG1'!D18</f>
        <v>0</v>
      </c>
      <c r="H32" s="846"/>
      <c r="I32" s="957">
        <f t="shared" si="14"/>
        <v>0</v>
      </c>
      <c r="J32" s="1035">
        <f t="shared" si="1"/>
        <v>0</v>
      </c>
      <c r="K32" s="970">
        <f>'FG1'!E18</f>
        <v>0</v>
      </c>
      <c r="L32" s="846"/>
      <c r="M32" s="957">
        <f t="shared" si="15"/>
        <v>0</v>
      </c>
      <c r="N32" s="1035">
        <f t="shared" si="2"/>
        <v>0</v>
      </c>
      <c r="O32" s="970">
        <f>'FG1'!F18</f>
        <v>0</v>
      </c>
      <c r="P32" s="846"/>
      <c r="Q32" s="957">
        <f t="shared" si="16"/>
        <v>0</v>
      </c>
      <c r="R32" s="1035">
        <f t="shared" si="3"/>
        <v>0</v>
      </c>
      <c r="S32" s="970">
        <f>'FG1'!G18</f>
        <v>0</v>
      </c>
      <c r="T32" s="846"/>
      <c r="U32" s="957">
        <f t="shared" si="17"/>
        <v>0</v>
      </c>
      <c r="V32" s="967">
        <f t="shared" si="4"/>
        <v>0</v>
      </c>
      <c r="W32" s="970">
        <f>'FG1'!H18</f>
        <v>0</v>
      </c>
      <c r="X32" s="846"/>
      <c r="Y32" s="957">
        <f t="shared" si="18"/>
        <v>0</v>
      </c>
      <c r="Z32" s="967">
        <f t="shared" si="5"/>
        <v>0</v>
      </c>
      <c r="AA32" s="970">
        <f>'FG1'!I18</f>
        <v>0</v>
      </c>
      <c r="AB32" s="846"/>
      <c r="AC32" s="957">
        <f t="shared" si="19"/>
        <v>0</v>
      </c>
      <c r="AD32" s="967">
        <f t="shared" si="6"/>
        <v>0</v>
      </c>
      <c r="AE32" s="970">
        <f>'FG1'!J18</f>
        <v>0</v>
      </c>
      <c r="AF32" s="846"/>
      <c r="AG32" s="957">
        <f t="shared" si="20"/>
        <v>0</v>
      </c>
      <c r="AH32" s="967">
        <f t="shared" si="7"/>
        <v>0</v>
      </c>
      <c r="AI32" s="970">
        <f>'FG1'!K18</f>
        <v>0</v>
      </c>
      <c r="AJ32" s="846"/>
      <c r="AK32" s="957">
        <f t="shared" si="21"/>
        <v>0</v>
      </c>
      <c r="AL32" s="967">
        <f t="shared" si="8"/>
        <v>0</v>
      </c>
      <c r="AM32" s="970">
        <f>'FG1'!L18</f>
        <v>0</v>
      </c>
      <c r="AN32" s="846"/>
      <c r="AO32" s="957">
        <f t="shared" si="22"/>
        <v>0</v>
      </c>
      <c r="AP32" s="967">
        <f t="shared" si="9"/>
        <v>0</v>
      </c>
      <c r="AQ32" s="970">
        <f>'FG1'!M18</f>
        <v>0</v>
      </c>
      <c r="AR32" s="846"/>
      <c r="AS32" s="957">
        <f t="shared" si="23"/>
        <v>0</v>
      </c>
      <c r="AT32" s="967">
        <f t="shared" si="10"/>
        <v>0</v>
      </c>
      <c r="AU32" s="970">
        <f>'FG1'!N18</f>
        <v>0</v>
      </c>
      <c r="AV32" s="846"/>
      <c r="AW32" s="957">
        <f t="shared" si="24"/>
        <v>0</v>
      </c>
      <c r="AX32" s="967">
        <f t="shared" si="11"/>
        <v>0</v>
      </c>
      <c r="AY32" s="946">
        <f t="shared" si="25"/>
        <v>0</v>
      </c>
      <c r="AZ32" s="991">
        <f t="shared" si="26"/>
        <v>0</v>
      </c>
      <c r="BA32" s="946">
        <f t="shared" si="27"/>
        <v>0</v>
      </c>
      <c r="BB32" s="967">
        <f t="shared" si="12"/>
        <v>0</v>
      </c>
    </row>
    <row r="33" spans="1:54" ht="13.5" thickBot="1">
      <c r="A33" s="576"/>
      <c r="B33" s="576" t="str">
        <f>'BC1'!A42</f>
        <v>Services sanitaires</v>
      </c>
      <c r="C33" s="970">
        <f>'FG1'!C20+'BC1'!C42</f>
        <v>0</v>
      </c>
      <c r="D33" s="846"/>
      <c r="E33" s="957">
        <f t="shared" si="13"/>
        <v>0</v>
      </c>
      <c r="F33" s="1035">
        <f t="shared" si="0"/>
        <v>0</v>
      </c>
      <c r="G33" s="970">
        <f>'FG1'!D20</f>
        <v>0</v>
      </c>
      <c r="H33" s="846"/>
      <c r="I33" s="957">
        <f t="shared" si="14"/>
        <v>0</v>
      </c>
      <c r="J33" s="1035">
        <f t="shared" si="1"/>
        <v>0</v>
      </c>
      <c r="K33" s="970">
        <f>'FG1'!E20</f>
        <v>0</v>
      </c>
      <c r="L33" s="846"/>
      <c r="M33" s="957">
        <f t="shared" si="15"/>
        <v>0</v>
      </c>
      <c r="N33" s="1035">
        <f t="shared" si="2"/>
        <v>0</v>
      </c>
      <c r="O33" s="970">
        <f>'FG1'!F20</f>
        <v>0</v>
      </c>
      <c r="P33" s="846"/>
      <c r="Q33" s="957">
        <f t="shared" si="16"/>
        <v>0</v>
      </c>
      <c r="R33" s="1035">
        <f t="shared" si="3"/>
        <v>0</v>
      </c>
      <c r="S33" s="970">
        <f>'FG1'!G20</f>
        <v>0</v>
      </c>
      <c r="T33" s="846"/>
      <c r="U33" s="957">
        <f t="shared" si="17"/>
        <v>0</v>
      </c>
      <c r="V33" s="967">
        <f t="shared" si="4"/>
        <v>0</v>
      </c>
      <c r="W33" s="970">
        <f>'FG1'!H20</f>
        <v>0</v>
      </c>
      <c r="X33" s="846"/>
      <c r="Y33" s="957">
        <f t="shared" si="18"/>
        <v>0</v>
      </c>
      <c r="Z33" s="967">
        <f t="shared" si="5"/>
        <v>0</v>
      </c>
      <c r="AA33" s="970">
        <f>'FG1'!I20</f>
        <v>0</v>
      </c>
      <c r="AB33" s="846"/>
      <c r="AC33" s="957">
        <f t="shared" si="19"/>
        <v>0</v>
      </c>
      <c r="AD33" s="967">
        <f t="shared" si="6"/>
        <v>0</v>
      </c>
      <c r="AE33" s="970">
        <f>'FG1'!J20</f>
        <v>0</v>
      </c>
      <c r="AF33" s="846"/>
      <c r="AG33" s="957">
        <f t="shared" si="20"/>
        <v>0</v>
      </c>
      <c r="AH33" s="967">
        <f t="shared" si="7"/>
        <v>0</v>
      </c>
      <c r="AI33" s="970">
        <f>'FG1'!K20</f>
        <v>0</v>
      </c>
      <c r="AJ33" s="846"/>
      <c r="AK33" s="957">
        <f t="shared" si="21"/>
        <v>0</v>
      </c>
      <c r="AL33" s="967">
        <f t="shared" si="8"/>
        <v>0</v>
      </c>
      <c r="AM33" s="970">
        <f>'FG1'!L20</f>
        <v>0</v>
      </c>
      <c r="AN33" s="846"/>
      <c r="AO33" s="957">
        <f t="shared" si="22"/>
        <v>0</v>
      </c>
      <c r="AP33" s="967">
        <f t="shared" si="9"/>
        <v>0</v>
      </c>
      <c r="AQ33" s="970">
        <f>'FG1'!M20</f>
        <v>0</v>
      </c>
      <c r="AR33" s="846"/>
      <c r="AS33" s="957">
        <f t="shared" si="23"/>
        <v>0</v>
      </c>
      <c r="AT33" s="967">
        <f t="shared" si="10"/>
        <v>0</v>
      </c>
      <c r="AU33" s="970">
        <f>'FG1'!N20</f>
        <v>0</v>
      </c>
      <c r="AV33" s="846"/>
      <c r="AW33" s="957">
        <f t="shared" si="24"/>
        <v>0</v>
      </c>
      <c r="AX33" s="967">
        <f t="shared" si="11"/>
        <v>0</v>
      </c>
      <c r="AY33" s="946">
        <f t="shared" si="25"/>
        <v>0</v>
      </c>
      <c r="AZ33" s="991">
        <f t="shared" si="26"/>
        <v>0</v>
      </c>
      <c r="BA33" s="946">
        <f t="shared" si="27"/>
        <v>0</v>
      </c>
      <c r="BB33" s="967">
        <f t="shared" si="12"/>
        <v>0</v>
      </c>
    </row>
    <row r="34" spans="1:54" ht="13.5" thickBot="1">
      <c r="A34" s="576"/>
      <c r="B34" s="576" t="str">
        <f>'BC1'!A43</f>
        <v>Frais de déplacement</v>
      </c>
      <c r="C34" s="970">
        <f>'FG1'!C22+'BC1'!C43</f>
        <v>0</v>
      </c>
      <c r="D34" s="846"/>
      <c r="E34" s="957">
        <f t="shared" si="13"/>
        <v>0</v>
      </c>
      <c r="F34" s="1035">
        <f t="shared" si="0"/>
        <v>0</v>
      </c>
      <c r="G34" s="970">
        <f>'FG1'!D22</f>
        <v>0</v>
      </c>
      <c r="H34" s="846"/>
      <c r="I34" s="957">
        <f t="shared" si="14"/>
        <v>0</v>
      </c>
      <c r="J34" s="1035">
        <f t="shared" si="1"/>
        <v>0</v>
      </c>
      <c r="K34" s="970">
        <f>'FG1'!E22</f>
        <v>0</v>
      </c>
      <c r="L34" s="846"/>
      <c r="M34" s="957">
        <f t="shared" si="15"/>
        <v>0</v>
      </c>
      <c r="N34" s="1035">
        <f t="shared" si="2"/>
        <v>0</v>
      </c>
      <c r="O34" s="970">
        <f>'FG1'!F22</f>
        <v>0</v>
      </c>
      <c r="P34" s="846"/>
      <c r="Q34" s="957">
        <f t="shared" si="16"/>
        <v>0</v>
      </c>
      <c r="R34" s="1035">
        <f t="shared" si="3"/>
        <v>0</v>
      </c>
      <c r="S34" s="970">
        <f>'FG1'!G22</f>
        <v>0</v>
      </c>
      <c r="T34" s="846"/>
      <c r="U34" s="957">
        <f t="shared" si="17"/>
        <v>0</v>
      </c>
      <c r="V34" s="967">
        <f t="shared" si="4"/>
        <v>0</v>
      </c>
      <c r="W34" s="970">
        <f>'FG1'!H22</f>
        <v>0</v>
      </c>
      <c r="X34" s="846"/>
      <c r="Y34" s="957">
        <f t="shared" si="18"/>
        <v>0</v>
      </c>
      <c r="Z34" s="967">
        <f t="shared" si="5"/>
        <v>0</v>
      </c>
      <c r="AA34" s="970">
        <f>'FG1'!I22</f>
        <v>0</v>
      </c>
      <c r="AB34" s="846"/>
      <c r="AC34" s="957">
        <f t="shared" si="19"/>
        <v>0</v>
      </c>
      <c r="AD34" s="967">
        <f t="shared" si="6"/>
        <v>0</v>
      </c>
      <c r="AE34" s="970">
        <f>'FG1'!J22</f>
        <v>0</v>
      </c>
      <c r="AF34" s="846"/>
      <c r="AG34" s="957">
        <f t="shared" si="20"/>
        <v>0</v>
      </c>
      <c r="AH34" s="967">
        <f t="shared" si="7"/>
        <v>0</v>
      </c>
      <c r="AI34" s="970">
        <f>'FG1'!K22</f>
        <v>0</v>
      </c>
      <c r="AJ34" s="846"/>
      <c r="AK34" s="957">
        <f t="shared" si="21"/>
        <v>0</v>
      </c>
      <c r="AL34" s="967">
        <f t="shared" si="8"/>
        <v>0</v>
      </c>
      <c r="AM34" s="970">
        <f>'FG1'!L22</f>
        <v>0</v>
      </c>
      <c r="AN34" s="846"/>
      <c r="AO34" s="957">
        <f t="shared" si="22"/>
        <v>0</v>
      </c>
      <c r="AP34" s="967">
        <f t="shared" si="9"/>
        <v>0</v>
      </c>
      <c r="AQ34" s="970">
        <f>'FG1'!M22</f>
        <v>0</v>
      </c>
      <c r="AR34" s="846"/>
      <c r="AS34" s="957">
        <f t="shared" si="23"/>
        <v>0</v>
      </c>
      <c r="AT34" s="967">
        <f t="shared" si="10"/>
        <v>0</v>
      </c>
      <c r="AU34" s="970">
        <f>'FG1'!N22</f>
        <v>0</v>
      </c>
      <c r="AV34" s="846"/>
      <c r="AW34" s="957">
        <f t="shared" si="24"/>
        <v>0</v>
      </c>
      <c r="AX34" s="967">
        <f t="shared" si="11"/>
        <v>0</v>
      </c>
      <c r="AY34" s="946">
        <f t="shared" si="25"/>
        <v>0</v>
      </c>
      <c r="AZ34" s="991">
        <f t="shared" si="26"/>
        <v>0</v>
      </c>
      <c r="BA34" s="946">
        <f t="shared" si="27"/>
        <v>0</v>
      </c>
      <c r="BB34" s="967">
        <f t="shared" si="12"/>
        <v>0</v>
      </c>
    </row>
    <row r="35" spans="1:54" ht="13.5" thickBot="1">
      <c r="A35" s="576"/>
      <c r="B35" s="576" t="str">
        <f>'BC1'!A44</f>
        <v>Immatriculation et permis</v>
      </c>
      <c r="C35" s="970">
        <f>'FG1'!C24+'BC1'!C44</f>
        <v>1</v>
      </c>
      <c r="D35" s="846"/>
      <c r="E35" s="957">
        <f t="shared" si="13"/>
        <v>-1</v>
      </c>
      <c r="F35" s="1035">
        <f t="shared" si="0"/>
        <v>-1</v>
      </c>
      <c r="G35" s="970">
        <f>'FG1'!D24</f>
        <v>0</v>
      </c>
      <c r="H35" s="846"/>
      <c r="I35" s="957">
        <f t="shared" si="14"/>
        <v>0</v>
      </c>
      <c r="J35" s="1035">
        <f t="shared" si="1"/>
        <v>0</v>
      </c>
      <c r="K35" s="970">
        <f>'FG1'!E24</f>
        <v>0</v>
      </c>
      <c r="L35" s="846"/>
      <c r="M35" s="957">
        <f t="shared" si="15"/>
        <v>0</v>
      </c>
      <c r="N35" s="1035">
        <f t="shared" si="2"/>
        <v>0</v>
      </c>
      <c r="O35" s="970">
        <f>'FG1'!F24</f>
        <v>0</v>
      </c>
      <c r="P35" s="846"/>
      <c r="Q35" s="957">
        <f t="shared" si="16"/>
        <v>0</v>
      </c>
      <c r="R35" s="1035">
        <f t="shared" si="3"/>
        <v>0</v>
      </c>
      <c r="S35" s="970">
        <f>'FG1'!G24</f>
        <v>0</v>
      </c>
      <c r="T35" s="846"/>
      <c r="U35" s="957">
        <f t="shared" si="17"/>
        <v>0</v>
      </c>
      <c r="V35" s="967">
        <f t="shared" si="4"/>
        <v>0</v>
      </c>
      <c r="W35" s="970">
        <f>'FG1'!H24</f>
        <v>0</v>
      </c>
      <c r="X35" s="846"/>
      <c r="Y35" s="957">
        <f t="shared" si="18"/>
        <v>0</v>
      </c>
      <c r="Z35" s="967">
        <f t="shared" si="5"/>
        <v>0</v>
      </c>
      <c r="AA35" s="970">
        <f>'FG1'!I24</f>
        <v>0</v>
      </c>
      <c r="AB35" s="846"/>
      <c r="AC35" s="957">
        <f t="shared" si="19"/>
        <v>0</v>
      </c>
      <c r="AD35" s="967">
        <f t="shared" si="6"/>
        <v>0</v>
      </c>
      <c r="AE35" s="970">
        <f>'FG1'!J24</f>
        <v>0</v>
      </c>
      <c r="AF35" s="846"/>
      <c r="AG35" s="957">
        <f t="shared" si="20"/>
        <v>0</v>
      </c>
      <c r="AH35" s="967">
        <f t="shared" si="7"/>
        <v>0</v>
      </c>
      <c r="AI35" s="970">
        <f>'FG1'!K24</f>
        <v>0</v>
      </c>
      <c r="AJ35" s="846"/>
      <c r="AK35" s="957">
        <f t="shared" si="21"/>
        <v>0</v>
      </c>
      <c r="AL35" s="967">
        <f t="shared" si="8"/>
        <v>0</v>
      </c>
      <c r="AM35" s="970">
        <f>'FG1'!L24</f>
        <v>0</v>
      </c>
      <c r="AN35" s="846"/>
      <c r="AO35" s="957">
        <f t="shared" si="22"/>
        <v>0</v>
      </c>
      <c r="AP35" s="967">
        <f t="shared" si="9"/>
        <v>0</v>
      </c>
      <c r="AQ35" s="970">
        <f>'FG1'!M24</f>
        <v>0</v>
      </c>
      <c r="AR35" s="846"/>
      <c r="AS35" s="957">
        <f t="shared" si="23"/>
        <v>0</v>
      </c>
      <c r="AT35" s="967">
        <f t="shared" si="10"/>
        <v>0</v>
      </c>
      <c r="AU35" s="970">
        <f>'FG1'!N24</f>
        <v>0</v>
      </c>
      <c r="AV35" s="846"/>
      <c r="AW35" s="957">
        <f t="shared" si="24"/>
        <v>0</v>
      </c>
      <c r="AX35" s="967">
        <f t="shared" si="11"/>
        <v>0</v>
      </c>
      <c r="AY35" s="946">
        <f t="shared" si="25"/>
        <v>1</v>
      </c>
      <c r="AZ35" s="991">
        <f t="shared" si="26"/>
        <v>0</v>
      </c>
      <c r="BA35" s="946">
        <f t="shared" si="27"/>
        <v>-1</v>
      </c>
      <c r="BB35" s="967">
        <f t="shared" si="12"/>
        <v>-1</v>
      </c>
    </row>
    <row r="36" spans="1:54" ht="13.5" thickBot="1">
      <c r="A36" s="576"/>
      <c r="B36" s="576" t="str">
        <f>'BC1'!A45</f>
        <v>Assurances</v>
      </c>
      <c r="C36" s="970">
        <f>'FG1'!C26+'BC1'!C45</f>
        <v>1</v>
      </c>
      <c r="D36" s="846"/>
      <c r="E36" s="957">
        <f t="shared" si="13"/>
        <v>-1</v>
      </c>
      <c r="F36" s="1035">
        <f t="shared" si="0"/>
        <v>-1</v>
      </c>
      <c r="G36" s="970">
        <f>'FG1'!D26</f>
        <v>0</v>
      </c>
      <c r="H36" s="846"/>
      <c r="I36" s="957">
        <f t="shared" si="14"/>
        <v>0</v>
      </c>
      <c r="J36" s="1035">
        <f t="shared" si="1"/>
        <v>0</v>
      </c>
      <c r="K36" s="970">
        <f>'FG1'!E26</f>
        <v>0</v>
      </c>
      <c r="L36" s="846"/>
      <c r="M36" s="957">
        <f t="shared" si="15"/>
        <v>0</v>
      </c>
      <c r="N36" s="1035">
        <f t="shared" si="2"/>
        <v>0</v>
      </c>
      <c r="O36" s="970">
        <f>'FG1'!F26</f>
        <v>0</v>
      </c>
      <c r="P36" s="846"/>
      <c r="Q36" s="957">
        <f t="shared" si="16"/>
        <v>0</v>
      </c>
      <c r="R36" s="1035">
        <f t="shared" si="3"/>
        <v>0</v>
      </c>
      <c r="S36" s="970">
        <f>'FG1'!G26</f>
        <v>0</v>
      </c>
      <c r="T36" s="846"/>
      <c r="U36" s="957">
        <f t="shared" si="17"/>
        <v>0</v>
      </c>
      <c r="V36" s="967">
        <f t="shared" si="4"/>
        <v>0</v>
      </c>
      <c r="W36" s="970">
        <f>'FG1'!H26</f>
        <v>0</v>
      </c>
      <c r="X36" s="846"/>
      <c r="Y36" s="957">
        <f t="shared" si="18"/>
        <v>0</v>
      </c>
      <c r="Z36" s="967">
        <f t="shared" si="5"/>
        <v>0</v>
      </c>
      <c r="AA36" s="970">
        <f>'FG1'!I26</f>
        <v>0</v>
      </c>
      <c r="AB36" s="846"/>
      <c r="AC36" s="957">
        <f t="shared" si="19"/>
        <v>0</v>
      </c>
      <c r="AD36" s="967">
        <f t="shared" si="6"/>
        <v>0</v>
      </c>
      <c r="AE36" s="970">
        <f>'FG1'!J26</f>
        <v>0</v>
      </c>
      <c r="AF36" s="846"/>
      <c r="AG36" s="957">
        <f t="shared" si="20"/>
        <v>0</v>
      </c>
      <c r="AH36" s="967">
        <f t="shared" si="7"/>
        <v>0</v>
      </c>
      <c r="AI36" s="970">
        <f>'FG1'!K26</f>
        <v>0</v>
      </c>
      <c r="AJ36" s="846"/>
      <c r="AK36" s="957">
        <f t="shared" si="21"/>
        <v>0</v>
      </c>
      <c r="AL36" s="967">
        <f t="shared" si="8"/>
        <v>0</v>
      </c>
      <c r="AM36" s="970">
        <f>'FG1'!L26</f>
        <v>0</v>
      </c>
      <c r="AN36" s="846"/>
      <c r="AO36" s="957">
        <f t="shared" si="22"/>
        <v>0</v>
      </c>
      <c r="AP36" s="967">
        <f t="shared" si="9"/>
        <v>0</v>
      </c>
      <c r="AQ36" s="970">
        <f>'FG1'!M26</f>
        <v>0</v>
      </c>
      <c r="AR36" s="846"/>
      <c r="AS36" s="957">
        <f t="shared" si="23"/>
        <v>0</v>
      </c>
      <c r="AT36" s="967">
        <f t="shared" si="10"/>
        <v>0</v>
      </c>
      <c r="AU36" s="970">
        <f>'FG1'!N26</f>
        <v>0</v>
      </c>
      <c r="AV36" s="846"/>
      <c r="AW36" s="957">
        <f t="shared" si="24"/>
        <v>0</v>
      </c>
      <c r="AX36" s="967">
        <f t="shared" si="11"/>
        <v>0</v>
      </c>
      <c r="AY36" s="946">
        <f t="shared" si="25"/>
        <v>1</v>
      </c>
      <c r="AZ36" s="991">
        <f t="shared" si="26"/>
        <v>0</v>
      </c>
      <c r="BA36" s="946">
        <f t="shared" si="27"/>
        <v>-1</v>
      </c>
      <c r="BB36" s="967">
        <f t="shared" si="12"/>
        <v>-1</v>
      </c>
    </row>
    <row r="37" spans="1:54" ht="13.5" thickBot="1">
      <c r="A37" s="576"/>
      <c r="B37" s="576" t="str">
        <f>'BC1'!A46</f>
        <v>Dépenses R&amp;D</v>
      </c>
      <c r="C37" s="970">
        <f>'FG1'!C28+'BC1'!C46</f>
        <v>0</v>
      </c>
      <c r="D37" s="846"/>
      <c r="E37" s="957">
        <f t="shared" si="13"/>
        <v>0</v>
      </c>
      <c r="F37" s="1035">
        <f t="shared" si="0"/>
        <v>0</v>
      </c>
      <c r="G37" s="970">
        <f>'FG1'!D28</f>
        <v>0</v>
      </c>
      <c r="H37" s="846"/>
      <c r="I37" s="957">
        <f t="shared" si="14"/>
        <v>0</v>
      </c>
      <c r="J37" s="1035">
        <f t="shared" si="1"/>
        <v>0</v>
      </c>
      <c r="K37" s="970">
        <f>'FG1'!E28</f>
        <v>0</v>
      </c>
      <c r="L37" s="846"/>
      <c r="M37" s="957">
        <f t="shared" si="15"/>
        <v>0</v>
      </c>
      <c r="N37" s="1035">
        <f t="shared" si="2"/>
        <v>0</v>
      </c>
      <c r="O37" s="970">
        <f>'FG1'!F28</f>
        <v>0</v>
      </c>
      <c r="P37" s="846"/>
      <c r="Q37" s="957">
        <f t="shared" si="16"/>
        <v>0</v>
      </c>
      <c r="R37" s="1035">
        <f t="shared" si="3"/>
        <v>0</v>
      </c>
      <c r="S37" s="970">
        <f>'FG1'!G28</f>
        <v>0</v>
      </c>
      <c r="T37" s="846"/>
      <c r="U37" s="957">
        <f t="shared" si="17"/>
        <v>0</v>
      </c>
      <c r="V37" s="967">
        <f t="shared" si="4"/>
        <v>0</v>
      </c>
      <c r="W37" s="970">
        <f>'FG1'!H28</f>
        <v>0</v>
      </c>
      <c r="X37" s="846"/>
      <c r="Y37" s="957">
        <f t="shared" si="18"/>
        <v>0</v>
      </c>
      <c r="Z37" s="967">
        <f t="shared" si="5"/>
        <v>0</v>
      </c>
      <c r="AA37" s="970">
        <f>'FG1'!I28</f>
        <v>0</v>
      </c>
      <c r="AB37" s="846"/>
      <c r="AC37" s="957">
        <f t="shared" si="19"/>
        <v>0</v>
      </c>
      <c r="AD37" s="967">
        <f t="shared" si="6"/>
        <v>0</v>
      </c>
      <c r="AE37" s="970">
        <f>'FG1'!J28</f>
        <v>0</v>
      </c>
      <c r="AF37" s="846"/>
      <c r="AG37" s="957">
        <f t="shared" si="20"/>
        <v>0</v>
      </c>
      <c r="AH37" s="967">
        <f t="shared" si="7"/>
        <v>0</v>
      </c>
      <c r="AI37" s="970">
        <f>'FG1'!K28</f>
        <v>0</v>
      </c>
      <c r="AJ37" s="846"/>
      <c r="AK37" s="957">
        <f t="shared" si="21"/>
        <v>0</v>
      </c>
      <c r="AL37" s="967">
        <f t="shared" si="8"/>
        <v>0</v>
      </c>
      <c r="AM37" s="970">
        <f>'FG1'!L28</f>
        <v>0</v>
      </c>
      <c r="AN37" s="846"/>
      <c r="AO37" s="957">
        <f t="shared" si="22"/>
        <v>0</v>
      </c>
      <c r="AP37" s="967">
        <f t="shared" si="9"/>
        <v>0</v>
      </c>
      <c r="AQ37" s="970">
        <f>'FG1'!M28</f>
        <v>0</v>
      </c>
      <c r="AR37" s="846"/>
      <c r="AS37" s="957">
        <f t="shared" si="23"/>
        <v>0</v>
      </c>
      <c r="AT37" s="967">
        <f t="shared" si="10"/>
        <v>0</v>
      </c>
      <c r="AU37" s="970">
        <f>'FG1'!N28</f>
        <v>0</v>
      </c>
      <c r="AV37" s="846"/>
      <c r="AW37" s="957">
        <f t="shared" si="24"/>
        <v>0</v>
      </c>
      <c r="AX37" s="967">
        <f t="shared" si="11"/>
        <v>0</v>
      </c>
      <c r="AY37" s="946">
        <f t="shared" si="25"/>
        <v>0</v>
      </c>
      <c r="AZ37" s="991">
        <f t="shared" si="26"/>
        <v>0</v>
      </c>
      <c r="BA37" s="946">
        <f t="shared" si="27"/>
        <v>0</v>
      </c>
      <c r="BB37" s="967">
        <f t="shared" si="12"/>
        <v>0</v>
      </c>
    </row>
    <row r="38" spans="1:54" ht="13.5" thickBot="1">
      <c r="A38" s="576"/>
      <c r="B38" s="576" t="str">
        <f>'BC1'!A47</f>
        <v>Autre frais d'exploitation 1</v>
      </c>
      <c r="C38" s="970">
        <f>'FG1'!C30+'BC1'!C47</f>
        <v>0</v>
      </c>
      <c r="D38" s="846"/>
      <c r="E38" s="957">
        <f t="shared" si="13"/>
        <v>0</v>
      </c>
      <c r="F38" s="1035">
        <f t="shared" si="0"/>
        <v>0</v>
      </c>
      <c r="G38" s="970">
        <f>'FG1'!D30</f>
        <v>0</v>
      </c>
      <c r="H38" s="846"/>
      <c r="I38" s="957">
        <f t="shared" si="14"/>
        <v>0</v>
      </c>
      <c r="J38" s="1035">
        <f t="shared" si="1"/>
        <v>0</v>
      </c>
      <c r="K38" s="970">
        <f>'FG1'!E30</f>
        <v>0</v>
      </c>
      <c r="L38" s="846"/>
      <c r="M38" s="957">
        <f t="shared" si="15"/>
        <v>0</v>
      </c>
      <c r="N38" s="1035">
        <f t="shared" si="2"/>
        <v>0</v>
      </c>
      <c r="O38" s="970">
        <f>'FG1'!F30</f>
        <v>0</v>
      </c>
      <c r="P38" s="846"/>
      <c r="Q38" s="957">
        <f t="shared" si="16"/>
        <v>0</v>
      </c>
      <c r="R38" s="1035">
        <f t="shared" si="3"/>
        <v>0</v>
      </c>
      <c r="S38" s="970">
        <f>'FG1'!G30</f>
        <v>0</v>
      </c>
      <c r="T38" s="846"/>
      <c r="U38" s="957">
        <f t="shared" si="17"/>
        <v>0</v>
      </c>
      <c r="V38" s="967">
        <f t="shared" si="4"/>
        <v>0</v>
      </c>
      <c r="W38" s="970">
        <f>'FG1'!H30</f>
        <v>0</v>
      </c>
      <c r="X38" s="846"/>
      <c r="Y38" s="957">
        <f t="shared" si="18"/>
        <v>0</v>
      </c>
      <c r="Z38" s="967">
        <f t="shared" si="5"/>
        <v>0</v>
      </c>
      <c r="AA38" s="970">
        <f>'FG1'!I30</f>
        <v>0</v>
      </c>
      <c r="AB38" s="846"/>
      <c r="AC38" s="957">
        <f t="shared" si="19"/>
        <v>0</v>
      </c>
      <c r="AD38" s="967">
        <f t="shared" si="6"/>
        <v>0</v>
      </c>
      <c r="AE38" s="970">
        <f>'FG1'!J30</f>
        <v>0</v>
      </c>
      <c r="AF38" s="846"/>
      <c r="AG38" s="957">
        <f t="shared" si="20"/>
        <v>0</v>
      </c>
      <c r="AH38" s="967">
        <f t="shared" si="7"/>
        <v>0</v>
      </c>
      <c r="AI38" s="970">
        <f>'FG1'!K30</f>
        <v>0</v>
      </c>
      <c r="AJ38" s="846"/>
      <c r="AK38" s="957">
        <f t="shared" si="21"/>
        <v>0</v>
      </c>
      <c r="AL38" s="967">
        <f t="shared" si="8"/>
        <v>0</v>
      </c>
      <c r="AM38" s="970">
        <f>'FG1'!L30</f>
        <v>0</v>
      </c>
      <c r="AN38" s="846"/>
      <c r="AO38" s="957">
        <f t="shared" si="22"/>
        <v>0</v>
      </c>
      <c r="AP38" s="967">
        <f t="shared" si="9"/>
        <v>0</v>
      </c>
      <c r="AQ38" s="970">
        <f>'FG1'!M30</f>
        <v>0</v>
      </c>
      <c r="AR38" s="846"/>
      <c r="AS38" s="957">
        <f t="shared" si="23"/>
        <v>0</v>
      </c>
      <c r="AT38" s="967">
        <f t="shared" si="10"/>
        <v>0</v>
      </c>
      <c r="AU38" s="970">
        <f>'FG1'!N30</f>
        <v>0</v>
      </c>
      <c r="AV38" s="846"/>
      <c r="AW38" s="957">
        <f t="shared" si="24"/>
        <v>0</v>
      </c>
      <c r="AX38" s="967">
        <f t="shared" si="11"/>
        <v>0</v>
      </c>
      <c r="AY38" s="946">
        <f t="shared" si="25"/>
        <v>0</v>
      </c>
      <c r="AZ38" s="991">
        <f t="shared" si="26"/>
        <v>0</v>
      </c>
      <c r="BA38" s="946">
        <f t="shared" si="27"/>
        <v>0</v>
      </c>
      <c r="BB38" s="967">
        <f t="shared" si="12"/>
        <v>0</v>
      </c>
    </row>
    <row r="39" spans="1:54" ht="13.5" thickBot="1">
      <c r="A39" s="576"/>
      <c r="B39" s="576" t="str">
        <f>'BC1'!A48</f>
        <v>Autre frais d'exploitation 2</v>
      </c>
      <c r="C39" s="970">
        <f>'FG1'!C32+'BC1'!C48</f>
        <v>0</v>
      </c>
      <c r="D39" s="846"/>
      <c r="E39" s="957">
        <f t="shared" si="13"/>
        <v>0</v>
      </c>
      <c r="F39" s="1035">
        <f t="shared" si="0"/>
        <v>0</v>
      </c>
      <c r="G39" s="970">
        <f>'FG1'!D32</f>
        <v>0</v>
      </c>
      <c r="H39" s="846"/>
      <c r="I39" s="957">
        <f t="shared" si="14"/>
        <v>0</v>
      </c>
      <c r="J39" s="1035">
        <f t="shared" si="1"/>
        <v>0</v>
      </c>
      <c r="K39" s="970">
        <f>'FG1'!E32</f>
        <v>0</v>
      </c>
      <c r="L39" s="846"/>
      <c r="M39" s="957">
        <f t="shared" si="15"/>
        <v>0</v>
      </c>
      <c r="N39" s="1035">
        <f t="shared" si="2"/>
        <v>0</v>
      </c>
      <c r="O39" s="970">
        <f>'FG1'!F32</f>
        <v>0</v>
      </c>
      <c r="P39" s="846"/>
      <c r="Q39" s="957">
        <f t="shared" si="16"/>
        <v>0</v>
      </c>
      <c r="R39" s="1035">
        <f t="shared" si="3"/>
        <v>0</v>
      </c>
      <c r="S39" s="970">
        <f>'FG1'!G32</f>
        <v>0</v>
      </c>
      <c r="T39" s="846"/>
      <c r="U39" s="957">
        <f t="shared" si="17"/>
        <v>0</v>
      </c>
      <c r="V39" s="967">
        <f t="shared" si="4"/>
        <v>0</v>
      </c>
      <c r="W39" s="970">
        <f>'FG1'!H32</f>
        <v>0</v>
      </c>
      <c r="X39" s="846"/>
      <c r="Y39" s="957">
        <f t="shared" si="18"/>
        <v>0</v>
      </c>
      <c r="Z39" s="967">
        <f t="shared" si="5"/>
        <v>0</v>
      </c>
      <c r="AA39" s="970">
        <f>'FG1'!I32</f>
        <v>0</v>
      </c>
      <c r="AB39" s="846"/>
      <c r="AC39" s="957">
        <f t="shared" si="19"/>
        <v>0</v>
      </c>
      <c r="AD39" s="967">
        <f t="shared" si="6"/>
        <v>0</v>
      </c>
      <c r="AE39" s="970">
        <f>'FG1'!J32</f>
        <v>0</v>
      </c>
      <c r="AF39" s="846"/>
      <c r="AG39" s="957">
        <f t="shared" si="20"/>
        <v>0</v>
      </c>
      <c r="AH39" s="967">
        <f t="shared" si="7"/>
        <v>0</v>
      </c>
      <c r="AI39" s="970">
        <f>'FG1'!K32</f>
        <v>0</v>
      </c>
      <c r="AJ39" s="846"/>
      <c r="AK39" s="957">
        <f t="shared" si="21"/>
        <v>0</v>
      </c>
      <c r="AL39" s="967">
        <f t="shared" si="8"/>
        <v>0</v>
      </c>
      <c r="AM39" s="970">
        <f>'FG1'!L32</f>
        <v>0</v>
      </c>
      <c r="AN39" s="846"/>
      <c r="AO39" s="957">
        <f t="shared" si="22"/>
        <v>0</v>
      </c>
      <c r="AP39" s="967">
        <f t="shared" si="9"/>
        <v>0</v>
      </c>
      <c r="AQ39" s="970">
        <f>'FG1'!M32</f>
        <v>0</v>
      </c>
      <c r="AR39" s="846"/>
      <c r="AS39" s="957">
        <f t="shared" si="23"/>
        <v>0</v>
      </c>
      <c r="AT39" s="967">
        <f t="shared" si="10"/>
        <v>0</v>
      </c>
      <c r="AU39" s="970">
        <f>'FG1'!N32</f>
        <v>0</v>
      </c>
      <c r="AV39" s="846"/>
      <c r="AW39" s="957">
        <f t="shared" si="24"/>
        <v>0</v>
      </c>
      <c r="AX39" s="967">
        <f t="shared" si="11"/>
        <v>0</v>
      </c>
      <c r="AY39" s="946">
        <f t="shared" si="25"/>
        <v>0</v>
      </c>
      <c r="AZ39" s="991">
        <f t="shared" si="26"/>
        <v>0</v>
      </c>
      <c r="BA39" s="946">
        <f t="shared" si="27"/>
        <v>0</v>
      </c>
      <c r="BB39" s="967">
        <f t="shared" si="12"/>
        <v>0</v>
      </c>
    </row>
    <row r="40" spans="1:54" ht="13.5" thickBot="1">
      <c r="A40" s="576"/>
      <c r="B40" s="576" t="str">
        <f>'BC1'!A49</f>
        <v>Autre frais d'exploitation 3</v>
      </c>
      <c r="C40" s="970">
        <f>'FG1'!C33+'BC1'!C49</f>
        <v>0</v>
      </c>
      <c r="D40" s="846"/>
      <c r="E40" s="957">
        <f t="shared" ref="E40:E45" si="28">D40-C40</f>
        <v>0</v>
      </c>
      <c r="F40" s="1035">
        <f t="shared" ref="F40:F45" si="29">IF(C40=0,0,E40/C40)</f>
        <v>0</v>
      </c>
      <c r="G40" s="970">
        <f>'FG1'!D33</f>
        <v>0</v>
      </c>
      <c r="H40" s="846"/>
      <c r="I40" s="957">
        <f t="shared" ref="I40:I45" si="30">H40-G40</f>
        <v>0</v>
      </c>
      <c r="J40" s="1035">
        <f t="shared" ref="J40:J45" si="31">IF(G40=0,0,I40/G40)</f>
        <v>0</v>
      </c>
      <c r="K40" s="970">
        <f>'FG1'!E33</f>
        <v>0</v>
      </c>
      <c r="L40" s="846"/>
      <c r="M40" s="957">
        <f t="shared" ref="M40:M45" si="32">L40-K40</f>
        <v>0</v>
      </c>
      <c r="N40" s="1035">
        <f t="shared" ref="N40:N45" si="33">IF(K40=0,0,M40/K40)</f>
        <v>0</v>
      </c>
      <c r="O40" s="970">
        <f>'FG1'!F33</f>
        <v>0</v>
      </c>
      <c r="P40" s="846"/>
      <c r="Q40" s="957">
        <f t="shared" ref="Q40:Q45" si="34">P40-O40</f>
        <v>0</v>
      </c>
      <c r="R40" s="1035">
        <f t="shared" ref="R40:R45" si="35">IF(O40=0,0,Q40/O40)</f>
        <v>0</v>
      </c>
      <c r="S40" s="970">
        <f>'FG1'!G33</f>
        <v>0</v>
      </c>
      <c r="T40" s="846"/>
      <c r="U40" s="957">
        <f t="shared" ref="U40:U45" si="36">T40-S40</f>
        <v>0</v>
      </c>
      <c r="V40" s="967">
        <f t="shared" ref="V40:V45" si="37">IF(S40=0,0,U40/S40)</f>
        <v>0</v>
      </c>
      <c r="W40" s="970">
        <f>'FG1'!H33</f>
        <v>0</v>
      </c>
      <c r="X40" s="846"/>
      <c r="Y40" s="957">
        <f t="shared" ref="Y40:Y45" si="38">X40-W40</f>
        <v>0</v>
      </c>
      <c r="Z40" s="967">
        <f t="shared" ref="Z40:Z45" si="39">IF(W40=0,0,Y40/W40)</f>
        <v>0</v>
      </c>
      <c r="AA40" s="970">
        <f>'FG1'!I33</f>
        <v>0</v>
      </c>
      <c r="AB40" s="846"/>
      <c r="AC40" s="957">
        <f t="shared" ref="AC40:AC45" si="40">AB40-AA40</f>
        <v>0</v>
      </c>
      <c r="AD40" s="967">
        <f t="shared" ref="AD40:AD45" si="41">IF(AA40=0,0,AC40/AA40)</f>
        <v>0</v>
      </c>
      <c r="AE40" s="970">
        <f>'FG1'!J33</f>
        <v>0</v>
      </c>
      <c r="AF40" s="846"/>
      <c r="AG40" s="957">
        <f t="shared" ref="AG40:AG45" si="42">AF40-AE40</f>
        <v>0</v>
      </c>
      <c r="AH40" s="967">
        <f t="shared" ref="AH40:AH45" si="43">IF(AE40=0,0,AG40/AE40)</f>
        <v>0</v>
      </c>
      <c r="AI40" s="970">
        <f>'FG1'!K33</f>
        <v>0</v>
      </c>
      <c r="AJ40" s="846"/>
      <c r="AK40" s="957">
        <f t="shared" ref="AK40:AK45" si="44">AJ40-AI40</f>
        <v>0</v>
      </c>
      <c r="AL40" s="967">
        <f t="shared" ref="AL40:AL45" si="45">IF(AI40=0,0,AK40/AI40)</f>
        <v>0</v>
      </c>
      <c r="AM40" s="970">
        <f>'FG1'!L33</f>
        <v>0</v>
      </c>
      <c r="AN40" s="846"/>
      <c r="AO40" s="957">
        <f t="shared" ref="AO40:AO45" si="46">AN40-AM40</f>
        <v>0</v>
      </c>
      <c r="AP40" s="967">
        <f t="shared" ref="AP40:AP45" si="47">IF(AM40=0,0,AO40/AM40)</f>
        <v>0</v>
      </c>
      <c r="AQ40" s="970">
        <f>'FG1'!M33</f>
        <v>0</v>
      </c>
      <c r="AR40" s="846"/>
      <c r="AS40" s="957">
        <f t="shared" ref="AS40:AS45" si="48">AR40-AQ40</f>
        <v>0</v>
      </c>
      <c r="AT40" s="967">
        <f t="shared" ref="AT40:AT45" si="49">IF(AQ40=0,0,AS40/AQ40)</f>
        <v>0</v>
      </c>
      <c r="AU40" s="970">
        <f>'FG1'!N33</f>
        <v>0</v>
      </c>
      <c r="AV40" s="846"/>
      <c r="AW40" s="957">
        <f t="shared" ref="AW40:AW45" si="50">AV40-AU40</f>
        <v>0</v>
      </c>
      <c r="AX40" s="967">
        <f t="shared" ref="AX40:AX45" si="51">IF(AU40=0,0,AW40/AU40)</f>
        <v>0</v>
      </c>
      <c r="AY40" s="946">
        <f t="shared" ref="AY40:AZ45" si="52">C40+G40+K40+O40+S40+W40+AA40+AE40+AI40+AM40+AQ40+AU40</f>
        <v>0</v>
      </c>
      <c r="AZ40" s="991">
        <f t="shared" si="52"/>
        <v>0</v>
      </c>
      <c r="BA40" s="946">
        <f t="shared" ref="BA40:BA45" si="53">AZ40-AY40</f>
        <v>0</v>
      </c>
      <c r="BB40" s="967">
        <f t="shared" ref="BB40:BB45" si="54">IF(AY40=0,0,BA40/AY40)</f>
        <v>0</v>
      </c>
    </row>
    <row r="41" spans="1:54" ht="13.5" thickBot="1">
      <c r="A41" s="576"/>
      <c r="B41" s="576" t="str">
        <f>'BC1'!A50</f>
        <v>Autre frais d'exploitation 4</v>
      </c>
      <c r="C41" s="970">
        <f>'FG1'!C34+'BC1'!C50</f>
        <v>0</v>
      </c>
      <c r="D41" s="846"/>
      <c r="E41" s="957">
        <f t="shared" si="28"/>
        <v>0</v>
      </c>
      <c r="F41" s="1035">
        <f t="shared" si="29"/>
        <v>0</v>
      </c>
      <c r="G41" s="970">
        <f>'FG1'!D34</f>
        <v>0</v>
      </c>
      <c r="H41" s="846"/>
      <c r="I41" s="957">
        <f t="shared" si="30"/>
        <v>0</v>
      </c>
      <c r="J41" s="1035">
        <f t="shared" si="31"/>
        <v>0</v>
      </c>
      <c r="K41" s="970">
        <f>'FG1'!E34</f>
        <v>0</v>
      </c>
      <c r="L41" s="846"/>
      <c r="M41" s="957">
        <f t="shared" si="32"/>
        <v>0</v>
      </c>
      <c r="N41" s="1035">
        <f t="shared" si="33"/>
        <v>0</v>
      </c>
      <c r="O41" s="970">
        <f>'FG1'!F34</f>
        <v>0</v>
      </c>
      <c r="P41" s="846"/>
      <c r="Q41" s="957">
        <f t="shared" si="34"/>
        <v>0</v>
      </c>
      <c r="R41" s="1035">
        <f t="shared" si="35"/>
        <v>0</v>
      </c>
      <c r="S41" s="970">
        <f>'FG1'!G34</f>
        <v>0</v>
      </c>
      <c r="T41" s="846"/>
      <c r="U41" s="957">
        <f t="shared" si="36"/>
        <v>0</v>
      </c>
      <c r="V41" s="967">
        <f t="shared" si="37"/>
        <v>0</v>
      </c>
      <c r="W41" s="970">
        <f>'FG1'!H34</f>
        <v>0</v>
      </c>
      <c r="X41" s="846"/>
      <c r="Y41" s="957">
        <f t="shared" si="38"/>
        <v>0</v>
      </c>
      <c r="Z41" s="967">
        <f t="shared" si="39"/>
        <v>0</v>
      </c>
      <c r="AA41" s="970">
        <f>'FG1'!I34</f>
        <v>0</v>
      </c>
      <c r="AB41" s="846"/>
      <c r="AC41" s="957">
        <f t="shared" si="40"/>
        <v>0</v>
      </c>
      <c r="AD41" s="967">
        <f t="shared" si="41"/>
        <v>0</v>
      </c>
      <c r="AE41" s="970">
        <f>'FG1'!J34</f>
        <v>0</v>
      </c>
      <c r="AF41" s="846"/>
      <c r="AG41" s="957">
        <f t="shared" si="42"/>
        <v>0</v>
      </c>
      <c r="AH41" s="967">
        <f t="shared" si="43"/>
        <v>0</v>
      </c>
      <c r="AI41" s="970">
        <f>'FG1'!K34</f>
        <v>0</v>
      </c>
      <c r="AJ41" s="846"/>
      <c r="AK41" s="957">
        <f t="shared" si="44"/>
        <v>0</v>
      </c>
      <c r="AL41" s="967">
        <f t="shared" si="45"/>
        <v>0</v>
      </c>
      <c r="AM41" s="970">
        <f>'FG1'!L34</f>
        <v>0</v>
      </c>
      <c r="AN41" s="846"/>
      <c r="AO41" s="957">
        <f t="shared" si="46"/>
        <v>0</v>
      </c>
      <c r="AP41" s="967">
        <f t="shared" si="47"/>
        <v>0</v>
      </c>
      <c r="AQ41" s="970">
        <f>'FG1'!M34</f>
        <v>0</v>
      </c>
      <c r="AR41" s="846"/>
      <c r="AS41" s="957">
        <f t="shared" si="48"/>
        <v>0</v>
      </c>
      <c r="AT41" s="967">
        <f t="shared" si="49"/>
        <v>0</v>
      </c>
      <c r="AU41" s="970">
        <f>'FG1'!N34</f>
        <v>0</v>
      </c>
      <c r="AV41" s="846"/>
      <c r="AW41" s="957">
        <f t="shared" si="50"/>
        <v>0</v>
      </c>
      <c r="AX41" s="967">
        <f t="shared" si="51"/>
        <v>0</v>
      </c>
      <c r="AY41" s="946">
        <f t="shared" si="52"/>
        <v>0</v>
      </c>
      <c r="AZ41" s="991">
        <f t="shared" si="52"/>
        <v>0</v>
      </c>
      <c r="BA41" s="946">
        <f t="shared" si="53"/>
        <v>0</v>
      </c>
      <c r="BB41" s="967">
        <f t="shared" si="54"/>
        <v>0</v>
      </c>
    </row>
    <row r="42" spans="1:54" ht="13.5" thickBot="1">
      <c r="A42" s="576"/>
      <c r="B42" s="576" t="str">
        <f>'BC1'!A51</f>
        <v>Autre frais d'exploitation 5</v>
      </c>
      <c r="C42" s="970">
        <f>'FG1'!C35+'BC1'!C51</f>
        <v>0</v>
      </c>
      <c r="D42" s="846"/>
      <c r="E42" s="957">
        <f t="shared" si="28"/>
        <v>0</v>
      </c>
      <c r="F42" s="1035">
        <f t="shared" si="29"/>
        <v>0</v>
      </c>
      <c r="G42" s="970">
        <f>'FG1'!D35</f>
        <v>0</v>
      </c>
      <c r="H42" s="846"/>
      <c r="I42" s="957">
        <f t="shared" si="30"/>
        <v>0</v>
      </c>
      <c r="J42" s="1035">
        <f t="shared" si="31"/>
        <v>0</v>
      </c>
      <c r="K42" s="970">
        <f>'FG1'!E35</f>
        <v>0</v>
      </c>
      <c r="L42" s="846"/>
      <c r="M42" s="957">
        <f t="shared" si="32"/>
        <v>0</v>
      </c>
      <c r="N42" s="1035">
        <f t="shared" si="33"/>
        <v>0</v>
      </c>
      <c r="O42" s="970">
        <f>'FG1'!F35</f>
        <v>0</v>
      </c>
      <c r="P42" s="846"/>
      <c r="Q42" s="957">
        <f t="shared" si="34"/>
        <v>0</v>
      </c>
      <c r="R42" s="1035">
        <f t="shared" si="35"/>
        <v>0</v>
      </c>
      <c r="S42" s="970">
        <f>'FG1'!G35</f>
        <v>0</v>
      </c>
      <c r="T42" s="846"/>
      <c r="U42" s="957">
        <f t="shared" si="36"/>
        <v>0</v>
      </c>
      <c r="V42" s="967">
        <f t="shared" si="37"/>
        <v>0</v>
      </c>
      <c r="W42" s="970">
        <f>'FG1'!H35</f>
        <v>0</v>
      </c>
      <c r="X42" s="846"/>
      <c r="Y42" s="957">
        <f t="shared" si="38"/>
        <v>0</v>
      </c>
      <c r="Z42" s="967">
        <f t="shared" si="39"/>
        <v>0</v>
      </c>
      <c r="AA42" s="970">
        <f>'FG1'!I35</f>
        <v>0</v>
      </c>
      <c r="AB42" s="846"/>
      <c r="AC42" s="957">
        <f t="shared" si="40"/>
        <v>0</v>
      </c>
      <c r="AD42" s="967">
        <f t="shared" si="41"/>
        <v>0</v>
      </c>
      <c r="AE42" s="970">
        <f>'FG1'!J35</f>
        <v>0</v>
      </c>
      <c r="AF42" s="846"/>
      <c r="AG42" s="957">
        <f t="shared" si="42"/>
        <v>0</v>
      </c>
      <c r="AH42" s="967">
        <f t="shared" si="43"/>
        <v>0</v>
      </c>
      <c r="AI42" s="970">
        <f>'FG1'!K35</f>
        <v>0</v>
      </c>
      <c r="AJ42" s="846"/>
      <c r="AK42" s="957">
        <f t="shared" si="44"/>
        <v>0</v>
      </c>
      <c r="AL42" s="967">
        <f t="shared" si="45"/>
        <v>0</v>
      </c>
      <c r="AM42" s="970">
        <f>'FG1'!L35</f>
        <v>0</v>
      </c>
      <c r="AN42" s="846"/>
      <c r="AO42" s="957">
        <f t="shared" si="46"/>
        <v>0</v>
      </c>
      <c r="AP42" s="967">
        <f t="shared" si="47"/>
        <v>0</v>
      </c>
      <c r="AQ42" s="970">
        <f>'FG1'!M35</f>
        <v>0</v>
      </c>
      <c r="AR42" s="846"/>
      <c r="AS42" s="957">
        <f t="shared" si="48"/>
        <v>0</v>
      </c>
      <c r="AT42" s="967">
        <f t="shared" si="49"/>
        <v>0</v>
      </c>
      <c r="AU42" s="970">
        <f>'FG1'!N35</f>
        <v>0</v>
      </c>
      <c r="AV42" s="846"/>
      <c r="AW42" s="957">
        <f t="shared" si="50"/>
        <v>0</v>
      </c>
      <c r="AX42" s="967">
        <f t="shared" si="51"/>
        <v>0</v>
      </c>
      <c r="AY42" s="946">
        <f t="shared" si="52"/>
        <v>0</v>
      </c>
      <c r="AZ42" s="991">
        <f t="shared" si="52"/>
        <v>0</v>
      </c>
      <c r="BA42" s="946">
        <f t="shared" si="53"/>
        <v>0</v>
      </c>
      <c r="BB42" s="967">
        <f t="shared" si="54"/>
        <v>0</v>
      </c>
    </row>
    <row r="43" spans="1:54" ht="13.5" thickBot="1">
      <c r="A43" s="576"/>
      <c r="B43" s="576" t="str">
        <f>'BC1'!A52</f>
        <v>Autre frais d'exploitation 6</v>
      </c>
      <c r="C43" s="970">
        <f>'FG1'!C36+'BC1'!C52</f>
        <v>0</v>
      </c>
      <c r="D43" s="846"/>
      <c r="E43" s="957">
        <f t="shared" si="28"/>
        <v>0</v>
      </c>
      <c r="F43" s="1035">
        <f t="shared" si="29"/>
        <v>0</v>
      </c>
      <c r="G43" s="970">
        <f>'FG1'!D36</f>
        <v>0</v>
      </c>
      <c r="H43" s="846"/>
      <c r="I43" s="957">
        <f t="shared" si="30"/>
        <v>0</v>
      </c>
      <c r="J43" s="1035">
        <f t="shared" si="31"/>
        <v>0</v>
      </c>
      <c r="K43" s="970">
        <f>'FG1'!E36</f>
        <v>0</v>
      </c>
      <c r="L43" s="846"/>
      <c r="M43" s="957">
        <f t="shared" si="32"/>
        <v>0</v>
      </c>
      <c r="N43" s="1035">
        <f t="shared" si="33"/>
        <v>0</v>
      </c>
      <c r="O43" s="970">
        <f>'FG1'!F36</f>
        <v>0</v>
      </c>
      <c r="P43" s="846"/>
      <c r="Q43" s="957">
        <f t="shared" si="34"/>
        <v>0</v>
      </c>
      <c r="R43" s="1035">
        <f t="shared" si="35"/>
        <v>0</v>
      </c>
      <c r="S43" s="970">
        <f>'FG1'!G36</f>
        <v>0</v>
      </c>
      <c r="T43" s="846"/>
      <c r="U43" s="957">
        <f t="shared" si="36"/>
        <v>0</v>
      </c>
      <c r="V43" s="967">
        <f t="shared" si="37"/>
        <v>0</v>
      </c>
      <c r="W43" s="970">
        <f>'FG1'!H36</f>
        <v>0</v>
      </c>
      <c r="X43" s="846"/>
      <c r="Y43" s="957">
        <f t="shared" si="38"/>
        <v>0</v>
      </c>
      <c r="Z43" s="967">
        <f t="shared" si="39"/>
        <v>0</v>
      </c>
      <c r="AA43" s="970">
        <f>'FG1'!I36</f>
        <v>0</v>
      </c>
      <c r="AB43" s="846"/>
      <c r="AC43" s="957">
        <f t="shared" si="40"/>
        <v>0</v>
      </c>
      <c r="AD43" s="967">
        <f t="shared" si="41"/>
        <v>0</v>
      </c>
      <c r="AE43" s="970">
        <f>'FG1'!J36</f>
        <v>0</v>
      </c>
      <c r="AF43" s="846"/>
      <c r="AG43" s="957">
        <f t="shared" si="42"/>
        <v>0</v>
      </c>
      <c r="AH43" s="967">
        <f t="shared" si="43"/>
        <v>0</v>
      </c>
      <c r="AI43" s="970">
        <f>'FG1'!K36</f>
        <v>0</v>
      </c>
      <c r="AJ43" s="846"/>
      <c r="AK43" s="957">
        <f t="shared" si="44"/>
        <v>0</v>
      </c>
      <c r="AL43" s="967">
        <f t="shared" si="45"/>
        <v>0</v>
      </c>
      <c r="AM43" s="970">
        <f>'FG1'!L36</f>
        <v>0</v>
      </c>
      <c r="AN43" s="846"/>
      <c r="AO43" s="957">
        <f t="shared" si="46"/>
        <v>0</v>
      </c>
      <c r="AP43" s="967">
        <f t="shared" si="47"/>
        <v>0</v>
      </c>
      <c r="AQ43" s="970">
        <f>'FG1'!M36</f>
        <v>0</v>
      </c>
      <c r="AR43" s="846"/>
      <c r="AS43" s="957">
        <f t="shared" si="48"/>
        <v>0</v>
      </c>
      <c r="AT43" s="967">
        <f t="shared" si="49"/>
        <v>0</v>
      </c>
      <c r="AU43" s="970">
        <f>'FG1'!N36</f>
        <v>0</v>
      </c>
      <c r="AV43" s="846"/>
      <c r="AW43" s="957">
        <f t="shared" si="50"/>
        <v>0</v>
      </c>
      <c r="AX43" s="967">
        <f t="shared" si="51"/>
        <v>0</v>
      </c>
      <c r="AY43" s="946">
        <f t="shared" si="52"/>
        <v>0</v>
      </c>
      <c r="AZ43" s="991">
        <f t="shared" si="52"/>
        <v>0</v>
      </c>
      <c r="BA43" s="946">
        <f t="shared" si="53"/>
        <v>0</v>
      </c>
      <c r="BB43" s="967">
        <f t="shared" si="54"/>
        <v>0</v>
      </c>
    </row>
    <row r="44" spans="1:54" ht="13.5" thickBot="1">
      <c r="A44" s="576"/>
      <c r="B44" s="576" t="str">
        <f>'BC1'!A53</f>
        <v>Autre frais d'exploitation 7</v>
      </c>
      <c r="C44" s="970">
        <f>'FG1'!C37+'BC1'!C53</f>
        <v>0</v>
      </c>
      <c r="D44" s="846"/>
      <c r="E44" s="957">
        <f t="shared" si="28"/>
        <v>0</v>
      </c>
      <c r="F44" s="1035">
        <f t="shared" si="29"/>
        <v>0</v>
      </c>
      <c r="G44" s="970">
        <f>'FG1'!D37</f>
        <v>0</v>
      </c>
      <c r="H44" s="846"/>
      <c r="I44" s="957">
        <f t="shared" si="30"/>
        <v>0</v>
      </c>
      <c r="J44" s="1035">
        <f t="shared" si="31"/>
        <v>0</v>
      </c>
      <c r="K44" s="970">
        <f>'FG1'!E37</f>
        <v>0</v>
      </c>
      <c r="L44" s="846"/>
      <c r="M44" s="957">
        <f t="shared" si="32"/>
        <v>0</v>
      </c>
      <c r="N44" s="1035">
        <f t="shared" si="33"/>
        <v>0</v>
      </c>
      <c r="O44" s="970">
        <f>'FG1'!F37</f>
        <v>0</v>
      </c>
      <c r="P44" s="846"/>
      <c r="Q44" s="957">
        <f t="shared" si="34"/>
        <v>0</v>
      </c>
      <c r="R44" s="1035">
        <f t="shared" si="35"/>
        <v>0</v>
      </c>
      <c r="S44" s="970">
        <f>'FG1'!G37</f>
        <v>0</v>
      </c>
      <c r="T44" s="846"/>
      <c r="U44" s="957">
        <f t="shared" si="36"/>
        <v>0</v>
      </c>
      <c r="V44" s="967">
        <f t="shared" si="37"/>
        <v>0</v>
      </c>
      <c r="W44" s="970">
        <f>'FG1'!H37</f>
        <v>0</v>
      </c>
      <c r="X44" s="846"/>
      <c r="Y44" s="957">
        <f t="shared" si="38"/>
        <v>0</v>
      </c>
      <c r="Z44" s="967">
        <f t="shared" si="39"/>
        <v>0</v>
      </c>
      <c r="AA44" s="970">
        <f>'FG1'!I37</f>
        <v>0</v>
      </c>
      <c r="AB44" s="846"/>
      <c r="AC44" s="957">
        <f t="shared" si="40"/>
        <v>0</v>
      </c>
      <c r="AD44" s="967">
        <f t="shared" si="41"/>
        <v>0</v>
      </c>
      <c r="AE44" s="970">
        <f>'FG1'!J37</f>
        <v>0</v>
      </c>
      <c r="AF44" s="846"/>
      <c r="AG44" s="957">
        <f t="shared" si="42"/>
        <v>0</v>
      </c>
      <c r="AH44" s="967">
        <f t="shared" si="43"/>
        <v>0</v>
      </c>
      <c r="AI44" s="970">
        <f>'FG1'!K37</f>
        <v>0</v>
      </c>
      <c r="AJ44" s="846"/>
      <c r="AK44" s="957">
        <f t="shared" si="44"/>
        <v>0</v>
      </c>
      <c r="AL44" s="967">
        <f t="shared" si="45"/>
        <v>0</v>
      </c>
      <c r="AM44" s="970">
        <f>'FG1'!L37</f>
        <v>0</v>
      </c>
      <c r="AN44" s="846"/>
      <c r="AO44" s="957">
        <f t="shared" si="46"/>
        <v>0</v>
      </c>
      <c r="AP44" s="967">
        <f t="shared" si="47"/>
        <v>0</v>
      </c>
      <c r="AQ44" s="970">
        <f>'FG1'!M37</f>
        <v>0</v>
      </c>
      <c r="AR44" s="846"/>
      <c r="AS44" s="957">
        <f t="shared" si="48"/>
        <v>0</v>
      </c>
      <c r="AT44" s="967">
        <f t="shared" si="49"/>
        <v>0</v>
      </c>
      <c r="AU44" s="970">
        <f>'FG1'!N37</f>
        <v>0</v>
      </c>
      <c r="AV44" s="846"/>
      <c r="AW44" s="957">
        <f t="shared" si="50"/>
        <v>0</v>
      </c>
      <c r="AX44" s="967">
        <f t="shared" si="51"/>
        <v>0</v>
      </c>
      <c r="AY44" s="946">
        <f t="shared" si="52"/>
        <v>0</v>
      </c>
      <c r="AZ44" s="991">
        <f t="shared" si="52"/>
        <v>0</v>
      </c>
      <c r="BA44" s="946">
        <f t="shared" si="53"/>
        <v>0</v>
      </c>
      <c r="BB44" s="967">
        <f t="shared" si="54"/>
        <v>0</v>
      </c>
    </row>
    <row r="45" spans="1:54" ht="13.5" thickBot="1">
      <c r="A45" s="576"/>
      <c r="B45" s="576" t="str">
        <f>'BC1'!A54</f>
        <v>Autre frais d'exploitation 8</v>
      </c>
      <c r="C45" s="970">
        <f>'FG1'!C38+'BC1'!C54</f>
        <v>0</v>
      </c>
      <c r="D45" s="846"/>
      <c r="E45" s="957">
        <f t="shared" si="28"/>
        <v>0</v>
      </c>
      <c r="F45" s="1035">
        <f t="shared" si="29"/>
        <v>0</v>
      </c>
      <c r="G45" s="970">
        <f>'FG1'!D38</f>
        <v>0</v>
      </c>
      <c r="H45" s="846"/>
      <c r="I45" s="957">
        <f t="shared" si="30"/>
        <v>0</v>
      </c>
      <c r="J45" s="1035">
        <f t="shared" si="31"/>
        <v>0</v>
      </c>
      <c r="K45" s="970">
        <f>'FG1'!E38</f>
        <v>0</v>
      </c>
      <c r="L45" s="846"/>
      <c r="M45" s="957">
        <f t="shared" si="32"/>
        <v>0</v>
      </c>
      <c r="N45" s="1035">
        <f t="shared" si="33"/>
        <v>0</v>
      </c>
      <c r="O45" s="970">
        <f>'FG1'!F38</f>
        <v>0</v>
      </c>
      <c r="P45" s="846"/>
      <c r="Q45" s="957">
        <f t="shared" si="34"/>
        <v>0</v>
      </c>
      <c r="R45" s="1035">
        <f t="shared" si="35"/>
        <v>0</v>
      </c>
      <c r="S45" s="970">
        <f>'FG1'!G38</f>
        <v>0</v>
      </c>
      <c r="T45" s="846"/>
      <c r="U45" s="957">
        <f t="shared" si="36"/>
        <v>0</v>
      </c>
      <c r="V45" s="967">
        <f t="shared" si="37"/>
        <v>0</v>
      </c>
      <c r="W45" s="970">
        <f>'FG1'!H38</f>
        <v>0</v>
      </c>
      <c r="X45" s="846"/>
      <c r="Y45" s="957">
        <f t="shared" si="38"/>
        <v>0</v>
      </c>
      <c r="Z45" s="967">
        <f t="shared" si="39"/>
        <v>0</v>
      </c>
      <c r="AA45" s="970">
        <f>'FG1'!I38</f>
        <v>0</v>
      </c>
      <c r="AB45" s="846"/>
      <c r="AC45" s="957">
        <f t="shared" si="40"/>
        <v>0</v>
      </c>
      <c r="AD45" s="967">
        <f t="shared" si="41"/>
        <v>0</v>
      </c>
      <c r="AE45" s="970">
        <f>'FG1'!J38</f>
        <v>0</v>
      </c>
      <c r="AF45" s="846"/>
      <c r="AG45" s="957">
        <f t="shared" si="42"/>
        <v>0</v>
      </c>
      <c r="AH45" s="967">
        <f t="shared" si="43"/>
        <v>0</v>
      </c>
      <c r="AI45" s="970">
        <f>'FG1'!K38</f>
        <v>0</v>
      </c>
      <c r="AJ45" s="846"/>
      <c r="AK45" s="957">
        <f t="shared" si="44"/>
        <v>0</v>
      </c>
      <c r="AL45" s="967">
        <f t="shared" si="45"/>
        <v>0</v>
      </c>
      <c r="AM45" s="970">
        <f>'FG1'!L38</f>
        <v>0</v>
      </c>
      <c r="AN45" s="846"/>
      <c r="AO45" s="957">
        <f t="shared" si="46"/>
        <v>0</v>
      </c>
      <c r="AP45" s="967">
        <f t="shared" si="47"/>
        <v>0</v>
      </c>
      <c r="AQ45" s="970">
        <f>'FG1'!M38</f>
        <v>0</v>
      </c>
      <c r="AR45" s="846"/>
      <c r="AS45" s="957">
        <f t="shared" si="48"/>
        <v>0</v>
      </c>
      <c r="AT45" s="967">
        <f t="shared" si="49"/>
        <v>0</v>
      </c>
      <c r="AU45" s="970">
        <f>'FG1'!N38</f>
        <v>0</v>
      </c>
      <c r="AV45" s="846"/>
      <c r="AW45" s="957">
        <f t="shared" si="50"/>
        <v>0</v>
      </c>
      <c r="AX45" s="967">
        <f t="shared" si="51"/>
        <v>0</v>
      </c>
      <c r="AY45" s="946">
        <f t="shared" si="52"/>
        <v>0</v>
      </c>
      <c r="AZ45" s="991">
        <f t="shared" si="52"/>
        <v>0</v>
      </c>
      <c r="BA45" s="946">
        <f t="shared" si="53"/>
        <v>0</v>
      </c>
      <c r="BB45" s="967">
        <f t="shared" si="54"/>
        <v>0</v>
      </c>
    </row>
    <row r="46" spans="1:54" ht="13.5" thickBot="1">
      <c r="A46" s="1127" t="str">
        <f>'BC1'!A55</f>
        <v>FRAIS DE VENTE</v>
      </c>
      <c r="B46" s="1127"/>
      <c r="C46" s="970"/>
      <c r="D46" s="946"/>
      <c r="E46" s="957"/>
      <c r="F46" s="1036"/>
      <c r="G46" s="970"/>
      <c r="H46" s="946"/>
      <c r="I46" s="957"/>
      <c r="J46" s="1036"/>
      <c r="K46" s="970"/>
      <c r="L46" s="946"/>
      <c r="M46" s="957"/>
      <c r="N46" s="1036"/>
      <c r="O46" s="970"/>
      <c r="P46" s="946"/>
      <c r="Q46" s="957"/>
      <c r="R46" s="1036"/>
      <c r="S46" s="970"/>
      <c r="T46" s="946"/>
      <c r="U46" s="957"/>
      <c r="V46" s="969"/>
      <c r="W46" s="970"/>
      <c r="X46" s="946"/>
      <c r="Y46" s="957"/>
      <c r="Z46" s="969"/>
      <c r="AA46" s="970"/>
      <c r="AB46" s="946"/>
      <c r="AC46" s="957"/>
      <c r="AD46" s="969"/>
      <c r="AE46" s="970"/>
      <c r="AF46" s="946"/>
      <c r="AG46" s="957"/>
      <c r="AH46" s="969"/>
      <c r="AI46" s="970"/>
      <c r="AJ46" s="946"/>
      <c r="AK46" s="957"/>
      <c r="AL46" s="969"/>
      <c r="AM46" s="970"/>
      <c r="AN46" s="946"/>
      <c r="AO46" s="957"/>
      <c r="AP46" s="969"/>
      <c r="AQ46" s="970"/>
      <c r="AR46" s="946"/>
      <c r="AS46" s="957"/>
      <c r="AT46" s="969"/>
      <c r="AU46" s="970"/>
      <c r="AV46" s="946"/>
      <c r="AW46" s="957"/>
      <c r="AX46" s="969"/>
      <c r="AY46" s="984"/>
      <c r="AZ46" s="946"/>
      <c r="BA46" s="946"/>
      <c r="BB46" s="969"/>
    </row>
    <row r="47" spans="1:54" ht="13.5" thickBot="1">
      <c r="A47" s="576"/>
      <c r="B47" s="576" t="str">
        <f>'BC1'!A56</f>
        <v>Frais de représentation</v>
      </c>
      <c r="C47" s="970">
        <f>'FG1'!C47+'BC1'!C56</f>
        <v>0</v>
      </c>
      <c r="D47" s="846"/>
      <c r="E47" s="957">
        <f t="shared" ref="E47:E53" si="55">D47-C47</f>
        <v>0</v>
      </c>
      <c r="F47" s="1035">
        <f t="shared" ref="F47:F53" si="56">IF(C47=0,0,E47/C47)</f>
        <v>0</v>
      </c>
      <c r="G47" s="970">
        <f>'FG1'!D47</f>
        <v>0</v>
      </c>
      <c r="H47" s="846"/>
      <c r="I47" s="957">
        <f t="shared" ref="I47:I53" si="57">H47-G47</f>
        <v>0</v>
      </c>
      <c r="J47" s="1035">
        <f t="shared" ref="J47:J53" si="58">IF(G47=0,0,I47/G47)</f>
        <v>0</v>
      </c>
      <c r="K47" s="970">
        <f>'FG1'!E47</f>
        <v>0</v>
      </c>
      <c r="L47" s="846"/>
      <c r="M47" s="957">
        <f t="shared" ref="M47:M53" si="59">L47-K47</f>
        <v>0</v>
      </c>
      <c r="N47" s="1035">
        <f t="shared" ref="N47:N53" si="60">IF(K47=0,0,M47/K47)</f>
        <v>0</v>
      </c>
      <c r="O47" s="970">
        <f>'FG1'!F47</f>
        <v>0</v>
      </c>
      <c r="P47" s="846"/>
      <c r="Q47" s="957">
        <f t="shared" ref="Q47:Q53" si="61">P47-O47</f>
        <v>0</v>
      </c>
      <c r="R47" s="1035">
        <f t="shared" ref="R47:R53" si="62">IF(O47=0,0,Q47/O47)</f>
        <v>0</v>
      </c>
      <c r="S47" s="970">
        <f>'FG1'!G47</f>
        <v>0</v>
      </c>
      <c r="T47" s="846"/>
      <c r="U47" s="957">
        <f t="shared" ref="U47:U53" si="63">T47-S47</f>
        <v>0</v>
      </c>
      <c r="V47" s="967">
        <f t="shared" ref="V47:V53" si="64">IF(S47=0,0,U47/S47)</f>
        <v>0</v>
      </c>
      <c r="W47" s="970">
        <f>'FG1'!H47</f>
        <v>0</v>
      </c>
      <c r="X47" s="846"/>
      <c r="Y47" s="957">
        <f t="shared" ref="Y47:Y53" si="65">X47-W47</f>
        <v>0</v>
      </c>
      <c r="Z47" s="967">
        <f t="shared" ref="Z47:Z53" si="66">IF(W47=0,0,Y47/W47)</f>
        <v>0</v>
      </c>
      <c r="AA47" s="970">
        <f>'FG1'!I47</f>
        <v>0</v>
      </c>
      <c r="AB47" s="846"/>
      <c r="AC47" s="957">
        <f t="shared" ref="AC47:AC53" si="67">AB47-AA47</f>
        <v>0</v>
      </c>
      <c r="AD47" s="967">
        <f t="shared" ref="AD47:AD53" si="68">IF(AA47=0,0,AC47/AA47)</f>
        <v>0</v>
      </c>
      <c r="AE47" s="970">
        <f>'FG1'!J47</f>
        <v>0</v>
      </c>
      <c r="AF47" s="846"/>
      <c r="AG47" s="957">
        <f t="shared" ref="AG47:AG53" si="69">AF47-AE47</f>
        <v>0</v>
      </c>
      <c r="AH47" s="967">
        <f t="shared" ref="AH47:AH53" si="70">IF(AE47=0,0,AG47/AE47)</f>
        <v>0</v>
      </c>
      <c r="AI47" s="970">
        <f>'FG1'!K47</f>
        <v>0</v>
      </c>
      <c r="AJ47" s="846"/>
      <c r="AK47" s="957">
        <f t="shared" ref="AK47:AK53" si="71">AJ47-AI47</f>
        <v>0</v>
      </c>
      <c r="AL47" s="967">
        <f t="shared" ref="AL47:AL53" si="72">IF(AI47=0,0,AK47/AI47)</f>
        <v>0</v>
      </c>
      <c r="AM47" s="970">
        <f>'FG1'!L47</f>
        <v>0</v>
      </c>
      <c r="AN47" s="846"/>
      <c r="AO47" s="957">
        <f t="shared" ref="AO47:AO53" si="73">AN47-AM47</f>
        <v>0</v>
      </c>
      <c r="AP47" s="967">
        <f t="shared" ref="AP47:AP53" si="74">IF(AM47=0,0,AO47/AM47)</f>
        <v>0</v>
      </c>
      <c r="AQ47" s="970">
        <f>'FG1'!M47</f>
        <v>0</v>
      </c>
      <c r="AR47" s="846"/>
      <c r="AS47" s="957">
        <f t="shared" ref="AS47:AS53" si="75">AR47-AQ47</f>
        <v>0</v>
      </c>
      <c r="AT47" s="967">
        <f t="shared" ref="AT47:AT53" si="76">IF(AQ47=0,0,AS47/AQ47)</f>
        <v>0</v>
      </c>
      <c r="AU47" s="970">
        <f>'FG1'!N47</f>
        <v>0</v>
      </c>
      <c r="AV47" s="846"/>
      <c r="AW47" s="957">
        <f t="shared" ref="AW47:AW53" si="77">AV47-AU47</f>
        <v>0</v>
      </c>
      <c r="AX47" s="967">
        <f t="shared" ref="AX47:AX53" si="78">IF(AU47=0,0,AW47/AU47)</f>
        <v>0</v>
      </c>
      <c r="AY47" s="946">
        <f t="shared" si="25"/>
        <v>0</v>
      </c>
      <c r="AZ47" s="991">
        <f t="shared" si="26"/>
        <v>0</v>
      </c>
      <c r="BA47" s="946">
        <f t="shared" ref="BA47:BA53" si="79">AZ47-AY47</f>
        <v>0</v>
      </c>
      <c r="BB47" s="967">
        <f t="shared" ref="BB47:BB53" si="80">IF(AY47=0,0,BA47/AY47)</f>
        <v>0</v>
      </c>
    </row>
    <row r="48" spans="1:54" ht="13.5" thickBot="1">
      <c r="A48" s="576"/>
      <c r="B48" s="576" t="str">
        <f>'BC1'!A57</f>
        <v>Publicité</v>
      </c>
      <c r="C48" s="970">
        <f>'FG1'!C49+'BC1'!C57</f>
        <v>1</v>
      </c>
      <c r="D48" s="846"/>
      <c r="E48" s="957">
        <f t="shared" si="55"/>
        <v>-1</v>
      </c>
      <c r="F48" s="1035">
        <f t="shared" si="56"/>
        <v>-1</v>
      </c>
      <c r="G48" s="970">
        <f>'FG1'!D49</f>
        <v>0</v>
      </c>
      <c r="H48" s="846"/>
      <c r="I48" s="957">
        <f t="shared" si="57"/>
        <v>0</v>
      </c>
      <c r="J48" s="1035">
        <f t="shared" si="58"/>
        <v>0</v>
      </c>
      <c r="K48" s="970">
        <f>'FG1'!E49</f>
        <v>0</v>
      </c>
      <c r="L48" s="846"/>
      <c r="M48" s="957">
        <f t="shared" si="59"/>
        <v>0</v>
      </c>
      <c r="N48" s="1035">
        <f t="shared" si="60"/>
        <v>0</v>
      </c>
      <c r="O48" s="970">
        <f>'FG1'!F49</f>
        <v>0</v>
      </c>
      <c r="P48" s="846"/>
      <c r="Q48" s="957">
        <f t="shared" si="61"/>
        <v>0</v>
      </c>
      <c r="R48" s="1035">
        <f t="shared" si="62"/>
        <v>0</v>
      </c>
      <c r="S48" s="970">
        <f>'FG1'!G49</f>
        <v>0</v>
      </c>
      <c r="T48" s="846"/>
      <c r="U48" s="957">
        <f t="shared" si="63"/>
        <v>0</v>
      </c>
      <c r="V48" s="967">
        <f t="shared" si="64"/>
        <v>0</v>
      </c>
      <c r="W48" s="970">
        <f>'FG1'!H49</f>
        <v>0</v>
      </c>
      <c r="X48" s="846"/>
      <c r="Y48" s="957">
        <f t="shared" si="65"/>
        <v>0</v>
      </c>
      <c r="Z48" s="967">
        <f t="shared" si="66"/>
        <v>0</v>
      </c>
      <c r="AA48" s="970">
        <f>'FG1'!I49</f>
        <v>0</v>
      </c>
      <c r="AB48" s="846"/>
      <c r="AC48" s="957">
        <f t="shared" si="67"/>
        <v>0</v>
      </c>
      <c r="AD48" s="967">
        <f t="shared" si="68"/>
        <v>0</v>
      </c>
      <c r="AE48" s="970">
        <f>'FG1'!J49</f>
        <v>0</v>
      </c>
      <c r="AF48" s="846"/>
      <c r="AG48" s="957">
        <f t="shared" si="69"/>
        <v>0</v>
      </c>
      <c r="AH48" s="967">
        <f t="shared" si="70"/>
        <v>0</v>
      </c>
      <c r="AI48" s="970">
        <f>'FG1'!K49</f>
        <v>0</v>
      </c>
      <c r="AJ48" s="846"/>
      <c r="AK48" s="957">
        <f t="shared" si="71"/>
        <v>0</v>
      </c>
      <c r="AL48" s="967">
        <f t="shared" si="72"/>
        <v>0</v>
      </c>
      <c r="AM48" s="970">
        <f>'FG1'!L49</f>
        <v>0</v>
      </c>
      <c r="AN48" s="846"/>
      <c r="AO48" s="957">
        <f t="shared" si="73"/>
        <v>0</v>
      </c>
      <c r="AP48" s="967">
        <f t="shared" si="74"/>
        <v>0</v>
      </c>
      <c r="AQ48" s="970">
        <f>'FG1'!M49</f>
        <v>0</v>
      </c>
      <c r="AR48" s="846"/>
      <c r="AS48" s="957">
        <f t="shared" si="75"/>
        <v>0</v>
      </c>
      <c r="AT48" s="967">
        <f t="shared" si="76"/>
        <v>0</v>
      </c>
      <c r="AU48" s="970">
        <f>'FG1'!N49</f>
        <v>0</v>
      </c>
      <c r="AV48" s="846"/>
      <c r="AW48" s="957">
        <f t="shared" si="77"/>
        <v>0</v>
      </c>
      <c r="AX48" s="967">
        <f t="shared" si="78"/>
        <v>0</v>
      </c>
      <c r="AY48" s="946">
        <f t="shared" si="25"/>
        <v>1</v>
      </c>
      <c r="AZ48" s="991">
        <f t="shared" si="26"/>
        <v>0</v>
      </c>
      <c r="BA48" s="946">
        <f t="shared" si="79"/>
        <v>-1</v>
      </c>
      <c r="BB48" s="967">
        <f t="shared" si="80"/>
        <v>-1</v>
      </c>
    </row>
    <row r="49" spans="1:54" ht="13.5" thickBot="1">
      <c r="A49" s="576"/>
      <c r="B49" s="576" t="str">
        <f>'BC1'!A58</f>
        <v>Autres frais de vente 1</v>
      </c>
      <c r="C49" s="970">
        <f>'FG1'!C51+'BC1'!C58</f>
        <v>0</v>
      </c>
      <c r="D49" s="846"/>
      <c r="E49" s="957">
        <f t="shared" si="55"/>
        <v>0</v>
      </c>
      <c r="F49" s="1035">
        <f t="shared" si="56"/>
        <v>0</v>
      </c>
      <c r="G49" s="970">
        <f>'FG1'!D51</f>
        <v>0</v>
      </c>
      <c r="H49" s="846"/>
      <c r="I49" s="957">
        <f t="shared" si="57"/>
        <v>0</v>
      </c>
      <c r="J49" s="1035">
        <f t="shared" si="58"/>
        <v>0</v>
      </c>
      <c r="K49" s="970">
        <f>'FG1'!E51</f>
        <v>0</v>
      </c>
      <c r="L49" s="846"/>
      <c r="M49" s="957">
        <f t="shared" si="59"/>
        <v>0</v>
      </c>
      <c r="N49" s="1035">
        <f t="shared" si="60"/>
        <v>0</v>
      </c>
      <c r="O49" s="970">
        <f>'FG1'!F51</f>
        <v>0</v>
      </c>
      <c r="P49" s="846"/>
      <c r="Q49" s="957">
        <f t="shared" si="61"/>
        <v>0</v>
      </c>
      <c r="R49" s="1035">
        <f t="shared" si="62"/>
        <v>0</v>
      </c>
      <c r="S49" s="970">
        <f>'FG1'!G51</f>
        <v>0</v>
      </c>
      <c r="T49" s="846"/>
      <c r="U49" s="957">
        <f t="shared" si="63"/>
        <v>0</v>
      </c>
      <c r="V49" s="967">
        <f t="shared" si="64"/>
        <v>0</v>
      </c>
      <c r="W49" s="970">
        <f>'FG1'!H51</f>
        <v>0</v>
      </c>
      <c r="X49" s="846"/>
      <c r="Y49" s="957">
        <f t="shared" si="65"/>
        <v>0</v>
      </c>
      <c r="Z49" s="967">
        <f t="shared" si="66"/>
        <v>0</v>
      </c>
      <c r="AA49" s="970">
        <f>'FG1'!I51</f>
        <v>0</v>
      </c>
      <c r="AB49" s="846"/>
      <c r="AC49" s="957">
        <f t="shared" si="67"/>
        <v>0</v>
      </c>
      <c r="AD49" s="967">
        <f t="shared" si="68"/>
        <v>0</v>
      </c>
      <c r="AE49" s="970">
        <f>'FG1'!J51</f>
        <v>0</v>
      </c>
      <c r="AF49" s="846"/>
      <c r="AG49" s="957">
        <f t="shared" si="69"/>
        <v>0</v>
      </c>
      <c r="AH49" s="967">
        <f t="shared" si="70"/>
        <v>0</v>
      </c>
      <c r="AI49" s="970">
        <f>'FG1'!K51</f>
        <v>0</v>
      </c>
      <c r="AJ49" s="846"/>
      <c r="AK49" s="957">
        <f t="shared" si="71"/>
        <v>0</v>
      </c>
      <c r="AL49" s="967">
        <f t="shared" si="72"/>
        <v>0</v>
      </c>
      <c r="AM49" s="970">
        <f>'FG1'!L51</f>
        <v>0</v>
      </c>
      <c r="AN49" s="846"/>
      <c r="AO49" s="957">
        <f t="shared" si="73"/>
        <v>0</v>
      </c>
      <c r="AP49" s="967">
        <f t="shared" si="74"/>
        <v>0</v>
      </c>
      <c r="AQ49" s="970">
        <f>'FG1'!M51</f>
        <v>0</v>
      </c>
      <c r="AR49" s="846"/>
      <c r="AS49" s="957">
        <f t="shared" si="75"/>
        <v>0</v>
      </c>
      <c r="AT49" s="967">
        <f t="shared" si="76"/>
        <v>0</v>
      </c>
      <c r="AU49" s="970">
        <f>'FG1'!N51</f>
        <v>0</v>
      </c>
      <c r="AV49" s="846"/>
      <c r="AW49" s="957">
        <f t="shared" si="77"/>
        <v>0</v>
      </c>
      <c r="AX49" s="967">
        <f t="shared" si="78"/>
        <v>0</v>
      </c>
      <c r="AY49" s="946">
        <f t="shared" si="25"/>
        <v>0</v>
      </c>
      <c r="AZ49" s="991">
        <f t="shared" si="26"/>
        <v>0</v>
      </c>
      <c r="BA49" s="946">
        <f t="shared" si="79"/>
        <v>0</v>
      </c>
      <c r="BB49" s="967">
        <f t="shared" si="80"/>
        <v>0</v>
      </c>
    </row>
    <row r="50" spans="1:54" ht="13.5" thickBot="1">
      <c r="A50" s="576"/>
      <c r="B50" s="576" t="str">
        <f>'BC1'!A59</f>
        <v>Autres frais de vente 2</v>
      </c>
      <c r="C50" s="970">
        <f>'FG1'!C52+'BC1'!C59</f>
        <v>0</v>
      </c>
      <c r="D50" s="846"/>
      <c r="E50" s="957">
        <f t="shared" si="55"/>
        <v>0</v>
      </c>
      <c r="F50" s="1035">
        <f t="shared" si="56"/>
        <v>0</v>
      </c>
      <c r="G50" s="970">
        <f>'FG1'!D52</f>
        <v>0</v>
      </c>
      <c r="H50" s="846"/>
      <c r="I50" s="957">
        <f t="shared" si="57"/>
        <v>0</v>
      </c>
      <c r="J50" s="1035">
        <f t="shared" si="58"/>
        <v>0</v>
      </c>
      <c r="K50" s="970">
        <f>'FG1'!E52</f>
        <v>0</v>
      </c>
      <c r="L50" s="846"/>
      <c r="M50" s="957">
        <f t="shared" si="59"/>
        <v>0</v>
      </c>
      <c r="N50" s="1035">
        <f t="shared" si="60"/>
        <v>0</v>
      </c>
      <c r="O50" s="970">
        <f>'FG1'!F52</f>
        <v>0</v>
      </c>
      <c r="P50" s="846"/>
      <c r="Q50" s="957">
        <f t="shared" si="61"/>
        <v>0</v>
      </c>
      <c r="R50" s="1035">
        <f t="shared" si="62"/>
        <v>0</v>
      </c>
      <c r="S50" s="970">
        <f>'FG1'!G52</f>
        <v>0</v>
      </c>
      <c r="T50" s="846"/>
      <c r="U50" s="957">
        <f t="shared" si="63"/>
        <v>0</v>
      </c>
      <c r="V50" s="967">
        <f t="shared" si="64"/>
        <v>0</v>
      </c>
      <c r="W50" s="970">
        <f>'FG1'!H52</f>
        <v>0</v>
      </c>
      <c r="X50" s="846"/>
      <c r="Y50" s="957">
        <f t="shared" si="65"/>
        <v>0</v>
      </c>
      <c r="Z50" s="967">
        <f t="shared" si="66"/>
        <v>0</v>
      </c>
      <c r="AA50" s="970">
        <f>'FG1'!I52</f>
        <v>0</v>
      </c>
      <c r="AB50" s="846"/>
      <c r="AC50" s="957">
        <f t="shared" si="67"/>
        <v>0</v>
      </c>
      <c r="AD50" s="967">
        <f t="shared" si="68"/>
        <v>0</v>
      </c>
      <c r="AE50" s="970">
        <f>'FG1'!J52</f>
        <v>0</v>
      </c>
      <c r="AF50" s="846"/>
      <c r="AG50" s="957">
        <f t="shared" si="69"/>
        <v>0</v>
      </c>
      <c r="AH50" s="967">
        <f t="shared" si="70"/>
        <v>0</v>
      </c>
      <c r="AI50" s="970">
        <f>'FG1'!K52</f>
        <v>0</v>
      </c>
      <c r="AJ50" s="846"/>
      <c r="AK50" s="957">
        <f t="shared" si="71"/>
        <v>0</v>
      </c>
      <c r="AL50" s="967">
        <f t="shared" si="72"/>
        <v>0</v>
      </c>
      <c r="AM50" s="970">
        <f>'FG1'!L52</f>
        <v>0</v>
      </c>
      <c r="AN50" s="846"/>
      <c r="AO50" s="957">
        <f t="shared" si="73"/>
        <v>0</v>
      </c>
      <c r="AP50" s="967">
        <f t="shared" si="74"/>
        <v>0</v>
      </c>
      <c r="AQ50" s="970">
        <f>'FG1'!M52</f>
        <v>0</v>
      </c>
      <c r="AR50" s="846"/>
      <c r="AS50" s="957">
        <f t="shared" si="75"/>
        <v>0</v>
      </c>
      <c r="AT50" s="967">
        <f t="shared" si="76"/>
        <v>0</v>
      </c>
      <c r="AU50" s="970">
        <f>'FG1'!N52</f>
        <v>0</v>
      </c>
      <c r="AV50" s="846"/>
      <c r="AW50" s="957">
        <f t="shared" si="77"/>
        <v>0</v>
      </c>
      <c r="AX50" s="967">
        <f t="shared" si="78"/>
        <v>0</v>
      </c>
      <c r="AY50" s="946">
        <f t="shared" ref="AY50:AZ53" si="81">C50+G50+K50+O50+S50+W50+AA50+AE50+AI50+AM50+AQ50+AU50</f>
        <v>0</v>
      </c>
      <c r="AZ50" s="991">
        <f t="shared" si="81"/>
        <v>0</v>
      </c>
      <c r="BA50" s="946">
        <f t="shared" si="79"/>
        <v>0</v>
      </c>
      <c r="BB50" s="967">
        <f t="shared" si="80"/>
        <v>0</v>
      </c>
    </row>
    <row r="51" spans="1:54" ht="13.5" thickBot="1">
      <c r="A51" s="576"/>
      <c r="B51" s="576" t="str">
        <f>'BC1'!A60</f>
        <v>Autres frais de vente 3</v>
      </c>
      <c r="C51" s="970">
        <f>'FG1'!C53+'BC1'!C60</f>
        <v>0</v>
      </c>
      <c r="D51" s="846"/>
      <c r="E51" s="957">
        <f t="shared" si="55"/>
        <v>0</v>
      </c>
      <c r="F51" s="1035">
        <f t="shared" si="56"/>
        <v>0</v>
      </c>
      <c r="G51" s="970">
        <f>'FG1'!D53</f>
        <v>0</v>
      </c>
      <c r="H51" s="846"/>
      <c r="I51" s="957">
        <f t="shared" si="57"/>
        <v>0</v>
      </c>
      <c r="J51" s="1035">
        <f t="shared" si="58"/>
        <v>0</v>
      </c>
      <c r="K51" s="970">
        <f>'FG1'!E53</f>
        <v>0</v>
      </c>
      <c r="L51" s="846"/>
      <c r="M51" s="957">
        <f t="shared" si="59"/>
        <v>0</v>
      </c>
      <c r="N51" s="1035">
        <f t="shared" si="60"/>
        <v>0</v>
      </c>
      <c r="O51" s="970">
        <f>'FG1'!F53</f>
        <v>0</v>
      </c>
      <c r="P51" s="846"/>
      <c r="Q51" s="957">
        <f t="shared" si="61"/>
        <v>0</v>
      </c>
      <c r="R51" s="1035">
        <f t="shared" si="62"/>
        <v>0</v>
      </c>
      <c r="S51" s="970">
        <f>'FG1'!G53</f>
        <v>0</v>
      </c>
      <c r="T51" s="846"/>
      <c r="U51" s="957">
        <f t="shared" si="63"/>
        <v>0</v>
      </c>
      <c r="V51" s="967">
        <f t="shared" si="64"/>
        <v>0</v>
      </c>
      <c r="W51" s="970">
        <f>'FG1'!H53</f>
        <v>0</v>
      </c>
      <c r="X51" s="846"/>
      <c r="Y51" s="957">
        <f t="shared" si="65"/>
        <v>0</v>
      </c>
      <c r="Z51" s="967">
        <f t="shared" si="66"/>
        <v>0</v>
      </c>
      <c r="AA51" s="970">
        <f>'FG1'!I53</f>
        <v>0</v>
      </c>
      <c r="AB51" s="846"/>
      <c r="AC51" s="957">
        <f t="shared" si="67"/>
        <v>0</v>
      </c>
      <c r="AD51" s="967">
        <f t="shared" si="68"/>
        <v>0</v>
      </c>
      <c r="AE51" s="970">
        <f>'FG1'!J53</f>
        <v>0</v>
      </c>
      <c r="AF51" s="846"/>
      <c r="AG51" s="957">
        <f t="shared" si="69"/>
        <v>0</v>
      </c>
      <c r="AH51" s="967">
        <f t="shared" si="70"/>
        <v>0</v>
      </c>
      <c r="AI51" s="970">
        <f>'FG1'!K53</f>
        <v>0</v>
      </c>
      <c r="AJ51" s="846"/>
      <c r="AK51" s="957">
        <f t="shared" si="71"/>
        <v>0</v>
      </c>
      <c r="AL51" s="967">
        <f t="shared" si="72"/>
        <v>0</v>
      </c>
      <c r="AM51" s="970">
        <f>'FG1'!L53</f>
        <v>0</v>
      </c>
      <c r="AN51" s="846"/>
      <c r="AO51" s="957">
        <f t="shared" si="73"/>
        <v>0</v>
      </c>
      <c r="AP51" s="967">
        <f t="shared" si="74"/>
        <v>0</v>
      </c>
      <c r="AQ51" s="970">
        <f>'FG1'!M53</f>
        <v>0</v>
      </c>
      <c r="AR51" s="846"/>
      <c r="AS51" s="957">
        <f t="shared" si="75"/>
        <v>0</v>
      </c>
      <c r="AT51" s="967">
        <f t="shared" si="76"/>
        <v>0</v>
      </c>
      <c r="AU51" s="970">
        <f>'FG1'!N53</f>
        <v>0</v>
      </c>
      <c r="AV51" s="846"/>
      <c r="AW51" s="957">
        <f t="shared" si="77"/>
        <v>0</v>
      </c>
      <c r="AX51" s="967">
        <f t="shared" si="78"/>
        <v>0</v>
      </c>
      <c r="AY51" s="946">
        <f t="shared" si="81"/>
        <v>0</v>
      </c>
      <c r="AZ51" s="991">
        <f t="shared" si="81"/>
        <v>0</v>
      </c>
      <c r="BA51" s="946">
        <f t="shared" si="79"/>
        <v>0</v>
      </c>
      <c r="BB51" s="967">
        <f t="shared" si="80"/>
        <v>0</v>
      </c>
    </row>
    <row r="52" spans="1:54" ht="13.5" thickBot="1">
      <c r="A52" s="576"/>
      <c r="B52" s="576" t="str">
        <f>'BC1'!A61</f>
        <v>Autres frais de vente 4</v>
      </c>
      <c r="C52" s="970">
        <f>'FG1'!C54+'BC1'!C61</f>
        <v>0</v>
      </c>
      <c r="D52" s="846"/>
      <c r="E52" s="957">
        <f t="shared" si="55"/>
        <v>0</v>
      </c>
      <c r="F52" s="1035">
        <f t="shared" si="56"/>
        <v>0</v>
      </c>
      <c r="G52" s="970">
        <f>'FG1'!D54</f>
        <v>0</v>
      </c>
      <c r="H52" s="846"/>
      <c r="I52" s="957">
        <f t="shared" si="57"/>
        <v>0</v>
      </c>
      <c r="J52" s="1035">
        <f t="shared" si="58"/>
        <v>0</v>
      </c>
      <c r="K52" s="970">
        <f>'FG1'!E54</f>
        <v>0</v>
      </c>
      <c r="L52" s="846"/>
      <c r="M52" s="957">
        <f t="shared" si="59"/>
        <v>0</v>
      </c>
      <c r="N52" s="1035">
        <f t="shared" si="60"/>
        <v>0</v>
      </c>
      <c r="O52" s="970">
        <f>'FG1'!F54</f>
        <v>0</v>
      </c>
      <c r="P52" s="846"/>
      <c r="Q52" s="957">
        <f t="shared" si="61"/>
        <v>0</v>
      </c>
      <c r="R52" s="1035">
        <f t="shared" si="62"/>
        <v>0</v>
      </c>
      <c r="S52" s="970">
        <f>'FG1'!G54</f>
        <v>0</v>
      </c>
      <c r="T52" s="846"/>
      <c r="U52" s="957">
        <f t="shared" si="63"/>
        <v>0</v>
      </c>
      <c r="V52" s="967">
        <f t="shared" si="64"/>
        <v>0</v>
      </c>
      <c r="W52" s="970">
        <f>'FG1'!H54</f>
        <v>0</v>
      </c>
      <c r="X52" s="846"/>
      <c r="Y52" s="957">
        <f t="shared" si="65"/>
        <v>0</v>
      </c>
      <c r="Z52" s="967">
        <f t="shared" si="66"/>
        <v>0</v>
      </c>
      <c r="AA52" s="970">
        <f>'FG1'!I54</f>
        <v>0</v>
      </c>
      <c r="AB52" s="846"/>
      <c r="AC52" s="957">
        <f t="shared" si="67"/>
        <v>0</v>
      </c>
      <c r="AD52" s="967">
        <f t="shared" si="68"/>
        <v>0</v>
      </c>
      <c r="AE52" s="970">
        <f>'FG1'!J54</f>
        <v>0</v>
      </c>
      <c r="AF52" s="846"/>
      <c r="AG52" s="957">
        <f t="shared" si="69"/>
        <v>0</v>
      </c>
      <c r="AH52" s="967">
        <f t="shared" si="70"/>
        <v>0</v>
      </c>
      <c r="AI52" s="970">
        <f>'FG1'!K54</f>
        <v>0</v>
      </c>
      <c r="AJ52" s="846"/>
      <c r="AK52" s="957">
        <f t="shared" si="71"/>
        <v>0</v>
      </c>
      <c r="AL52" s="967">
        <f t="shared" si="72"/>
        <v>0</v>
      </c>
      <c r="AM52" s="970">
        <f>'FG1'!L54</f>
        <v>0</v>
      </c>
      <c r="AN52" s="846"/>
      <c r="AO52" s="957">
        <f t="shared" si="73"/>
        <v>0</v>
      </c>
      <c r="AP52" s="967">
        <f t="shared" si="74"/>
        <v>0</v>
      </c>
      <c r="AQ52" s="970">
        <f>'FG1'!M54</f>
        <v>0</v>
      </c>
      <c r="AR52" s="846"/>
      <c r="AS52" s="957">
        <f t="shared" si="75"/>
        <v>0</v>
      </c>
      <c r="AT52" s="967">
        <f t="shared" si="76"/>
        <v>0</v>
      </c>
      <c r="AU52" s="970">
        <f>'FG1'!N54</f>
        <v>0</v>
      </c>
      <c r="AV52" s="846"/>
      <c r="AW52" s="957">
        <f t="shared" si="77"/>
        <v>0</v>
      </c>
      <c r="AX52" s="967">
        <f t="shared" si="78"/>
        <v>0</v>
      </c>
      <c r="AY52" s="946">
        <f t="shared" si="81"/>
        <v>0</v>
      </c>
      <c r="AZ52" s="991">
        <f t="shared" si="81"/>
        <v>0</v>
      </c>
      <c r="BA52" s="946">
        <f t="shared" si="79"/>
        <v>0</v>
      </c>
      <c r="BB52" s="967">
        <f t="shared" si="80"/>
        <v>0</v>
      </c>
    </row>
    <row r="53" spans="1:54" ht="13.5" thickBot="1">
      <c r="A53" s="576"/>
      <c r="B53" s="576" t="str">
        <f>'BC1'!A62</f>
        <v>Autres frais de vente 5</v>
      </c>
      <c r="C53" s="970">
        <f>'FG1'!C55+'BC1'!C62</f>
        <v>0</v>
      </c>
      <c r="D53" s="846"/>
      <c r="E53" s="957">
        <f t="shared" si="55"/>
        <v>0</v>
      </c>
      <c r="F53" s="1035">
        <f t="shared" si="56"/>
        <v>0</v>
      </c>
      <c r="G53" s="970">
        <f>'FG1'!D55</f>
        <v>0</v>
      </c>
      <c r="H53" s="846"/>
      <c r="I53" s="957">
        <f t="shared" si="57"/>
        <v>0</v>
      </c>
      <c r="J53" s="1035">
        <f t="shared" si="58"/>
        <v>0</v>
      </c>
      <c r="K53" s="970">
        <f>'FG1'!E55</f>
        <v>0</v>
      </c>
      <c r="L53" s="846"/>
      <c r="M53" s="957">
        <f t="shared" si="59"/>
        <v>0</v>
      </c>
      <c r="N53" s="1035">
        <f t="shared" si="60"/>
        <v>0</v>
      </c>
      <c r="O53" s="970">
        <f>'FG1'!F55</f>
        <v>0</v>
      </c>
      <c r="P53" s="846"/>
      <c r="Q53" s="957">
        <f t="shared" si="61"/>
        <v>0</v>
      </c>
      <c r="R53" s="1035">
        <f t="shared" si="62"/>
        <v>0</v>
      </c>
      <c r="S53" s="970">
        <f>'FG1'!G55</f>
        <v>0</v>
      </c>
      <c r="T53" s="846"/>
      <c r="U53" s="957">
        <f t="shared" si="63"/>
        <v>0</v>
      </c>
      <c r="V53" s="967">
        <f t="shared" si="64"/>
        <v>0</v>
      </c>
      <c r="W53" s="970">
        <f>'FG1'!H55</f>
        <v>0</v>
      </c>
      <c r="X53" s="846"/>
      <c r="Y53" s="957">
        <f t="shared" si="65"/>
        <v>0</v>
      </c>
      <c r="Z53" s="967">
        <f t="shared" si="66"/>
        <v>0</v>
      </c>
      <c r="AA53" s="970">
        <f>'FG1'!I55</f>
        <v>0</v>
      </c>
      <c r="AB53" s="846"/>
      <c r="AC53" s="957">
        <f t="shared" si="67"/>
        <v>0</v>
      </c>
      <c r="AD53" s="967">
        <f t="shared" si="68"/>
        <v>0</v>
      </c>
      <c r="AE53" s="970">
        <f>'FG1'!J55</f>
        <v>0</v>
      </c>
      <c r="AF53" s="846"/>
      <c r="AG53" s="957">
        <f t="shared" si="69"/>
        <v>0</v>
      </c>
      <c r="AH53" s="967">
        <f t="shared" si="70"/>
        <v>0</v>
      </c>
      <c r="AI53" s="970">
        <f>'FG1'!K55</f>
        <v>0</v>
      </c>
      <c r="AJ53" s="846"/>
      <c r="AK53" s="957">
        <f t="shared" si="71"/>
        <v>0</v>
      </c>
      <c r="AL53" s="967">
        <f t="shared" si="72"/>
        <v>0</v>
      </c>
      <c r="AM53" s="970">
        <f>'FG1'!L55</f>
        <v>0</v>
      </c>
      <c r="AN53" s="846"/>
      <c r="AO53" s="957">
        <f t="shared" si="73"/>
        <v>0</v>
      </c>
      <c r="AP53" s="967">
        <f t="shared" si="74"/>
        <v>0</v>
      </c>
      <c r="AQ53" s="970">
        <f>'FG1'!M55</f>
        <v>0</v>
      </c>
      <c r="AR53" s="846"/>
      <c r="AS53" s="957">
        <f t="shared" si="75"/>
        <v>0</v>
      </c>
      <c r="AT53" s="967">
        <f t="shared" si="76"/>
        <v>0</v>
      </c>
      <c r="AU53" s="970">
        <f>'FG1'!N55</f>
        <v>0</v>
      </c>
      <c r="AV53" s="846"/>
      <c r="AW53" s="957">
        <f t="shared" si="77"/>
        <v>0</v>
      </c>
      <c r="AX53" s="967">
        <f t="shared" si="78"/>
        <v>0</v>
      </c>
      <c r="AY53" s="946">
        <f t="shared" si="81"/>
        <v>0</v>
      </c>
      <c r="AZ53" s="991">
        <f t="shared" si="81"/>
        <v>0</v>
      </c>
      <c r="BA53" s="946">
        <f t="shared" si="79"/>
        <v>0</v>
      </c>
      <c r="BB53" s="967">
        <f t="shared" si="80"/>
        <v>0</v>
      </c>
    </row>
    <row r="54" spans="1:54" ht="13.5" thickBot="1">
      <c r="A54" s="1127" t="str">
        <f>'BC1'!A63</f>
        <v>FRAIS D'ADMINISTRATION</v>
      </c>
      <c r="B54" s="1127"/>
      <c r="C54" s="970"/>
      <c r="D54" s="946"/>
      <c r="E54" s="957"/>
      <c r="F54" s="1036"/>
      <c r="G54" s="970"/>
      <c r="H54" s="946"/>
      <c r="I54" s="957"/>
      <c r="J54" s="1036"/>
      <c r="K54" s="970"/>
      <c r="L54" s="946"/>
      <c r="M54" s="957"/>
      <c r="N54" s="1036"/>
      <c r="O54" s="970"/>
      <c r="P54" s="946"/>
      <c r="Q54" s="957"/>
      <c r="R54" s="1036"/>
      <c r="S54" s="970"/>
      <c r="T54" s="946"/>
      <c r="U54" s="957"/>
      <c r="V54" s="969"/>
      <c r="W54" s="970"/>
      <c r="X54" s="946"/>
      <c r="Y54" s="957"/>
      <c r="Z54" s="969"/>
      <c r="AA54" s="970"/>
      <c r="AB54" s="946"/>
      <c r="AC54" s="957"/>
      <c r="AD54" s="969"/>
      <c r="AE54" s="970"/>
      <c r="AF54" s="946"/>
      <c r="AG54" s="957"/>
      <c r="AH54" s="969"/>
      <c r="AI54" s="970"/>
      <c r="AJ54" s="946"/>
      <c r="AK54" s="957"/>
      <c r="AL54" s="969"/>
      <c r="AM54" s="970"/>
      <c r="AN54" s="946"/>
      <c r="AO54" s="957"/>
      <c r="AP54" s="969"/>
      <c r="AQ54" s="970"/>
      <c r="AR54" s="946"/>
      <c r="AS54" s="957"/>
      <c r="AT54" s="969"/>
      <c r="AU54" s="970"/>
      <c r="AV54" s="946"/>
      <c r="AW54" s="957"/>
      <c r="AX54" s="969"/>
      <c r="AY54" s="984"/>
      <c r="AZ54" s="946"/>
      <c r="BA54" s="946"/>
      <c r="BB54" s="969"/>
    </row>
    <row r="55" spans="1:54" ht="13.5" thickBot="1">
      <c r="A55" s="871"/>
      <c r="B55" s="576" t="str">
        <f>'BC1'!A64</f>
        <v>Salaires administratifs</v>
      </c>
      <c r="C55" s="970">
        <f>(TE!C132*(1+TE!$B$133))+(TE!C134*(1+TE!$B$135))</f>
        <v>4358.5619999999999</v>
      </c>
      <c r="D55" s="846"/>
      <c r="E55" s="957">
        <f>D55-C55</f>
        <v>-4358.5619999999999</v>
      </c>
      <c r="F55" s="1035">
        <f>IF(C55=0,0,E55/C55)</f>
        <v>-1</v>
      </c>
      <c r="G55" s="970">
        <f>(TE!D132*(1+TE!$B$133))+(TE!D134*(1+TE!$B$135))</f>
        <v>4358.5619999999999</v>
      </c>
      <c r="H55" s="846"/>
      <c r="I55" s="957">
        <f>H55-G55</f>
        <v>-4358.5619999999999</v>
      </c>
      <c r="J55" s="1035">
        <f>IF(G55=0,0,I55/G55)</f>
        <v>-1</v>
      </c>
      <c r="K55" s="970">
        <f>(TE!E132*(1+TE!$B$133))+(TE!E134*(1+TE!$B$135))</f>
        <v>4358.5619999999999</v>
      </c>
      <c r="L55" s="846"/>
      <c r="M55" s="957">
        <f>L55-K55</f>
        <v>-4358.5619999999999</v>
      </c>
      <c r="N55" s="1035">
        <f>IF(K55=0,0,M55/K55)</f>
        <v>-1</v>
      </c>
      <c r="O55" s="970">
        <f>(TE!F132*(1+TE!$B$133))+(TE!F134*(1+TE!$B$135))</f>
        <v>4358.5619999999999</v>
      </c>
      <c r="P55" s="846"/>
      <c r="Q55" s="957">
        <f>P55-O55</f>
        <v>-4358.5619999999999</v>
      </c>
      <c r="R55" s="1035">
        <f>IF(O55=0,0,Q55/O55)</f>
        <v>-1</v>
      </c>
      <c r="S55" s="970">
        <f>(TE!G132*(1+TE!$B$133))+(TE!G134*(1+TE!$B$135))</f>
        <v>4358.5619999999999</v>
      </c>
      <c r="T55" s="846"/>
      <c r="U55" s="957">
        <f>T55-S55</f>
        <v>-4358.5619999999999</v>
      </c>
      <c r="V55" s="967">
        <f>IF(S55=0,0,U55/S55)</f>
        <v>-1</v>
      </c>
      <c r="W55" s="970">
        <f>(TE!H132*(1+TE!$B$133))+(TE!H134*(1+TE!$B$135))</f>
        <v>4358.5619999999999</v>
      </c>
      <c r="X55" s="846"/>
      <c r="Y55" s="957">
        <f>X55-W55</f>
        <v>-4358.5619999999999</v>
      </c>
      <c r="Z55" s="967">
        <f>IF(W55=0,0,Y55/W55)</f>
        <v>-1</v>
      </c>
      <c r="AA55" s="970">
        <f>(TE!I132*(1+TE!$B$133))+(TE!I134*(1+TE!$B$135))</f>
        <v>4358.5619999999999</v>
      </c>
      <c r="AB55" s="846"/>
      <c r="AC55" s="957">
        <f>AB55-AA55</f>
        <v>-4358.5619999999999</v>
      </c>
      <c r="AD55" s="967">
        <f>IF(AA55=0,0,AC55/AA55)</f>
        <v>-1</v>
      </c>
      <c r="AE55" s="970">
        <f>(TE!J132*(1+TE!$B$133))+(TE!J134*(1+TE!$B$135))</f>
        <v>4358.5619999999999</v>
      </c>
      <c r="AF55" s="846"/>
      <c r="AG55" s="957">
        <f>AF55-AE55</f>
        <v>-4358.5619999999999</v>
      </c>
      <c r="AH55" s="967">
        <f>IF(AE55=0,0,AG55/AE55)</f>
        <v>-1</v>
      </c>
      <c r="AI55" s="970">
        <f>(TE!K132*(1+TE!$B$133))+(TE!K134*(1+TE!$B$135))</f>
        <v>4358.5619999999999</v>
      </c>
      <c r="AJ55" s="846"/>
      <c r="AK55" s="957">
        <f>AJ55-AI55</f>
        <v>-4358.5619999999999</v>
      </c>
      <c r="AL55" s="967">
        <f>IF(AI55=0,0,AK55/AI55)</f>
        <v>-1</v>
      </c>
      <c r="AM55" s="970">
        <f>(TE!L132*(1+TE!$B$133))+(TE!L134*(1+TE!$B$135))</f>
        <v>4358.5619999999999</v>
      </c>
      <c r="AN55" s="846"/>
      <c r="AO55" s="957">
        <f>AN55-AM55</f>
        <v>-4358.5619999999999</v>
      </c>
      <c r="AP55" s="967">
        <f>IF(AM55=0,0,AO55/AM55)</f>
        <v>-1</v>
      </c>
      <c r="AQ55" s="970">
        <f>(TE!M132*(1+TE!$B$133))+(TE!M134*(1+TE!$B$135))</f>
        <v>4358.5619999999999</v>
      </c>
      <c r="AR55" s="846"/>
      <c r="AS55" s="957">
        <f>AR55-AQ55</f>
        <v>-4358.5619999999999</v>
      </c>
      <c r="AT55" s="967">
        <f>IF(AQ55=0,0,AS55/AQ55)</f>
        <v>-1</v>
      </c>
      <c r="AU55" s="970">
        <f>(TE!N132*(1+TE!$B$133))+(TE!N134*(1+TE!$B$135))</f>
        <v>4358.5619999999999</v>
      </c>
      <c r="AV55" s="846"/>
      <c r="AW55" s="957">
        <f t="shared" ref="AW55:AW62" si="82">AV55-AU55</f>
        <v>-4358.5619999999999</v>
      </c>
      <c r="AX55" s="967">
        <f t="shared" ref="AX55:AX62" si="83">IF(AU55=0,0,AW55/AU55)</f>
        <v>-1</v>
      </c>
      <c r="AY55" s="946">
        <f t="shared" ref="AY55:AY75" si="84">C55+G55+K55+O55+S55+W55+AA55+AE55+AI55+AM55+AQ55+AU55</f>
        <v>52302.743999999984</v>
      </c>
      <c r="AZ55" s="991">
        <f t="shared" ref="AZ55:AZ62" si="85">D55+H55+L55+P55+T55+X55+AB55+AF55+AJ55+AN55+AR55+AV55</f>
        <v>0</v>
      </c>
      <c r="BA55" s="946">
        <f t="shared" ref="BA55:BA62" si="86">AZ55-AY55</f>
        <v>-52302.743999999984</v>
      </c>
      <c r="BB55" s="967">
        <f t="shared" ref="BB55:BB62" si="87">IF(AY55=0,0,BA55/AY55)</f>
        <v>-1</v>
      </c>
    </row>
    <row r="56" spans="1:54" ht="13.5" hidden="1" customHeight="1" thickBot="1">
      <c r="A56" s="871"/>
      <c r="B56" s="576" t="str">
        <f>'BC1'!A65</f>
        <v xml:space="preserve">   avantages</v>
      </c>
      <c r="C56" s="970"/>
      <c r="D56" s="946"/>
      <c r="E56" s="957">
        <f>D56-C56</f>
        <v>0</v>
      </c>
      <c r="F56" s="1035">
        <f>IF(C56=0,0,E56/C56)</f>
        <v>0</v>
      </c>
      <c r="G56" s="970"/>
      <c r="H56" s="946"/>
      <c r="I56" s="957">
        <f>H56-G56</f>
        <v>0</v>
      </c>
      <c r="J56" s="1035">
        <f>IF(G56=0,0,I56/G56)</f>
        <v>0</v>
      </c>
      <c r="K56" s="970"/>
      <c r="L56" s="946"/>
      <c r="M56" s="957">
        <f>L56-K56</f>
        <v>0</v>
      </c>
      <c r="N56" s="1035">
        <f>IF(K56=0,0,M56/K56)</f>
        <v>0</v>
      </c>
      <c r="O56" s="970"/>
      <c r="P56" s="946"/>
      <c r="Q56" s="957">
        <f>P56-O56</f>
        <v>0</v>
      </c>
      <c r="R56" s="1035">
        <f>IF(O56=0,0,Q56/O56)</f>
        <v>0</v>
      </c>
      <c r="S56" s="970"/>
      <c r="T56" s="946"/>
      <c r="U56" s="957">
        <f>T56-S56</f>
        <v>0</v>
      </c>
      <c r="V56" s="967">
        <f>IF(S56=0,0,U56/S56)</f>
        <v>0</v>
      </c>
      <c r="W56" s="970"/>
      <c r="X56" s="946"/>
      <c r="Y56" s="957">
        <f>X56-W56</f>
        <v>0</v>
      </c>
      <c r="Z56" s="967">
        <f>IF(W56=0,0,Y56/W56)</f>
        <v>0</v>
      </c>
      <c r="AA56" s="970"/>
      <c r="AB56" s="946"/>
      <c r="AC56" s="957">
        <f>AB56-AA56</f>
        <v>0</v>
      </c>
      <c r="AD56" s="967">
        <f>IF(AA56=0,0,AC56/AA56)</f>
        <v>0</v>
      </c>
      <c r="AE56" s="970"/>
      <c r="AF56" s="946"/>
      <c r="AG56" s="957">
        <f>AF56-AE56</f>
        <v>0</v>
      </c>
      <c r="AH56" s="967">
        <f>IF(AE56=0,0,AG56/AE56)</f>
        <v>0</v>
      </c>
      <c r="AI56" s="970"/>
      <c r="AJ56" s="946"/>
      <c r="AK56" s="957">
        <f>AJ56-AI56</f>
        <v>0</v>
      </c>
      <c r="AL56" s="967">
        <f>IF(AI56=0,0,AK56/AI56)</f>
        <v>0</v>
      </c>
      <c r="AM56" s="970"/>
      <c r="AN56" s="946"/>
      <c r="AO56" s="957">
        <f>AN56-AM56</f>
        <v>0</v>
      </c>
      <c r="AP56" s="967">
        <f>IF(AM56=0,0,AO56/AM56)</f>
        <v>0</v>
      </c>
      <c r="AQ56" s="970"/>
      <c r="AR56" s="946"/>
      <c r="AS56" s="957">
        <f>AR56-AQ56</f>
        <v>0</v>
      </c>
      <c r="AT56" s="967">
        <f>IF(AQ56=0,0,AS56/AQ56)</f>
        <v>0</v>
      </c>
      <c r="AU56" s="970"/>
      <c r="AV56" s="946"/>
      <c r="AW56" s="957">
        <f t="shared" si="82"/>
        <v>0</v>
      </c>
      <c r="AX56" s="969"/>
      <c r="AY56" s="946">
        <f t="shared" si="84"/>
        <v>0</v>
      </c>
      <c r="AZ56" s="991">
        <f t="shared" si="85"/>
        <v>0</v>
      </c>
      <c r="BA56" s="946">
        <f t="shared" si="86"/>
        <v>0</v>
      </c>
      <c r="BB56" s="969"/>
    </row>
    <row r="57" spans="1:54" ht="13.5" thickBot="1">
      <c r="A57" s="871"/>
      <c r="B57" s="576" t="str">
        <f>'BC1'!A66</f>
        <v>Téléphonie et internet</v>
      </c>
      <c r="C57" s="970">
        <f>'FG1'!C62+'BC1'!C66</f>
        <v>0</v>
      </c>
      <c r="D57" s="846"/>
      <c r="E57" s="957">
        <f t="shared" ref="E57:E62" si="88">D57-C57</f>
        <v>0</v>
      </c>
      <c r="F57" s="1035">
        <f t="shared" ref="F57:F62" si="89">IF(C57=0,0,E57/C57)</f>
        <v>0</v>
      </c>
      <c r="G57" s="970">
        <f>'FG1'!D62</f>
        <v>0</v>
      </c>
      <c r="H57" s="846"/>
      <c r="I57" s="957">
        <f t="shared" ref="I57:I62" si="90">H57-G57</f>
        <v>0</v>
      </c>
      <c r="J57" s="1035">
        <f t="shared" ref="J57:J62" si="91">IF(G57=0,0,I57/G57)</f>
        <v>0</v>
      </c>
      <c r="K57" s="970">
        <f>'FG1'!E62</f>
        <v>0</v>
      </c>
      <c r="L57" s="846"/>
      <c r="M57" s="957">
        <f t="shared" ref="M57:M62" si="92">L57-K57</f>
        <v>0</v>
      </c>
      <c r="N57" s="1035">
        <f t="shared" ref="N57:N62" si="93">IF(K57=0,0,M57/K57)</f>
        <v>0</v>
      </c>
      <c r="O57" s="970">
        <f>'FG1'!F62</f>
        <v>0</v>
      </c>
      <c r="P57" s="846"/>
      <c r="Q57" s="957">
        <f t="shared" ref="Q57:Q62" si="94">P57-O57</f>
        <v>0</v>
      </c>
      <c r="R57" s="1035">
        <f t="shared" ref="R57:R62" si="95">IF(O57=0,0,Q57/O57)</f>
        <v>0</v>
      </c>
      <c r="S57" s="970">
        <f>'FG1'!G62</f>
        <v>0</v>
      </c>
      <c r="T57" s="846"/>
      <c r="U57" s="957">
        <f t="shared" ref="U57:U62" si="96">T57-S57</f>
        <v>0</v>
      </c>
      <c r="V57" s="967">
        <f t="shared" ref="V57:V62" si="97">IF(S57=0,0,U57/S57)</f>
        <v>0</v>
      </c>
      <c r="W57" s="970">
        <f>'FG1'!H62</f>
        <v>0</v>
      </c>
      <c r="X57" s="846"/>
      <c r="Y57" s="957">
        <f t="shared" ref="Y57:Y62" si="98">X57-W57</f>
        <v>0</v>
      </c>
      <c r="Z57" s="967">
        <f t="shared" ref="Z57:Z62" si="99">IF(W57=0,0,Y57/W57)</f>
        <v>0</v>
      </c>
      <c r="AA57" s="970">
        <f>'FG1'!I62</f>
        <v>0</v>
      </c>
      <c r="AB57" s="846"/>
      <c r="AC57" s="957">
        <f t="shared" ref="AC57:AC62" si="100">AB57-AA57</f>
        <v>0</v>
      </c>
      <c r="AD57" s="967">
        <f t="shared" ref="AD57:AD62" si="101">IF(AA57=0,0,AC57/AA57)</f>
        <v>0</v>
      </c>
      <c r="AE57" s="970">
        <f>'FG1'!J62</f>
        <v>0</v>
      </c>
      <c r="AF57" s="846"/>
      <c r="AG57" s="957">
        <f t="shared" ref="AG57:AG62" si="102">AF57-AE57</f>
        <v>0</v>
      </c>
      <c r="AH57" s="967">
        <f t="shared" ref="AH57:AH62" si="103">IF(AE57=0,0,AG57/AE57)</f>
        <v>0</v>
      </c>
      <c r="AI57" s="970">
        <f>'FG1'!K62</f>
        <v>0</v>
      </c>
      <c r="AJ57" s="846"/>
      <c r="AK57" s="957">
        <f t="shared" ref="AK57:AK62" si="104">AJ57-AI57</f>
        <v>0</v>
      </c>
      <c r="AL57" s="967">
        <f t="shared" ref="AL57:AL62" si="105">IF(AI57=0,0,AK57/AI57)</f>
        <v>0</v>
      </c>
      <c r="AM57" s="970">
        <f>'FG1'!L62</f>
        <v>0</v>
      </c>
      <c r="AN57" s="846"/>
      <c r="AO57" s="957">
        <f t="shared" ref="AO57:AO62" si="106">AN57-AM57</f>
        <v>0</v>
      </c>
      <c r="AP57" s="967">
        <f t="shared" ref="AP57:AP62" si="107">IF(AM57=0,0,AO57/AM57)</f>
        <v>0</v>
      </c>
      <c r="AQ57" s="970">
        <f>'FG1'!M62</f>
        <v>0</v>
      </c>
      <c r="AR57" s="846"/>
      <c r="AS57" s="957">
        <f t="shared" ref="AS57:AS62" si="108">AR57-AQ57</f>
        <v>0</v>
      </c>
      <c r="AT57" s="967">
        <f t="shared" ref="AT57:AT62" si="109">IF(AQ57=0,0,AS57/AQ57)</f>
        <v>0</v>
      </c>
      <c r="AU57" s="970">
        <f>'FG1'!N62</f>
        <v>0</v>
      </c>
      <c r="AV57" s="846"/>
      <c r="AW57" s="957">
        <f t="shared" si="82"/>
        <v>0</v>
      </c>
      <c r="AX57" s="967">
        <f t="shared" si="83"/>
        <v>0</v>
      </c>
      <c r="AY57" s="946">
        <f t="shared" si="84"/>
        <v>0</v>
      </c>
      <c r="AZ57" s="991">
        <f t="shared" si="85"/>
        <v>0</v>
      </c>
      <c r="BA57" s="946">
        <f t="shared" si="86"/>
        <v>0</v>
      </c>
      <c r="BB57" s="967">
        <f t="shared" si="87"/>
        <v>0</v>
      </c>
    </row>
    <row r="58" spans="1:54" ht="13.5" thickBot="1">
      <c r="A58" s="871"/>
      <c r="B58" s="576" t="str">
        <f>'BC1'!A67</f>
        <v>Honoraires professionnels</v>
      </c>
      <c r="C58" s="970">
        <f>'FG1'!C64+'BC1'!C67</f>
        <v>1</v>
      </c>
      <c r="D58" s="846"/>
      <c r="E58" s="957">
        <f t="shared" si="88"/>
        <v>-1</v>
      </c>
      <c r="F58" s="1035">
        <f t="shared" si="89"/>
        <v>-1</v>
      </c>
      <c r="G58" s="970">
        <f>'FG1'!D64</f>
        <v>0</v>
      </c>
      <c r="H58" s="846"/>
      <c r="I58" s="957">
        <f t="shared" si="90"/>
        <v>0</v>
      </c>
      <c r="J58" s="1035">
        <f t="shared" si="91"/>
        <v>0</v>
      </c>
      <c r="K58" s="970">
        <f>'FG1'!E64</f>
        <v>0</v>
      </c>
      <c r="L58" s="846"/>
      <c r="M58" s="957">
        <f t="shared" si="92"/>
        <v>0</v>
      </c>
      <c r="N58" s="1035">
        <f t="shared" si="93"/>
        <v>0</v>
      </c>
      <c r="O58" s="970">
        <f>'FG1'!F64</f>
        <v>0</v>
      </c>
      <c r="P58" s="846"/>
      <c r="Q58" s="957">
        <f t="shared" si="94"/>
        <v>0</v>
      </c>
      <c r="R58" s="1035">
        <f t="shared" si="95"/>
        <v>0</v>
      </c>
      <c r="S58" s="970">
        <f>'FG1'!G64</f>
        <v>0</v>
      </c>
      <c r="T58" s="846"/>
      <c r="U58" s="957">
        <f t="shared" si="96"/>
        <v>0</v>
      </c>
      <c r="V58" s="967">
        <f t="shared" si="97"/>
        <v>0</v>
      </c>
      <c r="W58" s="970">
        <f>'FG1'!H64</f>
        <v>0</v>
      </c>
      <c r="X58" s="846"/>
      <c r="Y58" s="957">
        <f t="shared" si="98"/>
        <v>0</v>
      </c>
      <c r="Z58" s="967">
        <f t="shared" si="99"/>
        <v>0</v>
      </c>
      <c r="AA58" s="970">
        <f>'FG1'!I64</f>
        <v>0</v>
      </c>
      <c r="AB58" s="846"/>
      <c r="AC58" s="957">
        <f t="shared" si="100"/>
        <v>0</v>
      </c>
      <c r="AD58" s="967">
        <f t="shared" si="101"/>
        <v>0</v>
      </c>
      <c r="AE58" s="970">
        <f>'FG1'!J64</f>
        <v>0</v>
      </c>
      <c r="AF58" s="846"/>
      <c r="AG58" s="957">
        <f t="shared" si="102"/>
        <v>0</v>
      </c>
      <c r="AH58" s="967">
        <f t="shared" si="103"/>
        <v>0</v>
      </c>
      <c r="AI58" s="970">
        <f>'FG1'!K64</f>
        <v>0</v>
      </c>
      <c r="AJ58" s="846"/>
      <c r="AK58" s="957">
        <f t="shared" si="104"/>
        <v>0</v>
      </c>
      <c r="AL58" s="967">
        <f t="shared" si="105"/>
        <v>0</v>
      </c>
      <c r="AM58" s="970">
        <f>'FG1'!L64</f>
        <v>0</v>
      </c>
      <c r="AN58" s="846"/>
      <c r="AO58" s="957">
        <f t="shared" si="106"/>
        <v>0</v>
      </c>
      <c r="AP58" s="967">
        <f t="shared" si="107"/>
        <v>0</v>
      </c>
      <c r="AQ58" s="970">
        <f>'FG1'!M64</f>
        <v>0</v>
      </c>
      <c r="AR58" s="846"/>
      <c r="AS58" s="957">
        <f t="shared" si="108"/>
        <v>0</v>
      </c>
      <c r="AT58" s="967">
        <f t="shared" si="109"/>
        <v>0</v>
      </c>
      <c r="AU58" s="970">
        <f>'FG1'!N64</f>
        <v>0</v>
      </c>
      <c r="AV58" s="846"/>
      <c r="AW58" s="957">
        <f t="shared" si="82"/>
        <v>0</v>
      </c>
      <c r="AX58" s="967">
        <f t="shared" si="83"/>
        <v>0</v>
      </c>
      <c r="AY58" s="946">
        <f t="shared" si="84"/>
        <v>1</v>
      </c>
      <c r="AZ58" s="991">
        <f t="shared" si="85"/>
        <v>0</v>
      </c>
      <c r="BA58" s="946">
        <f t="shared" si="86"/>
        <v>-1</v>
      </c>
      <c r="BB58" s="967">
        <f t="shared" si="87"/>
        <v>-1</v>
      </c>
    </row>
    <row r="59" spans="1:54" ht="13.5" thickBot="1">
      <c r="A59" s="871"/>
      <c r="B59" s="576" t="str">
        <f>'BC1'!A68</f>
        <v>Frais de bureau</v>
      </c>
      <c r="C59" s="970">
        <f>'FG1'!C66+'BC1'!C68</f>
        <v>0</v>
      </c>
      <c r="D59" s="846"/>
      <c r="E59" s="957">
        <f t="shared" si="88"/>
        <v>0</v>
      </c>
      <c r="F59" s="1035">
        <f t="shared" si="89"/>
        <v>0</v>
      </c>
      <c r="G59" s="970">
        <f>'FG1'!D66</f>
        <v>0</v>
      </c>
      <c r="H59" s="846"/>
      <c r="I59" s="957">
        <f t="shared" si="90"/>
        <v>0</v>
      </c>
      <c r="J59" s="1035">
        <f t="shared" si="91"/>
        <v>0</v>
      </c>
      <c r="K59" s="970">
        <f>'FG1'!E66</f>
        <v>0</v>
      </c>
      <c r="L59" s="846"/>
      <c r="M59" s="957">
        <f t="shared" si="92"/>
        <v>0</v>
      </c>
      <c r="N59" s="1035">
        <f t="shared" si="93"/>
        <v>0</v>
      </c>
      <c r="O59" s="970">
        <f>'FG1'!F66</f>
        <v>0</v>
      </c>
      <c r="P59" s="846"/>
      <c r="Q59" s="957">
        <f t="shared" si="94"/>
        <v>0</v>
      </c>
      <c r="R59" s="1035">
        <f t="shared" si="95"/>
        <v>0</v>
      </c>
      <c r="S59" s="970">
        <f>'FG1'!G66</f>
        <v>0</v>
      </c>
      <c r="T59" s="846"/>
      <c r="U59" s="957">
        <f t="shared" si="96"/>
        <v>0</v>
      </c>
      <c r="V59" s="967">
        <f t="shared" si="97"/>
        <v>0</v>
      </c>
      <c r="W59" s="970">
        <f>'FG1'!H66</f>
        <v>0</v>
      </c>
      <c r="X59" s="846"/>
      <c r="Y59" s="957">
        <f t="shared" si="98"/>
        <v>0</v>
      </c>
      <c r="Z59" s="967">
        <f t="shared" si="99"/>
        <v>0</v>
      </c>
      <c r="AA59" s="970">
        <f>'FG1'!I66</f>
        <v>0</v>
      </c>
      <c r="AB59" s="846"/>
      <c r="AC59" s="957">
        <f t="shared" si="100"/>
        <v>0</v>
      </c>
      <c r="AD59" s="967">
        <f t="shared" si="101"/>
        <v>0</v>
      </c>
      <c r="AE59" s="970">
        <f>'FG1'!J66</f>
        <v>0</v>
      </c>
      <c r="AF59" s="846"/>
      <c r="AG59" s="957">
        <f t="shared" si="102"/>
        <v>0</v>
      </c>
      <c r="AH59" s="967">
        <f t="shared" si="103"/>
        <v>0</v>
      </c>
      <c r="AI59" s="970">
        <f>'FG1'!K66</f>
        <v>0</v>
      </c>
      <c r="AJ59" s="846"/>
      <c r="AK59" s="957">
        <f t="shared" si="104"/>
        <v>0</v>
      </c>
      <c r="AL59" s="967">
        <f t="shared" si="105"/>
        <v>0</v>
      </c>
      <c r="AM59" s="970">
        <f>'FG1'!L66</f>
        <v>0</v>
      </c>
      <c r="AN59" s="846"/>
      <c r="AO59" s="957">
        <f t="shared" si="106"/>
        <v>0</v>
      </c>
      <c r="AP59" s="967">
        <f t="shared" si="107"/>
        <v>0</v>
      </c>
      <c r="AQ59" s="970">
        <f>'FG1'!M66</f>
        <v>0</v>
      </c>
      <c r="AR59" s="846"/>
      <c r="AS59" s="957">
        <f t="shared" si="108"/>
        <v>0</v>
      </c>
      <c r="AT59" s="967">
        <f t="shared" si="109"/>
        <v>0</v>
      </c>
      <c r="AU59" s="970">
        <f>'FG1'!N66</f>
        <v>0</v>
      </c>
      <c r="AV59" s="846"/>
      <c r="AW59" s="957">
        <f t="shared" si="82"/>
        <v>0</v>
      </c>
      <c r="AX59" s="967">
        <f t="shared" si="83"/>
        <v>0</v>
      </c>
      <c r="AY59" s="946">
        <f t="shared" si="84"/>
        <v>0</v>
      </c>
      <c r="AZ59" s="991">
        <f t="shared" si="85"/>
        <v>0</v>
      </c>
      <c r="BA59" s="946">
        <f t="shared" si="86"/>
        <v>0</v>
      </c>
      <c r="BB59" s="967">
        <f t="shared" si="87"/>
        <v>0</v>
      </c>
    </row>
    <row r="60" spans="1:54" ht="13.5" thickBot="1">
      <c r="A60" s="871"/>
      <c r="B60" s="576" t="str">
        <f>'BC1'!A69</f>
        <v>Mauvaises créances</v>
      </c>
      <c r="C60" s="970">
        <f>'FG1'!C68+'BC1'!C69</f>
        <v>0</v>
      </c>
      <c r="D60" s="846"/>
      <c r="E60" s="957">
        <f t="shared" si="88"/>
        <v>0</v>
      </c>
      <c r="F60" s="1035">
        <f t="shared" si="89"/>
        <v>0</v>
      </c>
      <c r="G60" s="970">
        <f>'FG1'!D68</f>
        <v>0</v>
      </c>
      <c r="H60" s="846"/>
      <c r="I60" s="957">
        <f t="shared" si="90"/>
        <v>0</v>
      </c>
      <c r="J60" s="1035">
        <f t="shared" si="91"/>
        <v>0</v>
      </c>
      <c r="K60" s="970">
        <f>'FG1'!E68</f>
        <v>0</v>
      </c>
      <c r="L60" s="846"/>
      <c r="M60" s="957">
        <f t="shared" si="92"/>
        <v>0</v>
      </c>
      <c r="N60" s="1035">
        <f t="shared" si="93"/>
        <v>0</v>
      </c>
      <c r="O60" s="970">
        <f>'FG1'!F68</f>
        <v>0</v>
      </c>
      <c r="P60" s="846"/>
      <c r="Q60" s="957">
        <f t="shared" si="94"/>
        <v>0</v>
      </c>
      <c r="R60" s="1035">
        <f t="shared" si="95"/>
        <v>0</v>
      </c>
      <c r="S60" s="970">
        <f>'FG1'!G68</f>
        <v>0</v>
      </c>
      <c r="T60" s="846"/>
      <c r="U60" s="957">
        <f t="shared" si="96"/>
        <v>0</v>
      </c>
      <c r="V60" s="967">
        <f t="shared" si="97"/>
        <v>0</v>
      </c>
      <c r="W60" s="970">
        <f>'FG1'!H68</f>
        <v>0</v>
      </c>
      <c r="X60" s="846"/>
      <c r="Y60" s="957">
        <f t="shared" si="98"/>
        <v>0</v>
      </c>
      <c r="Z60" s="967">
        <f t="shared" si="99"/>
        <v>0</v>
      </c>
      <c r="AA60" s="970">
        <f>'FG1'!I68</f>
        <v>0</v>
      </c>
      <c r="AB60" s="846"/>
      <c r="AC60" s="957">
        <f t="shared" si="100"/>
        <v>0</v>
      </c>
      <c r="AD60" s="967">
        <f t="shared" si="101"/>
        <v>0</v>
      </c>
      <c r="AE60" s="970">
        <f>'FG1'!J68</f>
        <v>0</v>
      </c>
      <c r="AF60" s="846"/>
      <c r="AG60" s="957">
        <f t="shared" si="102"/>
        <v>0</v>
      </c>
      <c r="AH60" s="967">
        <f t="shared" si="103"/>
        <v>0</v>
      </c>
      <c r="AI60" s="970">
        <f>'FG1'!K68</f>
        <v>0</v>
      </c>
      <c r="AJ60" s="846"/>
      <c r="AK60" s="957">
        <f t="shared" si="104"/>
        <v>0</v>
      </c>
      <c r="AL60" s="967">
        <f t="shared" si="105"/>
        <v>0</v>
      </c>
      <c r="AM60" s="970">
        <f>'FG1'!L68</f>
        <v>0</v>
      </c>
      <c r="AN60" s="846"/>
      <c r="AO60" s="957">
        <f t="shared" si="106"/>
        <v>0</v>
      </c>
      <c r="AP60" s="967">
        <f t="shared" si="107"/>
        <v>0</v>
      </c>
      <c r="AQ60" s="970">
        <f>'FG1'!M68</f>
        <v>0</v>
      </c>
      <c r="AR60" s="846"/>
      <c r="AS60" s="957">
        <f t="shared" si="108"/>
        <v>0</v>
      </c>
      <c r="AT60" s="967">
        <f t="shared" si="109"/>
        <v>0</v>
      </c>
      <c r="AU60" s="970">
        <f>'FG1'!N68</f>
        <v>0</v>
      </c>
      <c r="AV60" s="846"/>
      <c r="AW60" s="957">
        <f t="shared" si="82"/>
        <v>0</v>
      </c>
      <c r="AX60" s="967">
        <f t="shared" si="83"/>
        <v>0</v>
      </c>
      <c r="AY60" s="946">
        <f t="shared" si="84"/>
        <v>0</v>
      </c>
      <c r="AZ60" s="991">
        <f t="shared" si="85"/>
        <v>0</v>
      </c>
      <c r="BA60" s="946">
        <f t="shared" si="86"/>
        <v>0</v>
      </c>
      <c r="BB60" s="967">
        <f t="shared" si="87"/>
        <v>0</v>
      </c>
    </row>
    <row r="61" spans="1:54" ht="13.5" thickBot="1">
      <c r="A61" s="871"/>
      <c r="B61" s="576" t="str">
        <f>'BC1'!A70</f>
        <v>Fournitures de bureau</v>
      </c>
      <c r="C61" s="970">
        <f>'FG1'!C70+'BC1'!C70</f>
        <v>1</v>
      </c>
      <c r="D61" s="846"/>
      <c r="E61" s="957">
        <f t="shared" si="88"/>
        <v>-1</v>
      </c>
      <c r="F61" s="1035">
        <f t="shared" si="89"/>
        <v>-1</v>
      </c>
      <c r="G61" s="970">
        <f>'FG1'!D70</f>
        <v>0</v>
      </c>
      <c r="H61" s="846"/>
      <c r="I61" s="957">
        <f t="shared" si="90"/>
        <v>0</v>
      </c>
      <c r="J61" s="1035">
        <f t="shared" si="91"/>
        <v>0</v>
      </c>
      <c r="K61" s="970">
        <f>'FG1'!E70</f>
        <v>0</v>
      </c>
      <c r="L61" s="846"/>
      <c r="M61" s="957">
        <f t="shared" si="92"/>
        <v>0</v>
      </c>
      <c r="N61" s="1035">
        <f t="shared" si="93"/>
        <v>0</v>
      </c>
      <c r="O61" s="970">
        <f>'FG1'!F70</f>
        <v>0</v>
      </c>
      <c r="P61" s="846"/>
      <c r="Q61" s="957">
        <f t="shared" si="94"/>
        <v>0</v>
      </c>
      <c r="R61" s="1035">
        <f t="shared" si="95"/>
        <v>0</v>
      </c>
      <c r="S61" s="970">
        <f>'FG1'!G70</f>
        <v>0</v>
      </c>
      <c r="T61" s="846"/>
      <c r="U61" s="957">
        <f t="shared" si="96"/>
        <v>0</v>
      </c>
      <c r="V61" s="967">
        <f t="shared" si="97"/>
        <v>0</v>
      </c>
      <c r="W61" s="970">
        <f>'FG1'!H70</f>
        <v>0</v>
      </c>
      <c r="X61" s="846"/>
      <c r="Y61" s="957">
        <f t="shared" si="98"/>
        <v>0</v>
      </c>
      <c r="Z61" s="967">
        <f t="shared" si="99"/>
        <v>0</v>
      </c>
      <c r="AA61" s="970">
        <f>'FG1'!I70</f>
        <v>0</v>
      </c>
      <c r="AB61" s="846"/>
      <c r="AC61" s="957">
        <f t="shared" si="100"/>
        <v>0</v>
      </c>
      <c r="AD61" s="967">
        <f t="shared" si="101"/>
        <v>0</v>
      </c>
      <c r="AE61" s="970">
        <f>'FG1'!J70</f>
        <v>0</v>
      </c>
      <c r="AF61" s="846"/>
      <c r="AG61" s="957">
        <f t="shared" si="102"/>
        <v>0</v>
      </c>
      <c r="AH61" s="967">
        <f t="shared" si="103"/>
        <v>0</v>
      </c>
      <c r="AI61" s="970">
        <f>'FG1'!K70</f>
        <v>0</v>
      </c>
      <c r="AJ61" s="846"/>
      <c r="AK61" s="957">
        <f t="shared" si="104"/>
        <v>0</v>
      </c>
      <c r="AL61" s="967">
        <f t="shared" si="105"/>
        <v>0</v>
      </c>
      <c r="AM61" s="970">
        <f>'FG1'!L70</f>
        <v>0</v>
      </c>
      <c r="AN61" s="846"/>
      <c r="AO61" s="957">
        <f t="shared" si="106"/>
        <v>0</v>
      </c>
      <c r="AP61" s="967">
        <f t="shared" si="107"/>
        <v>0</v>
      </c>
      <c r="AQ61" s="970">
        <f>'FG1'!M70</f>
        <v>0</v>
      </c>
      <c r="AR61" s="846"/>
      <c r="AS61" s="957">
        <f t="shared" si="108"/>
        <v>0</v>
      </c>
      <c r="AT61" s="967">
        <f t="shared" si="109"/>
        <v>0</v>
      </c>
      <c r="AU61" s="970">
        <f>'FG1'!N70</f>
        <v>0</v>
      </c>
      <c r="AV61" s="846"/>
      <c r="AW61" s="957">
        <f t="shared" si="82"/>
        <v>0</v>
      </c>
      <c r="AX61" s="967">
        <f t="shared" si="83"/>
        <v>0</v>
      </c>
      <c r="AY61" s="946">
        <f t="shared" si="84"/>
        <v>1</v>
      </c>
      <c r="AZ61" s="991">
        <f t="shared" si="85"/>
        <v>0</v>
      </c>
      <c r="BA61" s="946">
        <f t="shared" si="86"/>
        <v>-1</v>
      </c>
      <c r="BB61" s="967">
        <f t="shared" si="87"/>
        <v>-1</v>
      </c>
    </row>
    <row r="62" spans="1:54" ht="13.5" thickBot="1">
      <c r="A62" s="871"/>
      <c r="B62" s="576" t="str">
        <f>'BC1'!A71</f>
        <v>Fais d'hébèrgement de site Web</v>
      </c>
      <c r="C62" s="970">
        <f>'FG1'!C72+'BC1'!C71</f>
        <v>0</v>
      </c>
      <c r="D62" s="846"/>
      <c r="E62" s="957">
        <f t="shared" si="88"/>
        <v>0</v>
      </c>
      <c r="F62" s="1035">
        <f t="shared" si="89"/>
        <v>0</v>
      </c>
      <c r="G62" s="970">
        <f>'FG1'!D72</f>
        <v>0</v>
      </c>
      <c r="H62" s="846"/>
      <c r="I62" s="957">
        <f t="shared" si="90"/>
        <v>0</v>
      </c>
      <c r="J62" s="1035">
        <f t="shared" si="91"/>
        <v>0</v>
      </c>
      <c r="K62" s="970">
        <f>'FG1'!E72</f>
        <v>0</v>
      </c>
      <c r="L62" s="846"/>
      <c r="M62" s="957">
        <f t="shared" si="92"/>
        <v>0</v>
      </c>
      <c r="N62" s="1035">
        <f t="shared" si="93"/>
        <v>0</v>
      </c>
      <c r="O62" s="970">
        <f>'FG1'!F72</f>
        <v>0</v>
      </c>
      <c r="P62" s="846"/>
      <c r="Q62" s="957">
        <f t="shared" si="94"/>
        <v>0</v>
      </c>
      <c r="R62" s="1035">
        <f t="shared" si="95"/>
        <v>0</v>
      </c>
      <c r="S62" s="970">
        <f>'FG1'!G72</f>
        <v>0</v>
      </c>
      <c r="T62" s="846"/>
      <c r="U62" s="957">
        <f t="shared" si="96"/>
        <v>0</v>
      </c>
      <c r="V62" s="967">
        <f t="shared" si="97"/>
        <v>0</v>
      </c>
      <c r="W62" s="970">
        <f>'FG1'!H72</f>
        <v>0</v>
      </c>
      <c r="X62" s="846"/>
      <c r="Y62" s="957">
        <f t="shared" si="98"/>
        <v>0</v>
      </c>
      <c r="Z62" s="967">
        <f t="shared" si="99"/>
        <v>0</v>
      </c>
      <c r="AA62" s="970">
        <f>'FG1'!I72</f>
        <v>0</v>
      </c>
      <c r="AB62" s="846"/>
      <c r="AC62" s="957">
        <f t="shared" si="100"/>
        <v>0</v>
      </c>
      <c r="AD62" s="967">
        <f t="shared" si="101"/>
        <v>0</v>
      </c>
      <c r="AE62" s="970">
        <f>'FG1'!J72</f>
        <v>0</v>
      </c>
      <c r="AF62" s="846"/>
      <c r="AG62" s="957">
        <f t="shared" si="102"/>
        <v>0</v>
      </c>
      <c r="AH62" s="967">
        <f t="shared" si="103"/>
        <v>0</v>
      </c>
      <c r="AI62" s="970">
        <f>'FG1'!K72</f>
        <v>0</v>
      </c>
      <c r="AJ62" s="846"/>
      <c r="AK62" s="957">
        <f t="shared" si="104"/>
        <v>0</v>
      </c>
      <c r="AL62" s="967">
        <f t="shared" si="105"/>
        <v>0</v>
      </c>
      <c r="AM62" s="970">
        <f>'FG1'!L72</f>
        <v>0</v>
      </c>
      <c r="AN62" s="846"/>
      <c r="AO62" s="957">
        <f t="shared" si="106"/>
        <v>0</v>
      </c>
      <c r="AP62" s="967">
        <f t="shared" si="107"/>
        <v>0</v>
      </c>
      <c r="AQ62" s="970">
        <f>'FG1'!M72</f>
        <v>0</v>
      </c>
      <c r="AR62" s="846"/>
      <c r="AS62" s="957">
        <f t="shared" si="108"/>
        <v>0</v>
      </c>
      <c r="AT62" s="967">
        <f t="shared" si="109"/>
        <v>0</v>
      </c>
      <c r="AU62" s="970">
        <f>'FG1'!N72</f>
        <v>0</v>
      </c>
      <c r="AV62" s="846"/>
      <c r="AW62" s="957">
        <f t="shared" si="82"/>
        <v>0</v>
      </c>
      <c r="AX62" s="967">
        <f t="shared" si="83"/>
        <v>0</v>
      </c>
      <c r="AY62" s="946">
        <f t="shared" si="84"/>
        <v>0</v>
      </c>
      <c r="AZ62" s="991">
        <f t="shared" si="85"/>
        <v>0</v>
      </c>
      <c r="BA62" s="946">
        <f t="shared" si="86"/>
        <v>0</v>
      </c>
      <c r="BB62" s="967">
        <f t="shared" si="87"/>
        <v>0</v>
      </c>
    </row>
    <row r="63" spans="1:54" ht="13.5" thickBot="1">
      <c r="A63" s="871"/>
      <c r="B63" s="576" t="str">
        <f>'BC1'!A72</f>
        <v>Autres frais d'administration 2</v>
      </c>
      <c r="C63" s="970">
        <f>'FG1'!C73+'BC1'!C72</f>
        <v>0</v>
      </c>
      <c r="D63" s="846"/>
      <c r="E63" s="957">
        <f>D63-C63</f>
        <v>0</v>
      </c>
      <c r="F63" s="1035">
        <f>IF(C63=0,0,E63/C63)</f>
        <v>0</v>
      </c>
      <c r="G63" s="970">
        <f>'FG1'!D73</f>
        <v>0</v>
      </c>
      <c r="H63" s="846"/>
      <c r="I63" s="957">
        <f>H63-G63</f>
        <v>0</v>
      </c>
      <c r="J63" s="1035">
        <f>IF(G63=0,0,I63/G63)</f>
        <v>0</v>
      </c>
      <c r="K63" s="970">
        <f>'FG1'!E73</f>
        <v>0</v>
      </c>
      <c r="L63" s="846"/>
      <c r="M63" s="957">
        <f>L63-K63</f>
        <v>0</v>
      </c>
      <c r="N63" s="1035">
        <f>IF(K63=0,0,M63/K63)</f>
        <v>0</v>
      </c>
      <c r="O63" s="970">
        <f>'FG1'!F73</f>
        <v>0</v>
      </c>
      <c r="P63" s="846"/>
      <c r="Q63" s="957">
        <f>P63-O63</f>
        <v>0</v>
      </c>
      <c r="R63" s="1035">
        <f>IF(O63=0,0,Q63/O63)</f>
        <v>0</v>
      </c>
      <c r="S63" s="970">
        <f>'FG1'!G73</f>
        <v>0</v>
      </c>
      <c r="T63" s="846"/>
      <c r="U63" s="957">
        <f>T63-S63</f>
        <v>0</v>
      </c>
      <c r="V63" s="967">
        <f>IF(S63=0,0,U63/S63)</f>
        <v>0</v>
      </c>
      <c r="W63" s="970">
        <f>'FG1'!H73</f>
        <v>0</v>
      </c>
      <c r="X63" s="846"/>
      <c r="Y63" s="957">
        <f>X63-W63</f>
        <v>0</v>
      </c>
      <c r="Z63" s="967">
        <f>IF(W63=0,0,Y63/W63)</f>
        <v>0</v>
      </c>
      <c r="AA63" s="970">
        <f>'FG1'!I73</f>
        <v>0</v>
      </c>
      <c r="AB63" s="846"/>
      <c r="AC63" s="957">
        <f>AB63-AA63</f>
        <v>0</v>
      </c>
      <c r="AD63" s="967">
        <f>IF(AA63=0,0,AC63/AA63)</f>
        <v>0</v>
      </c>
      <c r="AE63" s="970">
        <f>'FG1'!J73</f>
        <v>0</v>
      </c>
      <c r="AF63" s="846"/>
      <c r="AG63" s="957">
        <f>AF63-AE63</f>
        <v>0</v>
      </c>
      <c r="AH63" s="967">
        <f>IF(AE63=0,0,AG63/AE63)</f>
        <v>0</v>
      </c>
      <c r="AI63" s="970">
        <f>'FG1'!K73</f>
        <v>0</v>
      </c>
      <c r="AJ63" s="846"/>
      <c r="AK63" s="957">
        <f>AJ63-AI63</f>
        <v>0</v>
      </c>
      <c r="AL63" s="967">
        <f>IF(AI63=0,0,AK63/AI63)</f>
        <v>0</v>
      </c>
      <c r="AM63" s="970">
        <f>'FG1'!L73</f>
        <v>0</v>
      </c>
      <c r="AN63" s="846"/>
      <c r="AO63" s="957">
        <f>AN63-AM63</f>
        <v>0</v>
      </c>
      <c r="AP63" s="967">
        <f>IF(AM63=0,0,AO63/AM63)</f>
        <v>0</v>
      </c>
      <c r="AQ63" s="970">
        <f>'FG1'!M73</f>
        <v>0</v>
      </c>
      <c r="AR63" s="846"/>
      <c r="AS63" s="957">
        <f>AR63-AQ63</f>
        <v>0</v>
      </c>
      <c r="AT63" s="967">
        <f>IF(AQ63=0,0,AS63/AQ63)</f>
        <v>0</v>
      </c>
      <c r="AU63" s="970">
        <f>'FG1'!N73</f>
        <v>0</v>
      </c>
      <c r="AV63" s="846"/>
      <c r="AW63" s="957">
        <f>AV63-AU63</f>
        <v>0</v>
      </c>
      <c r="AX63" s="967">
        <f>IF(AU63=0,0,AW63/AU63)</f>
        <v>0</v>
      </c>
      <c r="AY63" s="946">
        <f t="shared" ref="AY63:AZ67" si="110">C63+G63+K63+O63+S63+W63+AA63+AE63+AI63+AM63+AQ63+AU63</f>
        <v>0</v>
      </c>
      <c r="AZ63" s="991">
        <f t="shared" si="110"/>
        <v>0</v>
      </c>
      <c r="BA63" s="946">
        <f>AZ63-AY63</f>
        <v>0</v>
      </c>
      <c r="BB63" s="967">
        <f>IF(AY63=0,0,BA63/AY63)</f>
        <v>0</v>
      </c>
    </row>
    <row r="64" spans="1:54" ht="13.5" thickBot="1">
      <c r="A64" s="871"/>
      <c r="B64" s="576" t="str">
        <f>'BC1'!A73</f>
        <v>Autres frais d'administration 3</v>
      </c>
      <c r="C64" s="970">
        <f>'FG1'!C74+'BC1'!C73</f>
        <v>0</v>
      </c>
      <c r="D64" s="846"/>
      <c r="E64" s="957">
        <f>D64-C64</f>
        <v>0</v>
      </c>
      <c r="F64" s="1035">
        <f>IF(C64=0,0,E64/C64)</f>
        <v>0</v>
      </c>
      <c r="G64" s="970">
        <f>'FG1'!D74</f>
        <v>0</v>
      </c>
      <c r="H64" s="846"/>
      <c r="I64" s="957">
        <f>H64-G64</f>
        <v>0</v>
      </c>
      <c r="J64" s="1035">
        <f>IF(G64=0,0,I64/G64)</f>
        <v>0</v>
      </c>
      <c r="K64" s="970">
        <f>'FG1'!E74</f>
        <v>0</v>
      </c>
      <c r="L64" s="846"/>
      <c r="M64" s="957">
        <f>L64-K64</f>
        <v>0</v>
      </c>
      <c r="N64" s="1035">
        <f>IF(K64=0,0,M64/K64)</f>
        <v>0</v>
      </c>
      <c r="O64" s="970">
        <f>'FG1'!F74</f>
        <v>0</v>
      </c>
      <c r="P64" s="846"/>
      <c r="Q64" s="957">
        <f>P64-O64</f>
        <v>0</v>
      </c>
      <c r="R64" s="1035">
        <f>IF(O64=0,0,Q64/O64)</f>
        <v>0</v>
      </c>
      <c r="S64" s="970">
        <f>'FG1'!G74</f>
        <v>0</v>
      </c>
      <c r="T64" s="846"/>
      <c r="U64" s="957">
        <f>T64-S64</f>
        <v>0</v>
      </c>
      <c r="V64" s="967">
        <f>IF(S64=0,0,U64/S64)</f>
        <v>0</v>
      </c>
      <c r="W64" s="970">
        <f>'FG1'!H74</f>
        <v>0</v>
      </c>
      <c r="X64" s="846"/>
      <c r="Y64" s="957">
        <f>X64-W64</f>
        <v>0</v>
      </c>
      <c r="Z64" s="967">
        <f>IF(W64=0,0,Y64/W64)</f>
        <v>0</v>
      </c>
      <c r="AA64" s="970">
        <f>'FG1'!I74</f>
        <v>0</v>
      </c>
      <c r="AB64" s="846"/>
      <c r="AC64" s="957">
        <f>AB64-AA64</f>
        <v>0</v>
      </c>
      <c r="AD64" s="967">
        <f>IF(AA64=0,0,AC64/AA64)</f>
        <v>0</v>
      </c>
      <c r="AE64" s="970">
        <f>'FG1'!J74</f>
        <v>0</v>
      </c>
      <c r="AF64" s="846"/>
      <c r="AG64" s="957">
        <f>AF64-AE64</f>
        <v>0</v>
      </c>
      <c r="AH64" s="967">
        <f>IF(AE64=0,0,AG64/AE64)</f>
        <v>0</v>
      </c>
      <c r="AI64" s="970">
        <f>'FG1'!K74</f>
        <v>0</v>
      </c>
      <c r="AJ64" s="846"/>
      <c r="AK64" s="957">
        <f>AJ64-AI64</f>
        <v>0</v>
      </c>
      <c r="AL64" s="967">
        <f>IF(AI64=0,0,AK64/AI64)</f>
        <v>0</v>
      </c>
      <c r="AM64" s="970">
        <f>'FG1'!L74</f>
        <v>0</v>
      </c>
      <c r="AN64" s="846"/>
      <c r="AO64" s="957">
        <f>AN64-AM64</f>
        <v>0</v>
      </c>
      <c r="AP64" s="967">
        <f>IF(AM64=0,0,AO64/AM64)</f>
        <v>0</v>
      </c>
      <c r="AQ64" s="970">
        <f>'FG1'!M74</f>
        <v>0</v>
      </c>
      <c r="AR64" s="846"/>
      <c r="AS64" s="957">
        <f>AR64-AQ64</f>
        <v>0</v>
      </c>
      <c r="AT64" s="967">
        <f>IF(AQ64=0,0,AS64/AQ64)</f>
        <v>0</v>
      </c>
      <c r="AU64" s="970">
        <f>'FG1'!N74</f>
        <v>0</v>
      </c>
      <c r="AV64" s="846"/>
      <c r="AW64" s="957">
        <f>AV64-AU64</f>
        <v>0</v>
      </c>
      <c r="AX64" s="967">
        <f>IF(AU64=0,0,AW64/AU64)</f>
        <v>0</v>
      </c>
      <c r="AY64" s="946">
        <f t="shared" si="110"/>
        <v>0</v>
      </c>
      <c r="AZ64" s="991">
        <f t="shared" si="110"/>
        <v>0</v>
      </c>
      <c r="BA64" s="946">
        <f>AZ64-AY64</f>
        <v>0</v>
      </c>
      <c r="BB64" s="967">
        <f>IF(AY64=0,0,BA64/AY64)</f>
        <v>0</v>
      </c>
    </row>
    <row r="65" spans="1:54" ht="13.5" thickBot="1">
      <c r="A65" s="871"/>
      <c r="B65" s="576" t="str">
        <f>'BC1'!A74</f>
        <v>Autres frais d'administration 4</v>
      </c>
      <c r="C65" s="970">
        <f>'FG1'!C75+'BC1'!C74</f>
        <v>0</v>
      </c>
      <c r="D65" s="846"/>
      <c r="E65" s="957">
        <f>D65-C65</f>
        <v>0</v>
      </c>
      <c r="F65" s="1035">
        <f>IF(C65=0,0,E65/C65)</f>
        <v>0</v>
      </c>
      <c r="G65" s="970">
        <f>'FG1'!D75</f>
        <v>0</v>
      </c>
      <c r="H65" s="846"/>
      <c r="I65" s="957">
        <f>H65-G65</f>
        <v>0</v>
      </c>
      <c r="J65" s="1035">
        <f>IF(G65=0,0,I65/G65)</f>
        <v>0</v>
      </c>
      <c r="K65" s="970">
        <f>'FG1'!E75</f>
        <v>0</v>
      </c>
      <c r="L65" s="846"/>
      <c r="M65" s="957">
        <f>L65-K65</f>
        <v>0</v>
      </c>
      <c r="N65" s="1035">
        <f>IF(K65=0,0,M65/K65)</f>
        <v>0</v>
      </c>
      <c r="O65" s="970">
        <f>'FG1'!F75</f>
        <v>0</v>
      </c>
      <c r="P65" s="846"/>
      <c r="Q65" s="957">
        <f>P65-O65</f>
        <v>0</v>
      </c>
      <c r="R65" s="1035">
        <f>IF(O65=0,0,Q65/O65)</f>
        <v>0</v>
      </c>
      <c r="S65" s="970">
        <f>'FG1'!G75</f>
        <v>0</v>
      </c>
      <c r="T65" s="846"/>
      <c r="U65" s="957">
        <f>T65-S65</f>
        <v>0</v>
      </c>
      <c r="V65" s="967">
        <f>IF(S65=0,0,U65/S65)</f>
        <v>0</v>
      </c>
      <c r="W65" s="970">
        <f>'FG1'!H75</f>
        <v>0</v>
      </c>
      <c r="X65" s="846"/>
      <c r="Y65" s="957">
        <f>X65-W65</f>
        <v>0</v>
      </c>
      <c r="Z65" s="967">
        <f>IF(W65=0,0,Y65/W65)</f>
        <v>0</v>
      </c>
      <c r="AA65" s="970">
        <f>'FG1'!I75</f>
        <v>0</v>
      </c>
      <c r="AB65" s="846"/>
      <c r="AC65" s="957">
        <f>AB65-AA65</f>
        <v>0</v>
      </c>
      <c r="AD65" s="967">
        <f>IF(AA65=0,0,AC65/AA65)</f>
        <v>0</v>
      </c>
      <c r="AE65" s="970">
        <f>'FG1'!J75</f>
        <v>0</v>
      </c>
      <c r="AF65" s="846"/>
      <c r="AG65" s="957">
        <f>AF65-AE65</f>
        <v>0</v>
      </c>
      <c r="AH65" s="967">
        <f>IF(AE65=0,0,AG65/AE65)</f>
        <v>0</v>
      </c>
      <c r="AI65" s="970">
        <f>'FG1'!K75</f>
        <v>0</v>
      </c>
      <c r="AJ65" s="846"/>
      <c r="AK65" s="957">
        <f>AJ65-AI65</f>
        <v>0</v>
      </c>
      <c r="AL65" s="967">
        <f>IF(AI65=0,0,AK65/AI65)</f>
        <v>0</v>
      </c>
      <c r="AM65" s="970">
        <f>'FG1'!L75</f>
        <v>0</v>
      </c>
      <c r="AN65" s="846"/>
      <c r="AO65" s="957">
        <f>AN65-AM65</f>
        <v>0</v>
      </c>
      <c r="AP65" s="967">
        <f>IF(AM65=0,0,AO65/AM65)</f>
        <v>0</v>
      </c>
      <c r="AQ65" s="970">
        <f>'FG1'!M75</f>
        <v>0</v>
      </c>
      <c r="AR65" s="846"/>
      <c r="AS65" s="957">
        <f>AR65-AQ65</f>
        <v>0</v>
      </c>
      <c r="AT65" s="967">
        <f>IF(AQ65=0,0,AS65/AQ65)</f>
        <v>0</v>
      </c>
      <c r="AU65" s="970">
        <f>'FG1'!N75</f>
        <v>0</v>
      </c>
      <c r="AV65" s="846"/>
      <c r="AW65" s="957">
        <f>AV65-AU65</f>
        <v>0</v>
      </c>
      <c r="AX65" s="967">
        <f>IF(AU65=0,0,AW65/AU65)</f>
        <v>0</v>
      </c>
      <c r="AY65" s="946">
        <f t="shared" si="110"/>
        <v>0</v>
      </c>
      <c r="AZ65" s="991">
        <f t="shared" si="110"/>
        <v>0</v>
      </c>
      <c r="BA65" s="946">
        <f>AZ65-AY65</f>
        <v>0</v>
      </c>
      <c r="BB65" s="967">
        <f>IF(AY65=0,0,BA65/AY65)</f>
        <v>0</v>
      </c>
    </row>
    <row r="66" spans="1:54" ht="13.5" thickBot="1">
      <c r="A66" s="871"/>
      <c r="B66" s="576" t="str">
        <f>'BC1'!A75</f>
        <v>Autres frais d'administration 5</v>
      </c>
      <c r="C66" s="970">
        <f>'FG1'!C76+'BC1'!C75</f>
        <v>0</v>
      </c>
      <c r="D66" s="846"/>
      <c r="E66" s="957">
        <f>D66-C66</f>
        <v>0</v>
      </c>
      <c r="F66" s="1035">
        <f>IF(C66=0,0,E66/C66)</f>
        <v>0</v>
      </c>
      <c r="G66" s="970">
        <f>'FG1'!D76</f>
        <v>0</v>
      </c>
      <c r="H66" s="846"/>
      <c r="I66" s="957">
        <f>H66-G66</f>
        <v>0</v>
      </c>
      <c r="J66" s="1035">
        <f>IF(G66=0,0,I66/G66)</f>
        <v>0</v>
      </c>
      <c r="K66" s="970">
        <f>'FG1'!E76</f>
        <v>0</v>
      </c>
      <c r="L66" s="846"/>
      <c r="M66" s="957">
        <f>L66-K66</f>
        <v>0</v>
      </c>
      <c r="N66" s="1035">
        <f>IF(K66=0,0,M66/K66)</f>
        <v>0</v>
      </c>
      <c r="O66" s="970">
        <f>'FG1'!F76</f>
        <v>0</v>
      </c>
      <c r="P66" s="846"/>
      <c r="Q66" s="957">
        <f>P66-O66</f>
        <v>0</v>
      </c>
      <c r="R66" s="1035">
        <f>IF(O66=0,0,Q66/O66)</f>
        <v>0</v>
      </c>
      <c r="S66" s="970">
        <f>'FG1'!G76</f>
        <v>0</v>
      </c>
      <c r="T66" s="846"/>
      <c r="U66" s="957">
        <f>T66-S66</f>
        <v>0</v>
      </c>
      <c r="V66" s="967">
        <f>IF(S66=0,0,U66/S66)</f>
        <v>0</v>
      </c>
      <c r="W66" s="970">
        <f>'FG1'!H76</f>
        <v>0</v>
      </c>
      <c r="X66" s="846"/>
      <c r="Y66" s="957">
        <f>X66-W66</f>
        <v>0</v>
      </c>
      <c r="Z66" s="967">
        <f>IF(W66=0,0,Y66/W66)</f>
        <v>0</v>
      </c>
      <c r="AA66" s="970">
        <f>'FG1'!I76</f>
        <v>0</v>
      </c>
      <c r="AB66" s="846"/>
      <c r="AC66" s="957">
        <f>AB66-AA66</f>
        <v>0</v>
      </c>
      <c r="AD66" s="967">
        <f>IF(AA66=0,0,AC66/AA66)</f>
        <v>0</v>
      </c>
      <c r="AE66" s="970">
        <f>'FG1'!J76</f>
        <v>0</v>
      </c>
      <c r="AF66" s="846"/>
      <c r="AG66" s="957">
        <f>AF66-AE66</f>
        <v>0</v>
      </c>
      <c r="AH66" s="967">
        <f>IF(AE66=0,0,AG66/AE66)</f>
        <v>0</v>
      </c>
      <c r="AI66" s="970">
        <f>'FG1'!K76</f>
        <v>0</v>
      </c>
      <c r="AJ66" s="846"/>
      <c r="AK66" s="957">
        <f>AJ66-AI66</f>
        <v>0</v>
      </c>
      <c r="AL66" s="967">
        <f>IF(AI66=0,0,AK66/AI66)</f>
        <v>0</v>
      </c>
      <c r="AM66" s="970">
        <f>'FG1'!L76</f>
        <v>0</v>
      </c>
      <c r="AN66" s="846"/>
      <c r="AO66" s="957">
        <f>AN66-AM66</f>
        <v>0</v>
      </c>
      <c r="AP66" s="967">
        <f>IF(AM66=0,0,AO66/AM66)</f>
        <v>0</v>
      </c>
      <c r="AQ66" s="970">
        <f>'FG1'!M76</f>
        <v>0</v>
      </c>
      <c r="AR66" s="846"/>
      <c r="AS66" s="957">
        <f>AR66-AQ66</f>
        <v>0</v>
      </c>
      <c r="AT66" s="967">
        <f>IF(AQ66=0,0,AS66/AQ66)</f>
        <v>0</v>
      </c>
      <c r="AU66" s="970">
        <f>'FG1'!N76</f>
        <v>0</v>
      </c>
      <c r="AV66" s="846"/>
      <c r="AW66" s="957">
        <f>AV66-AU66</f>
        <v>0</v>
      </c>
      <c r="AX66" s="967">
        <f>IF(AU66=0,0,AW66/AU66)</f>
        <v>0</v>
      </c>
      <c r="AY66" s="946">
        <f t="shared" si="110"/>
        <v>0</v>
      </c>
      <c r="AZ66" s="991">
        <f t="shared" si="110"/>
        <v>0</v>
      </c>
      <c r="BA66" s="946">
        <f>AZ66-AY66</f>
        <v>0</v>
      </c>
      <c r="BB66" s="967">
        <f>IF(AY66=0,0,BA66/AY66)</f>
        <v>0</v>
      </c>
    </row>
    <row r="67" spans="1:54" ht="13.5" thickBot="1">
      <c r="A67" s="871"/>
      <c r="B67" s="576" t="str">
        <f>'BC1'!A76</f>
        <v>Autres frais d'administration 6</v>
      </c>
      <c r="C67" s="970">
        <f>'FG1'!C77+'BC1'!C76</f>
        <v>0</v>
      </c>
      <c r="D67" s="846"/>
      <c r="E67" s="957">
        <f>D67-C67</f>
        <v>0</v>
      </c>
      <c r="F67" s="1035">
        <f>IF(C67=0,0,E67/C67)</f>
        <v>0</v>
      </c>
      <c r="G67" s="970">
        <f>'FG1'!D77</f>
        <v>0</v>
      </c>
      <c r="H67" s="846"/>
      <c r="I67" s="957">
        <f>H67-G67</f>
        <v>0</v>
      </c>
      <c r="J67" s="1035">
        <f>IF(G67=0,0,I67/G67)</f>
        <v>0</v>
      </c>
      <c r="K67" s="970">
        <f>'FG1'!E77</f>
        <v>0</v>
      </c>
      <c r="L67" s="846"/>
      <c r="M67" s="957">
        <f>L67-K67</f>
        <v>0</v>
      </c>
      <c r="N67" s="1035">
        <f>IF(K67=0,0,M67/K67)</f>
        <v>0</v>
      </c>
      <c r="O67" s="970">
        <f>'FG1'!F77</f>
        <v>0</v>
      </c>
      <c r="P67" s="846"/>
      <c r="Q67" s="957">
        <f>P67-O67</f>
        <v>0</v>
      </c>
      <c r="R67" s="1035">
        <f>IF(O67=0,0,Q67/O67)</f>
        <v>0</v>
      </c>
      <c r="S67" s="970">
        <f>'FG1'!G77</f>
        <v>0</v>
      </c>
      <c r="T67" s="846"/>
      <c r="U67" s="957">
        <f>T67-S67</f>
        <v>0</v>
      </c>
      <c r="V67" s="967">
        <f>IF(S67=0,0,U67/S67)</f>
        <v>0</v>
      </c>
      <c r="W67" s="970">
        <f>'FG1'!H77</f>
        <v>0</v>
      </c>
      <c r="X67" s="846"/>
      <c r="Y67" s="957">
        <f>X67-W67</f>
        <v>0</v>
      </c>
      <c r="Z67" s="967">
        <f>IF(W67=0,0,Y67/W67)</f>
        <v>0</v>
      </c>
      <c r="AA67" s="970">
        <f>'FG1'!I77</f>
        <v>0</v>
      </c>
      <c r="AB67" s="846"/>
      <c r="AC67" s="957">
        <f>AB67-AA67</f>
        <v>0</v>
      </c>
      <c r="AD67" s="967">
        <f>IF(AA67=0,0,AC67/AA67)</f>
        <v>0</v>
      </c>
      <c r="AE67" s="970">
        <f>'FG1'!J77</f>
        <v>0</v>
      </c>
      <c r="AF67" s="846"/>
      <c r="AG67" s="957">
        <f>AF67-AE67</f>
        <v>0</v>
      </c>
      <c r="AH67" s="967">
        <f>IF(AE67=0,0,AG67/AE67)</f>
        <v>0</v>
      </c>
      <c r="AI67" s="970">
        <f>'FG1'!K77</f>
        <v>0</v>
      </c>
      <c r="AJ67" s="846"/>
      <c r="AK67" s="957">
        <f>AJ67-AI67</f>
        <v>0</v>
      </c>
      <c r="AL67" s="967">
        <f>IF(AI67=0,0,AK67/AI67)</f>
        <v>0</v>
      </c>
      <c r="AM67" s="970">
        <f>'FG1'!L77</f>
        <v>0</v>
      </c>
      <c r="AN67" s="846"/>
      <c r="AO67" s="957">
        <f>AN67-AM67</f>
        <v>0</v>
      </c>
      <c r="AP67" s="967">
        <f>IF(AM67=0,0,AO67/AM67)</f>
        <v>0</v>
      </c>
      <c r="AQ67" s="970">
        <f>'FG1'!M77</f>
        <v>0</v>
      </c>
      <c r="AR67" s="846"/>
      <c r="AS67" s="957">
        <f>AR67-AQ67</f>
        <v>0</v>
      </c>
      <c r="AT67" s="967">
        <f>IF(AQ67=0,0,AS67/AQ67)</f>
        <v>0</v>
      </c>
      <c r="AU67" s="970">
        <f>'FG1'!N77</f>
        <v>0</v>
      </c>
      <c r="AV67" s="846"/>
      <c r="AW67" s="957">
        <f>AV67-AU67</f>
        <v>0</v>
      </c>
      <c r="AX67" s="967">
        <f>IF(AU67=0,0,AW67/AU67)</f>
        <v>0</v>
      </c>
      <c r="AY67" s="946">
        <f t="shared" si="110"/>
        <v>0</v>
      </c>
      <c r="AZ67" s="991">
        <f t="shared" si="110"/>
        <v>0</v>
      </c>
      <c r="BA67" s="946">
        <f>AZ67-AY67</f>
        <v>0</v>
      </c>
      <c r="BB67" s="967">
        <f>IF(AY67=0,0,BA67/AY67)</f>
        <v>0</v>
      </c>
    </row>
    <row r="68" spans="1:54" ht="13.5" thickBot="1">
      <c r="A68" s="1127" t="str">
        <f>'BC1'!A77</f>
        <v>FRAIS FINANCIERS</v>
      </c>
      <c r="B68" s="1127"/>
      <c r="C68" s="970"/>
      <c r="D68" s="946"/>
      <c r="E68" s="957"/>
      <c r="F68" s="1036"/>
      <c r="G68" s="970"/>
      <c r="H68" s="946"/>
      <c r="I68" s="957"/>
      <c r="J68" s="1036"/>
      <c r="K68" s="970"/>
      <c r="L68" s="946"/>
      <c r="M68" s="957"/>
      <c r="N68" s="1036"/>
      <c r="O68" s="970"/>
      <c r="P68" s="946"/>
      <c r="Q68" s="957"/>
      <c r="R68" s="1036"/>
      <c r="S68" s="970"/>
      <c r="T68" s="946"/>
      <c r="U68" s="957"/>
      <c r="V68" s="969"/>
      <c r="W68" s="970"/>
      <c r="X68" s="946"/>
      <c r="Y68" s="957"/>
      <c r="Z68" s="969"/>
      <c r="AA68" s="970"/>
      <c r="AB68" s="946"/>
      <c r="AC68" s="957"/>
      <c r="AD68" s="969"/>
      <c r="AE68" s="970"/>
      <c r="AF68" s="946"/>
      <c r="AG68" s="957"/>
      <c r="AH68" s="969"/>
      <c r="AI68" s="970"/>
      <c r="AJ68" s="946"/>
      <c r="AK68" s="957"/>
      <c r="AL68" s="969"/>
      <c r="AM68" s="970"/>
      <c r="AN68" s="946"/>
      <c r="AO68" s="957"/>
      <c r="AP68" s="969"/>
      <c r="AQ68" s="970"/>
      <c r="AR68" s="946"/>
      <c r="AS68" s="957"/>
      <c r="AT68" s="969"/>
      <c r="AU68" s="970"/>
      <c r="AV68" s="946"/>
      <c r="AW68" s="957"/>
      <c r="AX68" s="969"/>
      <c r="AY68" s="984"/>
      <c r="AZ68" s="946"/>
      <c r="BA68" s="946"/>
      <c r="BB68" s="969"/>
    </row>
    <row r="69" spans="1:54" ht="13.5" thickBot="1">
      <c r="A69" s="871"/>
      <c r="B69" s="576" t="str">
        <f>'BC1'!A78</f>
        <v>Frais bancaires</v>
      </c>
      <c r="C69" s="970">
        <f>'FG1'!C85+'BC1'!C78</f>
        <v>1</v>
      </c>
      <c r="D69" s="846"/>
      <c r="E69" s="957">
        <f t="shared" ref="E69:E75" si="111">D69-C69</f>
        <v>-1</v>
      </c>
      <c r="F69" s="1035">
        <f t="shared" ref="F69:F75" si="112">IF(C69=0,0,E69/C69)</f>
        <v>-1</v>
      </c>
      <c r="G69" s="970">
        <f>'FG1'!D85</f>
        <v>0</v>
      </c>
      <c r="H69" s="846"/>
      <c r="I69" s="957">
        <f t="shared" ref="I69:I75" si="113">H69-G69</f>
        <v>0</v>
      </c>
      <c r="J69" s="1035">
        <f t="shared" ref="J69:J75" si="114">IF(G69=0,0,I69/G69)</f>
        <v>0</v>
      </c>
      <c r="K69" s="970">
        <f>'FG1'!E85</f>
        <v>0</v>
      </c>
      <c r="L69" s="846"/>
      <c r="M69" s="957">
        <f t="shared" ref="M69:M75" si="115">L69-K69</f>
        <v>0</v>
      </c>
      <c r="N69" s="1035">
        <f t="shared" ref="N69:N75" si="116">IF(K69=0,0,M69/K69)</f>
        <v>0</v>
      </c>
      <c r="O69" s="970">
        <f>'FG1'!F85</f>
        <v>0</v>
      </c>
      <c r="P69" s="846"/>
      <c r="Q69" s="957">
        <f t="shared" ref="Q69:Q75" si="117">P69-O69</f>
        <v>0</v>
      </c>
      <c r="R69" s="1035">
        <f t="shared" ref="R69:R75" si="118">IF(O69=0,0,Q69/O69)</f>
        <v>0</v>
      </c>
      <c r="S69" s="970">
        <f>'FG1'!G85</f>
        <v>0</v>
      </c>
      <c r="T69" s="846"/>
      <c r="U69" s="957">
        <f t="shared" ref="U69:U75" si="119">T69-S69</f>
        <v>0</v>
      </c>
      <c r="V69" s="967">
        <f t="shared" ref="V69:V75" si="120">IF(S69=0,0,U69/S69)</f>
        <v>0</v>
      </c>
      <c r="W69" s="970">
        <f>'FG1'!H85</f>
        <v>0</v>
      </c>
      <c r="X69" s="846"/>
      <c r="Y69" s="957">
        <f t="shared" ref="Y69:Y75" si="121">X69-W69</f>
        <v>0</v>
      </c>
      <c r="Z69" s="967">
        <f t="shared" ref="Z69:Z75" si="122">IF(W69=0,0,Y69/W69)</f>
        <v>0</v>
      </c>
      <c r="AA69" s="970">
        <f>'FG1'!I85</f>
        <v>0</v>
      </c>
      <c r="AB69" s="846"/>
      <c r="AC69" s="957">
        <f t="shared" ref="AC69:AC75" si="123">AB69-AA69</f>
        <v>0</v>
      </c>
      <c r="AD69" s="967">
        <f t="shared" ref="AD69:AD75" si="124">IF(AA69=0,0,AC69/AA69)</f>
        <v>0</v>
      </c>
      <c r="AE69" s="970">
        <f>'FG1'!J85</f>
        <v>0</v>
      </c>
      <c r="AF69" s="846"/>
      <c r="AG69" s="957">
        <f t="shared" ref="AG69:AG75" si="125">AF69-AE69</f>
        <v>0</v>
      </c>
      <c r="AH69" s="967">
        <f t="shared" ref="AH69:AH75" si="126">IF(AE69=0,0,AG69/AE69)</f>
        <v>0</v>
      </c>
      <c r="AI69" s="970">
        <f>'FG1'!K85</f>
        <v>0</v>
      </c>
      <c r="AJ69" s="846"/>
      <c r="AK69" s="957">
        <f t="shared" ref="AK69:AK75" si="127">AJ69-AI69</f>
        <v>0</v>
      </c>
      <c r="AL69" s="967">
        <f t="shared" ref="AL69:AL75" si="128">IF(AI69=0,0,AK69/AI69)</f>
        <v>0</v>
      </c>
      <c r="AM69" s="970">
        <f>'FG1'!L85</f>
        <v>0</v>
      </c>
      <c r="AN69" s="846"/>
      <c r="AO69" s="957">
        <f t="shared" ref="AO69:AO75" si="129">AN69-AM69</f>
        <v>0</v>
      </c>
      <c r="AP69" s="967">
        <f t="shared" ref="AP69:AP75" si="130">IF(AM69=0,0,AO69/AM69)</f>
        <v>0</v>
      </c>
      <c r="AQ69" s="970">
        <f>'FG1'!M85</f>
        <v>0</v>
      </c>
      <c r="AR69" s="846"/>
      <c r="AS69" s="957">
        <f t="shared" ref="AS69:AS75" si="131">AR69-AQ69</f>
        <v>0</v>
      </c>
      <c r="AT69" s="967">
        <f t="shared" ref="AT69:AT75" si="132">IF(AQ69=0,0,AS69/AQ69)</f>
        <v>0</v>
      </c>
      <c r="AU69" s="970">
        <f>'FG1'!N85</f>
        <v>0</v>
      </c>
      <c r="AV69" s="846"/>
      <c r="AW69" s="957">
        <f t="shared" ref="AW69:AW75" si="133">AV69-AU69</f>
        <v>0</v>
      </c>
      <c r="AX69" s="967">
        <f t="shared" ref="AX69:AX75" si="134">IF(AU69=0,0,AW69/AU69)</f>
        <v>0</v>
      </c>
      <c r="AY69" s="946">
        <f t="shared" si="84"/>
        <v>1</v>
      </c>
      <c r="AZ69" s="991">
        <f t="shared" ref="AZ69:AZ75" si="135">D69+H69+L69+P69+T69+X69+AB69+AF69+AJ69+AN69+AR69+AV69</f>
        <v>0</v>
      </c>
      <c r="BA69" s="946">
        <f t="shared" ref="BA69:BA75" si="136">AZ69-AY69</f>
        <v>-1</v>
      </c>
      <c r="BB69" s="967">
        <f t="shared" ref="BB69:BB75" si="137">IF(AY69=0,0,BA69/AY69)</f>
        <v>-1</v>
      </c>
    </row>
    <row r="70" spans="1:54" ht="13.5" thickBot="1">
      <c r="A70" s="871"/>
      <c r="B70" s="576" t="str">
        <f>'BC1'!A79</f>
        <v>Frais de carte de crédit</v>
      </c>
      <c r="C70" s="970">
        <f>'FG1'!C87+'BC1'!C79</f>
        <v>0</v>
      </c>
      <c r="D70" s="846"/>
      <c r="E70" s="957">
        <f t="shared" si="111"/>
        <v>0</v>
      </c>
      <c r="F70" s="1035">
        <f t="shared" si="112"/>
        <v>0</v>
      </c>
      <c r="G70" s="970">
        <f>'FG1'!D87</f>
        <v>0</v>
      </c>
      <c r="H70" s="846"/>
      <c r="I70" s="957">
        <f t="shared" si="113"/>
        <v>0</v>
      </c>
      <c r="J70" s="1035">
        <f t="shared" si="114"/>
        <v>0</v>
      </c>
      <c r="K70" s="970">
        <f>'FG1'!E87</f>
        <v>0</v>
      </c>
      <c r="L70" s="846"/>
      <c r="M70" s="957">
        <f t="shared" si="115"/>
        <v>0</v>
      </c>
      <c r="N70" s="1035">
        <f t="shared" si="116"/>
        <v>0</v>
      </c>
      <c r="O70" s="970">
        <f>'FG1'!F87</f>
        <v>0</v>
      </c>
      <c r="P70" s="846"/>
      <c r="Q70" s="957">
        <f t="shared" si="117"/>
        <v>0</v>
      </c>
      <c r="R70" s="1035">
        <f t="shared" si="118"/>
        <v>0</v>
      </c>
      <c r="S70" s="970">
        <f>'FG1'!G87</f>
        <v>0</v>
      </c>
      <c r="T70" s="846"/>
      <c r="U70" s="957">
        <f t="shared" si="119"/>
        <v>0</v>
      </c>
      <c r="V70" s="967">
        <f t="shared" si="120"/>
        <v>0</v>
      </c>
      <c r="W70" s="970">
        <f>'FG1'!H87</f>
        <v>0</v>
      </c>
      <c r="X70" s="846"/>
      <c r="Y70" s="957">
        <f t="shared" si="121"/>
        <v>0</v>
      </c>
      <c r="Z70" s="967">
        <f t="shared" si="122"/>
        <v>0</v>
      </c>
      <c r="AA70" s="970">
        <f>'FG1'!I87</f>
        <v>0</v>
      </c>
      <c r="AB70" s="846"/>
      <c r="AC70" s="957">
        <f t="shared" si="123"/>
        <v>0</v>
      </c>
      <c r="AD70" s="967">
        <f t="shared" si="124"/>
        <v>0</v>
      </c>
      <c r="AE70" s="970">
        <f>'FG1'!J87</f>
        <v>0</v>
      </c>
      <c r="AF70" s="846"/>
      <c r="AG70" s="957">
        <f t="shared" si="125"/>
        <v>0</v>
      </c>
      <c r="AH70" s="967">
        <f t="shared" si="126"/>
        <v>0</v>
      </c>
      <c r="AI70" s="970">
        <f>'FG1'!K87</f>
        <v>0</v>
      </c>
      <c r="AJ70" s="846"/>
      <c r="AK70" s="957">
        <f t="shared" si="127"/>
        <v>0</v>
      </c>
      <c r="AL70" s="967">
        <f t="shared" si="128"/>
        <v>0</v>
      </c>
      <c r="AM70" s="970">
        <f>'FG1'!L87</f>
        <v>0</v>
      </c>
      <c r="AN70" s="846"/>
      <c r="AO70" s="957">
        <f t="shared" si="129"/>
        <v>0</v>
      </c>
      <c r="AP70" s="967">
        <f t="shared" si="130"/>
        <v>0</v>
      </c>
      <c r="AQ70" s="970">
        <f>'FG1'!M87</f>
        <v>0</v>
      </c>
      <c r="AR70" s="846"/>
      <c r="AS70" s="957">
        <f t="shared" si="131"/>
        <v>0</v>
      </c>
      <c r="AT70" s="967">
        <f t="shared" si="132"/>
        <v>0</v>
      </c>
      <c r="AU70" s="970">
        <f>'FG1'!N87</f>
        <v>0</v>
      </c>
      <c r="AV70" s="846"/>
      <c r="AW70" s="957">
        <f t="shared" si="133"/>
        <v>0</v>
      </c>
      <c r="AX70" s="967">
        <f t="shared" si="134"/>
        <v>0</v>
      </c>
      <c r="AY70" s="946">
        <f t="shared" si="84"/>
        <v>0</v>
      </c>
      <c r="AZ70" s="991">
        <f t="shared" si="135"/>
        <v>0</v>
      </c>
      <c r="BA70" s="946">
        <f t="shared" si="136"/>
        <v>0</v>
      </c>
      <c r="BB70" s="967">
        <f t="shared" si="137"/>
        <v>0</v>
      </c>
    </row>
    <row r="71" spans="1:54" ht="13.5" thickBot="1">
      <c r="A71" s="871"/>
      <c r="B71" s="576" t="str">
        <f>'BC1'!A80</f>
        <v>Autres frais financiers 1</v>
      </c>
      <c r="C71" s="970">
        <f>'FG1'!C88+'BC1'!C80</f>
        <v>0</v>
      </c>
      <c r="D71" s="846"/>
      <c r="E71" s="957">
        <f t="shared" si="111"/>
        <v>0</v>
      </c>
      <c r="F71" s="1035">
        <f t="shared" si="112"/>
        <v>0</v>
      </c>
      <c r="G71" s="970">
        <f>'FG1'!D88</f>
        <v>0</v>
      </c>
      <c r="H71" s="846"/>
      <c r="I71" s="957">
        <f t="shared" si="113"/>
        <v>0</v>
      </c>
      <c r="J71" s="1035">
        <f t="shared" si="114"/>
        <v>0</v>
      </c>
      <c r="K71" s="970">
        <f>'FG1'!E88</f>
        <v>0</v>
      </c>
      <c r="L71" s="846"/>
      <c r="M71" s="957">
        <f t="shared" si="115"/>
        <v>0</v>
      </c>
      <c r="N71" s="1035">
        <f t="shared" si="116"/>
        <v>0</v>
      </c>
      <c r="O71" s="970">
        <f>'FG1'!F88</f>
        <v>0</v>
      </c>
      <c r="P71" s="846"/>
      <c r="Q71" s="957">
        <f t="shared" si="117"/>
        <v>0</v>
      </c>
      <c r="R71" s="1035">
        <f t="shared" si="118"/>
        <v>0</v>
      </c>
      <c r="S71" s="970">
        <f>'FG1'!G88</f>
        <v>0</v>
      </c>
      <c r="T71" s="846"/>
      <c r="U71" s="957">
        <f t="shared" si="119"/>
        <v>0</v>
      </c>
      <c r="V71" s="967">
        <f t="shared" si="120"/>
        <v>0</v>
      </c>
      <c r="W71" s="970">
        <f>'FG1'!H88</f>
        <v>0</v>
      </c>
      <c r="X71" s="846"/>
      <c r="Y71" s="957">
        <f t="shared" si="121"/>
        <v>0</v>
      </c>
      <c r="Z71" s="967">
        <f t="shared" si="122"/>
        <v>0</v>
      </c>
      <c r="AA71" s="970">
        <f>'FG1'!I88</f>
        <v>0</v>
      </c>
      <c r="AB71" s="846"/>
      <c r="AC71" s="957">
        <f t="shared" si="123"/>
        <v>0</v>
      </c>
      <c r="AD71" s="967">
        <f t="shared" si="124"/>
        <v>0</v>
      </c>
      <c r="AE71" s="970">
        <f>'FG1'!J88</f>
        <v>0</v>
      </c>
      <c r="AF71" s="846"/>
      <c r="AG71" s="957">
        <f t="shared" si="125"/>
        <v>0</v>
      </c>
      <c r="AH71" s="967">
        <f t="shared" si="126"/>
        <v>0</v>
      </c>
      <c r="AI71" s="970">
        <f>'FG1'!K88</f>
        <v>0</v>
      </c>
      <c r="AJ71" s="846"/>
      <c r="AK71" s="957">
        <f t="shared" si="127"/>
        <v>0</v>
      </c>
      <c r="AL71" s="967">
        <f t="shared" si="128"/>
        <v>0</v>
      </c>
      <c r="AM71" s="970">
        <f>'FG1'!L88</f>
        <v>0</v>
      </c>
      <c r="AN71" s="846"/>
      <c r="AO71" s="957">
        <f t="shared" si="129"/>
        <v>0</v>
      </c>
      <c r="AP71" s="967">
        <f t="shared" si="130"/>
        <v>0</v>
      </c>
      <c r="AQ71" s="970">
        <f>'FG1'!M88</f>
        <v>0</v>
      </c>
      <c r="AR71" s="846"/>
      <c r="AS71" s="957">
        <f t="shared" si="131"/>
        <v>0</v>
      </c>
      <c r="AT71" s="967">
        <f t="shared" si="132"/>
        <v>0</v>
      </c>
      <c r="AU71" s="970">
        <f>'FG1'!N88</f>
        <v>0</v>
      </c>
      <c r="AV71" s="846"/>
      <c r="AW71" s="957">
        <f t="shared" si="133"/>
        <v>0</v>
      </c>
      <c r="AX71" s="967">
        <f t="shared" si="134"/>
        <v>0</v>
      </c>
      <c r="AY71" s="946">
        <f>C71+G71+K71+O71+S71+W71+AA71+AE71+AI71+AM71+AQ71+AU71</f>
        <v>0</v>
      </c>
      <c r="AZ71" s="991">
        <f t="shared" si="135"/>
        <v>0</v>
      </c>
      <c r="BA71" s="946">
        <f t="shared" si="136"/>
        <v>0</v>
      </c>
      <c r="BB71" s="967">
        <f t="shared" si="137"/>
        <v>0</v>
      </c>
    </row>
    <row r="72" spans="1:54" ht="13.5" thickBot="1">
      <c r="A72" s="871"/>
      <c r="B72" s="576" t="str">
        <f>'BC1'!A81</f>
        <v>Autres frais financiers 2</v>
      </c>
      <c r="C72" s="970">
        <f>'FG1'!C89+'BC1'!C81</f>
        <v>0</v>
      </c>
      <c r="D72" s="846"/>
      <c r="E72" s="957">
        <f t="shared" si="111"/>
        <v>0</v>
      </c>
      <c r="F72" s="1035">
        <f t="shared" si="112"/>
        <v>0</v>
      </c>
      <c r="G72" s="970">
        <f>'FG1'!D89</f>
        <v>0</v>
      </c>
      <c r="H72" s="846"/>
      <c r="I72" s="957">
        <f t="shared" si="113"/>
        <v>0</v>
      </c>
      <c r="J72" s="1035">
        <f t="shared" si="114"/>
        <v>0</v>
      </c>
      <c r="K72" s="970">
        <f>'FG1'!E89</f>
        <v>0</v>
      </c>
      <c r="L72" s="846"/>
      <c r="M72" s="957">
        <f t="shared" si="115"/>
        <v>0</v>
      </c>
      <c r="N72" s="1035">
        <f t="shared" si="116"/>
        <v>0</v>
      </c>
      <c r="O72" s="970">
        <f>'FG1'!F89</f>
        <v>0</v>
      </c>
      <c r="P72" s="846"/>
      <c r="Q72" s="957">
        <f t="shared" si="117"/>
        <v>0</v>
      </c>
      <c r="R72" s="1035">
        <f t="shared" si="118"/>
        <v>0</v>
      </c>
      <c r="S72" s="970">
        <f>'FG1'!G89</f>
        <v>0</v>
      </c>
      <c r="T72" s="846"/>
      <c r="U72" s="957">
        <f t="shared" si="119"/>
        <v>0</v>
      </c>
      <c r="V72" s="967">
        <f t="shared" si="120"/>
        <v>0</v>
      </c>
      <c r="W72" s="970">
        <f>'FG1'!H89</f>
        <v>0</v>
      </c>
      <c r="X72" s="846"/>
      <c r="Y72" s="957">
        <f t="shared" si="121"/>
        <v>0</v>
      </c>
      <c r="Z72" s="967">
        <f t="shared" si="122"/>
        <v>0</v>
      </c>
      <c r="AA72" s="970">
        <f>'FG1'!I89</f>
        <v>0</v>
      </c>
      <c r="AB72" s="846"/>
      <c r="AC72" s="957">
        <f t="shared" si="123"/>
        <v>0</v>
      </c>
      <c r="AD72" s="967">
        <f t="shared" si="124"/>
        <v>0</v>
      </c>
      <c r="AE72" s="970">
        <f>'FG1'!J89</f>
        <v>0</v>
      </c>
      <c r="AF72" s="846"/>
      <c r="AG72" s="957">
        <f t="shared" si="125"/>
        <v>0</v>
      </c>
      <c r="AH72" s="967">
        <f t="shared" si="126"/>
        <v>0</v>
      </c>
      <c r="AI72" s="970">
        <f>'FG1'!K89</f>
        <v>0</v>
      </c>
      <c r="AJ72" s="846"/>
      <c r="AK72" s="957">
        <f t="shared" si="127"/>
        <v>0</v>
      </c>
      <c r="AL72" s="967">
        <f t="shared" si="128"/>
        <v>0</v>
      </c>
      <c r="AM72" s="970">
        <f>'FG1'!L89</f>
        <v>0</v>
      </c>
      <c r="AN72" s="846"/>
      <c r="AO72" s="957">
        <f t="shared" si="129"/>
        <v>0</v>
      </c>
      <c r="AP72" s="967">
        <f t="shared" si="130"/>
        <v>0</v>
      </c>
      <c r="AQ72" s="970">
        <f>'FG1'!M89</f>
        <v>0</v>
      </c>
      <c r="AR72" s="846"/>
      <c r="AS72" s="957">
        <f t="shared" si="131"/>
        <v>0</v>
      </c>
      <c r="AT72" s="967">
        <f t="shared" si="132"/>
        <v>0</v>
      </c>
      <c r="AU72" s="970">
        <f>'FG1'!N89</f>
        <v>0</v>
      </c>
      <c r="AV72" s="846"/>
      <c r="AW72" s="957">
        <f t="shared" si="133"/>
        <v>0</v>
      </c>
      <c r="AX72" s="967">
        <f t="shared" si="134"/>
        <v>0</v>
      </c>
      <c r="AY72" s="946">
        <f>C72+G72+K72+O72+S72+W72+AA72+AE72+AI72+AM72+AQ72+AU72</f>
        <v>0</v>
      </c>
      <c r="AZ72" s="991">
        <f t="shared" si="135"/>
        <v>0</v>
      </c>
      <c r="BA72" s="946">
        <f t="shared" si="136"/>
        <v>0</v>
      </c>
      <c r="BB72" s="967">
        <f t="shared" si="137"/>
        <v>0</v>
      </c>
    </row>
    <row r="73" spans="1:54" ht="13.5" thickBot="1">
      <c r="A73" s="871"/>
      <c r="B73" s="576" t="str">
        <f>'BC1'!A82</f>
        <v>Autres frais financiers 3</v>
      </c>
      <c r="C73" s="970">
        <f>'FG1'!C90+'BC1'!C82</f>
        <v>0</v>
      </c>
      <c r="D73" s="846"/>
      <c r="E73" s="957">
        <f t="shared" si="111"/>
        <v>0</v>
      </c>
      <c r="F73" s="1035">
        <f t="shared" si="112"/>
        <v>0</v>
      </c>
      <c r="G73" s="970">
        <f>'FG1'!D90</f>
        <v>0</v>
      </c>
      <c r="H73" s="846"/>
      <c r="I73" s="957">
        <f t="shared" si="113"/>
        <v>0</v>
      </c>
      <c r="J73" s="1035">
        <f t="shared" si="114"/>
        <v>0</v>
      </c>
      <c r="K73" s="970">
        <f>'FG1'!E90</f>
        <v>0</v>
      </c>
      <c r="L73" s="846"/>
      <c r="M73" s="957">
        <f t="shared" si="115"/>
        <v>0</v>
      </c>
      <c r="N73" s="1035">
        <f t="shared" si="116"/>
        <v>0</v>
      </c>
      <c r="O73" s="970">
        <f>'FG1'!F90</f>
        <v>0</v>
      </c>
      <c r="P73" s="846"/>
      <c r="Q73" s="957">
        <f t="shared" si="117"/>
        <v>0</v>
      </c>
      <c r="R73" s="1035">
        <f t="shared" si="118"/>
        <v>0</v>
      </c>
      <c r="S73" s="970">
        <f>'FG1'!G90</f>
        <v>0</v>
      </c>
      <c r="T73" s="846"/>
      <c r="U73" s="957">
        <f t="shared" si="119"/>
        <v>0</v>
      </c>
      <c r="V73" s="967">
        <f t="shared" si="120"/>
        <v>0</v>
      </c>
      <c r="W73" s="970">
        <f>'FG1'!H90</f>
        <v>0</v>
      </c>
      <c r="X73" s="846"/>
      <c r="Y73" s="957">
        <f t="shared" si="121"/>
        <v>0</v>
      </c>
      <c r="Z73" s="967">
        <f t="shared" si="122"/>
        <v>0</v>
      </c>
      <c r="AA73" s="970">
        <f>'FG1'!I90</f>
        <v>0</v>
      </c>
      <c r="AB73" s="846"/>
      <c r="AC73" s="957">
        <f t="shared" si="123"/>
        <v>0</v>
      </c>
      <c r="AD73" s="967">
        <f t="shared" si="124"/>
        <v>0</v>
      </c>
      <c r="AE73" s="970">
        <f>'FG1'!J90</f>
        <v>0</v>
      </c>
      <c r="AF73" s="846"/>
      <c r="AG73" s="957">
        <f t="shared" si="125"/>
        <v>0</v>
      </c>
      <c r="AH73" s="967">
        <f t="shared" si="126"/>
        <v>0</v>
      </c>
      <c r="AI73" s="970">
        <f>'FG1'!K90</f>
        <v>0</v>
      </c>
      <c r="AJ73" s="846"/>
      <c r="AK73" s="957">
        <f t="shared" si="127"/>
        <v>0</v>
      </c>
      <c r="AL73" s="967">
        <f t="shared" si="128"/>
        <v>0</v>
      </c>
      <c r="AM73" s="970">
        <f>'FG1'!L90</f>
        <v>0</v>
      </c>
      <c r="AN73" s="846"/>
      <c r="AO73" s="957">
        <f t="shared" si="129"/>
        <v>0</v>
      </c>
      <c r="AP73" s="967">
        <f t="shared" si="130"/>
        <v>0</v>
      </c>
      <c r="AQ73" s="970">
        <f>'FG1'!M90</f>
        <v>0</v>
      </c>
      <c r="AR73" s="846"/>
      <c r="AS73" s="957">
        <f t="shared" si="131"/>
        <v>0</v>
      </c>
      <c r="AT73" s="967">
        <f t="shared" si="132"/>
        <v>0</v>
      </c>
      <c r="AU73" s="970">
        <f>'FG1'!N90</f>
        <v>0</v>
      </c>
      <c r="AV73" s="846"/>
      <c r="AW73" s="957">
        <f t="shared" si="133"/>
        <v>0</v>
      </c>
      <c r="AX73" s="967">
        <f t="shared" si="134"/>
        <v>0</v>
      </c>
      <c r="AY73" s="946">
        <f>C73+G73+K73+O73+S73+W73+AA73+AE73+AI73+AM73+AQ73+AU73</f>
        <v>0</v>
      </c>
      <c r="AZ73" s="991">
        <f t="shared" si="135"/>
        <v>0</v>
      </c>
      <c r="BA73" s="946">
        <f t="shared" si="136"/>
        <v>0</v>
      </c>
      <c r="BB73" s="967">
        <f t="shared" si="137"/>
        <v>0</v>
      </c>
    </row>
    <row r="74" spans="1:54" ht="13.5" thickBot="1">
      <c r="A74" s="871"/>
      <c r="B74" s="576" t="str">
        <f>'BC1'!A83</f>
        <v>Autres frais financiers 4</v>
      </c>
      <c r="C74" s="970">
        <f>'FG1'!C91+'BC1'!C83</f>
        <v>0</v>
      </c>
      <c r="D74" s="846"/>
      <c r="E74" s="957">
        <f t="shared" si="111"/>
        <v>0</v>
      </c>
      <c r="F74" s="1035">
        <f t="shared" si="112"/>
        <v>0</v>
      </c>
      <c r="G74" s="970">
        <f>'FG1'!D91</f>
        <v>0</v>
      </c>
      <c r="H74" s="846"/>
      <c r="I74" s="957">
        <f t="shared" si="113"/>
        <v>0</v>
      </c>
      <c r="J74" s="1035">
        <f t="shared" si="114"/>
        <v>0</v>
      </c>
      <c r="K74" s="970">
        <f>'FG1'!E91</f>
        <v>0</v>
      </c>
      <c r="L74" s="846"/>
      <c r="M74" s="957">
        <f t="shared" si="115"/>
        <v>0</v>
      </c>
      <c r="N74" s="1035">
        <f t="shared" si="116"/>
        <v>0</v>
      </c>
      <c r="O74" s="970">
        <f>'FG1'!F91</f>
        <v>0</v>
      </c>
      <c r="P74" s="846"/>
      <c r="Q74" s="957">
        <f t="shared" si="117"/>
        <v>0</v>
      </c>
      <c r="R74" s="1035">
        <f t="shared" si="118"/>
        <v>0</v>
      </c>
      <c r="S74" s="970">
        <f>'FG1'!G91</f>
        <v>0</v>
      </c>
      <c r="T74" s="846"/>
      <c r="U74" s="957">
        <f t="shared" si="119"/>
        <v>0</v>
      </c>
      <c r="V74" s="967">
        <f t="shared" si="120"/>
        <v>0</v>
      </c>
      <c r="W74" s="970">
        <f>'FG1'!H91</f>
        <v>0</v>
      </c>
      <c r="X74" s="846"/>
      <c r="Y74" s="957">
        <f t="shared" si="121"/>
        <v>0</v>
      </c>
      <c r="Z74" s="967">
        <f t="shared" si="122"/>
        <v>0</v>
      </c>
      <c r="AA74" s="970">
        <f>'FG1'!I91</f>
        <v>0</v>
      </c>
      <c r="AB74" s="846"/>
      <c r="AC74" s="957">
        <f t="shared" si="123"/>
        <v>0</v>
      </c>
      <c r="AD74" s="967">
        <f t="shared" si="124"/>
        <v>0</v>
      </c>
      <c r="AE74" s="970">
        <f>'FG1'!J91</f>
        <v>0</v>
      </c>
      <c r="AF74" s="846"/>
      <c r="AG74" s="957">
        <f t="shared" si="125"/>
        <v>0</v>
      </c>
      <c r="AH74" s="967">
        <f t="shared" si="126"/>
        <v>0</v>
      </c>
      <c r="AI74" s="970">
        <f>'FG1'!K91</f>
        <v>0</v>
      </c>
      <c r="AJ74" s="846"/>
      <c r="AK74" s="957">
        <f t="shared" si="127"/>
        <v>0</v>
      </c>
      <c r="AL74" s="967">
        <f t="shared" si="128"/>
        <v>0</v>
      </c>
      <c r="AM74" s="970">
        <f>'FG1'!L91</f>
        <v>0</v>
      </c>
      <c r="AN74" s="846"/>
      <c r="AO74" s="957">
        <f t="shared" si="129"/>
        <v>0</v>
      </c>
      <c r="AP74" s="967">
        <f t="shared" si="130"/>
        <v>0</v>
      </c>
      <c r="AQ74" s="970">
        <f>'FG1'!M91</f>
        <v>0</v>
      </c>
      <c r="AR74" s="846"/>
      <c r="AS74" s="957">
        <f t="shared" si="131"/>
        <v>0</v>
      </c>
      <c r="AT74" s="967">
        <f t="shared" si="132"/>
        <v>0</v>
      </c>
      <c r="AU74" s="970">
        <f>'FG1'!N91</f>
        <v>0</v>
      </c>
      <c r="AV74" s="846"/>
      <c r="AW74" s="957">
        <f t="shared" si="133"/>
        <v>0</v>
      </c>
      <c r="AX74" s="967">
        <f t="shared" si="134"/>
        <v>0</v>
      </c>
      <c r="AY74" s="946">
        <f>C74+G74+K74+O74+S74+W74+AA74+AE74+AI74+AM74+AQ74+AU74</f>
        <v>0</v>
      </c>
      <c r="AZ74" s="991">
        <f t="shared" si="135"/>
        <v>0</v>
      </c>
      <c r="BA74" s="946">
        <f t="shared" si="136"/>
        <v>0</v>
      </c>
      <c r="BB74" s="967">
        <f t="shared" si="137"/>
        <v>0</v>
      </c>
    </row>
    <row r="75" spans="1:54" ht="13.5" thickBot="1">
      <c r="A75" s="576"/>
      <c r="B75" s="576" t="s">
        <v>730</v>
      </c>
      <c r="C75" s="970">
        <f>'BC1'!D121</f>
        <v>0</v>
      </c>
      <c r="D75" s="846"/>
      <c r="E75" s="957">
        <f t="shared" si="111"/>
        <v>0</v>
      </c>
      <c r="F75" s="1035">
        <f t="shared" si="112"/>
        <v>0</v>
      </c>
      <c r="G75" s="970">
        <f>'BC1'!E121</f>
        <v>0</v>
      </c>
      <c r="H75" s="846"/>
      <c r="I75" s="957">
        <f t="shared" si="113"/>
        <v>0</v>
      </c>
      <c r="J75" s="1035">
        <f t="shared" si="114"/>
        <v>0</v>
      </c>
      <c r="K75" s="970">
        <f>'BC1'!F121</f>
        <v>0</v>
      </c>
      <c r="L75" s="846"/>
      <c r="M75" s="957">
        <f t="shared" si="115"/>
        <v>0</v>
      </c>
      <c r="N75" s="1035">
        <f t="shared" si="116"/>
        <v>0</v>
      </c>
      <c r="O75" s="970">
        <f>'BC1'!G121</f>
        <v>0</v>
      </c>
      <c r="P75" s="846"/>
      <c r="Q75" s="957">
        <f t="shared" si="117"/>
        <v>0</v>
      </c>
      <c r="R75" s="1035">
        <f t="shared" si="118"/>
        <v>0</v>
      </c>
      <c r="S75" s="970">
        <f>'BC1'!H121</f>
        <v>0</v>
      </c>
      <c r="T75" s="846"/>
      <c r="U75" s="957">
        <f t="shared" si="119"/>
        <v>0</v>
      </c>
      <c r="V75" s="967">
        <f t="shared" si="120"/>
        <v>0</v>
      </c>
      <c r="W75" s="970">
        <f>'BC1'!I121</f>
        <v>0</v>
      </c>
      <c r="X75" s="846"/>
      <c r="Y75" s="957">
        <f t="shared" si="121"/>
        <v>0</v>
      </c>
      <c r="Z75" s="967">
        <f t="shared" si="122"/>
        <v>0</v>
      </c>
      <c r="AA75" s="970">
        <f>'BC1'!J121</f>
        <v>0</v>
      </c>
      <c r="AB75" s="846"/>
      <c r="AC75" s="957">
        <f t="shared" si="123"/>
        <v>0</v>
      </c>
      <c r="AD75" s="967">
        <f t="shared" si="124"/>
        <v>0</v>
      </c>
      <c r="AE75" s="970">
        <f>'BC1'!K121</f>
        <v>0</v>
      </c>
      <c r="AF75" s="846"/>
      <c r="AG75" s="957">
        <f t="shared" si="125"/>
        <v>0</v>
      </c>
      <c r="AH75" s="967">
        <f t="shared" si="126"/>
        <v>0</v>
      </c>
      <c r="AI75" s="970">
        <f>'BC1'!L121</f>
        <v>0</v>
      </c>
      <c r="AJ75" s="846"/>
      <c r="AK75" s="957">
        <f t="shared" si="127"/>
        <v>0</v>
      </c>
      <c r="AL75" s="967">
        <f t="shared" si="128"/>
        <v>0</v>
      </c>
      <c r="AM75" s="970">
        <f>'BC1'!M121</f>
        <v>0</v>
      </c>
      <c r="AN75" s="846"/>
      <c r="AO75" s="957">
        <f t="shared" si="129"/>
        <v>0</v>
      </c>
      <c r="AP75" s="967">
        <f t="shared" si="130"/>
        <v>0</v>
      </c>
      <c r="AQ75" s="970">
        <f>'BC1'!N121</f>
        <v>0</v>
      </c>
      <c r="AR75" s="846"/>
      <c r="AS75" s="957">
        <f t="shared" si="131"/>
        <v>0</v>
      </c>
      <c r="AT75" s="967">
        <f t="shared" si="132"/>
        <v>0</v>
      </c>
      <c r="AU75" s="970">
        <f>'BC1'!O121</f>
        <v>0</v>
      </c>
      <c r="AV75" s="846"/>
      <c r="AW75" s="957">
        <f t="shared" si="133"/>
        <v>0</v>
      </c>
      <c r="AX75" s="967">
        <f t="shared" si="134"/>
        <v>0</v>
      </c>
      <c r="AY75" s="946">
        <f t="shared" si="84"/>
        <v>0</v>
      </c>
      <c r="AZ75" s="991">
        <f t="shared" si="135"/>
        <v>0</v>
      </c>
      <c r="BA75" s="946">
        <f t="shared" si="136"/>
        <v>0</v>
      </c>
      <c r="BB75" s="967">
        <f t="shared" si="137"/>
        <v>0</v>
      </c>
    </row>
    <row r="76" spans="1:54">
      <c r="A76" s="586"/>
      <c r="B76" s="586"/>
      <c r="C76" s="970"/>
      <c r="D76" s="946"/>
      <c r="E76" s="957"/>
      <c r="F76" s="1036"/>
      <c r="G76" s="970"/>
      <c r="H76" s="946"/>
      <c r="I76" s="957"/>
      <c r="J76" s="1036"/>
      <c r="K76" s="970"/>
      <c r="L76" s="946"/>
      <c r="M76" s="957"/>
      <c r="N76" s="1036"/>
      <c r="O76" s="970"/>
      <c r="P76" s="946"/>
      <c r="Q76" s="957"/>
      <c r="R76" s="1036"/>
      <c r="S76" s="970"/>
      <c r="T76" s="946"/>
      <c r="U76" s="957"/>
      <c r="V76" s="969"/>
      <c r="W76" s="970"/>
      <c r="X76" s="946"/>
      <c r="Y76" s="957"/>
      <c r="Z76" s="969"/>
      <c r="AA76" s="970"/>
      <c r="AB76" s="946"/>
      <c r="AC76" s="957"/>
      <c r="AD76" s="969"/>
      <c r="AE76" s="970"/>
      <c r="AF76" s="946"/>
      <c r="AG76" s="957"/>
      <c r="AH76" s="969"/>
      <c r="AI76" s="970"/>
      <c r="AJ76" s="946"/>
      <c r="AK76" s="957"/>
      <c r="AL76" s="969"/>
      <c r="AM76" s="970"/>
      <c r="AN76" s="946"/>
      <c r="AO76" s="957"/>
      <c r="AP76" s="969"/>
      <c r="AQ76" s="970"/>
      <c r="AR76" s="946"/>
      <c r="AS76" s="957"/>
      <c r="AT76" s="969"/>
      <c r="AU76" s="970"/>
      <c r="AV76" s="946"/>
      <c r="AW76" s="957"/>
      <c r="AX76" s="969"/>
      <c r="AY76" s="984"/>
      <c r="AZ76" s="946"/>
      <c r="BA76" s="946"/>
      <c r="BB76" s="969"/>
    </row>
    <row r="77" spans="1:54">
      <c r="A77" s="576"/>
      <c r="B77" s="576"/>
      <c r="C77" s="973"/>
      <c r="D77" s="945"/>
      <c r="E77" s="956"/>
      <c r="F77" s="1038"/>
      <c r="G77" s="973"/>
      <c r="H77" s="945"/>
      <c r="I77" s="956"/>
      <c r="J77" s="1038"/>
      <c r="K77" s="973"/>
      <c r="L77" s="945"/>
      <c r="M77" s="956"/>
      <c r="N77" s="1038"/>
      <c r="O77" s="973"/>
      <c r="P77" s="945"/>
      <c r="Q77" s="956"/>
      <c r="R77" s="1038"/>
      <c r="S77" s="973"/>
      <c r="T77" s="945"/>
      <c r="U77" s="956"/>
      <c r="V77" s="974"/>
      <c r="W77" s="973"/>
      <c r="X77" s="945"/>
      <c r="Y77" s="956"/>
      <c r="Z77" s="974"/>
      <c r="AA77" s="973"/>
      <c r="AB77" s="945"/>
      <c r="AC77" s="956"/>
      <c r="AD77" s="974"/>
      <c r="AE77" s="973"/>
      <c r="AF77" s="945"/>
      <c r="AG77" s="956"/>
      <c r="AH77" s="974"/>
      <c r="AI77" s="973"/>
      <c r="AJ77" s="945"/>
      <c r="AK77" s="956"/>
      <c r="AL77" s="974"/>
      <c r="AM77" s="973"/>
      <c r="AN77" s="945"/>
      <c r="AO77" s="956"/>
      <c r="AP77" s="974"/>
      <c r="AQ77" s="973"/>
      <c r="AR77" s="945"/>
      <c r="AS77" s="956"/>
      <c r="AT77" s="974"/>
      <c r="AU77" s="973"/>
      <c r="AV77" s="945"/>
      <c r="AW77" s="956"/>
      <c r="AX77" s="974"/>
      <c r="AY77" s="986"/>
      <c r="AZ77" s="945"/>
      <c r="BA77" s="945"/>
      <c r="BB77" s="974"/>
    </row>
    <row r="78" spans="1:54">
      <c r="A78" s="578" t="s">
        <v>332</v>
      </c>
      <c r="B78" s="576"/>
      <c r="C78" s="968">
        <f>-SUM(C30:C75)</f>
        <v>-4364.5619999999999</v>
      </c>
      <c r="D78" s="943">
        <f>-SUM(D30:D75)</f>
        <v>0</v>
      </c>
      <c r="E78" s="957">
        <f>C78-D78</f>
        <v>-4364.5619999999999</v>
      </c>
      <c r="F78" s="1035">
        <f>-E78/C78</f>
        <v>-1</v>
      </c>
      <c r="G78" s="968">
        <f>-SUM(G31:G75)</f>
        <v>-4358.5619999999999</v>
      </c>
      <c r="H78" s="943">
        <f>-SUM(H30:H75)</f>
        <v>0</v>
      </c>
      <c r="I78" s="957">
        <f>G78-H78</f>
        <v>-4358.5619999999999</v>
      </c>
      <c r="J78" s="1035">
        <f>-I78/G78</f>
        <v>-1</v>
      </c>
      <c r="K78" s="968">
        <f>-SUM(K31:K75)</f>
        <v>-4358.5619999999999</v>
      </c>
      <c r="L78" s="943">
        <f>-SUM(L30:L75)</f>
        <v>0</v>
      </c>
      <c r="M78" s="957">
        <f>K78-L78</f>
        <v>-4358.5619999999999</v>
      </c>
      <c r="N78" s="1035">
        <f>-M78/K78</f>
        <v>-1</v>
      </c>
      <c r="O78" s="968">
        <f>-SUM(O31:O75)</f>
        <v>-4358.5619999999999</v>
      </c>
      <c r="P78" s="943">
        <f>-SUM(P30:P75)</f>
        <v>0</v>
      </c>
      <c r="Q78" s="957">
        <f>O78-P78</f>
        <v>-4358.5619999999999</v>
      </c>
      <c r="R78" s="1035">
        <f>-Q78/O78</f>
        <v>-1</v>
      </c>
      <c r="S78" s="968">
        <f>-SUM(S31:S75)</f>
        <v>-4358.5619999999999</v>
      </c>
      <c r="T78" s="943">
        <f>-SUM(T30:T75)</f>
        <v>0</v>
      </c>
      <c r="U78" s="957">
        <f>S78-T78</f>
        <v>-4358.5619999999999</v>
      </c>
      <c r="V78" s="967">
        <f>-U78/S78</f>
        <v>-1</v>
      </c>
      <c r="W78" s="968">
        <f>-SUM(W31:W75)</f>
        <v>-4358.5619999999999</v>
      </c>
      <c r="X78" s="943">
        <f>-SUM(X30:X75)</f>
        <v>0</v>
      </c>
      <c r="Y78" s="957">
        <f>W78-X78</f>
        <v>-4358.5619999999999</v>
      </c>
      <c r="Z78" s="967">
        <f>-Y78/W78</f>
        <v>-1</v>
      </c>
      <c r="AA78" s="968">
        <f>-SUM(AA31:AA75)</f>
        <v>-4358.5619999999999</v>
      </c>
      <c r="AB78" s="943">
        <f>-SUM(AB30:AB75)</f>
        <v>0</v>
      </c>
      <c r="AC78" s="957">
        <f>AA78-AB78</f>
        <v>-4358.5619999999999</v>
      </c>
      <c r="AD78" s="967">
        <f>-AC78/AA78</f>
        <v>-1</v>
      </c>
      <c r="AE78" s="968">
        <f>-SUM(AE31:AE75)</f>
        <v>-4358.5619999999999</v>
      </c>
      <c r="AF78" s="943">
        <f>-SUM(AF30:AF75)</f>
        <v>0</v>
      </c>
      <c r="AG78" s="957">
        <f>AE78-AF78</f>
        <v>-4358.5619999999999</v>
      </c>
      <c r="AH78" s="967">
        <f>-AG78/AE78</f>
        <v>-1</v>
      </c>
      <c r="AI78" s="968">
        <f>-SUM(AI31:AI75)</f>
        <v>-4358.5619999999999</v>
      </c>
      <c r="AJ78" s="943">
        <f>-SUM(AJ30:AJ75)</f>
        <v>0</v>
      </c>
      <c r="AK78" s="957">
        <f>AI78-AJ78</f>
        <v>-4358.5619999999999</v>
      </c>
      <c r="AL78" s="967">
        <f>-AK78/AI78</f>
        <v>-1</v>
      </c>
      <c r="AM78" s="968">
        <f>-SUM(AM31:AM75)</f>
        <v>-4358.5619999999999</v>
      </c>
      <c r="AN78" s="943">
        <f>-SUM(AN30:AN75)</f>
        <v>0</v>
      </c>
      <c r="AO78" s="957">
        <f>AM78-AN78</f>
        <v>-4358.5619999999999</v>
      </c>
      <c r="AP78" s="967">
        <f>-AO78/AM78</f>
        <v>-1</v>
      </c>
      <c r="AQ78" s="968">
        <f>-SUM(AQ31:AQ75)</f>
        <v>-4358.5619999999999</v>
      </c>
      <c r="AR78" s="943">
        <f>-SUM(AR30:AR75)</f>
        <v>0</v>
      </c>
      <c r="AS78" s="957">
        <f>AQ78-AR78</f>
        <v>-4358.5619999999999</v>
      </c>
      <c r="AT78" s="967">
        <f>-AS78/AQ78</f>
        <v>-1</v>
      </c>
      <c r="AU78" s="968">
        <f>-SUM(AU31:AU75)</f>
        <v>-4358.5619999999999</v>
      </c>
      <c r="AV78" s="943">
        <f>-SUM(AV30:AV75)</f>
        <v>0</v>
      </c>
      <c r="AW78" s="957">
        <f>AU78-AV78</f>
        <v>-4358.5619999999999</v>
      </c>
      <c r="AX78" s="967">
        <f>-AW78/AU78</f>
        <v>-1</v>
      </c>
      <c r="AY78" s="983">
        <f>-SUM(AY31:AY75)</f>
        <v>-52308.743999999984</v>
      </c>
      <c r="AZ78" s="943">
        <f>-SUM(AZ31:AZ75)</f>
        <v>0</v>
      </c>
      <c r="BA78" s="946">
        <f>AY78-AZ78</f>
        <v>-52308.743999999984</v>
      </c>
      <c r="BB78" s="967">
        <f>-BA78/AY78</f>
        <v>-1</v>
      </c>
    </row>
    <row r="79" spans="1:54">
      <c r="A79" s="586"/>
      <c r="B79" s="586"/>
      <c r="C79" s="971"/>
      <c r="D79" s="944"/>
      <c r="E79" s="955"/>
      <c r="F79" s="1037"/>
      <c r="G79" s="971"/>
      <c r="H79" s="944"/>
      <c r="I79" s="955"/>
      <c r="J79" s="1037"/>
      <c r="K79" s="971"/>
      <c r="L79" s="944"/>
      <c r="M79" s="955"/>
      <c r="N79" s="1037"/>
      <c r="O79" s="971"/>
      <c r="P79" s="944"/>
      <c r="Q79" s="955"/>
      <c r="R79" s="1037"/>
      <c r="S79" s="971"/>
      <c r="T79" s="944"/>
      <c r="U79" s="955"/>
      <c r="V79" s="972"/>
      <c r="W79" s="971"/>
      <c r="X79" s="944"/>
      <c r="Y79" s="955"/>
      <c r="Z79" s="972"/>
      <c r="AA79" s="971"/>
      <c r="AB79" s="944"/>
      <c r="AC79" s="955"/>
      <c r="AD79" s="972"/>
      <c r="AE79" s="971"/>
      <c r="AF79" s="944"/>
      <c r="AG79" s="955"/>
      <c r="AH79" s="972"/>
      <c r="AI79" s="971"/>
      <c r="AJ79" s="944"/>
      <c r="AK79" s="955"/>
      <c r="AL79" s="972"/>
      <c r="AM79" s="971"/>
      <c r="AN79" s="944"/>
      <c r="AO79" s="955"/>
      <c r="AP79" s="972"/>
      <c r="AQ79" s="971"/>
      <c r="AR79" s="944"/>
      <c r="AS79" s="955"/>
      <c r="AT79" s="972"/>
      <c r="AU79" s="971"/>
      <c r="AV79" s="944"/>
      <c r="AW79" s="955"/>
      <c r="AX79" s="972"/>
      <c r="AY79" s="985"/>
      <c r="AZ79" s="944"/>
      <c r="BA79" s="944"/>
      <c r="BB79" s="972"/>
    </row>
    <row r="80" spans="1:54">
      <c r="A80" s="576"/>
      <c r="B80" s="576"/>
      <c r="C80" s="976"/>
      <c r="D80" s="591"/>
      <c r="E80" s="958"/>
      <c r="F80" s="1039"/>
      <c r="G80" s="976"/>
      <c r="H80" s="591"/>
      <c r="I80" s="958"/>
      <c r="J80" s="1039"/>
      <c r="K80" s="976"/>
      <c r="L80" s="591"/>
      <c r="M80" s="958"/>
      <c r="N80" s="1039"/>
      <c r="O80" s="976"/>
      <c r="P80" s="591"/>
      <c r="Q80" s="958"/>
      <c r="R80" s="1039"/>
      <c r="S80" s="976"/>
      <c r="T80" s="591"/>
      <c r="U80" s="958"/>
      <c r="V80" s="977"/>
      <c r="W80" s="976"/>
      <c r="X80" s="591"/>
      <c r="Y80" s="958"/>
      <c r="Z80" s="977"/>
      <c r="AA80" s="976"/>
      <c r="AB80" s="591"/>
      <c r="AC80" s="958"/>
      <c r="AD80" s="977"/>
      <c r="AE80" s="976"/>
      <c r="AF80" s="591"/>
      <c r="AG80" s="958"/>
      <c r="AH80" s="977"/>
      <c r="AI80" s="976"/>
      <c r="AJ80" s="591"/>
      <c r="AK80" s="958"/>
      <c r="AL80" s="977"/>
      <c r="AM80" s="976"/>
      <c r="AN80" s="591"/>
      <c r="AO80" s="958"/>
      <c r="AP80" s="977"/>
      <c r="AQ80" s="976"/>
      <c r="AR80" s="591"/>
      <c r="AS80" s="958"/>
      <c r="AT80" s="977"/>
      <c r="AU80" s="976"/>
      <c r="AV80" s="591"/>
      <c r="AW80" s="958"/>
      <c r="AX80" s="977"/>
      <c r="AY80" s="987"/>
      <c r="AZ80" s="591"/>
      <c r="BA80" s="591"/>
      <c r="BB80" s="977"/>
    </row>
    <row r="81" spans="1:54">
      <c r="A81" s="578" t="s">
        <v>231</v>
      </c>
      <c r="B81" s="576"/>
      <c r="C81" s="976"/>
      <c r="D81" s="591"/>
      <c r="E81" s="958"/>
      <c r="F81" s="1039"/>
      <c r="G81" s="976"/>
      <c r="H81" s="591"/>
      <c r="I81" s="958"/>
      <c r="J81" s="1039"/>
      <c r="K81" s="976"/>
      <c r="L81" s="591"/>
      <c r="M81" s="958"/>
      <c r="N81" s="1039"/>
      <c r="O81" s="976"/>
      <c r="P81" s="591"/>
      <c r="Q81" s="958"/>
      <c r="R81" s="1039"/>
      <c r="S81" s="976"/>
      <c r="T81" s="591"/>
      <c r="U81" s="958"/>
      <c r="V81" s="977"/>
      <c r="W81" s="976"/>
      <c r="X81" s="591"/>
      <c r="Y81" s="958"/>
      <c r="Z81" s="977"/>
      <c r="AA81" s="976"/>
      <c r="AB81" s="591"/>
      <c r="AC81" s="958"/>
      <c r="AD81" s="977"/>
      <c r="AE81" s="976"/>
      <c r="AF81" s="591"/>
      <c r="AG81" s="958"/>
      <c r="AH81" s="977"/>
      <c r="AI81" s="976"/>
      <c r="AJ81" s="591"/>
      <c r="AK81" s="958"/>
      <c r="AL81" s="977"/>
      <c r="AM81" s="976"/>
      <c r="AN81" s="591"/>
      <c r="AO81" s="958"/>
      <c r="AP81" s="977"/>
      <c r="AQ81" s="976"/>
      <c r="AR81" s="591"/>
      <c r="AS81" s="958"/>
      <c r="AT81" s="977"/>
      <c r="AU81" s="976"/>
      <c r="AV81" s="591"/>
      <c r="AW81" s="958"/>
      <c r="AX81" s="977"/>
      <c r="AY81" s="987"/>
      <c r="AZ81" s="591"/>
      <c r="BA81" s="591"/>
      <c r="BB81" s="977"/>
    </row>
    <row r="82" spans="1:54" ht="13.5" thickBot="1">
      <c r="A82" s="576"/>
      <c r="B82" s="576"/>
      <c r="C82" s="978"/>
      <c r="D82" s="592"/>
      <c r="E82" s="959"/>
      <c r="F82" s="1039"/>
      <c r="G82" s="978"/>
      <c r="H82" s="592"/>
      <c r="I82" s="959"/>
      <c r="J82" s="1039"/>
      <c r="K82" s="978"/>
      <c r="L82" s="592"/>
      <c r="M82" s="959"/>
      <c r="N82" s="1039"/>
      <c r="O82" s="978"/>
      <c r="P82" s="592"/>
      <c r="Q82" s="959"/>
      <c r="R82" s="1039"/>
      <c r="S82" s="978"/>
      <c r="T82" s="592"/>
      <c r="U82" s="959"/>
      <c r="V82" s="977"/>
      <c r="W82" s="978"/>
      <c r="X82" s="592"/>
      <c r="Y82" s="959"/>
      <c r="Z82" s="977"/>
      <c r="AA82" s="978"/>
      <c r="AB82" s="592"/>
      <c r="AC82" s="959"/>
      <c r="AD82" s="977"/>
      <c r="AE82" s="978"/>
      <c r="AF82" s="592"/>
      <c r="AG82" s="959"/>
      <c r="AH82" s="977"/>
      <c r="AI82" s="978"/>
      <c r="AJ82" s="592"/>
      <c r="AK82" s="959"/>
      <c r="AL82" s="977"/>
      <c r="AM82" s="978"/>
      <c r="AN82" s="592"/>
      <c r="AO82" s="959"/>
      <c r="AP82" s="977"/>
      <c r="AQ82" s="978"/>
      <c r="AR82" s="592"/>
      <c r="AS82" s="959"/>
      <c r="AT82" s="977"/>
      <c r="AU82" s="978"/>
      <c r="AV82" s="592"/>
      <c r="AW82" s="959"/>
      <c r="AX82" s="977"/>
      <c r="AY82" s="988"/>
      <c r="AZ82" s="592"/>
      <c r="BA82" s="592"/>
      <c r="BB82" s="977"/>
    </row>
    <row r="83" spans="1:54" ht="13.5" thickBot="1">
      <c r="A83" s="576"/>
      <c r="B83" s="576" t="str">
        <f>'AE1'!A26</f>
        <v>Subventions</v>
      </c>
      <c r="C83" s="976">
        <f>'AE1'!D26+'BC1'!C24</f>
        <v>0</v>
      </c>
      <c r="D83" s="846"/>
      <c r="E83" s="957">
        <f t="shared" ref="E83:E88" si="138">D83-C83</f>
        <v>0</v>
      </c>
      <c r="F83" s="1035">
        <f t="shared" ref="F83:F90" si="139">IF(C83=0,0,E83/C83)</f>
        <v>0</v>
      </c>
      <c r="G83" s="976">
        <f>'AE1'!E26</f>
        <v>0</v>
      </c>
      <c r="H83" s="846"/>
      <c r="I83" s="957">
        <f t="shared" ref="I83:I88" si="140">H83-G83</f>
        <v>0</v>
      </c>
      <c r="J83" s="1035">
        <f t="shared" ref="J83:J88" si="141">IF(G83=0,0,I83/G83)</f>
        <v>0</v>
      </c>
      <c r="K83" s="976">
        <f>'AE1'!F26</f>
        <v>0</v>
      </c>
      <c r="L83" s="846"/>
      <c r="M83" s="957">
        <f t="shared" ref="M83:M88" si="142">L83-K83</f>
        <v>0</v>
      </c>
      <c r="N83" s="1035">
        <f t="shared" ref="N83:N88" si="143">IF(K83=0,0,M83/K83)</f>
        <v>0</v>
      </c>
      <c r="O83" s="976">
        <f>'AE1'!G26</f>
        <v>0</v>
      </c>
      <c r="P83" s="846"/>
      <c r="Q83" s="957">
        <f t="shared" ref="Q83:Q88" si="144">P83-O83</f>
        <v>0</v>
      </c>
      <c r="R83" s="1035">
        <f t="shared" ref="R83:R88" si="145">IF(O83=0,0,Q83/O83)</f>
        <v>0</v>
      </c>
      <c r="S83" s="976">
        <f>'AE1'!H26</f>
        <v>0</v>
      </c>
      <c r="T83" s="846"/>
      <c r="U83" s="957">
        <f t="shared" ref="U83:U88" si="146">T83-S83</f>
        <v>0</v>
      </c>
      <c r="V83" s="967">
        <f t="shared" ref="V83:V88" si="147">IF(S83=0,0,U83/S83)</f>
        <v>0</v>
      </c>
      <c r="W83" s="976">
        <f>'AE1'!I26</f>
        <v>0</v>
      </c>
      <c r="X83" s="846"/>
      <c r="Y83" s="957">
        <f t="shared" ref="Y83:Y88" si="148">X83-W83</f>
        <v>0</v>
      </c>
      <c r="Z83" s="967">
        <f t="shared" ref="Z83:Z88" si="149">IF(W83=0,0,Y83/W83)</f>
        <v>0</v>
      </c>
      <c r="AA83" s="976">
        <f>'AE1'!J26</f>
        <v>0</v>
      </c>
      <c r="AB83" s="846"/>
      <c r="AC83" s="957">
        <f t="shared" ref="AC83:AC88" si="150">AB83-AA83</f>
        <v>0</v>
      </c>
      <c r="AD83" s="967">
        <f t="shared" ref="AD83:AD88" si="151">IF(AA83=0,0,AC83/AA83)</f>
        <v>0</v>
      </c>
      <c r="AE83" s="976">
        <f>'AE1'!K26</f>
        <v>0</v>
      </c>
      <c r="AF83" s="846"/>
      <c r="AG83" s="957">
        <f t="shared" ref="AG83:AG88" si="152">AF83-AE83</f>
        <v>0</v>
      </c>
      <c r="AH83" s="967">
        <f t="shared" ref="AH83:AH88" si="153">IF(AE83=0,0,AG83/AE83)</f>
        <v>0</v>
      </c>
      <c r="AI83" s="976">
        <f>'AE1'!L26</f>
        <v>0</v>
      </c>
      <c r="AJ83" s="846"/>
      <c r="AK83" s="957">
        <f t="shared" ref="AK83:AK88" si="154">AJ83-AI83</f>
        <v>0</v>
      </c>
      <c r="AL83" s="967">
        <f t="shared" ref="AL83:AL88" si="155">IF(AI83=0,0,AK83/AI83)</f>
        <v>0</v>
      </c>
      <c r="AM83" s="976">
        <f>'AE1'!M26</f>
        <v>0</v>
      </c>
      <c r="AN83" s="846"/>
      <c r="AO83" s="957">
        <f t="shared" ref="AO83:AO88" si="156">AN83-AM83</f>
        <v>0</v>
      </c>
      <c r="AP83" s="967">
        <f t="shared" ref="AP83:AP88" si="157">IF(AM83=0,0,AO83/AM83)</f>
        <v>0</v>
      </c>
      <c r="AQ83" s="976">
        <f>'AE1'!N26</f>
        <v>0</v>
      </c>
      <c r="AR83" s="846"/>
      <c r="AS83" s="957">
        <f t="shared" ref="AS83:AS88" si="158">AR83-AQ83</f>
        <v>0</v>
      </c>
      <c r="AT83" s="967">
        <f t="shared" ref="AT83:AT88" si="159">IF(AQ83=0,0,AS83/AQ83)</f>
        <v>0</v>
      </c>
      <c r="AU83" s="976">
        <f>'AE1'!O26</f>
        <v>0</v>
      </c>
      <c r="AV83" s="846"/>
      <c r="AW83" s="957">
        <f t="shared" ref="AW83:AW88" si="160">AV83-AU83</f>
        <v>0</v>
      </c>
      <c r="AX83" s="967">
        <f t="shared" ref="AX83:AX88" si="161">IF(AU83=0,0,AW83/AU83)</f>
        <v>0</v>
      </c>
      <c r="AY83" s="946">
        <f t="shared" ref="AY83:AY88" si="162">C83+G83+K83+O83+S83+W83+AA83+AE83+AI83+AM83+AQ83+AU83</f>
        <v>0</v>
      </c>
      <c r="AZ83" s="991">
        <f t="shared" ref="AZ83:AZ88" si="163">D83+H83+L83+P83+T83+X83+AB83+AF83+AJ83+AN83+AR83+AV83</f>
        <v>0</v>
      </c>
      <c r="BA83" s="946">
        <f t="shared" ref="BA83:BA88" si="164">AZ83-AY83</f>
        <v>0</v>
      </c>
      <c r="BB83" s="967">
        <f t="shared" ref="BB83:BB88" si="165">IF(AY83=0,0,BA83/AY83)</f>
        <v>0</v>
      </c>
    </row>
    <row r="84" spans="1:54" ht="13.5" thickBot="1">
      <c r="A84" s="576"/>
      <c r="B84" s="576" t="str">
        <f>'AE1'!A16</f>
        <v>Autres revenus 1</v>
      </c>
      <c r="C84" s="976">
        <f>'AE1'!D16</f>
        <v>0</v>
      </c>
      <c r="D84" s="846"/>
      <c r="E84" s="957">
        <f t="shared" si="138"/>
        <v>0</v>
      </c>
      <c r="F84" s="1035">
        <f t="shared" si="139"/>
        <v>0</v>
      </c>
      <c r="G84" s="976">
        <f>'AE1'!E16</f>
        <v>0</v>
      </c>
      <c r="H84" s="846"/>
      <c r="I84" s="957">
        <f t="shared" si="140"/>
        <v>0</v>
      </c>
      <c r="J84" s="1035">
        <f t="shared" si="141"/>
        <v>0</v>
      </c>
      <c r="K84" s="976">
        <f>'AE1'!F16</f>
        <v>0</v>
      </c>
      <c r="L84" s="846"/>
      <c r="M84" s="957">
        <f t="shared" si="142"/>
        <v>0</v>
      </c>
      <c r="N84" s="1035">
        <f t="shared" si="143"/>
        <v>0</v>
      </c>
      <c r="O84" s="976">
        <f>'AE1'!G16</f>
        <v>0</v>
      </c>
      <c r="P84" s="846"/>
      <c r="Q84" s="957">
        <f t="shared" si="144"/>
        <v>0</v>
      </c>
      <c r="R84" s="1035">
        <f t="shared" si="145"/>
        <v>0</v>
      </c>
      <c r="S84" s="976">
        <f>'AE1'!H16</f>
        <v>0</v>
      </c>
      <c r="T84" s="846"/>
      <c r="U84" s="957">
        <f t="shared" si="146"/>
        <v>0</v>
      </c>
      <c r="V84" s="967">
        <f t="shared" si="147"/>
        <v>0</v>
      </c>
      <c r="W84" s="976">
        <f>'AE1'!I16</f>
        <v>0</v>
      </c>
      <c r="X84" s="846"/>
      <c r="Y84" s="957">
        <f t="shared" si="148"/>
        <v>0</v>
      </c>
      <c r="Z84" s="967">
        <f t="shared" si="149"/>
        <v>0</v>
      </c>
      <c r="AA84" s="976">
        <f>'AE1'!J16</f>
        <v>0</v>
      </c>
      <c r="AB84" s="846"/>
      <c r="AC84" s="957">
        <f t="shared" si="150"/>
        <v>0</v>
      </c>
      <c r="AD84" s="967">
        <f t="shared" si="151"/>
        <v>0</v>
      </c>
      <c r="AE84" s="976">
        <f>'AE1'!K16</f>
        <v>0</v>
      </c>
      <c r="AF84" s="846"/>
      <c r="AG84" s="957">
        <f t="shared" si="152"/>
        <v>0</v>
      </c>
      <c r="AH84" s="967">
        <f t="shared" si="153"/>
        <v>0</v>
      </c>
      <c r="AI84" s="976">
        <f>'AE1'!L16</f>
        <v>0</v>
      </c>
      <c r="AJ84" s="846"/>
      <c r="AK84" s="957">
        <f t="shared" si="154"/>
        <v>0</v>
      </c>
      <c r="AL84" s="967">
        <f t="shared" si="155"/>
        <v>0</v>
      </c>
      <c r="AM84" s="976">
        <f>'AE1'!M16</f>
        <v>0</v>
      </c>
      <c r="AN84" s="846"/>
      <c r="AO84" s="957">
        <f t="shared" si="156"/>
        <v>0</v>
      </c>
      <c r="AP84" s="967">
        <f t="shared" si="157"/>
        <v>0</v>
      </c>
      <c r="AQ84" s="976">
        <f>'AE1'!N16</f>
        <v>0</v>
      </c>
      <c r="AR84" s="846"/>
      <c r="AS84" s="957">
        <f t="shared" si="158"/>
        <v>0</v>
      </c>
      <c r="AT84" s="967">
        <f t="shared" si="159"/>
        <v>0</v>
      </c>
      <c r="AU84" s="976">
        <f>'AE1'!O16</f>
        <v>0</v>
      </c>
      <c r="AV84" s="846"/>
      <c r="AW84" s="957">
        <f t="shared" si="160"/>
        <v>0</v>
      </c>
      <c r="AX84" s="967">
        <f t="shared" si="161"/>
        <v>0</v>
      </c>
      <c r="AY84" s="946">
        <f t="shared" si="162"/>
        <v>0</v>
      </c>
      <c r="AZ84" s="991">
        <f t="shared" si="163"/>
        <v>0</v>
      </c>
      <c r="BA84" s="946">
        <f t="shared" si="164"/>
        <v>0</v>
      </c>
      <c r="BB84" s="967">
        <f t="shared" si="165"/>
        <v>0</v>
      </c>
    </row>
    <row r="85" spans="1:54" ht="13.5" thickBot="1">
      <c r="A85" s="576"/>
      <c r="B85" s="576" t="str">
        <f>'AE1'!A17</f>
        <v>Autres revenus 2</v>
      </c>
      <c r="C85" s="976">
        <f>'AE1'!D17</f>
        <v>0</v>
      </c>
      <c r="D85" s="846"/>
      <c r="E85" s="957">
        <f t="shared" si="138"/>
        <v>0</v>
      </c>
      <c r="F85" s="1035">
        <f t="shared" si="139"/>
        <v>0</v>
      </c>
      <c r="G85" s="976">
        <f>'AE1'!E17</f>
        <v>0</v>
      </c>
      <c r="H85" s="846"/>
      <c r="I85" s="957">
        <f t="shared" si="140"/>
        <v>0</v>
      </c>
      <c r="J85" s="1035">
        <f t="shared" si="141"/>
        <v>0</v>
      </c>
      <c r="K85" s="976">
        <f>'AE1'!F17</f>
        <v>0</v>
      </c>
      <c r="L85" s="846"/>
      <c r="M85" s="957">
        <f t="shared" si="142"/>
        <v>0</v>
      </c>
      <c r="N85" s="1035">
        <f t="shared" si="143"/>
        <v>0</v>
      </c>
      <c r="O85" s="976">
        <f>'AE1'!G17</f>
        <v>0</v>
      </c>
      <c r="P85" s="846"/>
      <c r="Q85" s="957">
        <f t="shared" si="144"/>
        <v>0</v>
      </c>
      <c r="R85" s="1035">
        <f t="shared" si="145"/>
        <v>0</v>
      </c>
      <c r="S85" s="976">
        <f>'AE1'!H17</f>
        <v>0</v>
      </c>
      <c r="T85" s="846"/>
      <c r="U85" s="957">
        <f t="shared" si="146"/>
        <v>0</v>
      </c>
      <c r="V85" s="967">
        <f t="shared" si="147"/>
        <v>0</v>
      </c>
      <c r="W85" s="976">
        <f>'AE1'!I17</f>
        <v>0</v>
      </c>
      <c r="X85" s="846"/>
      <c r="Y85" s="957">
        <f t="shared" si="148"/>
        <v>0</v>
      </c>
      <c r="Z85" s="967">
        <f t="shared" si="149"/>
        <v>0</v>
      </c>
      <c r="AA85" s="976">
        <f>'AE1'!J17</f>
        <v>0</v>
      </c>
      <c r="AB85" s="846"/>
      <c r="AC85" s="957">
        <f t="shared" si="150"/>
        <v>0</v>
      </c>
      <c r="AD85" s="967">
        <f t="shared" si="151"/>
        <v>0</v>
      </c>
      <c r="AE85" s="976">
        <f>'AE1'!K17</f>
        <v>0</v>
      </c>
      <c r="AF85" s="846"/>
      <c r="AG85" s="957">
        <f t="shared" si="152"/>
        <v>0</v>
      </c>
      <c r="AH85" s="967">
        <f t="shared" si="153"/>
        <v>0</v>
      </c>
      <c r="AI85" s="976">
        <f>'AE1'!L17</f>
        <v>0</v>
      </c>
      <c r="AJ85" s="846"/>
      <c r="AK85" s="957">
        <f t="shared" si="154"/>
        <v>0</v>
      </c>
      <c r="AL85" s="967">
        <f t="shared" si="155"/>
        <v>0</v>
      </c>
      <c r="AM85" s="976">
        <f>'AE1'!M17</f>
        <v>0</v>
      </c>
      <c r="AN85" s="846"/>
      <c r="AO85" s="957">
        <f t="shared" si="156"/>
        <v>0</v>
      </c>
      <c r="AP85" s="967">
        <f t="shared" si="157"/>
        <v>0</v>
      </c>
      <c r="AQ85" s="976">
        <f>'AE1'!N17</f>
        <v>0</v>
      </c>
      <c r="AR85" s="846"/>
      <c r="AS85" s="957">
        <f t="shared" si="158"/>
        <v>0</v>
      </c>
      <c r="AT85" s="967">
        <f t="shared" si="159"/>
        <v>0</v>
      </c>
      <c r="AU85" s="976">
        <f>'AE1'!O17</f>
        <v>0</v>
      </c>
      <c r="AV85" s="846"/>
      <c r="AW85" s="957">
        <f t="shared" si="160"/>
        <v>0</v>
      </c>
      <c r="AX85" s="967">
        <f t="shared" si="161"/>
        <v>0</v>
      </c>
      <c r="AY85" s="946">
        <f t="shared" si="162"/>
        <v>0</v>
      </c>
      <c r="AZ85" s="991">
        <f t="shared" si="163"/>
        <v>0</v>
      </c>
      <c r="BA85" s="946">
        <f t="shared" si="164"/>
        <v>0</v>
      </c>
      <c r="BB85" s="967">
        <f t="shared" si="165"/>
        <v>0</v>
      </c>
    </row>
    <row r="86" spans="1:54" ht="13.5" thickBot="1">
      <c r="A86" s="576"/>
      <c r="B86" s="576" t="str">
        <f>'AE1'!A18</f>
        <v>Autres revenus 3</v>
      </c>
      <c r="C86" s="976">
        <f>'AE1'!D18</f>
        <v>0</v>
      </c>
      <c r="D86" s="846"/>
      <c r="E86" s="957">
        <f t="shared" si="138"/>
        <v>0</v>
      </c>
      <c r="F86" s="1035">
        <f t="shared" si="139"/>
        <v>0</v>
      </c>
      <c r="G86" s="976">
        <f>'AE1'!E18</f>
        <v>0</v>
      </c>
      <c r="H86" s="846"/>
      <c r="I86" s="957">
        <f t="shared" si="140"/>
        <v>0</v>
      </c>
      <c r="J86" s="1035">
        <f t="shared" si="141"/>
        <v>0</v>
      </c>
      <c r="K86" s="976">
        <f>'AE1'!F18</f>
        <v>0</v>
      </c>
      <c r="L86" s="846"/>
      <c r="M86" s="957">
        <f t="shared" si="142"/>
        <v>0</v>
      </c>
      <c r="N86" s="1035">
        <f t="shared" si="143"/>
        <v>0</v>
      </c>
      <c r="O86" s="976">
        <f>'AE1'!G18</f>
        <v>0</v>
      </c>
      <c r="P86" s="846"/>
      <c r="Q86" s="957">
        <f t="shared" si="144"/>
        <v>0</v>
      </c>
      <c r="R86" s="1035">
        <f t="shared" si="145"/>
        <v>0</v>
      </c>
      <c r="S86" s="976">
        <f>'AE1'!H18</f>
        <v>0</v>
      </c>
      <c r="T86" s="846"/>
      <c r="U86" s="957">
        <f t="shared" si="146"/>
        <v>0</v>
      </c>
      <c r="V86" s="967">
        <f t="shared" si="147"/>
        <v>0</v>
      </c>
      <c r="W86" s="976">
        <f>'AE1'!I18</f>
        <v>0</v>
      </c>
      <c r="X86" s="846"/>
      <c r="Y86" s="957">
        <f t="shared" si="148"/>
        <v>0</v>
      </c>
      <c r="Z86" s="967">
        <f t="shared" si="149"/>
        <v>0</v>
      </c>
      <c r="AA86" s="976">
        <f>'AE1'!J18</f>
        <v>0</v>
      </c>
      <c r="AB86" s="846"/>
      <c r="AC86" s="957">
        <f t="shared" si="150"/>
        <v>0</v>
      </c>
      <c r="AD86" s="967">
        <f t="shared" si="151"/>
        <v>0</v>
      </c>
      <c r="AE86" s="976">
        <f>'AE1'!K18</f>
        <v>0</v>
      </c>
      <c r="AF86" s="846"/>
      <c r="AG86" s="957">
        <f t="shared" si="152"/>
        <v>0</v>
      </c>
      <c r="AH86" s="967">
        <f t="shared" si="153"/>
        <v>0</v>
      </c>
      <c r="AI86" s="976">
        <f>'AE1'!L18</f>
        <v>0</v>
      </c>
      <c r="AJ86" s="846"/>
      <c r="AK86" s="957">
        <f t="shared" si="154"/>
        <v>0</v>
      </c>
      <c r="AL86" s="967">
        <f t="shared" si="155"/>
        <v>0</v>
      </c>
      <c r="AM86" s="976">
        <f>'AE1'!M18</f>
        <v>0</v>
      </c>
      <c r="AN86" s="846"/>
      <c r="AO86" s="957">
        <f t="shared" si="156"/>
        <v>0</v>
      </c>
      <c r="AP86" s="967">
        <f t="shared" si="157"/>
        <v>0</v>
      </c>
      <c r="AQ86" s="976">
        <f>'AE1'!N18</f>
        <v>0</v>
      </c>
      <c r="AR86" s="846"/>
      <c r="AS86" s="957">
        <f t="shared" si="158"/>
        <v>0</v>
      </c>
      <c r="AT86" s="967">
        <f t="shared" si="159"/>
        <v>0</v>
      </c>
      <c r="AU86" s="976">
        <f>'AE1'!O18</f>
        <v>0</v>
      </c>
      <c r="AV86" s="846"/>
      <c r="AW86" s="957">
        <f t="shared" si="160"/>
        <v>0</v>
      </c>
      <c r="AX86" s="967">
        <f t="shared" si="161"/>
        <v>0</v>
      </c>
      <c r="AY86" s="946">
        <f t="shared" si="162"/>
        <v>0</v>
      </c>
      <c r="AZ86" s="991">
        <f t="shared" si="163"/>
        <v>0</v>
      </c>
      <c r="BA86" s="946">
        <f t="shared" si="164"/>
        <v>0</v>
      </c>
      <c r="BB86" s="967">
        <f t="shared" si="165"/>
        <v>0</v>
      </c>
    </row>
    <row r="87" spans="1:54" ht="13.5" thickBot="1">
      <c r="A87" s="576"/>
      <c r="B87" s="576" t="str">
        <f>'AE1'!A19</f>
        <v>Autres revenus 4</v>
      </c>
      <c r="C87" s="976">
        <f>'AE1'!D19</f>
        <v>0</v>
      </c>
      <c r="D87" s="846"/>
      <c r="E87" s="957">
        <f t="shared" si="138"/>
        <v>0</v>
      </c>
      <c r="F87" s="1035">
        <f t="shared" si="139"/>
        <v>0</v>
      </c>
      <c r="G87" s="976">
        <f>'AE1'!E19</f>
        <v>0</v>
      </c>
      <c r="H87" s="846"/>
      <c r="I87" s="957">
        <f t="shared" si="140"/>
        <v>0</v>
      </c>
      <c r="J87" s="1035">
        <f t="shared" si="141"/>
        <v>0</v>
      </c>
      <c r="K87" s="976">
        <f>'AE1'!F19</f>
        <v>0</v>
      </c>
      <c r="L87" s="846"/>
      <c r="M87" s="957">
        <f t="shared" si="142"/>
        <v>0</v>
      </c>
      <c r="N87" s="1035">
        <f t="shared" si="143"/>
        <v>0</v>
      </c>
      <c r="O87" s="976">
        <f>'AE1'!G19</f>
        <v>0</v>
      </c>
      <c r="P87" s="846"/>
      <c r="Q87" s="957">
        <f t="shared" si="144"/>
        <v>0</v>
      </c>
      <c r="R87" s="1035">
        <f t="shared" si="145"/>
        <v>0</v>
      </c>
      <c r="S87" s="976">
        <f>'AE1'!H19</f>
        <v>0</v>
      </c>
      <c r="T87" s="846"/>
      <c r="U87" s="957">
        <f t="shared" si="146"/>
        <v>0</v>
      </c>
      <c r="V87" s="967">
        <f t="shared" si="147"/>
        <v>0</v>
      </c>
      <c r="W87" s="976">
        <f>'AE1'!I19</f>
        <v>0</v>
      </c>
      <c r="X87" s="846"/>
      <c r="Y87" s="957">
        <f t="shared" si="148"/>
        <v>0</v>
      </c>
      <c r="Z87" s="967">
        <f t="shared" si="149"/>
        <v>0</v>
      </c>
      <c r="AA87" s="976">
        <f>'AE1'!J19</f>
        <v>0</v>
      </c>
      <c r="AB87" s="846"/>
      <c r="AC87" s="957">
        <f t="shared" si="150"/>
        <v>0</v>
      </c>
      <c r="AD87" s="967">
        <f t="shared" si="151"/>
        <v>0</v>
      </c>
      <c r="AE87" s="976">
        <f>'AE1'!K19</f>
        <v>0</v>
      </c>
      <c r="AF87" s="846"/>
      <c r="AG87" s="957">
        <f t="shared" si="152"/>
        <v>0</v>
      </c>
      <c r="AH87" s="967">
        <f t="shared" si="153"/>
        <v>0</v>
      </c>
      <c r="AI87" s="976">
        <f>'AE1'!L19</f>
        <v>0</v>
      </c>
      <c r="AJ87" s="846"/>
      <c r="AK87" s="957">
        <f t="shared" si="154"/>
        <v>0</v>
      </c>
      <c r="AL87" s="967">
        <f t="shared" si="155"/>
        <v>0</v>
      </c>
      <c r="AM87" s="976">
        <f>'AE1'!M19</f>
        <v>0</v>
      </c>
      <c r="AN87" s="846"/>
      <c r="AO87" s="957">
        <f t="shared" si="156"/>
        <v>0</v>
      </c>
      <c r="AP87" s="967">
        <f t="shared" si="157"/>
        <v>0</v>
      </c>
      <c r="AQ87" s="976">
        <f>'AE1'!N19</f>
        <v>0</v>
      </c>
      <c r="AR87" s="846"/>
      <c r="AS87" s="957">
        <f t="shared" si="158"/>
        <v>0</v>
      </c>
      <c r="AT87" s="967">
        <f t="shared" si="159"/>
        <v>0</v>
      </c>
      <c r="AU87" s="976">
        <f>'AE1'!O19</f>
        <v>0</v>
      </c>
      <c r="AV87" s="846"/>
      <c r="AW87" s="957">
        <f t="shared" si="160"/>
        <v>0</v>
      </c>
      <c r="AX87" s="967">
        <f t="shared" si="161"/>
        <v>0</v>
      </c>
      <c r="AY87" s="946">
        <f t="shared" si="162"/>
        <v>0</v>
      </c>
      <c r="AZ87" s="991">
        <f t="shared" si="163"/>
        <v>0</v>
      </c>
      <c r="BA87" s="946">
        <f t="shared" si="164"/>
        <v>0</v>
      </c>
      <c r="BB87" s="967">
        <f t="shared" si="165"/>
        <v>0</v>
      </c>
    </row>
    <row r="88" spans="1:54" ht="13.5" thickBot="1">
      <c r="A88" s="576"/>
      <c r="B88" s="576" t="str">
        <f>'AE1'!A20</f>
        <v>Autres revenus 5</v>
      </c>
      <c r="C88" s="976">
        <f>'AE1'!D20</f>
        <v>0</v>
      </c>
      <c r="D88" s="846"/>
      <c r="E88" s="957">
        <f t="shared" si="138"/>
        <v>0</v>
      </c>
      <c r="F88" s="1035">
        <f t="shared" si="139"/>
        <v>0</v>
      </c>
      <c r="G88" s="976">
        <f>'AE1'!E20</f>
        <v>0</v>
      </c>
      <c r="H88" s="846"/>
      <c r="I88" s="957">
        <f t="shared" si="140"/>
        <v>0</v>
      </c>
      <c r="J88" s="1035">
        <f t="shared" si="141"/>
        <v>0</v>
      </c>
      <c r="K88" s="976">
        <f>'AE1'!F20</f>
        <v>0</v>
      </c>
      <c r="L88" s="846"/>
      <c r="M88" s="957">
        <f t="shared" si="142"/>
        <v>0</v>
      </c>
      <c r="N88" s="1035">
        <f t="shared" si="143"/>
        <v>0</v>
      </c>
      <c r="O88" s="976">
        <f>'AE1'!G20</f>
        <v>0</v>
      </c>
      <c r="P88" s="846"/>
      <c r="Q88" s="957">
        <f t="shared" si="144"/>
        <v>0</v>
      </c>
      <c r="R88" s="1035">
        <f t="shared" si="145"/>
        <v>0</v>
      </c>
      <c r="S88" s="976">
        <f>'AE1'!H20</f>
        <v>0</v>
      </c>
      <c r="T88" s="846"/>
      <c r="U88" s="957">
        <f t="shared" si="146"/>
        <v>0</v>
      </c>
      <c r="V88" s="967">
        <f t="shared" si="147"/>
        <v>0</v>
      </c>
      <c r="W88" s="976">
        <f>'AE1'!I20</f>
        <v>0</v>
      </c>
      <c r="X88" s="846"/>
      <c r="Y88" s="957">
        <f t="shared" si="148"/>
        <v>0</v>
      </c>
      <c r="Z88" s="967">
        <f t="shared" si="149"/>
        <v>0</v>
      </c>
      <c r="AA88" s="976">
        <f>'AE1'!J20</f>
        <v>0</v>
      </c>
      <c r="AB88" s="846"/>
      <c r="AC88" s="957">
        <f t="shared" si="150"/>
        <v>0</v>
      </c>
      <c r="AD88" s="967">
        <f t="shared" si="151"/>
        <v>0</v>
      </c>
      <c r="AE88" s="976">
        <f>'AE1'!K20</f>
        <v>0</v>
      </c>
      <c r="AF88" s="846"/>
      <c r="AG88" s="957">
        <f t="shared" si="152"/>
        <v>0</v>
      </c>
      <c r="AH88" s="967">
        <f t="shared" si="153"/>
        <v>0</v>
      </c>
      <c r="AI88" s="976">
        <f>'AE1'!L20</f>
        <v>0</v>
      </c>
      <c r="AJ88" s="846"/>
      <c r="AK88" s="957">
        <f t="shared" si="154"/>
        <v>0</v>
      </c>
      <c r="AL88" s="967">
        <f t="shared" si="155"/>
        <v>0</v>
      </c>
      <c r="AM88" s="976">
        <f>'AE1'!M20</f>
        <v>0</v>
      </c>
      <c r="AN88" s="846"/>
      <c r="AO88" s="957">
        <f t="shared" si="156"/>
        <v>0</v>
      </c>
      <c r="AP88" s="967">
        <f t="shared" si="157"/>
        <v>0</v>
      </c>
      <c r="AQ88" s="976">
        <f>'AE1'!N20</f>
        <v>0</v>
      </c>
      <c r="AR88" s="846"/>
      <c r="AS88" s="957">
        <f t="shared" si="158"/>
        <v>0</v>
      </c>
      <c r="AT88" s="967">
        <f t="shared" si="159"/>
        <v>0</v>
      </c>
      <c r="AU88" s="976">
        <f>'AE1'!O20</f>
        <v>0</v>
      </c>
      <c r="AV88" s="846"/>
      <c r="AW88" s="957">
        <f t="shared" si="160"/>
        <v>0</v>
      </c>
      <c r="AX88" s="967">
        <f t="shared" si="161"/>
        <v>0</v>
      </c>
      <c r="AY88" s="946">
        <f t="shared" si="162"/>
        <v>0</v>
      </c>
      <c r="AZ88" s="991">
        <f t="shared" si="163"/>
        <v>0</v>
      </c>
      <c r="BA88" s="946">
        <f t="shared" si="164"/>
        <v>0</v>
      </c>
      <c r="BB88" s="967">
        <f t="shared" si="165"/>
        <v>0</v>
      </c>
    </row>
    <row r="89" spans="1:54">
      <c r="A89" s="576"/>
      <c r="B89" s="576"/>
      <c r="C89" s="970"/>
      <c r="D89" s="946"/>
      <c r="E89" s="957"/>
      <c r="F89" s="1036"/>
      <c r="G89" s="970"/>
      <c r="H89" s="946"/>
      <c r="I89" s="957"/>
      <c r="J89" s="1036"/>
      <c r="K89" s="970"/>
      <c r="L89" s="946"/>
      <c r="M89" s="957"/>
      <c r="N89" s="1036"/>
      <c r="O89" s="970"/>
      <c r="P89" s="946"/>
      <c r="Q89" s="957"/>
      <c r="R89" s="1036"/>
      <c r="S89" s="970"/>
      <c r="T89" s="946"/>
      <c r="U89" s="957"/>
      <c r="V89" s="969"/>
      <c r="W89" s="970"/>
      <c r="X89" s="946"/>
      <c r="Y89" s="957"/>
      <c r="Z89" s="969"/>
      <c r="AA89" s="970"/>
      <c r="AB89" s="946"/>
      <c r="AC89" s="957"/>
      <c r="AD89" s="969"/>
      <c r="AE89" s="970"/>
      <c r="AF89" s="946"/>
      <c r="AG89" s="957"/>
      <c r="AH89" s="969"/>
      <c r="AI89" s="970"/>
      <c r="AJ89" s="946"/>
      <c r="AK89" s="957"/>
      <c r="AL89" s="969"/>
      <c r="AM89" s="970"/>
      <c r="AN89" s="946"/>
      <c r="AO89" s="957"/>
      <c r="AP89" s="969"/>
      <c r="AQ89" s="970"/>
      <c r="AR89" s="946"/>
      <c r="AS89" s="957"/>
      <c r="AT89" s="969"/>
      <c r="AU89" s="970"/>
      <c r="AV89" s="946"/>
      <c r="AW89" s="957"/>
      <c r="AX89" s="969"/>
      <c r="AY89" s="984"/>
      <c r="AZ89" s="946"/>
      <c r="BA89" s="946"/>
      <c r="BB89" s="969"/>
    </row>
    <row r="90" spans="1:54" ht="13.5" thickBot="1">
      <c r="A90" s="947" t="str">
        <f>IF(RG!$A$74=4,"SURPLUS DÉGAGÉS AVANT AMORTISSEMENT",IF(RG!$A$74=3,"BÉNÉFICE NET (PERTE NETTE) AVANT AMORTISSEMENT ET IMPÔT","BÉNÉFICE NET (PERTE NETTE) AVANT AMORTISSEMENT"))</f>
        <v>BÉNÉFICE NET (PERTE NETTE) AVANT AMORTISSEMENT ET IMPÔT</v>
      </c>
      <c r="B90" s="583"/>
      <c r="C90" s="979">
        <f>C26+C78+C83+C84+C85+C86+C87+C88</f>
        <v>-1194.5619999999999</v>
      </c>
      <c r="D90" s="948">
        <f>D26+D78+D83+D84+D85+D86+D87+D88</f>
        <v>0</v>
      </c>
      <c r="E90" s="960">
        <f>D90-C90</f>
        <v>1194.5619999999999</v>
      </c>
      <c r="F90" s="1040">
        <f t="shared" si="139"/>
        <v>-1</v>
      </c>
      <c r="G90" s="979">
        <f>G26+G78+G83+G84+G85+G86+G87+G88</f>
        <v>-1042.5619999999999</v>
      </c>
      <c r="H90" s="948">
        <f>H26+H78+H83+H84+H85+H86+H87+H88</f>
        <v>0</v>
      </c>
      <c r="I90" s="960">
        <f>H90-G90</f>
        <v>1042.5619999999999</v>
      </c>
      <c r="J90" s="1040">
        <f>IF(G90=0,0,I90/G90)</f>
        <v>-1</v>
      </c>
      <c r="K90" s="979">
        <f>K26+K78+K83+K84+K85+K86+K87+K88</f>
        <v>-896.5619999999999</v>
      </c>
      <c r="L90" s="948">
        <f>L26+L78+L83+L84+L85+L86+L87+L88</f>
        <v>0</v>
      </c>
      <c r="M90" s="960">
        <f>L90-K90</f>
        <v>896.5619999999999</v>
      </c>
      <c r="N90" s="1040">
        <f>IF(K90=0,0,M90/K90)</f>
        <v>-1</v>
      </c>
      <c r="O90" s="979">
        <f>O26+O78+O83+O84+O85+O86+O87+O88</f>
        <v>-749.5619999999999</v>
      </c>
      <c r="P90" s="948">
        <f>P26+P78+P83+P84+P85+P86+P87+P88</f>
        <v>0</v>
      </c>
      <c r="Q90" s="960">
        <f>P90-O90</f>
        <v>749.5619999999999</v>
      </c>
      <c r="R90" s="1040">
        <f>IF(O90=0,0,Q90/O90)</f>
        <v>-1</v>
      </c>
      <c r="S90" s="979">
        <f>S26+S78+S83+S84+S85+S86+S87+S88</f>
        <v>-604.5619999999999</v>
      </c>
      <c r="T90" s="948">
        <f>T26+T78+T83+T84+T85+T86+T87+T88</f>
        <v>0</v>
      </c>
      <c r="U90" s="960">
        <f>T90-S90</f>
        <v>604.5619999999999</v>
      </c>
      <c r="V90" s="980">
        <f>IF(S90=0,0,U90/S90)</f>
        <v>-1</v>
      </c>
      <c r="W90" s="979">
        <f>W26+W78+W83+W84+W85+W86+W87+W88</f>
        <v>-456.5619999999999</v>
      </c>
      <c r="X90" s="948">
        <f>X26+X78+X83+X84+X85+X86+X87+X88</f>
        <v>0</v>
      </c>
      <c r="Y90" s="960">
        <f>X90-W90</f>
        <v>456.5619999999999</v>
      </c>
      <c r="Z90" s="980">
        <f>IF(W90=0,0,Y90/W90)</f>
        <v>-1</v>
      </c>
      <c r="AA90" s="979">
        <f>AA26+AA78+AA83+AA84+AA85+AA86+AA87+AA88</f>
        <v>-310.5619999999999</v>
      </c>
      <c r="AB90" s="948">
        <f>AB26+AB78+AB83+AB84+AB85+AB86+AB87+AB88</f>
        <v>0</v>
      </c>
      <c r="AC90" s="960">
        <f>AB90-AA90</f>
        <v>310.5619999999999</v>
      </c>
      <c r="AD90" s="980">
        <f>IF(AA90=0,0,AC90/AA90)</f>
        <v>-1</v>
      </c>
      <c r="AE90" s="979">
        <f>AE26+AE78+AE83+AE84+AE85+AE86+AE87+AE88</f>
        <v>-164.5619999999999</v>
      </c>
      <c r="AF90" s="948">
        <f>AF26+AF78+AF83+AF84+AF85+AF86+AF87+AF88</f>
        <v>0</v>
      </c>
      <c r="AG90" s="960">
        <f>AF90-AE90</f>
        <v>164.5619999999999</v>
      </c>
      <c r="AH90" s="980">
        <f>IF(AE90=0,0,AG90/AE90)</f>
        <v>-1</v>
      </c>
      <c r="AI90" s="979">
        <f>AI26+AI78+AI83+AI84+AI85+AI86+AI87+AI88</f>
        <v>-18.561999999999898</v>
      </c>
      <c r="AJ90" s="948">
        <f>AJ26+AJ78+AJ83+AJ84+AJ85+AJ86+AJ87+AJ88</f>
        <v>0</v>
      </c>
      <c r="AK90" s="960">
        <f>AJ90-AI90</f>
        <v>18.561999999999898</v>
      </c>
      <c r="AL90" s="980">
        <f>IF(AI90=0,0,AK90/AI90)</f>
        <v>-1</v>
      </c>
      <c r="AM90" s="979">
        <f>AM26+AM78+AM83+AM84+AM85+AM86+AM87+AM88</f>
        <v>127.4380000000001</v>
      </c>
      <c r="AN90" s="948">
        <f>AN26+AN78+AN83+AN84+AN85+AN86+AN87+AN88</f>
        <v>0</v>
      </c>
      <c r="AO90" s="960">
        <f>AN90-AM90</f>
        <v>-127.4380000000001</v>
      </c>
      <c r="AP90" s="980">
        <f>IF(AM90=0,0,AO90/AM90)</f>
        <v>-1</v>
      </c>
      <c r="AQ90" s="979">
        <f>AQ26+AQ78+AQ83+AQ84+AQ85+AQ86+AQ87+AQ88</f>
        <v>273.4380000000001</v>
      </c>
      <c r="AR90" s="948">
        <f>AR26+AR78+AR83+AR84+AR85+AR86+AR87+AR88</f>
        <v>0</v>
      </c>
      <c r="AS90" s="960">
        <f>AR90-AQ90</f>
        <v>-273.4380000000001</v>
      </c>
      <c r="AT90" s="980">
        <f>IF(AQ90=0,0,AS90/AQ90)</f>
        <v>-1</v>
      </c>
      <c r="AU90" s="979">
        <f>AU26+AU78+AU83+AU84+AU85+AU86+AU87+AU88</f>
        <v>420.4380000000001</v>
      </c>
      <c r="AV90" s="948">
        <f>AV26+AV78+AV83+AV84+AV85+AV86+AV87+AV88</f>
        <v>0</v>
      </c>
      <c r="AW90" s="960">
        <f>AV90-AU90</f>
        <v>-420.4380000000001</v>
      </c>
      <c r="AX90" s="980">
        <f>IF(AU90=0,0,AW90/AU90)</f>
        <v>-1</v>
      </c>
      <c r="AY90" s="989">
        <f>AY26+AY78+AY83+AY84+AY85+AY86+AY87+AY88</f>
        <v>-5714.7439999999842</v>
      </c>
      <c r="AZ90" s="948">
        <f>AZ26+AZ78+AZ83+AZ84+AZ85+AZ86+AZ87+AZ88</f>
        <v>0</v>
      </c>
      <c r="BA90" s="948">
        <f>AZ90-AY90</f>
        <v>5714.7439999999842</v>
      </c>
      <c r="BB90" s="980">
        <f>IF(AY90=0,0,BA90/AY90)</f>
        <v>-1</v>
      </c>
    </row>
    <row r="91" spans="1:54" ht="13.5" thickTop="1">
      <c r="A91" s="879"/>
    </row>
  </sheetData>
  <sheetProtection password="E242" sheet="1" objects="1" scenarios="1"/>
  <customSheetViews>
    <customSheetView guid="{30D0538C-360A-4CDF-8D89-584CED1967CC}" fitToPage="1">
      <selection activeCell="C12" sqref="C12"/>
      <pageMargins left="0.78740157499999996" right="0.78740157499999996" top="0.984251969" bottom="0.984251969" header="0.4921259845" footer="0.4921259845"/>
      <pageSetup scale="54" orientation="landscape" horizontalDpi="4294967293" r:id="rId1"/>
      <headerFooter alignWithMargins="0"/>
    </customSheetView>
    <customSheetView guid="{4F3169C3-3348-49DE-A6DC-8AA4D2A9D7A1}" fitToPage="1">
      <selection activeCell="C12" sqref="C12"/>
      <pageMargins left="0.78740157499999996" right="0.78740157499999996" top="0.984251969" bottom="0.984251969" header="0.4921259845" footer="0.4921259845"/>
      <pageSetup scale="54" orientation="landscape" horizontalDpi="4294967293" r:id="rId2"/>
      <headerFooter alignWithMargins="0"/>
    </customSheetView>
  </customSheetViews>
  <mergeCells count="31">
    <mergeCell ref="AY15:BB15"/>
    <mergeCell ref="BA16:BB16"/>
    <mergeCell ref="AE15:AH15"/>
    <mergeCell ref="AA15:AD15"/>
    <mergeCell ref="W15:Z15"/>
    <mergeCell ref="AW16:AX16"/>
    <mergeCell ref="AU15:AX15"/>
    <mergeCell ref="S15:V15"/>
    <mergeCell ref="O15:R15"/>
    <mergeCell ref="AK16:AL16"/>
    <mergeCell ref="AO16:AP16"/>
    <mergeCell ref="AS16:AT16"/>
    <mergeCell ref="AQ15:AT15"/>
    <mergeCell ref="AM15:AP15"/>
    <mergeCell ref="AI15:AL15"/>
    <mergeCell ref="Q16:R16"/>
    <mergeCell ref="U16:V16"/>
    <mergeCell ref="Y16:Z16"/>
    <mergeCell ref="AC16:AD16"/>
    <mergeCell ref="AG16:AH16"/>
    <mergeCell ref="C15:F15"/>
    <mergeCell ref="E16:F16"/>
    <mergeCell ref="I16:J16"/>
    <mergeCell ref="M16:N16"/>
    <mergeCell ref="K15:N15"/>
    <mergeCell ref="G15:J15"/>
    <mergeCell ref="A14:B14"/>
    <mergeCell ref="A29:B29"/>
    <mergeCell ref="A46:B46"/>
    <mergeCell ref="A54:B54"/>
    <mergeCell ref="A68:B68"/>
  </mergeCells>
  <phoneticPr fontId="0" type="noConversion"/>
  <pageMargins left="0.78740157499999996" right="0.78740157499999996" top="0.984251969" bottom="0.984251969" header="0.4921259845" footer="0.4921259845"/>
  <pageSetup scale="38" fitToWidth="0" orientation="landscape" horizontalDpi="4294967293"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3">
    <pageSetUpPr fitToPage="1"/>
  </sheetPr>
  <dimension ref="B1:L98"/>
  <sheetViews>
    <sheetView showGridLines="0" workbookViewId="0">
      <selection activeCell="L31" sqref="L30:L31"/>
    </sheetView>
  </sheetViews>
  <sheetFormatPr baseColWidth="10" defaultColWidth="11.453125" defaultRowHeight="13"/>
  <cols>
    <col min="1" max="1" width="3.36328125" style="43" customWidth="1"/>
    <col min="2" max="6" width="11.453125" style="43"/>
    <col min="7" max="7" width="4" style="43" customWidth="1"/>
    <col min="8" max="8" width="11.453125" style="43"/>
    <col min="9" max="9" width="14.08984375" style="43" customWidth="1"/>
    <col min="10" max="10" width="9" style="43" customWidth="1"/>
    <col min="11" max="11" width="3" style="43" customWidth="1"/>
    <col min="12" max="16384" width="11.453125" style="43"/>
  </cols>
  <sheetData>
    <row r="1" spans="2:12" customFormat="1" ht="12.5"/>
    <row r="2" spans="2:12" customFormat="1" ht="12.5"/>
    <row r="3" spans="2:12" customFormat="1" ht="12.5"/>
    <row r="4" spans="2:12" customFormat="1" ht="12.5"/>
    <row r="5" spans="2:12" customFormat="1" ht="12.5"/>
    <row r="6" spans="2:12" customFormat="1" ht="12.5"/>
    <row r="7" spans="2:12" customFormat="1" ht="12.5"/>
    <row r="8" spans="2:12" customFormat="1" ht="12.5" hidden="1"/>
    <row r="9" spans="2:12" ht="12.75" hidden="1" customHeight="1">
      <c r="C9" s="915"/>
      <c r="D9" s="915"/>
      <c r="E9" s="915"/>
      <c r="F9" s="915"/>
      <c r="G9" s="915"/>
      <c r="H9" s="915"/>
      <c r="I9" s="915"/>
      <c r="J9" s="915"/>
      <c r="K9" s="915"/>
    </row>
    <row r="10" spans="2:12" ht="12.75" hidden="1" customHeight="1">
      <c r="B10" s="915"/>
      <c r="C10" s="915"/>
      <c r="D10" s="915"/>
      <c r="E10" s="915"/>
      <c r="F10" s="915"/>
      <c r="G10" s="915"/>
      <c r="H10" s="915"/>
      <c r="I10" s="915"/>
      <c r="J10" s="915"/>
      <c r="K10" s="915"/>
    </row>
    <row r="11" spans="2:12" ht="12.75" hidden="1" customHeight="1">
      <c r="B11" s="915"/>
      <c r="C11" s="915"/>
      <c r="D11" s="915"/>
      <c r="E11" s="915"/>
      <c r="F11" s="915"/>
      <c r="G11" s="915"/>
      <c r="H11" s="915"/>
      <c r="I11" s="915"/>
      <c r="J11" s="915"/>
      <c r="K11" s="915"/>
    </row>
    <row r="12" spans="2:12" ht="7.5" customHeight="1">
      <c r="B12" s="927"/>
      <c r="C12" s="927"/>
      <c r="D12" s="927"/>
      <c r="E12" s="927"/>
      <c r="F12" s="927"/>
      <c r="G12" s="927"/>
      <c r="H12" s="927"/>
      <c r="I12" s="927"/>
      <c r="J12" s="927"/>
      <c r="K12" s="927"/>
      <c r="L12" s="928"/>
    </row>
    <row r="13" spans="2:12" ht="12.75" customHeight="1">
      <c r="B13" s="915"/>
      <c r="C13" s="915"/>
      <c r="D13" s="915"/>
      <c r="E13" s="915"/>
      <c r="F13" s="915"/>
      <c r="G13" s="915"/>
      <c r="H13" s="915"/>
      <c r="I13" s="915"/>
      <c r="J13" s="915"/>
      <c r="K13" s="915"/>
    </row>
    <row r="14" spans="2:12" ht="12.75" customHeight="1">
      <c r="B14" s="1146" t="s">
        <v>243</v>
      </c>
      <c r="C14" s="1146"/>
      <c r="D14" s="1146"/>
      <c r="E14" s="1146"/>
      <c r="F14" s="1146"/>
      <c r="G14" s="1146"/>
      <c r="H14" s="1146"/>
      <c r="I14" s="1146"/>
      <c r="J14" s="1146"/>
      <c r="K14" s="1146"/>
      <c r="L14" s="1146"/>
    </row>
    <row r="15" spans="2:12" ht="12.75" customHeight="1">
      <c r="B15" s="346"/>
      <c r="C15" s="346"/>
      <c r="D15" s="346"/>
      <c r="E15" s="346"/>
      <c r="F15" s="346"/>
      <c r="G15" s="346"/>
      <c r="H15" s="346"/>
      <c r="I15" s="346"/>
      <c r="J15" s="346"/>
      <c r="K15" s="346"/>
      <c r="L15" s="346"/>
    </row>
    <row r="16" spans="2:12" ht="12.75" customHeight="1">
      <c r="B16" s="920"/>
      <c r="C16" s="920"/>
      <c r="D16" s="920"/>
      <c r="E16" s="346"/>
      <c r="F16" s="346"/>
      <c r="G16" s="346"/>
      <c r="H16" s="346"/>
      <c r="I16" s="346"/>
      <c r="J16" s="346"/>
      <c r="K16" s="346"/>
      <c r="L16" s="346"/>
    </row>
    <row r="17" spans="2:12" ht="15" customHeight="1">
      <c r="B17" s="920"/>
      <c r="C17" s="921" t="s">
        <v>856</v>
      </c>
      <c r="D17" s="920"/>
      <c r="E17" s="346"/>
      <c r="F17" s="346"/>
      <c r="G17" s="346"/>
      <c r="H17" s="346"/>
      <c r="I17" s="346"/>
      <c r="J17" s="346"/>
      <c r="K17" s="346"/>
      <c r="L17" s="346"/>
    </row>
    <row r="18" spans="2:12" ht="12.75" customHeight="1">
      <c r="B18" s="920"/>
      <c r="C18" s="920"/>
      <c r="D18" s="920"/>
      <c r="E18" s="346"/>
      <c r="F18" s="346"/>
      <c r="G18" s="346"/>
      <c r="H18" s="346"/>
      <c r="I18" s="346"/>
      <c r="J18" s="346"/>
      <c r="K18" s="346"/>
      <c r="L18" s="346"/>
    </row>
    <row r="19" spans="2:12" ht="12.75" customHeight="1">
      <c r="B19" s="920"/>
      <c r="C19" s="920"/>
      <c r="D19" s="920"/>
      <c r="E19" s="346"/>
      <c r="F19" s="346"/>
      <c r="G19" s="346"/>
      <c r="H19" s="346"/>
      <c r="I19" s="346"/>
      <c r="J19" s="346"/>
      <c r="K19" s="346"/>
      <c r="L19" s="346"/>
    </row>
    <row r="20" spans="2:12" ht="12.75" customHeight="1">
      <c r="B20" s="920"/>
      <c r="C20" s="920"/>
      <c r="D20" s="920"/>
      <c r="E20" s="346"/>
      <c r="F20" s="346"/>
      <c r="G20" s="346"/>
      <c r="H20" s="346"/>
      <c r="I20" s="346"/>
      <c r="J20" s="346"/>
      <c r="K20" s="346"/>
      <c r="L20" s="346"/>
    </row>
    <row r="21" spans="2:12" ht="16.5" customHeight="1">
      <c r="B21" s="920"/>
      <c r="C21" s="921" t="s">
        <v>857</v>
      </c>
      <c r="D21" s="920"/>
      <c r="E21" s="346"/>
      <c r="F21" s="346"/>
      <c r="G21" s="346"/>
      <c r="H21" s="346"/>
      <c r="I21" s="346"/>
      <c r="J21" s="346"/>
      <c r="K21" s="346"/>
      <c r="L21" s="346"/>
    </row>
    <row r="22" spans="2:12" ht="12.75" customHeight="1">
      <c r="B22" s="920"/>
      <c r="C22" s="920"/>
      <c r="D22" s="920"/>
      <c r="E22" s="346"/>
      <c r="F22" s="346"/>
      <c r="G22" s="346"/>
      <c r="H22" s="346"/>
      <c r="I22" s="346"/>
      <c r="J22" s="346"/>
      <c r="K22" s="346"/>
      <c r="L22" s="346"/>
    </row>
    <row r="23" spans="2:12" ht="12.75" customHeight="1">
      <c r="B23" s="920"/>
      <c r="C23" s="920"/>
      <c r="D23" s="920"/>
      <c r="E23" s="346"/>
      <c r="F23" s="346"/>
      <c r="G23" s="346"/>
      <c r="H23" s="346"/>
      <c r="I23" s="346"/>
      <c r="J23" s="346"/>
      <c r="K23" s="346"/>
      <c r="L23" s="346"/>
    </row>
    <row r="24" spans="2:12" ht="12.75" customHeight="1">
      <c r="B24" s="920"/>
      <c r="C24" s="920"/>
      <c r="D24" s="920"/>
      <c r="E24" s="346"/>
      <c r="F24" s="346"/>
      <c r="G24" s="346"/>
      <c r="H24" s="346"/>
      <c r="I24" s="346"/>
      <c r="J24" s="346"/>
      <c r="K24" s="346"/>
      <c r="L24" s="346"/>
    </row>
    <row r="25" spans="2:12" ht="15.75" customHeight="1">
      <c r="B25" s="346"/>
      <c r="C25" s="921" t="s">
        <v>858</v>
      </c>
      <c r="D25" s="346"/>
      <c r="E25" s="346"/>
      <c r="F25" s="346"/>
      <c r="G25" s="346"/>
      <c r="H25" s="346"/>
      <c r="I25" s="346"/>
      <c r="J25" s="346"/>
      <c r="K25" s="346"/>
      <c r="L25" s="346"/>
    </row>
    <row r="26" spans="2:12" ht="12.75" customHeight="1">
      <c r="B26" s="915"/>
      <c r="C26" s="915"/>
      <c r="D26" s="915"/>
      <c r="E26" s="915"/>
      <c r="F26" s="915"/>
      <c r="G26" s="915"/>
      <c r="H26" s="915"/>
      <c r="I26" s="915"/>
      <c r="J26" s="915"/>
      <c r="K26" s="915"/>
    </row>
    <row r="27" spans="2:12" ht="12.75" customHeight="1">
      <c r="B27" s="915"/>
      <c r="C27" s="915"/>
      <c r="D27" s="915"/>
      <c r="E27" s="915"/>
      <c r="F27" s="915"/>
      <c r="G27" s="915"/>
      <c r="H27" s="915"/>
      <c r="I27" s="915"/>
      <c r="J27" s="915"/>
      <c r="K27" s="915"/>
    </row>
    <row r="28" spans="2:12" ht="12.75" customHeight="1">
      <c r="B28" s="915"/>
      <c r="C28" s="915"/>
      <c r="D28" s="915"/>
      <c r="E28" s="915"/>
      <c r="F28" s="915"/>
      <c r="G28" s="915"/>
      <c r="H28" s="915"/>
      <c r="I28" s="915"/>
      <c r="J28" s="915"/>
      <c r="K28" s="915"/>
    </row>
    <row r="29" spans="2:12" ht="12.75" customHeight="1">
      <c r="B29" s="915"/>
      <c r="C29" s="921" t="s">
        <v>894</v>
      </c>
      <c r="D29" s="346"/>
      <c r="E29" s="346"/>
      <c r="F29" s="915"/>
      <c r="G29" s="915"/>
      <c r="H29" s="915"/>
      <c r="I29" s="915"/>
      <c r="J29" s="915"/>
      <c r="K29" s="915"/>
    </row>
    <row r="30" spans="2:12" ht="12.75" customHeight="1">
      <c r="B30" s="915"/>
      <c r="C30" s="915"/>
      <c r="D30" s="915"/>
      <c r="E30" s="915"/>
      <c r="F30" s="915"/>
      <c r="G30" s="915"/>
      <c r="H30" s="915"/>
      <c r="I30" s="915"/>
      <c r="J30" s="915"/>
      <c r="K30" s="915"/>
    </row>
    <row r="31" spans="2:12" s="58" customFormat="1" ht="15.5">
      <c r="J31" s="924"/>
    </row>
    <row r="32" spans="2:12" s="58" customFormat="1" ht="18">
      <c r="C32" s="921" t="s">
        <v>893</v>
      </c>
      <c r="D32" s="346"/>
    </row>
    <row r="33" spans="2:11" s="58" customFormat="1" ht="15.5"/>
    <row r="34" spans="2:11" s="58" customFormat="1" ht="15.5"/>
    <row r="35" spans="2:11" s="58" customFormat="1" ht="18">
      <c r="C35" s="921" t="s">
        <v>915</v>
      </c>
      <c r="D35" s="346"/>
    </row>
    <row r="36" spans="2:11" s="58" customFormat="1" ht="15.5"/>
    <row r="37" spans="2:11" ht="15.5" thickBot="1">
      <c r="B37" s="263"/>
      <c r="C37" s="263"/>
      <c r="D37" s="263"/>
      <c r="E37" s="263"/>
      <c r="F37" s="263"/>
      <c r="G37" s="263"/>
      <c r="H37" s="263"/>
      <c r="I37" s="263"/>
      <c r="J37" s="263"/>
      <c r="K37" s="263"/>
    </row>
    <row r="38" spans="2:11" s="58" customFormat="1" ht="16" thickBot="1">
      <c r="B38" s="923"/>
      <c r="C38" s="58" t="s">
        <v>859</v>
      </c>
      <c r="J38" s="924"/>
    </row>
    <row r="39" spans="2:11" s="58" customFormat="1" ht="15.5">
      <c r="J39" s="924"/>
    </row>
    <row r="40" spans="2:11" s="58" customFormat="1" ht="15.5">
      <c r="B40" s="925"/>
      <c r="C40" s="58" t="s">
        <v>860</v>
      </c>
      <c r="J40" s="924"/>
    </row>
    <row r="41" spans="2:11">
      <c r="J41" s="409"/>
    </row>
    <row r="42" spans="2:11">
      <c r="J42" s="409"/>
    </row>
    <row r="43" spans="2:11" ht="22.5">
      <c r="B43" s="922" t="s">
        <v>181</v>
      </c>
      <c r="J43" s="409"/>
    </row>
    <row r="46" spans="2:11" hidden="1">
      <c r="B46" s="43" t="s">
        <v>274</v>
      </c>
    </row>
    <row r="47" spans="2:11" hidden="1"/>
    <row r="48" spans="2:11" hidden="1"/>
    <row r="49" spans="2:11" ht="15.5">
      <c r="B49" s="58" t="s">
        <v>331</v>
      </c>
      <c r="C49" s="58"/>
      <c r="D49" s="58"/>
    </row>
    <row r="50" spans="2:11" ht="15.5">
      <c r="B50" s="58" t="s">
        <v>223</v>
      </c>
      <c r="C50" s="58"/>
      <c r="D50" s="58"/>
    </row>
    <row r="51" spans="2:11" ht="15.5">
      <c r="B51" s="58"/>
      <c r="C51" s="58"/>
      <c r="D51" s="58"/>
    </row>
    <row r="52" spans="2:11" ht="16" hidden="1" thickBot="1">
      <c r="B52" s="58" t="s">
        <v>159</v>
      </c>
      <c r="C52" s="58"/>
      <c r="D52" s="58"/>
      <c r="K52" s="410" t="s">
        <v>277</v>
      </c>
    </row>
    <row r="53" spans="2:11" ht="15.5" hidden="1">
      <c r="B53" s="631" t="s">
        <v>86</v>
      </c>
      <c r="C53" s="58"/>
      <c r="D53" s="58"/>
    </row>
    <row r="54" spans="2:11" ht="15.5" hidden="1">
      <c r="B54" s="58"/>
      <c r="C54" s="58"/>
      <c r="D54" s="58"/>
    </row>
    <row r="55" spans="2:11" ht="15.5" hidden="1">
      <c r="B55" s="58" t="s">
        <v>220</v>
      </c>
      <c r="C55" s="58"/>
      <c r="D55" s="58"/>
      <c r="F55" s="43" t="s">
        <v>233</v>
      </c>
    </row>
    <row r="56" spans="2:11" ht="16" hidden="1" thickBot="1">
      <c r="B56" s="58"/>
      <c r="C56" s="58"/>
      <c r="D56" s="58"/>
    </row>
    <row r="57" spans="2:11" ht="16" hidden="1" thickBot="1">
      <c r="B57" s="59" t="s">
        <v>221</v>
      </c>
      <c r="C57" s="58"/>
      <c r="D57" s="58"/>
      <c r="K57" s="410"/>
    </row>
    <row r="58" spans="2:11" ht="15.5" hidden="1">
      <c r="B58" s="59"/>
      <c r="C58" s="58"/>
      <c r="D58" s="58"/>
    </row>
    <row r="59" spans="2:11" ht="15.5">
      <c r="B59" s="58" t="s">
        <v>861</v>
      </c>
      <c r="C59" s="58"/>
      <c r="D59" s="58"/>
    </row>
    <row r="60" spans="2:11" ht="15.5">
      <c r="B60" s="58" t="s">
        <v>862</v>
      </c>
      <c r="C60" s="58"/>
      <c r="D60" s="58"/>
    </row>
    <row r="62" spans="2:11" s="58" customFormat="1" ht="15.5">
      <c r="B62" s="58" t="s">
        <v>244</v>
      </c>
    </row>
    <row r="63" spans="2:11" s="58" customFormat="1" ht="15.5">
      <c r="B63" s="58" t="s">
        <v>921</v>
      </c>
    </row>
    <row r="64" spans="2:11" s="58" customFormat="1" ht="15.5">
      <c r="F64" s="59" t="s">
        <v>245</v>
      </c>
    </row>
    <row r="65" spans="2:6" s="58" customFormat="1" ht="15.5">
      <c r="B65" s="926"/>
      <c r="C65" s="926"/>
      <c r="D65" s="926"/>
      <c r="E65" s="926"/>
      <c r="F65" s="59" t="s">
        <v>246</v>
      </c>
    </row>
    <row r="66" spans="2:6" s="58" customFormat="1" ht="15.5">
      <c r="B66" s="926"/>
      <c r="C66" s="926"/>
      <c r="D66" s="926"/>
      <c r="E66" s="926"/>
      <c r="F66" s="59" t="s">
        <v>247</v>
      </c>
    </row>
    <row r="67" spans="2:6" s="58" customFormat="1" ht="15.5">
      <c r="B67" s="926"/>
      <c r="C67" s="926"/>
      <c r="D67" s="926"/>
      <c r="E67" s="926"/>
      <c r="F67" s="59" t="s">
        <v>248</v>
      </c>
    </row>
    <row r="68" spans="2:6" s="58" customFormat="1" ht="15.5">
      <c r="B68" s="926"/>
      <c r="C68" s="926"/>
      <c r="D68" s="926"/>
      <c r="E68" s="926"/>
      <c r="F68" s="59" t="s">
        <v>249</v>
      </c>
    </row>
    <row r="69" spans="2:6" s="58" customFormat="1" ht="15.5">
      <c r="B69" s="926"/>
      <c r="C69" s="926"/>
      <c r="D69" s="926"/>
      <c r="E69" s="926"/>
      <c r="F69" s="59" t="s">
        <v>250</v>
      </c>
    </row>
    <row r="70" spans="2:6" s="58" customFormat="1" ht="15.5">
      <c r="F70" s="59" t="s">
        <v>368</v>
      </c>
    </row>
    <row r="71" spans="2:6" s="58" customFormat="1" ht="15.5">
      <c r="F71" s="59" t="s">
        <v>251</v>
      </c>
    </row>
    <row r="72" spans="2:6" s="58" customFormat="1" ht="15.5">
      <c r="F72" s="59"/>
    </row>
    <row r="73" spans="2:6" s="58" customFormat="1" ht="15.5">
      <c r="B73" s="1078" t="s">
        <v>922</v>
      </c>
      <c r="F73" s="59"/>
    </row>
    <row r="74" spans="2:6" s="58" customFormat="1" ht="15.5">
      <c r="B74" s="59"/>
    </row>
    <row r="75" spans="2:6" s="58" customFormat="1" ht="15.5">
      <c r="B75" s="58" t="s">
        <v>370</v>
      </c>
    </row>
    <row r="76" spans="2:6" s="58" customFormat="1" ht="15.5">
      <c r="B76" s="58" t="s">
        <v>863</v>
      </c>
    </row>
    <row r="77" spans="2:6" s="58" customFormat="1" ht="15.5">
      <c r="B77" s="59"/>
    </row>
    <row r="78" spans="2:6" s="58" customFormat="1" ht="15.5"/>
    <row r="79" spans="2:6" s="58" customFormat="1" ht="15.5"/>
    <row r="80" spans="2:6" s="58" customFormat="1" ht="15.5">
      <c r="B80" s="58" t="s">
        <v>369</v>
      </c>
    </row>
    <row r="81" spans="2:10" s="58" customFormat="1" ht="15.5">
      <c r="B81" s="58" t="s">
        <v>367</v>
      </c>
    </row>
    <row r="82" spans="2:10" s="58" customFormat="1" ht="15.5">
      <c r="B82" s="59"/>
      <c r="F82" s="59" t="s">
        <v>210</v>
      </c>
    </row>
    <row r="83" spans="2:10" s="58" customFormat="1" ht="15.5">
      <c r="B83" s="59"/>
      <c r="F83" s="59" t="s">
        <v>211</v>
      </c>
    </row>
    <row r="84" spans="2:10" s="58" customFormat="1" ht="15.5">
      <c r="B84" s="926"/>
      <c r="C84" s="926"/>
      <c r="D84" s="926"/>
      <c r="E84" s="926"/>
      <c r="F84" s="59" t="s">
        <v>224</v>
      </c>
    </row>
    <row r="85" spans="2:10" s="58" customFormat="1" ht="15.5">
      <c r="B85" s="926"/>
      <c r="C85" s="926"/>
      <c r="D85" s="926"/>
      <c r="E85" s="926"/>
      <c r="F85" s="59" t="s">
        <v>225</v>
      </c>
    </row>
    <row r="86" spans="2:10" s="58" customFormat="1" ht="15.5">
      <c r="B86" s="926"/>
      <c r="C86" s="926"/>
      <c r="D86" s="926"/>
      <c r="E86" s="926"/>
      <c r="F86" s="59" t="s">
        <v>226</v>
      </c>
    </row>
    <row r="87" spans="2:10" s="58" customFormat="1" ht="15.5">
      <c r="B87" s="926"/>
      <c r="C87" s="926"/>
      <c r="D87" s="926"/>
      <c r="E87" s="926"/>
      <c r="F87" s="59" t="s">
        <v>157</v>
      </c>
    </row>
    <row r="88" spans="2:10" s="58" customFormat="1" ht="15.5">
      <c r="B88" s="59"/>
      <c r="F88" s="59" t="s">
        <v>158</v>
      </c>
    </row>
    <row r="89" spans="2:10" s="58" customFormat="1" ht="15.5">
      <c r="B89" s="59"/>
      <c r="F89" s="59" t="s">
        <v>234</v>
      </c>
    </row>
    <row r="90" spans="2:10" s="58" customFormat="1" ht="15.5">
      <c r="B90" s="59"/>
      <c r="F90" s="59" t="s">
        <v>160</v>
      </c>
    </row>
    <row r="91" spans="2:10" s="58" customFormat="1" ht="15.5">
      <c r="B91" s="59"/>
      <c r="F91" s="59" t="s">
        <v>166</v>
      </c>
    </row>
    <row r="92" spans="2:10" s="58" customFormat="1" ht="15.5">
      <c r="B92" s="59"/>
      <c r="F92" s="59" t="s">
        <v>253</v>
      </c>
    </row>
    <row r="93" spans="2:10">
      <c r="B93" s="48"/>
    </row>
    <row r="94" spans="2:10">
      <c r="B94" s="48"/>
    </row>
    <row r="95" spans="2:10">
      <c r="C95" s="1145" t="s">
        <v>2</v>
      </c>
      <c r="D95" s="1145"/>
      <c r="E95" s="1145"/>
      <c r="F95" s="1145"/>
      <c r="G95" s="1145"/>
      <c r="H95" s="1145"/>
      <c r="I95" s="1145"/>
      <c r="J95" s="1145"/>
    </row>
    <row r="96" spans="2:10">
      <c r="C96" s="1145"/>
      <c r="D96" s="1145"/>
      <c r="E96" s="1145"/>
      <c r="F96" s="1145"/>
      <c r="G96" s="1145"/>
      <c r="H96" s="1145"/>
      <c r="I96" s="1145"/>
      <c r="J96" s="1145"/>
    </row>
    <row r="97" spans="3:10">
      <c r="C97" s="1145"/>
      <c r="D97" s="1145"/>
      <c r="E97" s="1145"/>
      <c r="F97" s="1145"/>
      <c r="G97" s="1145"/>
      <c r="H97" s="1145"/>
      <c r="I97" s="1145"/>
      <c r="J97" s="1145"/>
    </row>
    <row r="98" spans="3:10">
      <c r="C98" s="1145"/>
      <c r="D98" s="1145"/>
      <c r="E98" s="1145"/>
      <c r="F98" s="1145"/>
      <c r="G98" s="1145"/>
      <c r="H98" s="1145"/>
      <c r="I98" s="1145"/>
      <c r="J98" s="1145"/>
    </row>
  </sheetData>
  <sheetProtection password="E242" sheet="1" objects="1" scenarios="1"/>
  <customSheetViews>
    <customSheetView guid="{30D0538C-360A-4CDF-8D89-584CED1967CC}" showGridLines="0" fitToPage="1" hiddenRows="1">
      <selection activeCell="H19" sqref="H19"/>
      <pageMargins left="0.78740157499999996" right="0.78740157499999996" top="0.984251969" bottom="0.984251969" header="0.4921259845" footer="0.4921259845"/>
      <pageSetup scale="80" orientation="portrait" horizontalDpi="300" verticalDpi="300" r:id="rId1"/>
      <headerFooter alignWithMargins="0"/>
    </customSheetView>
    <customSheetView guid="{4F3169C3-3348-49DE-A6DC-8AA4D2A9D7A1}" showGridLines="0" fitToPage="1" hiddenRows="1">
      <selection activeCell="H19" sqref="H19"/>
      <pageMargins left="0.78740157499999996" right="0.78740157499999996" top="0.984251969" bottom="0.984251969" header="0.4921259845" footer="0.4921259845"/>
      <pageSetup scale="80" orientation="portrait" horizontalDpi="300" verticalDpi="300" r:id="rId2"/>
      <headerFooter alignWithMargins="0"/>
    </customSheetView>
  </customSheetViews>
  <mergeCells count="2">
    <mergeCell ref="C95:J98"/>
    <mergeCell ref="B14:L14"/>
  </mergeCells>
  <phoneticPr fontId="0" type="noConversion"/>
  <pageMargins left="0.78740157499999996" right="0.78740157499999996" top="0.984251969" bottom="0.984251969" header="0.4921259845" footer="0.4921259845"/>
  <pageSetup scale="54" orientation="portrait" horizontalDpi="300" verticalDpi="300" r:id="rId3"/>
  <headerFooter alignWithMargins="0"/>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G">
    <pageSetUpPr fitToPage="1"/>
  </sheetPr>
  <dimension ref="A1:K292"/>
  <sheetViews>
    <sheetView showGridLines="0" tabSelected="1" showOutlineSymbols="0" zoomScale="130" zoomScaleNormal="130" workbookViewId="0">
      <selection activeCell="F5" sqref="F5"/>
    </sheetView>
  </sheetViews>
  <sheetFormatPr baseColWidth="10" defaultColWidth="11.453125" defaultRowHeight="13"/>
  <cols>
    <col min="1" max="1" width="4.81640625" style="343" customWidth="1"/>
    <col min="2" max="2" width="12.453125" style="71" customWidth="1"/>
    <col min="3" max="3" width="9.453125" style="71" customWidth="1"/>
    <col min="4" max="4" width="12.453125" style="71" customWidth="1"/>
    <col min="5" max="5" width="11.453125" style="71"/>
    <col min="6" max="6" width="10.81640625" style="71" customWidth="1"/>
    <col min="7" max="7" width="13" style="71" customWidth="1"/>
    <col min="8" max="8" width="17.08984375" style="71" customWidth="1"/>
    <col min="9" max="9" width="8.984375E-2" style="71" hidden="1" customWidth="1"/>
    <col min="10" max="10" width="14.453125" style="71" customWidth="1"/>
    <col min="11" max="16384" width="11.453125" style="71"/>
  </cols>
  <sheetData>
    <row r="1" spans="1:10" customFormat="1" ht="12.5"/>
    <row r="2" spans="1:10" customFormat="1" ht="12.5"/>
    <row r="3" spans="1:10" customFormat="1" ht="12.5"/>
    <row r="4" spans="1:10" customFormat="1" ht="12.5"/>
    <row r="5" spans="1:10" customFormat="1" ht="12.5"/>
    <row r="6" spans="1:10" customFormat="1" ht="12.5"/>
    <row r="7" spans="1:10" customFormat="1" ht="12.5"/>
    <row r="8" spans="1:10" customFormat="1" ht="12.5" hidden="1"/>
    <row r="9" spans="1:10" customFormat="1" ht="12.5" hidden="1"/>
    <row r="10" spans="1:10" customFormat="1" ht="12.5" hidden="1"/>
    <row r="11" spans="1:10" ht="7.5" customHeight="1">
      <c r="B11" s="930"/>
      <c r="C11" s="930"/>
      <c r="D11" s="930"/>
      <c r="E11" s="930"/>
      <c r="F11" s="930"/>
      <c r="G11" s="930"/>
      <c r="H11" s="930"/>
      <c r="I11" s="930"/>
      <c r="J11" s="930"/>
    </row>
    <row r="12" spans="1:10" ht="13.5" hidden="1" thickBot="1">
      <c r="A12" s="355"/>
    </row>
    <row r="13" spans="1:10" ht="7.5" hidden="1" customHeight="1">
      <c r="I13" s="324"/>
    </row>
    <row r="14" spans="1:10" hidden="1"/>
    <row r="15" spans="1:10" ht="12.75" hidden="1" customHeight="1">
      <c r="B15" s="1147"/>
      <c r="C15" s="1147"/>
      <c r="D15" s="1147"/>
      <c r="E15" s="1147"/>
      <c r="F15" s="1147"/>
      <c r="G15" s="1147"/>
      <c r="H15" s="1147"/>
      <c r="I15" s="1147"/>
      <c r="J15" s="1147"/>
    </row>
    <row r="16" spans="1:10" ht="15.75" customHeight="1" thickBot="1">
      <c r="B16" s="346"/>
      <c r="C16" s="346"/>
      <c r="D16" s="346"/>
      <c r="E16" s="346"/>
      <c r="F16" s="346"/>
      <c r="G16" s="346"/>
      <c r="H16" s="346"/>
      <c r="I16" s="346"/>
      <c r="J16" s="346"/>
    </row>
    <row r="17" spans="1:10" ht="18" customHeight="1" thickBot="1">
      <c r="B17" s="1148" t="s">
        <v>520</v>
      </c>
      <c r="C17" s="1148"/>
      <c r="D17" s="1149" t="s">
        <v>935</v>
      </c>
      <c r="E17" s="1150"/>
      <c r="F17" s="1151"/>
    </row>
    <row r="18" spans="1:10" ht="18" customHeight="1" thickBot="1">
      <c r="B18" s="348" t="s">
        <v>98</v>
      </c>
      <c r="C18" s="348"/>
      <c r="D18" s="1149"/>
      <c r="E18" s="1150"/>
      <c r="F18" s="1151"/>
      <c r="G18" s="344"/>
      <c r="H18" s="344"/>
      <c r="I18" s="344"/>
    </row>
    <row r="19" spans="1:10" ht="18" customHeight="1" thickBot="1">
      <c r="B19" s="348" t="s">
        <v>193</v>
      </c>
      <c r="C19" s="348"/>
      <c r="D19" s="1149"/>
      <c r="E19" s="1150"/>
      <c r="F19" s="1151"/>
      <c r="G19" s="344"/>
      <c r="H19" s="344"/>
      <c r="I19" s="344"/>
    </row>
    <row r="20" spans="1:10" ht="18" customHeight="1" thickBot="1">
      <c r="B20" s="348" t="s">
        <v>194</v>
      </c>
      <c r="C20" s="348"/>
      <c r="D20" s="1149"/>
      <c r="E20" s="1150"/>
      <c r="F20" s="1151"/>
      <c r="G20" s="344"/>
      <c r="H20" s="344"/>
      <c r="I20" s="344"/>
    </row>
    <row r="21" spans="1:10" ht="18" customHeight="1" thickBot="1">
      <c r="B21" s="348" t="s">
        <v>195</v>
      </c>
      <c r="C21" s="348"/>
      <c r="D21" s="1149"/>
      <c r="E21" s="1150"/>
      <c r="F21" s="1151"/>
      <c r="G21" s="344"/>
      <c r="H21" s="344"/>
      <c r="I21" s="344"/>
      <c r="J21" s="934">
        <v>0</v>
      </c>
    </row>
    <row r="22" spans="1:10" ht="18" customHeight="1" thickBot="1">
      <c r="A22" s="343" t="s">
        <v>63</v>
      </c>
      <c r="B22" s="348" t="s">
        <v>196</v>
      </c>
      <c r="C22" s="348"/>
      <c r="D22" s="1149"/>
      <c r="E22" s="1150"/>
      <c r="F22" s="1151"/>
      <c r="G22" s="344"/>
      <c r="H22" s="344"/>
      <c r="I22" s="344"/>
      <c r="J22" s="934">
        <v>10000</v>
      </c>
    </row>
    <row r="23" spans="1:10" ht="18" customHeight="1" thickBot="1">
      <c r="B23" s="348" t="s">
        <v>207</v>
      </c>
      <c r="C23" s="348"/>
      <c r="D23" s="1149"/>
      <c r="E23" s="1150"/>
      <c r="F23" s="1151"/>
      <c r="G23" s="344"/>
      <c r="H23" s="344"/>
      <c r="I23" s="344"/>
      <c r="J23" s="934">
        <v>0</v>
      </c>
    </row>
    <row r="24" spans="1:10" ht="18" customHeight="1" thickBot="1">
      <c r="B24" s="348" t="s">
        <v>209</v>
      </c>
      <c r="C24" s="349"/>
      <c r="D24" s="1152"/>
      <c r="E24" s="1150"/>
      <c r="F24" s="1151"/>
      <c r="G24" s="344"/>
      <c r="H24" s="344"/>
      <c r="I24" s="344"/>
    </row>
    <row r="25" spans="1:10" ht="18" customHeight="1" thickBot="1">
      <c r="B25" s="348" t="s">
        <v>208</v>
      </c>
      <c r="C25" s="349"/>
      <c r="D25" s="1152"/>
      <c r="E25" s="1150"/>
      <c r="F25" s="1151"/>
      <c r="G25" s="344"/>
      <c r="H25" s="344"/>
      <c r="I25" s="344"/>
    </row>
    <row r="26" spans="1:10" ht="18" customHeight="1" thickBot="1">
      <c r="B26" s="350"/>
      <c r="C26" s="350"/>
      <c r="D26" s="69"/>
      <c r="E26" s="69"/>
      <c r="F26" s="69"/>
      <c r="G26" s="69"/>
      <c r="H26" s="347" t="s">
        <v>317</v>
      </c>
      <c r="I26" s="69"/>
    </row>
    <row r="27" spans="1:10" ht="18" customHeight="1" thickBot="1">
      <c r="B27" s="1148" t="s">
        <v>521</v>
      </c>
      <c r="C27" s="1148"/>
      <c r="D27" s="1153">
        <v>45292</v>
      </c>
      <c r="E27" s="1154"/>
      <c r="J27" s="935">
        <v>0</v>
      </c>
    </row>
    <row r="28" spans="1:10">
      <c r="B28" s="492"/>
      <c r="C28" s="345"/>
      <c r="E28" s="206"/>
      <c r="F28" s="206"/>
      <c r="G28" s="206"/>
      <c r="H28" s="206"/>
      <c r="I28" s="206"/>
      <c r="J28" s="206"/>
    </row>
    <row r="29" spans="1:10" ht="14">
      <c r="A29" s="71"/>
      <c r="B29" s="351" t="s">
        <v>169</v>
      </c>
    </row>
    <row r="30" spans="1:10" ht="14">
      <c r="A30" s="71"/>
      <c r="B30" s="770"/>
      <c r="C30" s="771"/>
      <c r="D30" s="772"/>
      <c r="E30" s="773"/>
      <c r="F30" s="773"/>
      <c r="G30" s="773"/>
      <c r="H30" s="774"/>
      <c r="I30" s="206"/>
    </row>
    <row r="31" spans="1:10" ht="14">
      <c r="A31" s="71"/>
      <c r="B31" s="770"/>
      <c r="C31" s="771"/>
      <c r="D31" s="772"/>
      <c r="E31" s="773"/>
      <c r="F31" s="773"/>
      <c r="G31" s="773"/>
      <c r="H31" s="774"/>
      <c r="I31" s="206"/>
    </row>
    <row r="32" spans="1:10" ht="14.5" thickBot="1">
      <c r="A32" s="71"/>
      <c r="B32" s="351"/>
      <c r="C32" s="345"/>
      <c r="E32" s="206"/>
      <c r="F32" s="206"/>
      <c r="G32" s="206"/>
      <c r="H32" s="493"/>
      <c r="I32" s="206"/>
    </row>
    <row r="33" spans="1:11" ht="14.5" thickBot="1">
      <c r="A33" s="71"/>
      <c r="B33" s="351" t="s">
        <v>930</v>
      </c>
      <c r="C33" s="345"/>
      <c r="E33" s="206"/>
      <c r="F33" s="206"/>
      <c r="G33" s="206"/>
      <c r="H33" s="493"/>
      <c r="I33" s="206"/>
      <c r="J33" s="936">
        <v>0</v>
      </c>
    </row>
    <row r="34" spans="1:11" ht="14">
      <c r="A34" s="71"/>
      <c r="B34" s="351"/>
      <c r="C34" s="345"/>
      <c r="E34" s="206"/>
      <c r="F34" s="206"/>
      <c r="G34" s="206"/>
      <c r="H34" s="493"/>
      <c r="I34" s="206"/>
    </row>
    <row r="35" spans="1:11" ht="14.5" thickBot="1">
      <c r="A35" s="71"/>
      <c r="B35" s="351" t="s">
        <v>51</v>
      </c>
      <c r="C35" s="345"/>
      <c r="E35" s="206"/>
      <c r="F35" s="206"/>
      <c r="G35" s="206"/>
      <c r="H35" s="493"/>
      <c r="I35" s="206"/>
    </row>
    <row r="36" spans="1:11" ht="14.5" thickBot="1">
      <c r="A36" s="71"/>
      <c r="B36" s="351" t="s">
        <v>50</v>
      </c>
      <c r="C36" s="345"/>
      <c r="E36" s="206"/>
      <c r="F36" s="206"/>
      <c r="G36" s="206"/>
      <c r="H36" s="493"/>
      <c r="I36" s="206"/>
      <c r="J36" s="936">
        <v>0</v>
      </c>
    </row>
    <row r="37" spans="1:11" s="343" customFormat="1" ht="14.5" thickBot="1">
      <c r="B37" s="351"/>
      <c r="C37" s="345"/>
      <c r="D37" s="71"/>
      <c r="E37" s="206"/>
      <c r="F37" s="206"/>
      <c r="G37" s="206"/>
      <c r="H37" s="493"/>
      <c r="I37" s="206"/>
      <c r="J37" s="71"/>
    </row>
    <row r="38" spans="1:11" s="43" customFormat="1" ht="14.5" thickBot="1">
      <c r="A38" s="355"/>
      <c r="B38" s="351" t="s">
        <v>222</v>
      </c>
      <c r="C38" s="71"/>
      <c r="D38" s="71"/>
      <c r="E38" s="71"/>
      <c r="F38" s="71"/>
      <c r="G38" s="71"/>
      <c r="H38" s="71"/>
      <c r="I38" s="343"/>
      <c r="J38" s="936">
        <v>0</v>
      </c>
    </row>
    <row r="39" spans="1:11" s="43" customFormat="1" hidden="1">
      <c r="A39" s="355"/>
      <c r="B39" s="43" t="s">
        <v>625</v>
      </c>
      <c r="D39" s="48" t="s">
        <v>287</v>
      </c>
      <c r="F39" s="43" t="s">
        <v>522</v>
      </c>
    </row>
    <row r="40" spans="1:11" s="43" customFormat="1" hidden="1">
      <c r="A40" s="355"/>
      <c r="B40" s="43" t="s">
        <v>310</v>
      </c>
      <c r="D40" s="48" t="s">
        <v>283</v>
      </c>
      <c r="F40" s="43" t="s">
        <v>392</v>
      </c>
    </row>
    <row r="41" spans="1:11" s="43" customFormat="1" hidden="1">
      <c r="A41" s="355"/>
      <c r="B41" s="43" t="s">
        <v>395</v>
      </c>
      <c r="D41" s="48" t="s">
        <v>284</v>
      </c>
      <c r="F41" s="43" t="s">
        <v>523</v>
      </c>
    </row>
    <row r="42" spans="1:11" s="43" customFormat="1" hidden="1">
      <c r="A42" s="355"/>
      <c r="B42" s="43" t="s">
        <v>311</v>
      </c>
      <c r="D42" s="48" t="s">
        <v>285</v>
      </c>
      <c r="F42" s="43" t="s">
        <v>59</v>
      </c>
    </row>
    <row r="43" spans="1:11" s="43" customFormat="1" hidden="1">
      <c r="A43" s="355"/>
      <c r="B43" s="43" t="s">
        <v>76</v>
      </c>
      <c r="D43" s="48" t="s">
        <v>286</v>
      </c>
      <c r="F43" s="43" t="s">
        <v>626</v>
      </c>
    </row>
    <row r="44" spans="1:11" s="43" customFormat="1" hidden="1">
      <c r="A44" s="355"/>
      <c r="D44" s="48"/>
      <c r="F44" s="43" t="s">
        <v>627</v>
      </c>
    </row>
    <row r="45" spans="1:11" s="43" customFormat="1" hidden="1">
      <c r="A45" s="355"/>
      <c r="D45" s="48"/>
    </row>
    <row r="46" spans="1:11" s="43" customFormat="1" hidden="1">
      <c r="A46" s="355"/>
    </row>
    <row r="47" spans="1:11" s="43" customFormat="1" hidden="1">
      <c r="A47" s="355"/>
    </row>
    <row r="48" spans="1:11" s="43" customFormat="1" hidden="1">
      <c r="A48" s="355"/>
      <c r="K48" s="496" t="s">
        <v>219</v>
      </c>
    </row>
    <row r="49" spans="1:11" s="43" customFormat="1" hidden="1">
      <c r="A49" s="355"/>
      <c r="B49" s="43" t="s">
        <v>393</v>
      </c>
      <c r="K49" s="61">
        <v>0.02</v>
      </c>
    </row>
    <row r="50" spans="1:11" s="43" customFormat="1" hidden="1">
      <c r="A50" s="355"/>
      <c r="B50" s="43" t="s">
        <v>394</v>
      </c>
      <c r="K50" s="61">
        <f>K49+0.005</f>
        <v>2.5000000000000001E-2</v>
      </c>
    </row>
    <row r="51" spans="1:11" s="43" customFormat="1" hidden="1">
      <c r="A51" s="355"/>
      <c r="B51" s="43" t="s">
        <v>393</v>
      </c>
      <c r="K51" s="61">
        <f t="shared" ref="K51:K78" si="0">K50+0.005</f>
        <v>3.0000000000000002E-2</v>
      </c>
    </row>
    <row r="52" spans="1:11" s="43" customFormat="1" hidden="1">
      <c r="A52" s="355"/>
      <c r="B52" s="43" t="s">
        <v>394</v>
      </c>
      <c r="K52" s="61">
        <f t="shared" si="0"/>
        <v>3.5000000000000003E-2</v>
      </c>
    </row>
    <row r="53" spans="1:11" s="43" customFormat="1" hidden="1">
      <c r="A53" s="355"/>
      <c r="K53" s="61">
        <f t="shared" si="0"/>
        <v>0.04</v>
      </c>
    </row>
    <row r="54" spans="1:11" s="43" customFormat="1" hidden="1">
      <c r="A54" s="355"/>
      <c r="K54" s="61">
        <f t="shared" si="0"/>
        <v>4.4999999999999998E-2</v>
      </c>
    </row>
    <row r="55" spans="1:11" s="43" customFormat="1" hidden="1">
      <c r="A55" s="355"/>
      <c r="K55" s="61">
        <f t="shared" si="0"/>
        <v>4.9999999999999996E-2</v>
      </c>
    </row>
    <row r="56" spans="1:11" s="43" customFormat="1" hidden="1">
      <c r="A56" s="355"/>
      <c r="K56" s="61">
        <f t="shared" si="0"/>
        <v>5.4999999999999993E-2</v>
      </c>
    </row>
    <row r="57" spans="1:11" s="43" customFormat="1" hidden="1">
      <c r="A57" s="355"/>
      <c r="K57" s="61">
        <f t="shared" si="0"/>
        <v>5.9999999999999991E-2</v>
      </c>
    </row>
    <row r="58" spans="1:11" s="43" customFormat="1" hidden="1">
      <c r="A58" s="355"/>
      <c r="D58" s="483">
        <v>500</v>
      </c>
      <c r="K58" s="61">
        <f t="shared" si="0"/>
        <v>6.4999999999999988E-2</v>
      </c>
    </row>
    <row r="59" spans="1:11" s="43" customFormat="1" hidden="1">
      <c r="A59" s="355"/>
      <c r="D59" s="483">
        <v>1000</v>
      </c>
      <c r="K59" s="61">
        <f t="shared" si="0"/>
        <v>6.9999999999999993E-2</v>
      </c>
    </row>
    <row r="60" spans="1:11" s="43" customFormat="1" hidden="1">
      <c r="A60" s="355"/>
      <c r="D60" s="483">
        <v>5000</v>
      </c>
      <c r="K60" s="61">
        <f t="shared" si="0"/>
        <v>7.4999999999999997E-2</v>
      </c>
    </row>
    <row r="61" spans="1:11" s="43" customFormat="1" hidden="1">
      <c r="A61" s="355"/>
      <c r="D61" s="483"/>
      <c r="K61" s="61">
        <f t="shared" si="0"/>
        <v>0.08</v>
      </c>
    </row>
    <row r="62" spans="1:11" s="43" customFormat="1" hidden="1">
      <c r="A62" s="355"/>
      <c r="D62" s="483"/>
      <c r="K62" s="61">
        <f t="shared" si="0"/>
        <v>8.5000000000000006E-2</v>
      </c>
    </row>
    <row r="63" spans="1:11" s="43" customFormat="1" hidden="1">
      <c r="A63" s="355"/>
      <c r="K63" s="61">
        <f t="shared" si="0"/>
        <v>9.0000000000000011E-2</v>
      </c>
    </row>
    <row r="64" spans="1:11" s="43" customFormat="1" hidden="1">
      <c r="A64" s="355"/>
      <c r="K64" s="61">
        <f t="shared" si="0"/>
        <v>9.5000000000000015E-2</v>
      </c>
    </row>
    <row r="65" spans="1:11" s="43" customFormat="1" hidden="1">
      <c r="A65" s="355"/>
      <c r="K65" s="61">
        <f t="shared" si="0"/>
        <v>0.10000000000000002</v>
      </c>
    </row>
    <row r="66" spans="1:11" s="43" customFormat="1" hidden="1">
      <c r="A66" s="355"/>
      <c r="K66" s="61">
        <f t="shared" si="0"/>
        <v>0.10500000000000002</v>
      </c>
    </row>
    <row r="67" spans="1:11" s="43" customFormat="1" hidden="1">
      <c r="A67" s="355"/>
      <c r="K67" s="61">
        <f t="shared" si="0"/>
        <v>0.11000000000000003</v>
      </c>
    </row>
    <row r="68" spans="1:11" s="43" customFormat="1" hidden="1">
      <c r="A68" s="355"/>
      <c r="K68" s="61">
        <f t="shared" si="0"/>
        <v>0.11500000000000003</v>
      </c>
    </row>
    <row r="69" spans="1:11" s="43" customFormat="1" hidden="1">
      <c r="A69" s="355"/>
      <c r="K69" s="61">
        <f t="shared" si="0"/>
        <v>0.12000000000000004</v>
      </c>
    </row>
    <row r="70" spans="1:11" s="43" customFormat="1" hidden="1">
      <c r="A70" s="355"/>
      <c r="K70" s="61">
        <f t="shared" si="0"/>
        <v>0.12500000000000003</v>
      </c>
    </row>
    <row r="71" spans="1:11" s="43" customFormat="1" hidden="1">
      <c r="A71" s="355"/>
      <c r="K71" s="61">
        <f t="shared" si="0"/>
        <v>0.13000000000000003</v>
      </c>
    </row>
    <row r="72" spans="1:11" s="43" customFormat="1" hidden="1">
      <c r="A72" s="355"/>
      <c r="K72" s="61">
        <f t="shared" si="0"/>
        <v>0.13500000000000004</v>
      </c>
    </row>
    <row r="73" spans="1:11" ht="15.5" hidden="1">
      <c r="A73" s="750">
        <v>1</v>
      </c>
      <c r="K73" s="61">
        <f t="shared" si="0"/>
        <v>0.14000000000000004</v>
      </c>
    </row>
    <row r="74" spans="1:11" ht="15.5" hidden="1">
      <c r="A74" s="750">
        <v>3</v>
      </c>
      <c r="K74" s="61">
        <f t="shared" si="0"/>
        <v>0.14500000000000005</v>
      </c>
    </row>
    <row r="75" spans="1:11" ht="15.5" hidden="1">
      <c r="A75" s="750"/>
      <c r="K75" s="61">
        <f t="shared" si="0"/>
        <v>0.15000000000000005</v>
      </c>
    </row>
    <row r="76" spans="1:11" ht="15.5" hidden="1">
      <c r="A76" s="750"/>
      <c r="K76" s="61">
        <f t="shared" si="0"/>
        <v>0.15500000000000005</v>
      </c>
    </row>
    <row r="77" spans="1:11" ht="15.5" hidden="1">
      <c r="A77" s="750"/>
      <c r="K77" s="61">
        <f t="shared" si="0"/>
        <v>0.16000000000000006</v>
      </c>
    </row>
    <row r="78" spans="1:11" ht="15.5" hidden="1">
      <c r="A78" s="750">
        <v>3</v>
      </c>
      <c r="K78" s="61">
        <f t="shared" si="0"/>
        <v>0.16500000000000006</v>
      </c>
    </row>
    <row r="79" spans="1:11" ht="15.5" hidden="1">
      <c r="A79" s="750"/>
    </row>
    <row r="80" spans="1:11" ht="15.5" hidden="1">
      <c r="A80" s="750"/>
    </row>
    <row r="81" spans="1:1" ht="15.5" hidden="1">
      <c r="A81" s="750"/>
    </row>
    <row r="82" spans="1:1" ht="15.5" hidden="1">
      <c r="A82" s="750">
        <v>1</v>
      </c>
    </row>
    <row r="83" spans="1:1" hidden="1">
      <c r="A83" s="355"/>
    </row>
    <row r="84" spans="1:1" ht="15.5" hidden="1">
      <c r="A84" s="750">
        <v>1</v>
      </c>
    </row>
    <row r="85" spans="1:1" ht="15.5" hidden="1">
      <c r="A85" s="750"/>
    </row>
    <row r="86" spans="1:1" hidden="1">
      <c r="A86" s="355"/>
    </row>
    <row r="87" spans="1:1" hidden="1">
      <c r="A87" s="355"/>
    </row>
    <row r="88" spans="1:1" hidden="1">
      <c r="A88" s="355"/>
    </row>
    <row r="89" spans="1:1" hidden="1">
      <c r="A89" s="355"/>
    </row>
    <row r="90" spans="1:1" hidden="1">
      <c r="A90" s="355">
        <v>1</v>
      </c>
    </row>
    <row r="91" spans="1:1" hidden="1">
      <c r="A91" s="355">
        <v>15</v>
      </c>
    </row>
    <row r="92" spans="1:1" hidden="1">
      <c r="A92" s="355"/>
    </row>
    <row r="93" spans="1:1" hidden="1">
      <c r="A93" s="355"/>
    </row>
    <row r="94" spans="1:1" hidden="1">
      <c r="A94" s="355"/>
    </row>
    <row r="95" spans="1:1" hidden="1">
      <c r="A95" s="355"/>
    </row>
    <row r="96" spans="1:1" hidden="1">
      <c r="A96" s="355"/>
    </row>
    <row r="97" spans="1:1" hidden="1">
      <c r="A97" s="355"/>
    </row>
    <row r="98" spans="1:1" hidden="1">
      <c r="A98" s="355"/>
    </row>
    <row r="99" spans="1:1" hidden="1">
      <c r="A99" s="355"/>
    </row>
    <row r="100" spans="1:1" hidden="1">
      <c r="A100" s="355"/>
    </row>
    <row r="101" spans="1:1" hidden="1">
      <c r="A101" s="355"/>
    </row>
    <row r="102" spans="1:1" hidden="1">
      <c r="A102" s="355"/>
    </row>
    <row r="103" spans="1:1" hidden="1">
      <c r="A103" s="355"/>
    </row>
    <row r="104" spans="1:1" hidden="1">
      <c r="A104" s="355">
        <v>1</v>
      </c>
    </row>
    <row r="105" spans="1:1" hidden="1">
      <c r="A105" s="355"/>
    </row>
    <row r="106" spans="1:1" hidden="1">
      <c r="A106" s="355"/>
    </row>
    <row r="107" spans="1:1" hidden="1">
      <c r="A107" s="355"/>
    </row>
    <row r="108" spans="1:1" hidden="1">
      <c r="A108" s="355"/>
    </row>
    <row r="109" spans="1:1" hidden="1">
      <c r="A109" s="355"/>
    </row>
    <row r="110" spans="1:1" hidden="1">
      <c r="A110" s="355"/>
    </row>
    <row r="111" spans="1:1" hidden="1">
      <c r="A111" s="355"/>
    </row>
    <row r="112" spans="1:1" hidden="1">
      <c r="A112" s="355"/>
    </row>
    <row r="113" spans="1:2" hidden="1">
      <c r="A113" s="355"/>
    </row>
    <row r="114" spans="1:2" hidden="1">
      <c r="A114" s="355"/>
      <c r="B114" s="355" t="s">
        <v>255</v>
      </c>
    </row>
    <row r="115" spans="1:2" hidden="1">
      <c r="A115" s="355"/>
      <c r="B115" s="355" t="s">
        <v>170</v>
      </c>
    </row>
    <row r="116" spans="1:2" hidden="1">
      <c r="A116" s="355"/>
      <c r="B116" s="355" t="s">
        <v>171</v>
      </c>
    </row>
    <row r="117" spans="1:2" hidden="1">
      <c r="A117" s="355">
        <v>1</v>
      </c>
      <c r="B117" s="43"/>
    </row>
    <row r="118" spans="1:2" hidden="1">
      <c r="A118" s="355"/>
      <c r="B118" s="43"/>
    </row>
    <row r="119" spans="1:2" hidden="1">
      <c r="A119" s="355"/>
      <c r="B119" s="43"/>
    </row>
    <row r="120" spans="1:2" hidden="1">
      <c r="A120" s="355"/>
    </row>
    <row r="121" spans="1:2" hidden="1">
      <c r="A121" s="355"/>
    </row>
    <row r="122" spans="1:2" hidden="1">
      <c r="A122" s="355"/>
    </row>
    <row r="123" spans="1:2" hidden="1">
      <c r="A123" s="355"/>
    </row>
    <row r="124" spans="1:2" hidden="1">
      <c r="A124" s="355"/>
    </row>
    <row r="125" spans="1:2" hidden="1">
      <c r="A125" s="355"/>
    </row>
    <row r="126" spans="1:2" hidden="1">
      <c r="A126" s="355"/>
    </row>
    <row r="127" spans="1:2" hidden="1">
      <c r="A127" s="355"/>
    </row>
    <row r="128" spans="1:2" hidden="1">
      <c r="A128" s="355"/>
    </row>
    <row r="129" spans="1:1" hidden="1">
      <c r="A129" s="355"/>
    </row>
    <row r="130" spans="1:1" hidden="1">
      <c r="A130" s="355"/>
    </row>
    <row r="131" spans="1:1" hidden="1">
      <c r="A131" s="355"/>
    </row>
    <row r="132" spans="1:1" hidden="1">
      <c r="A132" s="355"/>
    </row>
    <row r="133" spans="1:1" hidden="1">
      <c r="A133" s="355"/>
    </row>
    <row r="134" spans="1:1" hidden="1">
      <c r="A134" s="355"/>
    </row>
    <row r="135" spans="1:1" hidden="1">
      <c r="A135" s="355"/>
    </row>
    <row r="136" spans="1:1" hidden="1">
      <c r="A136" s="355"/>
    </row>
    <row r="137" spans="1:1" hidden="1">
      <c r="A137" s="355"/>
    </row>
    <row r="138" spans="1:1" hidden="1">
      <c r="A138" s="355"/>
    </row>
    <row r="139" spans="1:1" hidden="1">
      <c r="A139" s="355"/>
    </row>
    <row r="140" spans="1:1" hidden="1">
      <c r="A140" s="355"/>
    </row>
    <row r="141" spans="1:1" hidden="1">
      <c r="A141" s="355"/>
    </row>
    <row r="142" spans="1:1" hidden="1">
      <c r="A142" s="355"/>
    </row>
    <row r="143" spans="1:1" hidden="1">
      <c r="A143" s="355"/>
    </row>
    <row r="144" spans="1:1" hidden="1">
      <c r="A144" s="355"/>
    </row>
    <row r="145" spans="1:1" hidden="1">
      <c r="A145" s="355"/>
    </row>
    <row r="146" spans="1:1" hidden="1">
      <c r="A146" s="355"/>
    </row>
    <row r="147" spans="1:1" hidden="1">
      <c r="A147" s="355"/>
    </row>
    <row r="148" spans="1:1" hidden="1">
      <c r="A148" s="355"/>
    </row>
    <row r="149" spans="1:1" hidden="1">
      <c r="A149" s="355"/>
    </row>
    <row r="150" spans="1:1" hidden="1">
      <c r="A150" s="355"/>
    </row>
    <row r="151" spans="1:1" hidden="1">
      <c r="A151" s="355"/>
    </row>
    <row r="152" spans="1:1" hidden="1">
      <c r="A152" s="355"/>
    </row>
    <row r="153" spans="1:1" hidden="1">
      <c r="A153" s="355"/>
    </row>
    <row r="154" spans="1:1" hidden="1">
      <c r="A154" s="355"/>
    </row>
    <row r="155" spans="1:1" hidden="1">
      <c r="A155" s="355"/>
    </row>
    <row r="156" spans="1:1" hidden="1">
      <c r="A156" s="355"/>
    </row>
    <row r="157" spans="1:1" hidden="1">
      <c r="A157" s="355"/>
    </row>
    <row r="158" spans="1:1" hidden="1">
      <c r="A158" s="355"/>
    </row>
    <row r="159" spans="1:1" hidden="1">
      <c r="A159" s="355"/>
    </row>
    <row r="160" spans="1:1" hidden="1">
      <c r="A160" s="355"/>
    </row>
    <row r="161" spans="1:1" hidden="1">
      <c r="A161" s="355"/>
    </row>
    <row r="162" spans="1:1" hidden="1">
      <c r="A162" s="355"/>
    </row>
    <row r="163" spans="1:1" hidden="1">
      <c r="A163" s="355"/>
    </row>
    <row r="164" spans="1:1" hidden="1">
      <c r="A164" s="355"/>
    </row>
    <row r="165" spans="1:1" hidden="1">
      <c r="A165" s="355"/>
    </row>
    <row r="166" spans="1:1" hidden="1">
      <c r="A166" s="355"/>
    </row>
    <row r="167" spans="1:1" hidden="1">
      <c r="A167" s="355"/>
    </row>
    <row r="168" spans="1:1" hidden="1">
      <c r="A168" s="355"/>
    </row>
    <row r="169" spans="1:1" hidden="1">
      <c r="A169" s="355"/>
    </row>
    <row r="170" spans="1:1" hidden="1">
      <c r="A170" s="355"/>
    </row>
    <row r="171" spans="1:1" hidden="1">
      <c r="A171" s="355"/>
    </row>
    <row r="172" spans="1:1" hidden="1">
      <c r="A172" s="355"/>
    </row>
    <row r="173" spans="1:1" hidden="1">
      <c r="A173" s="355"/>
    </row>
    <row r="174" spans="1:1" hidden="1">
      <c r="A174" s="355"/>
    </row>
    <row r="175" spans="1:1" hidden="1">
      <c r="A175" s="355"/>
    </row>
    <row r="176" spans="1:1" hidden="1">
      <c r="A176" s="355"/>
    </row>
    <row r="177" spans="1:1" hidden="1">
      <c r="A177" s="355"/>
    </row>
    <row r="178" spans="1:1" hidden="1">
      <c r="A178" s="355"/>
    </row>
    <row r="179" spans="1:1" hidden="1">
      <c r="A179" s="355"/>
    </row>
    <row r="180" spans="1:1" hidden="1">
      <c r="A180" s="355"/>
    </row>
    <row r="181" spans="1:1" hidden="1">
      <c r="A181" s="355"/>
    </row>
    <row r="182" spans="1:1" hidden="1">
      <c r="A182" s="355"/>
    </row>
    <row r="183" spans="1:1" hidden="1">
      <c r="A183" s="355"/>
    </row>
    <row r="184" spans="1:1" hidden="1">
      <c r="A184" s="355"/>
    </row>
    <row r="185" spans="1:1" hidden="1">
      <c r="A185" s="355"/>
    </row>
    <row r="186" spans="1:1" hidden="1">
      <c r="A186" s="355"/>
    </row>
    <row r="187" spans="1:1" hidden="1">
      <c r="A187" s="355"/>
    </row>
    <row r="188" spans="1:1" hidden="1">
      <c r="A188" s="355"/>
    </row>
    <row r="189" spans="1:1" hidden="1">
      <c r="A189" s="355"/>
    </row>
    <row r="190" spans="1:1" hidden="1">
      <c r="A190" s="355"/>
    </row>
    <row r="191" spans="1:1" hidden="1">
      <c r="A191" s="355"/>
    </row>
    <row r="192" spans="1:1" hidden="1">
      <c r="A192" s="355"/>
    </row>
    <row r="193" spans="1:1" hidden="1">
      <c r="A193" s="355"/>
    </row>
    <row r="194" spans="1:1" hidden="1">
      <c r="A194" s="355"/>
    </row>
    <row r="195" spans="1:1" hidden="1">
      <c r="A195" s="355"/>
    </row>
    <row r="196" spans="1:1" hidden="1">
      <c r="A196" s="355"/>
    </row>
    <row r="197" spans="1:1" hidden="1">
      <c r="A197" s="355"/>
    </row>
    <row r="198" spans="1:1" hidden="1">
      <c r="A198" s="355"/>
    </row>
    <row r="199" spans="1:1" hidden="1">
      <c r="A199" s="355"/>
    </row>
    <row r="200" spans="1:1" hidden="1">
      <c r="A200" s="355"/>
    </row>
    <row r="201" spans="1:1" hidden="1">
      <c r="A201" s="355"/>
    </row>
    <row r="202" spans="1:1" hidden="1">
      <c r="A202" s="355"/>
    </row>
    <row r="203" spans="1:1" hidden="1">
      <c r="A203" s="355"/>
    </row>
    <row r="204" spans="1:1" hidden="1">
      <c r="A204" s="355"/>
    </row>
    <row r="205" spans="1:1" hidden="1">
      <c r="A205" s="355"/>
    </row>
    <row r="206" spans="1:1" hidden="1">
      <c r="A206" s="355"/>
    </row>
    <row r="207" spans="1:1" hidden="1">
      <c r="A207" s="355"/>
    </row>
    <row r="208" spans="1:1" hidden="1">
      <c r="A208" s="355"/>
    </row>
    <row r="209" spans="1:1" hidden="1">
      <c r="A209" s="355"/>
    </row>
    <row r="210" spans="1:1" hidden="1">
      <c r="A210" s="355"/>
    </row>
    <row r="211" spans="1:1" hidden="1">
      <c r="A211" s="355"/>
    </row>
    <row r="212" spans="1:1" hidden="1">
      <c r="A212" s="355"/>
    </row>
    <row r="213" spans="1:1" hidden="1">
      <c r="A213" s="355"/>
    </row>
    <row r="214" spans="1:1" hidden="1">
      <c r="A214" s="355"/>
    </row>
    <row r="215" spans="1:1" hidden="1">
      <c r="A215" s="355"/>
    </row>
    <row r="216" spans="1:1" hidden="1">
      <c r="A216" s="355"/>
    </row>
    <row r="217" spans="1:1" hidden="1">
      <c r="A217" s="355"/>
    </row>
    <row r="218" spans="1:1" hidden="1">
      <c r="A218" s="355"/>
    </row>
    <row r="219" spans="1:1" hidden="1">
      <c r="A219" s="355"/>
    </row>
    <row r="220" spans="1:1" hidden="1">
      <c r="A220" s="355"/>
    </row>
    <row r="221" spans="1:1" hidden="1">
      <c r="A221" s="355"/>
    </row>
    <row r="222" spans="1:1" hidden="1">
      <c r="A222" s="355"/>
    </row>
    <row r="223" spans="1:1" hidden="1">
      <c r="A223" s="355"/>
    </row>
    <row r="224" spans="1:1" hidden="1">
      <c r="A224" s="355"/>
    </row>
    <row r="225" spans="1:1" hidden="1">
      <c r="A225" s="355"/>
    </row>
    <row r="226" spans="1:1" hidden="1">
      <c r="A226" s="355"/>
    </row>
    <row r="227" spans="1:1" hidden="1">
      <c r="A227" s="355"/>
    </row>
    <row r="228" spans="1:1" hidden="1">
      <c r="A228" s="355"/>
    </row>
    <row r="229" spans="1:1" hidden="1">
      <c r="A229" s="355"/>
    </row>
    <row r="230" spans="1:1" hidden="1">
      <c r="A230" s="355"/>
    </row>
    <row r="231" spans="1:1" hidden="1">
      <c r="A231" s="355"/>
    </row>
    <row r="232" spans="1:1" hidden="1">
      <c r="A232" s="355"/>
    </row>
    <row r="233" spans="1:1" hidden="1">
      <c r="A233" s="355"/>
    </row>
    <row r="234" spans="1:1" hidden="1">
      <c r="A234" s="355"/>
    </row>
    <row r="235" spans="1:1" hidden="1">
      <c r="A235" s="355"/>
    </row>
    <row r="236" spans="1:1" hidden="1">
      <c r="A236" s="355"/>
    </row>
    <row r="237" spans="1:1" hidden="1">
      <c r="A237" s="355"/>
    </row>
    <row r="238" spans="1:1" hidden="1">
      <c r="A238" s="355"/>
    </row>
    <row r="239" spans="1:1" hidden="1">
      <c r="A239" s="355"/>
    </row>
    <row r="240" spans="1:1" hidden="1">
      <c r="A240" s="355"/>
    </row>
    <row r="241" spans="1:1" hidden="1">
      <c r="A241" s="355"/>
    </row>
    <row r="242" spans="1:1" hidden="1">
      <c r="A242" s="355"/>
    </row>
    <row r="243" spans="1:1" hidden="1">
      <c r="A243" s="355"/>
    </row>
    <row r="244" spans="1:1" hidden="1">
      <c r="A244" s="355"/>
    </row>
    <row r="245" spans="1:1" hidden="1">
      <c r="A245" s="355"/>
    </row>
    <row r="246" spans="1:1" hidden="1">
      <c r="A246" s="355"/>
    </row>
    <row r="247" spans="1:1" hidden="1">
      <c r="A247" s="355"/>
    </row>
    <row r="248" spans="1:1" hidden="1">
      <c r="A248" s="355"/>
    </row>
    <row r="249" spans="1:1" hidden="1">
      <c r="A249" s="355"/>
    </row>
    <row r="250" spans="1:1" hidden="1">
      <c r="A250" s="355"/>
    </row>
    <row r="251" spans="1:1" hidden="1">
      <c r="A251" s="355"/>
    </row>
    <row r="252" spans="1:1" hidden="1">
      <c r="A252" s="355"/>
    </row>
    <row r="253" spans="1:1" hidden="1">
      <c r="A253" s="355"/>
    </row>
    <row r="254" spans="1:1" hidden="1">
      <c r="A254" s="355"/>
    </row>
    <row r="255" spans="1:1" hidden="1">
      <c r="A255" s="355"/>
    </row>
    <row r="256" spans="1:1" hidden="1">
      <c r="A256" s="355"/>
    </row>
    <row r="257" spans="1:1" hidden="1">
      <c r="A257" s="355"/>
    </row>
    <row r="258" spans="1:1" hidden="1">
      <c r="A258" s="355"/>
    </row>
    <row r="259" spans="1:1" hidden="1">
      <c r="A259" s="355"/>
    </row>
    <row r="260" spans="1:1" hidden="1">
      <c r="A260" s="355"/>
    </row>
    <row r="261" spans="1:1" hidden="1">
      <c r="A261" s="355"/>
    </row>
    <row r="262" spans="1:1" hidden="1">
      <c r="A262" s="355"/>
    </row>
    <row r="263" spans="1:1" hidden="1">
      <c r="A263" s="355"/>
    </row>
    <row r="264" spans="1:1" hidden="1">
      <c r="A264" s="355"/>
    </row>
    <row r="265" spans="1:1" hidden="1">
      <c r="A265" s="355"/>
    </row>
    <row r="266" spans="1:1" hidden="1">
      <c r="A266" s="355"/>
    </row>
    <row r="267" spans="1:1" hidden="1">
      <c r="A267" s="355"/>
    </row>
    <row r="268" spans="1:1" hidden="1">
      <c r="A268" s="355"/>
    </row>
    <row r="269" spans="1:1" hidden="1">
      <c r="A269" s="355"/>
    </row>
    <row r="270" spans="1:1" hidden="1">
      <c r="A270" s="355"/>
    </row>
    <row r="271" spans="1:1" hidden="1">
      <c r="A271" s="355"/>
    </row>
    <row r="272" spans="1:1" hidden="1">
      <c r="A272" s="355"/>
    </row>
    <row r="273" spans="1:1" hidden="1">
      <c r="A273" s="355"/>
    </row>
    <row r="274" spans="1:1" hidden="1">
      <c r="A274" s="355"/>
    </row>
    <row r="275" spans="1:1" hidden="1">
      <c r="A275" s="355"/>
    </row>
    <row r="276" spans="1:1" hidden="1">
      <c r="A276" s="355"/>
    </row>
    <row r="277" spans="1:1" hidden="1">
      <c r="A277" s="355"/>
    </row>
    <row r="278" spans="1:1" hidden="1">
      <c r="A278" s="355"/>
    </row>
    <row r="279" spans="1:1" hidden="1">
      <c r="A279" s="355"/>
    </row>
    <row r="280" spans="1:1" hidden="1">
      <c r="A280" s="355"/>
    </row>
    <row r="281" spans="1:1" hidden="1">
      <c r="A281" s="355"/>
    </row>
    <row r="282" spans="1:1" hidden="1">
      <c r="A282" s="355"/>
    </row>
    <row r="283" spans="1:1" hidden="1">
      <c r="A283" s="355"/>
    </row>
    <row r="284" spans="1:1" hidden="1">
      <c r="A284" s="355"/>
    </row>
    <row r="285" spans="1:1" hidden="1">
      <c r="A285" s="355"/>
    </row>
    <row r="286" spans="1:1" hidden="1">
      <c r="A286" s="355"/>
    </row>
    <row r="287" spans="1:1" hidden="1">
      <c r="A287" s="355"/>
    </row>
    <row r="288" spans="1:1" hidden="1">
      <c r="A288" s="355"/>
    </row>
    <row r="289" spans="1:2" hidden="1">
      <c r="A289" s="355"/>
    </row>
    <row r="290" spans="1:2" hidden="1">
      <c r="A290" s="355"/>
    </row>
    <row r="292" spans="1:2" ht="14">
      <c r="B292" s="351" t="s">
        <v>65</v>
      </c>
    </row>
  </sheetData>
  <sheetProtection password="E242" sheet="1" objects="1" scenarios="1"/>
  <customSheetViews>
    <customSheetView guid="{30D0538C-360A-4CDF-8D89-584CED1967CC}" showGridLines="0" outlineSymbols="0" fitToPage="1" hiddenRows="1" hiddenColumns="1">
      <selection activeCell="L20" sqref="L20"/>
      <pageMargins left="1.07" right="0.78740157499999996" top="0.57999999999999996" bottom="0.49" header="0.4921259845" footer="0.4921259845"/>
      <pageSetup scale="73" orientation="portrait" r:id="rId1"/>
      <headerFooter alignWithMargins="0"/>
    </customSheetView>
    <customSheetView guid="{4F3169C3-3348-49DE-A6DC-8AA4D2A9D7A1}" showGridLines="0" outlineSymbols="0" fitToPage="1" hiddenRows="1" hiddenColumns="1">
      <selection activeCell="L20" sqref="L20"/>
      <pageMargins left="1.07" right="0.78740157499999996" top="0.57999999999999996" bottom="0.49" header="0.4921259845" footer="0.4921259845"/>
      <pageSetup scale="73" orientation="portrait" r:id="rId2"/>
      <headerFooter alignWithMargins="0"/>
    </customSheetView>
  </customSheetViews>
  <mergeCells count="13">
    <mergeCell ref="B15:J15"/>
    <mergeCell ref="B17:C17"/>
    <mergeCell ref="B27:C27"/>
    <mergeCell ref="D17:F17"/>
    <mergeCell ref="D18:F18"/>
    <mergeCell ref="D19:F19"/>
    <mergeCell ref="D20:F20"/>
    <mergeCell ref="D25:F25"/>
    <mergeCell ref="D27:E27"/>
    <mergeCell ref="D21:F21"/>
    <mergeCell ref="D22:F22"/>
    <mergeCell ref="D23:F23"/>
    <mergeCell ref="D24:F24"/>
  </mergeCells>
  <phoneticPr fontId="0" type="noConversion"/>
  <pageMargins left="1.07" right="0.78740157499999996" top="0.57999999999999996" bottom="0.49" header="0.4921259845" footer="0.4921259845"/>
  <pageSetup scale="73"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4381" r:id="rId6" name="Drop Down 45">
              <controlPr defaultSize="0" autoFill="0" autoLine="0" autoPict="0">
                <anchor moveWithCells="1">
                  <from>
                    <xdr:col>7</xdr:col>
                    <xdr:colOff>812800</xdr:colOff>
                    <xdr:row>16</xdr:row>
                    <xdr:rowOff>12700</xdr:rowOff>
                  </from>
                  <to>
                    <xdr:col>10</xdr:col>
                    <xdr:colOff>38100</xdr:colOff>
                    <xdr:row>17</xdr:row>
                    <xdr:rowOff>0</xdr:rowOff>
                  </to>
                </anchor>
              </controlPr>
            </control>
          </mc:Choice>
        </mc:AlternateContent>
        <mc:AlternateContent xmlns:mc="http://schemas.openxmlformats.org/markup-compatibility/2006">
          <mc:Choice Requires="x14">
            <control shapeId="14382" r:id="rId7" name="Drop Down 46">
              <controlPr defaultSize="0" autoFill="0" autoLine="0" autoPict="0">
                <anchor moveWithCells="1">
                  <from>
                    <xdr:col>7</xdr:col>
                    <xdr:colOff>825500</xdr:colOff>
                    <xdr:row>17</xdr:row>
                    <xdr:rowOff>12700</xdr:rowOff>
                  </from>
                  <to>
                    <xdr:col>10</xdr:col>
                    <xdr:colOff>38100</xdr:colOff>
                    <xdr:row>17</xdr:row>
                    <xdr:rowOff>215900</xdr:rowOff>
                  </to>
                </anchor>
              </controlPr>
            </control>
          </mc:Choice>
        </mc:AlternateContent>
        <mc:AlternateContent xmlns:mc="http://schemas.openxmlformats.org/markup-compatibility/2006">
          <mc:Choice Requires="x14">
            <control shapeId="14383" r:id="rId8" name="Drop Down 47">
              <controlPr defaultSize="0" autoFill="0" autoLine="0" autoPict="0">
                <anchor moveWithCells="1">
                  <from>
                    <xdr:col>9</xdr:col>
                    <xdr:colOff>495300</xdr:colOff>
                    <xdr:row>18</xdr:row>
                    <xdr:rowOff>12700</xdr:rowOff>
                  </from>
                  <to>
                    <xdr:col>10</xdr:col>
                    <xdr:colOff>25400</xdr:colOff>
                    <xdr:row>19</xdr:row>
                    <xdr:rowOff>0</xdr:rowOff>
                  </to>
                </anchor>
              </controlPr>
            </control>
          </mc:Choice>
        </mc:AlternateContent>
        <mc:AlternateContent xmlns:mc="http://schemas.openxmlformats.org/markup-compatibility/2006">
          <mc:Choice Requires="x14">
            <control shapeId="14384" r:id="rId9" name="Drop Down 48">
              <controlPr defaultSize="0" autoFill="0" autoLine="0" autoPict="0">
                <anchor moveWithCells="1">
                  <from>
                    <xdr:col>9</xdr:col>
                    <xdr:colOff>495300</xdr:colOff>
                    <xdr:row>19</xdr:row>
                    <xdr:rowOff>12700</xdr:rowOff>
                  </from>
                  <to>
                    <xdr:col>10</xdr:col>
                    <xdr:colOff>38100</xdr:colOff>
                    <xdr:row>20</xdr:row>
                    <xdr:rowOff>0</xdr:rowOff>
                  </to>
                </anchor>
              </controlPr>
            </control>
          </mc:Choice>
        </mc:AlternateContent>
        <mc:AlternateContent xmlns:mc="http://schemas.openxmlformats.org/markup-compatibility/2006">
          <mc:Choice Requires="x14">
            <control shapeId="14392" r:id="rId10" name="Drop Down 56">
              <controlPr defaultSize="0" autoFill="0" autoLine="0" autoPict="0">
                <anchor moveWithCells="1">
                  <from>
                    <xdr:col>9</xdr:col>
                    <xdr:colOff>12700</xdr:colOff>
                    <xdr:row>23</xdr:row>
                    <xdr:rowOff>12700</xdr:rowOff>
                  </from>
                  <to>
                    <xdr:col>10</xdr:col>
                    <xdr:colOff>25400</xdr:colOff>
                    <xdr:row>23</xdr:row>
                    <xdr:rowOff>215900</xdr:rowOff>
                  </to>
                </anchor>
              </controlPr>
            </control>
          </mc:Choice>
        </mc:AlternateContent>
        <mc:AlternateContent xmlns:mc="http://schemas.openxmlformats.org/markup-compatibility/2006">
          <mc:Choice Requires="x14">
            <control shapeId="14393" r:id="rId11" name="Drop Down 57">
              <controlPr defaultSize="0" autoFill="0" autoLine="0" autoPict="0">
                <anchor moveWithCells="1">
                  <from>
                    <xdr:col>9</xdr:col>
                    <xdr:colOff>12700</xdr:colOff>
                    <xdr:row>24</xdr:row>
                    <xdr:rowOff>12700</xdr:rowOff>
                  </from>
                  <to>
                    <xdr:col>10</xdr:col>
                    <xdr:colOff>25400</xdr:colOff>
                    <xdr:row>24</xdr:row>
                    <xdr:rowOff>215900</xdr:rowOff>
                  </to>
                </anchor>
              </controlPr>
            </control>
          </mc:Choice>
        </mc:AlternateContent>
        <mc:AlternateContent xmlns:mc="http://schemas.openxmlformats.org/markup-compatibility/2006">
          <mc:Choice Requires="x14">
            <control shapeId="14395" r:id="rId12" name="Drop Down 59">
              <controlPr defaultSize="0" autoFill="0" autoLine="0" autoPict="0">
                <anchor moveWithCells="1">
                  <from>
                    <xdr:col>9</xdr:col>
                    <xdr:colOff>12700</xdr:colOff>
                    <xdr:row>25</xdr:row>
                    <xdr:rowOff>12700</xdr:rowOff>
                  </from>
                  <to>
                    <xdr:col>10</xdr:col>
                    <xdr:colOff>25400</xdr:colOff>
                    <xdr:row>25</xdr:row>
                    <xdr:rowOff>215900</xdr:rowOff>
                  </to>
                </anchor>
              </controlPr>
            </control>
          </mc:Choice>
        </mc:AlternateContent>
        <mc:AlternateContent xmlns:mc="http://schemas.openxmlformats.org/markup-compatibility/2006">
          <mc:Choice Requires="x14">
            <control shapeId="14402" r:id="rId13" name="Drop Down 66">
              <controlPr defaultSize="0" autoFill="0" autoLine="0" autoPict="0">
                <anchor moveWithCells="1">
                  <from>
                    <xdr:col>3</xdr:col>
                    <xdr:colOff>406400</xdr:colOff>
                    <xdr:row>28</xdr:row>
                    <xdr:rowOff>0</xdr:rowOff>
                  </from>
                  <to>
                    <xdr:col>4</xdr:col>
                    <xdr:colOff>533400</xdr:colOff>
                    <xdr:row>29</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DD">
    <pageSetUpPr autoPageBreaks="0" fitToPage="1"/>
  </sheetPr>
  <dimension ref="A1:K46"/>
  <sheetViews>
    <sheetView showGridLines="0" showRowColHeaders="0" showOutlineSymbols="0" zoomScaleNormal="100" workbookViewId="0">
      <selection activeCell="A5" sqref="A5"/>
    </sheetView>
  </sheetViews>
  <sheetFormatPr baseColWidth="10" defaultColWidth="11.453125" defaultRowHeight="13"/>
  <cols>
    <col min="1" max="1" width="4.08984375" style="355" customWidth="1"/>
    <col min="2" max="2" width="4.36328125" style="167" customWidth="1"/>
    <col min="3" max="3" width="11" style="43" customWidth="1"/>
    <col min="4" max="4" width="15.453125" style="43" customWidth="1"/>
    <col min="5" max="5" width="5.453125" style="43" customWidth="1"/>
    <col min="6" max="6" width="17.36328125" style="43" customWidth="1"/>
    <col min="7" max="7" width="5.453125" style="43" customWidth="1"/>
    <col min="8" max="8" width="19.08984375" style="43" customWidth="1"/>
    <col min="9" max="9" width="11.453125" style="43"/>
    <col min="10" max="10" width="11.453125" style="356"/>
    <col min="11" max="11" width="11.453125" style="43"/>
    <col min="12" max="16384" width="11.453125" style="167"/>
  </cols>
  <sheetData>
    <row r="1" spans="1:11" customFormat="1" ht="12.5"/>
    <row r="2" spans="1:11" customFormat="1" ht="12.5"/>
    <row r="3" spans="1:11" customFormat="1" ht="12.5"/>
    <row r="4" spans="1:11" customFormat="1" ht="12.5"/>
    <row r="5" spans="1:11" customFormat="1" ht="12.5"/>
    <row r="6" spans="1:11" customFormat="1" ht="12.5"/>
    <row r="7" spans="1:11" customFormat="1" ht="12.5" hidden="1"/>
    <row r="8" spans="1:11" ht="8.25" hidden="1" customHeight="1">
      <c r="C8" s="1155"/>
      <c r="D8" s="1155"/>
      <c r="E8" s="1155"/>
      <c r="F8" s="1155"/>
      <c r="G8" s="1155"/>
      <c r="H8" s="1155"/>
      <c r="I8" s="1155"/>
      <c r="J8" s="1155"/>
      <c r="K8" s="1155"/>
    </row>
    <row r="9" spans="1:11" ht="4.5" customHeight="1">
      <c r="B9" s="929"/>
      <c r="C9" s="928"/>
      <c r="D9" s="928"/>
      <c r="E9" s="928"/>
      <c r="F9" s="928"/>
      <c r="G9" s="928"/>
      <c r="H9" s="928"/>
    </row>
    <row r="10" spans="1:11" ht="9.75" customHeight="1"/>
    <row r="11" spans="1:11" ht="16.5" customHeight="1">
      <c r="D11" s="231" t="s">
        <v>258</v>
      </c>
      <c r="F11" s="167"/>
      <c r="G11" s="58"/>
      <c r="H11" s="362" t="s">
        <v>259</v>
      </c>
      <c r="I11" s="357"/>
      <c r="J11" s="167"/>
    </row>
    <row r="12" spans="1:11" ht="4.5" customHeight="1">
      <c r="D12" s="360"/>
      <c r="F12" s="167"/>
      <c r="G12" s="357"/>
      <c r="H12" s="361"/>
      <c r="I12" s="357"/>
      <c r="J12" s="167"/>
    </row>
    <row r="13" spans="1:11" ht="5.25" customHeight="1" thickBot="1">
      <c r="H13" s="356"/>
      <c r="J13" s="167"/>
    </row>
    <row r="14" spans="1:11" ht="16" thickBot="1">
      <c r="A14" s="167"/>
      <c r="B14" s="355"/>
      <c r="C14" s="58"/>
      <c r="D14" s="48"/>
      <c r="E14" s="58"/>
      <c r="F14" s="58"/>
      <c r="H14" s="933">
        <v>1</v>
      </c>
      <c r="J14" s="167"/>
    </row>
    <row r="15" spans="1:11" ht="4.5" customHeight="1" thickBot="1">
      <c r="B15" s="355"/>
      <c r="C15" s="58"/>
      <c r="D15" s="58"/>
      <c r="E15" s="58"/>
      <c r="F15" s="58"/>
      <c r="H15" s="1045"/>
      <c r="J15" s="167"/>
    </row>
    <row r="16" spans="1:11" ht="16" thickBot="1">
      <c r="B16" s="355"/>
      <c r="C16" s="58"/>
      <c r="D16" s="59"/>
      <c r="E16" s="358"/>
      <c r="F16" s="58"/>
      <c r="H16" s="934">
        <v>1</v>
      </c>
      <c r="J16" s="167"/>
    </row>
    <row r="17" spans="2:10" ht="4.5" customHeight="1" thickBot="1">
      <c r="B17" s="355"/>
      <c r="C17" s="58"/>
      <c r="D17" s="58"/>
      <c r="E17" s="58"/>
      <c r="F17" s="58"/>
      <c r="H17" s="1045"/>
      <c r="J17" s="167"/>
    </row>
    <row r="18" spans="2:10" ht="16" thickBot="1">
      <c r="B18" s="355"/>
      <c r="C18" s="58"/>
      <c r="D18" s="58"/>
      <c r="E18" s="58"/>
      <c r="F18" s="58"/>
      <c r="H18" s="934">
        <v>1</v>
      </c>
      <c r="J18" s="167"/>
    </row>
    <row r="19" spans="2:10" ht="4.5" customHeight="1" thickBot="1">
      <c r="B19" s="355"/>
      <c r="C19" s="58"/>
      <c r="D19" s="58"/>
      <c r="E19" s="58"/>
      <c r="F19" s="58"/>
      <c r="H19" s="1045"/>
      <c r="J19" s="167"/>
    </row>
    <row r="20" spans="2:10" ht="16" thickBot="1">
      <c r="B20" s="355"/>
      <c r="C20" s="58"/>
      <c r="D20" s="58"/>
      <c r="E20" s="58"/>
      <c r="F20" s="58"/>
      <c r="H20" s="934">
        <v>1</v>
      </c>
      <c r="J20" s="167"/>
    </row>
    <row r="21" spans="2:10" ht="4.5" customHeight="1" thickBot="1">
      <c r="B21" s="355"/>
      <c r="C21" s="58"/>
      <c r="D21" s="58"/>
      <c r="E21" s="58"/>
      <c r="F21" s="58"/>
      <c r="H21" s="1045"/>
      <c r="J21" s="167"/>
    </row>
    <row r="22" spans="2:10" ht="16" thickBot="1">
      <c r="B22" s="355"/>
      <c r="C22" s="58"/>
      <c r="D22" s="58"/>
      <c r="E22" s="58"/>
      <c r="F22" s="58"/>
      <c r="H22" s="934">
        <v>1</v>
      </c>
      <c r="J22" s="167"/>
    </row>
    <row r="23" spans="2:10" ht="4.5" customHeight="1" thickBot="1">
      <c r="B23" s="355"/>
      <c r="C23" s="58"/>
      <c r="D23" s="58"/>
      <c r="E23" s="58"/>
      <c r="F23" s="58"/>
      <c r="H23" s="1045"/>
      <c r="J23" s="167"/>
    </row>
    <row r="24" spans="2:10" ht="16" thickBot="1">
      <c r="B24" s="355"/>
      <c r="C24" s="58"/>
      <c r="D24" s="58"/>
      <c r="E24" s="58"/>
      <c r="F24" s="58"/>
      <c r="H24" s="934">
        <v>1</v>
      </c>
      <c r="J24" s="167"/>
    </row>
    <row r="25" spans="2:10" ht="4.5" customHeight="1" thickBot="1">
      <c r="B25" s="355"/>
      <c r="C25" s="58"/>
      <c r="D25" s="58"/>
      <c r="E25" s="58"/>
      <c r="F25" s="58"/>
      <c r="H25" s="1045"/>
      <c r="J25" s="167"/>
    </row>
    <row r="26" spans="2:10" ht="16" thickBot="1">
      <c r="B26" s="355"/>
      <c r="C26" s="58"/>
      <c r="D26" s="58"/>
      <c r="E26" s="58"/>
      <c r="F26" s="58"/>
      <c r="H26" s="934">
        <v>0</v>
      </c>
      <c r="J26" s="167"/>
    </row>
    <row r="27" spans="2:10" ht="4.5" customHeight="1" thickBot="1">
      <c r="B27" s="355"/>
      <c r="C27" s="58"/>
      <c r="D27" s="58"/>
      <c r="E27" s="58"/>
      <c r="F27" s="58"/>
      <c r="H27" s="1045"/>
      <c r="J27" s="167"/>
    </row>
    <row r="28" spans="2:10" ht="16" thickBot="1">
      <c r="B28" s="355"/>
      <c r="C28" s="58"/>
      <c r="D28" s="58"/>
      <c r="E28" s="58"/>
      <c r="F28" s="58"/>
      <c r="H28" s="934">
        <v>0</v>
      </c>
      <c r="J28" s="167"/>
    </row>
    <row r="29" spans="2:10" ht="5.25" customHeight="1" thickBot="1">
      <c r="B29" s="355"/>
      <c r="C29" s="58"/>
      <c r="D29" s="58"/>
      <c r="E29" s="58"/>
      <c r="F29" s="58"/>
      <c r="H29" s="1045"/>
      <c r="J29" s="167"/>
    </row>
    <row r="30" spans="2:10" ht="15" customHeight="1" thickBot="1">
      <c r="B30" s="355"/>
      <c r="C30" s="58"/>
      <c r="D30" s="58"/>
      <c r="E30" s="58"/>
      <c r="F30" s="58"/>
      <c r="H30" s="934">
        <v>0</v>
      </c>
      <c r="J30" s="167"/>
    </row>
    <row r="31" spans="2:10" ht="4.5" customHeight="1" thickBot="1">
      <c r="B31" s="355"/>
      <c r="C31" s="58"/>
      <c r="D31" s="58"/>
      <c r="E31" s="58"/>
      <c r="F31" s="58"/>
      <c r="H31" s="1045"/>
      <c r="J31" s="167"/>
    </row>
    <row r="32" spans="2:10" ht="16" thickBot="1">
      <c r="B32" s="355"/>
      <c r="C32" s="58"/>
      <c r="D32" s="59"/>
      <c r="E32" s="358"/>
      <c r="F32" s="58"/>
      <c r="H32" s="934">
        <v>0</v>
      </c>
      <c r="J32" s="167"/>
    </row>
    <row r="33" spans="2:10" ht="4.5" customHeight="1" thickBot="1">
      <c r="B33" s="355"/>
      <c r="C33" s="58"/>
      <c r="D33" s="58"/>
      <c r="E33" s="58"/>
      <c r="F33" s="58"/>
      <c r="H33" s="1045"/>
      <c r="J33" s="167"/>
    </row>
    <row r="34" spans="2:10" ht="16" thickBot="1">
      <c r="B34" s="355"/>
      <c r="C34" s="58"/>
      <c r="D34" s="58"/>
      <c r="E34" s="58"/>
      <c r="F34" s="58"/>
      <c r="H34" s="934">
        <v>0</v>
      </c>
      <c r="J34" s="167"/>
    </row>
    <row r="35" spans="2:10" ht="4.5" customHeight="1" thickBot="1">
      <c r="B35" s="355"/>
      <c r="C35" s="58"/>
      <c r="D35" s="58"/>
      <c r="E35" s="58"/>
      <c r="F35" s="58"/>
      <c r="H35" s="1045"/>
      <c r="J35" s="167"/>
    </row>
    <row r="36" spans="2:10" ht="16" thickBot="1">
      <c r="B36" s="355"/>
      <c r="C36" s="58"/>
      <c r="D36" s="58"/>
      <c r="E36" s="58"/>
      <c r="F36" s="58"/>
      <c r="H36" s="934">
        <v>0</v>
      </c>
      <c r="J36" s="167"/>
    </row>
    <row r="37" spans="2:10" ht="4.5" customHeight="1" thickBot="1">
      <c r="B37" s="355"/>
      <c r="C37" s="58"/>
      <c r="D37" s="58"/>
      <c r="E37" s="58"/>
      <c r="F37" s="58"/>
      <c r="H37" s="1045"/>
      <c r="J37" s="167"/>
    </row>
    <row r="38" spans="2:10" ht="16" thickBot="1">
      <c r="B38" s="355"/>
      <c r="C38" s="58"/>
      <c r="D38" s="58"/>
      <c r="E38" s="58"/>
      <c r="F38" s="58"/>
      <c r="H38" s="934">
        <v>0</v>
      </c>
      <c r="J38" s="167"/>
    </row>
    <row r="39" spans="2:10" ht="4.5" customHeight="1" thickBot="1">
      <c r="B39" s="355"/>
      <c r="C39" s="58"/>
      <c r="D39" s="58"/>
      <c r="E39" s="58"/>
      <c r="F39" s="58"/>
      <c r="H39" s="1045"/>
      <c r="J39" s="167"/>
    </row>
    <row r="40" spans="2:10" ht="16" thickBot="1">
      <c r="B40" s="355"/>
      <c r="C40" s="58"/>
      <c r="D40" s="58"/>
      <c r="E40" s="58"/>
      <c r="F40" s="58"/>
      <c r="H40" s="934">
        <v>0</v>
      </c>
      <c r="J40" s="167"/>
    </row>
    <row r="41" spans="2:10" ht="4.5" customHeight="1" thickBot="1">
      <c r="B41" s="355"/>
      <c r="C41" s="58"/>
      <c r="D41" s="58"/>
      <c r="E41" s="58"/>
      <c r="F41" s="58"/>
      <c r="H41" s="1045"/>
      <c r="J41" s="167"/>
    </row>
    <row r="42" spans="2:10" ht="16" thickBot="1">
      <c r="B42" s="355"/>
      <c r="C42" s="58"/>
      <c r="D42" s="58"/>
      <c r="E42" s="58"/>
      <c r="F42" s="58"/>
      <c r="H42" s="934">
        <v>0</v>
      </c>
      <c r="J42" s="167"/>
    </row>
    <row r="43" spans="2:10" ht="4.5" customHeight="1" thickBot="1">
      <c r="B43" s="355"/>
      <c r="C43" s="58"/>
      <c r="D43" s="58"/>
      <c r="E43" s="58"/>
      <c r="F43" s="58"/>
      <c r="H43" s="1045"/>
      <c r="J43" s="167"/>
    </row>
    <row r="44" spans="2:10" ht="16" thickBot="1">
      <c r="B44" s="355"/>
      <c r="C44" s="58"/>
      <c r="D44" s="58"/>
      <c r="E44" s="58"/>
      <c r="F44" s="58"/>
      <c r="H44" s="934">
        <v>0</v>
      </c>
      <c r="J44" s="167"/>
    </row>
    <row r="45" spans="2:10" ht="25.5" customHeight="1">
      <c r="B45" s="355"/>
      <c r="C45" s="58"/>
      <c r="D45" s="58"/>
      <c r="E45" s="58"/>
      <c r="F45" s="58"/>
      <c r="H45" s="1045"/>
      <c r="J45" s="359"/>
    </row>
    <row r="46" spans="2:10" ht="16.5">
      <c r="B46" s="355"/>
      <c r="C46" s="58"/>
      <c r="D46" s="58"/>
      <c r="E46" s="58"/>
      <c r="F46" s="58"/>
      <c r="H46" s="794">
        <f>SUM(H14:H44)</f>
        <v>6</v>
      </c>
      <c r="J46" s="167"/>
    </row>
  </sheetData>
  <sheetProtection password="E242" sheet="1" objects="1" scenarios="1"/>
  <customSheetViews>
    <customSheetView guid="{30D0538C-360A-4CDF-8D89-584CED1967CC}"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1"/>
      <headerFooter alignWithMargins="0"/>
    </customSheetView>
    <customSheetView guid="{4F3169C3-3348-49DE-A6DC-8AA4D2A9D7A1}"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2"/>
      <headerFooter alignWithMargins="0"/>
    </customSheetView>
  </customSheetViews>
  <mergeCells count="1">
    <mergeCell ref="C8:K8"/>
  </mergeCells>
  <phoneticPr fontId="0" type="noConversion"/>
  <pageMargins left="0.78740157499999996" right="0.78740157499999996" top="0.984251969" bottom="0.984251969" header="0.4921259845" footer="0.4921259845"/>
  <pageSetup scale="79"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6625" r:id="rId6" name="Drop Down 1">
              <controlPr defaultSize="0" autoFill="0" autoLine="0" autoPict="0">
                <anchor moveWithCells="1">
                  <from>
                    <xdr:col>2</xdr:col>
                    <xdr:colOff>558800</xdr:colOff>
                    <xdr:row>13</xdr:row>
                    <xdr:rowOff>38100</xdr:rowOff>
                  </from>
                  <to>
                    <xdr:col>4</xdr:col>
                    <xdr:colOff>139700</xdr:colOff>
                    <xdr:row>14</xdr:row>
                    <xdr:rowOff>25400</xdr:rowOff>
                  </to>
                </anchor>
              </controlPr>
            </control>
          </mc:Choice>
        </mc:AlternateContent>
        <mc:AlternateContent xmlns:mc="http://schemas.openxmlformats.org/markup-compatibility/2006">
          <mc:Choice Requires="x14">
            <control shapeId="26628" r:id="rId7" name="Drop Down 4">
              <controlPr defaultSize="0" autoFill="0" autoLine="0" autoPict="0">
                <anchor moveWithCells="1">
                  <from>
                    <xdr:col>2</xdr:col>
                    <xdr:colOff>584200</xdr:colOff>
                    <xdr:row>15</xdr:row>
                    <xdr:rowOff>12700</xdr:rowOff>
                  </from>
                  <to>
                    <xdr:col>4</xdr:col>
                    <xdr:colOff>139700</xdr:colOff>
                    <xdr:row>16</xdr:row>
                    <xdr:rowOff>0</xdr:rowOff>
                  </to>
                </anchor>
              </controlPr>
            </control>
          </mc:Choice>
        </mc:AlternateContent>
        <mc:AlternateContent xmlns:mc="http://schemas.openxmlformats.org/markup-compatibility/2006">
          <mc:Choice Requires="x14">
            <control shapeId="26658" r:id="rId8" name="Drop Down 34">
              <controlPr defaultSize="0" autoFill="0" autoLine="0" autoPict="0">
                <anchor moveWithCells="1">
                  <from>
                    <xdr:col>2</xdr:col>
                    <xdr:colOff>584200</xdr:colOff>
                    <xdr:row>17</xdr:row>
                    <xdr:rowOff>12700</xdr:rowOff>
                  </from>
                  <to>
                    <xdr:col>4</xdr:col>
                    <xdr:colOff>139700</xdr:colOff>
                    <xdr:row>18</xdr:row>
                    <xdr:rowOff>0</xdr:rowOff>
                  </to>
                </anchor>
              </controlPr>
            </control>
          </mc:Choice>
        </mc:AlternateContent>
        <mc:AlternateContent xmlns:mc="http://schemas.openxmlformats.org/markup-compatibility/2006">
          <mc:Choice Requires="x14">
            <control shapeId="26659" r:id="rId9" name="Drop Down 35">
              <controlPr defaultSize="0" autoFill="0" autoLine="0" autoPict="0">
                <anchor moveWithCells="1">
                  <from>
                    <xdr:col>2</xdr:col>
                    <xdr:colOff>584200</xdr:colOff>
                    <xdr:row>19</xdr:row>
                    <xdr:rowOff>12700</xdr:rowOff>
                  </from>
                  <to>
                    <xdr:col>4</xdr:col>
                    <xdr:colOff>139700</xdr:colOff>
                    <xdr:row>20</xdr:row>
                    <xdr:rowOff>0</xdr:rowOff>
                  </to>
                </anchor>
              </controlPr>
            </control>
          </mc:Choice>
        </mc:AlternateContent>
        <mc:AlternateContent xmlns:mc="http://schemas.openxmlformats.org/markup-compatibility/2006">
          <mc:Choice Requires="x14">
            <control shapeId="26660" r:id="rId10" name="Drop Down 36">
              <controlPr defaultSize="0" autoFill="0" autoLine="0" autoPict="0">
                <anchor moveWithCells="1">
                  <from>
                    <xdr:col>2</xdr:col>
                    <xdr:colOff>584200</xdr:colOff>
                    <xdr:row>21</xdr:row>
                    <xdr:rowOff>12700</xdr:rowOff>
                  </from>
                  <to>
                    <xdr:col>4</xdr:col>
                    <xdr:colOff>139700</xdr:colOff>
                    <xdr:row>22</xdr:row>
                    <xdr:rowOff>0</xdr:rowOff>
                  </to>
                </anchor>
              </controlPr>
            </control>
          </mc:Choice>
        </mc:AlternateContent>
        <mc:AlternateContent xmlns:mc="http://schemas.openxmlformats.org/markup-compatibility/2006">
          <mc:Choice Requires="x14">
            <control shapeId="26661" r:id="rId11" name="Drop Down 37">
              <controlPr defaultSize="0" autoFill="0" autoLine="0" autoPict="0">
                <anchor moveWithCells="1">
                  <from>
                    <xdr:col>2</xdr:col>
                    <xdr:colOff>584200</xdr:colOff>
                    <xdr:row>23</xdr:row>
                    <xdr:rowOff>12700</xdr:rowOff>
                  </from>
                  <to>
                    <xdr:col>4</xdr:col>
                    <xdr:colOff>139700</xdr:colOff>
                    <xdr:row>24</xdr:row>
                    <xdr:rowOff>0</xdr:rowOff>
                  </to>
                </anchor>
              </controlPr>
            </control>
          </mc:Choice>
        </mc:AlternateContent>
        <mc:AlternateContent xmlns:mc="http://schemas.openxmlformats.org/markup-compatibility/2006">
          <mc:Choice Requires="x14">
            <control shapeId="26662" r:id="rId12" name="Drop Down 38">
              <controlPr defaultSize="0" autoFill="0" autoLine="0" autoPict="0">
                <anchor moveWithCells="1">
                  <from>
                    <xdr:col>2</xdr:col>
                    <xdr:colOff>584200</xdr:colOff>
                    <xdr:row>25</xdr:row>
                    <xdr:rowOff>12700</xdr:rowOff>
                  </from>
                  <to>
                    <xdr:col>4</xdr:col>
                    <xdr:colOff>139700</xdr:colOff>
                    <xdr:row>26</xdr:row>
                    <xdr:rowOff>0</xdr:rowOff>
                  </to>
                </anchor>
              </controlPr>
            </control>
          </mc:Choice>
        </mc:AlternateContent>
        <mc:AlternateContent xmlns:mc="http://schemas.openxmlformats.org/markup-compatibility/2006">
          <mc:Choice Requires="x14">
            <control shapeId="26663" r:id="rId13" name="Drop Down 39">
              <controlPr defaultSize="0" autoFill="0" autoLine="0" autoPict="0">
                <anchor moveWithCells="1">
                  <from>
                    <xdr:col>2</xdr:col>
                    <xdr:colOff>584200</xdr:colOff>
                    <xdr:row>27</xdr:row>
                    <xdr:rowOff>12700</xdr:rowOff>
                  </from>
                  <to>
                    <xdr:col>4</xdr:col>
                    <xdr:colOff>139700</xdr:colOff>
                    <xdr:row>28</xdr:row>
                    <xdr:rowOff>0</xdr:rowOff>
                  </to>
                </anchor>
              </controlPr>
            </control>
          </mc:Choice>
        </mc:AlternateContent>
        <mc:AlternateContent xmlns:mc="http://schemas.openxmlformats.org/markup-compatibility/2006">
          <mc:Choice Requires="x14">
            <control shapeId="26664" r:id="rId14" name="Drop Down 40">
              <controlPr defaultSize="0" autoFill="0" autoLine="0" autoPict="0">
                <anchor moveWithCells="1">
                  <from>
                    <xdr:col>2</xdr:col>
                    <xdr:colOff>584200</xdr:colOff>
                    <xdr:row>29</xdr:row>
                    <xdr:rowOff>12700</xdr:rowOff>
                  </from>
                  <to>
                    <xdr:col>4</xdr:col>
                    <xdr:colOff>139700</xdr:colOff>
                    <xdr:row>30</xdr:row>
                    <xdr:rowOff>12700</xdr:rowOff>
                  </to>
                </anchor>
              </controlPr>
            </control>
          </mc:Choice>
        </mc:AlternateContent>
        <mc:AlternateContent xmlns:mc="http://schemas.openxmlformats.org/markup-compatibility/2006">
          <mc:Choice Requires="x14">
            <control shapeId="26665" r:id="rId15" name="Drop Down 41">
              <controlPr defaultSize="0" autoFill="0" autoLine="0" autoPict="0">
                <anchor moveWithCells="1">
                  <from>
                    <xdr:col>2</xdr:col>
                    <xdr:colOff>584200</xdr:colOff>
                    <xdr:row>31</xdr:row>
                    <xdr:rowOff>12700</xdr:rowOff>
                  </from>
                  <to>
                    <xdr:col>4</xdr:col>
                    <xdr:colOff>139700</xdr:colOff>
                    <xdr:row>32</xdr:row>
                    <xdr:rowOff>0</xdr:rowOff>
                  </to>
                </anchor>
              </controlPr>
            </control>
          </mc:Choice>
        </mc:AlternateContent>
        <mc:AlternateContent xmlns:mc="http://schemas.openxmlformats.org/markup-compatibility/2006">
          <mc:Choice Requires="x14">
            <control shapeId="26666" r:id="rId16" name="Drop Down 42">
              <controlPr defaultSize="0" autoFill="0" autoLine="0" autoPict="0">
                <anchor moveWithCells="1">
                  <from>
                    <xdr:col>2</xdr:col>
                    <xdr:colOff>584200</xdr:colOff>
                    <xdr:row>33</xdr:row>
                    <xdr:rowOff>12700</xdr:rowOff>
                  </from>
                  <to>
                    <xdr:col>4</xdr:col>
                    <xdr:colOff>139700</xdr:colOff>
                    <xdr:row>34</xdr:row>
                    <xdr:rowOff>0</xdr:rowOff>
                  </to>
                </anchor>
              </controlPr>
            </control>
          </mc:Choice>
        </mc:AlternateContent>
        <mc:AlternateContent xmlns:mc="http://schemas.openxmlformats.org/markup-compatibility/2006">
          <mc:Choice Requires="x14">
            <control shapeId="26667" r:id="rId17" name="Drop Down 43">
              <controlPr defaultSize="0" autoFill="0" autoLine="0" autoPict="0">
                <anchor moveWithCells="1">
                  <from>
                    <xdr:col>2</xdr:col>
                    <xdr:colOff>584200</xdr:colOff>
                    <xdr:row>35</xdr:row>
                    <xdr:rowOff>12700</xdr:rowOff>
                  </from>
                  <to>
                    <xdr:col>4</xdr:col>
                    <xdr:colOff>139700</xdr:colOff>
                    <xdr:row>36</xdr:row>
                    <xdr:rowOff>0</xdr:rowOff>
                  </to>
                </anchor>
              </controlPr>
            </control>
          </mc:Choice>
        </mc:AlternateContent>
        <mc:AlternateContent xmlns:mc="http://schemas.openxmlformats.org/markup-compatibility/2006">
          <mc:Choice Requires="x14">
            <control shapeId="26668" r:id="rId18" name="Drop Down 44">
              <controlPr defaultSize="0" autoFill="0" autoLine="0" autoPict="0">
                <anchor moveWithCells="1">
                  <from>
                    <xdr:col>2</xdr:col>
                    <xdr:colOff>584200</xdr:colOff>
                    <xdr:row>37</xdr:row>
                    <xdr:rowOff>12700</xdr:rowOff>
                  </from>
                  <to>
                    <xdr:col>4</xdr:col>
                    <xdr:colOff>139700</xdr:colOff>
                    <xdr:row>38</xdr:row>
                    <xdr:rowOff>0</xdr:rowOff>
                  </to>
                </anchor>
              </controlPr>
            </control>
          </mc:Choice>
        </mc:AlternateContent>
        <mc:AlternateContent xmlns:mc="http://schemas.openxmlformats.org/markup-compatibility/2006">
          <mc:Choice Requires="x14">
            <control shapeId="26669" r:id="rId19" name="Drop Down 45">
              <controlPr defaultSize="0" autoFill="0" autoLine="0" autoPict="0">
                <anchor moveWithCells="1">
                  <from>
                    <xdr:col>2</xdr:col>
                    <xdr:colOff>584200</xdr:colOff>
                    <xdr:row>39</xdr:row>
                    <xdr:rowOff>12700</xdr:rowOff>
                  </from>
                  <to>
                    <xdr:col>4</xdr:col>
                    <xdr:colOff>139700</xdr:colOff>
                    <xdr:row>40</xdr:row>
                    <xdr:rowOff>0</xdr:rowOff>
                  </to>
                </anchor>
              </controlPr>
            </control>
          </mc:Choice>
        </mc:AlternateContent>
        <mc:AlternateContent xmlns:mc="http://schemas.openxmlformats.org/markup-compatibility/2006">
          <mc:Choice Requires="x14">
            <control shapeId="26670" r:id="rId20" name="Drop Down 46">
              <controlPr defaultSize="0" autoFill="0" autoLine="0" autoPict="0">
                <anchor moveWithCells="1">
                  <from>
                    <xdr:col>2</xdr:col>
                    <xdr:colOff>584200</xdr:colOff>
                    <xdr:row>41</xdr:row>
                    <xdr:rowOff>12700</xdr:rowOff>
                  </from>
                  <to>
                    <xdr:col>4</xdr:col>
                    <xdr:colOff>139700</xdr:colOff>
                    <xdr:row>42</xdr:row>
                    <xdr:rowOff>0</xdr:rowOff>
                  </to>
                </anchor>
              </controlPr>
            </control>
          </mc:Choice>
        </mc:AlternateContent>
        <mc:AlternateContent xmlns:mc="http://schemas.openxmlformats.org/markup-compatibility/2006">
          <mc:Choice Requires="x14">
            <control shapeId="26671" r:id="rId21" name="Drop Down 47">
              <controlPr defaultSize="0" autoFill="0" autoLine="0" autoPict="0">
                <anchor moveWithCells="1">
                  <from>
                    <xdr:col>2</xdr:col>
                    <xdr:colOff>584200</xdr:colOff>
                    <xdr:row>43</xdr:row>
                    <xdr:rowOff>12700</xdr:rowOff>
                  </from>
                  <to>
                    <xdr:col>4</xdr:col>
                    <xdr:colOff>139700</xdr:colOff>
                    <xdr:row>44</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IMMO">
    <pageSetUpPr fitToPage="1"/>
  </sheetPr>
  <dimension ref="B1:I46"/>
  <sheetViews>
    <sheetView showGridLines="0" showOutlineSymbols="0" topLeftCell="A4" zoomScale="160" zoomScaleNormal="160" workbookViewId="0">
      <selection activeCell="B34" sqref="B34"/>
    </sheetView>
  </sheetViews>
  <sheetFormatPr baseColWidth="10" defaultColWidth="11.453125" defaultRowHeight="12.5"/>
  <cols>
    <col min="1" max="1" width="8.453125" style="325" customWidth="1"/>
    <col min="2" max="2" width="24.81640625" style="325" customWidth="1"/>
    <col min="3" max="3" width="7.453125" style="325" customWidth="1"/>
    <col min="4" max="5" width="8.453125" style="325" customWidth="1"/>
    <col min="6" max="6" width="6.6328125" style="325" customWidth="1"/>
    <col min="7" max="7" width="19.08984375" style="352" customWidth="1"/>
    <col min="8" max="8" width="4.08984375" style="325" customWidth="1"/>
    <col min="9" max="9" width="19.453125" style="325" customWidth="1"/>
    <col min="10" max="53" width="14.36328125" style="325" customWidth="1"/>
    <col min="54" max="54" width="0.453125" style="325" customWidth="1"/>
    <col min="55" max="134" width="14.36328125" style="325" customWidth="1"/>
    <col min="135" max="16384" width="11.453125" style="325"/>
  </cols>
  <sheetData>
    <row r="1" spans="2:9" customFormat="1"/>
    <row r="2" spans="2:9" customFormat="1"/>
    <row r="3" spans="2:9" customFormat="1"/>
    <row r="4" spans="2:9" customFormat="1"/>
    <row r="5" spans="2:9" customFormat="1"/>
    <row r="6" spans="2:9" customFormat="1"/>
    <row r="7" spans="2:9" customFormat="1" ht="6.75" customHeight="1">
      <c r="B7" s="931"/>
      <c r="C7" s="931"/>
      <c r="D7" s="931"/>
      <c r="E7" s="931"/>
      <c r="F7" s="931"/>
      <c r="G7" s="931"/>
      <c r="H7" s="931"/>
      <c r="I7" s="931"/>
    </row>
    <row r="8" spans="2:9" ht="13">
      <c r="B8" s="3" t="s">
        <v>426</v>
      </c>
      <c r="D8" s="1156" t="s">
        <v>437</v>
      </c>
      <c r="E8" s="1156"/>
      <c r="G8" s="363" t="s">
        <v>430</v>
      </c>
      <c r="I8" s="363" t="s">
        <v>428</v>
      </c>
    </row>
    <row r="9" spans="2:9" ht="13">
      <c r="B9" s="3" t="s">
        <v>427</v>
      </c>
      <c r="D9" s="1156" t="s">
        <v>438</v>
      </c>
      <c r="E9" s="1156"/>
      <c r="G9" s="363" t="s">
        <v>431</v>
      </c>
      <c r="I9" s="363" t="s">
        <v>429</v>
      </c>
    </row>
    <row r="10" spans="2:9" ht="13" thickBot="1">
      <c r="I10" s="352"/>
    </row>
    <row r="11" spans="2:9" ht="16.5" customHeight="1" thickBot="1">
      <c r="B11" s="353"/>
      <c r="D11" s="353"/>
      <c r="G11" s="937">
        <v>15000</v>
      </c>
      <c r="I11" s="937">
        <v>0</v>
      </c>
    </row>
    <row r="12" spans="2:9" ht="4.5" customHeight="1" thickBot="1">
      <c r="B12" s="353"/>
      <c r="C12" s="353"/>
      <c r="D12" s="353"/>
      <c r="E12" s="2"/>
      <c r="F12" s="2"/>
      <c r="G12" s="326"/>
      <c r="I12" s="326"/>
    </row>
    <row r="13" spans="2:9" ht="16.5" customHeight="1" thickBot="1">
      <c r="B13" s="353"/>
      <c r="D13" s="353"/>
      <c r="G13" s="937">
        <v>0</v>
      </c>
      <c r="I13" s="937">
        <v>1000</v>
      </c>
    </row>
    <row r="14" spans="2:9" ht="4.5" customHeight="1" thickBot="1">
      <c r="B14" s="353"/>
      <c r="C14" s="353"/>
      <c r="D14" s="353"/>
      <c r="E14" s="2"/>
      <c r="F14" s="2"/>
      <c r="G14" s="326"/>
      <c r="I14" s="326"/>
    </row>
    <row r="15" spans="2:9" ht="16.5" customHeight="1" thickBot="1">
      <c r="B15" s="353"/>
      <c r="D15" s="353"/>
      <c r="G15" s="937">
        <v>5000</v>
      </c>
      <c r="I15" s="937">
        <v>0</v>
      </c>
    </row>
    <row r="16" spans="2:9" ht="4.5" customHeight="1" thickBot="1">
      <c r="B16" s="353"/>
      <c r="C16" s="353"/>
      <c r="D16" s="353"/>
      <c r="E16" s="2"/>
      <c r="F16" s="2"/>
      <c r="G16" s="326"/>
      <c r="I16" s="326"/>
    </row>
    <row r="17" spans="2:9" ht="16.5" customHeight="1" thickBot="1">
      <c r="B17" s="353"/>
      <c r="D17" s="353"/>
      <c r="G17" s="937">
        <v>2500</v>
      </c>
      <c r="I17" s="937">
        <v>0</v>
      </c>
    </row>
    <row r="18" spans="2:9" ht="4.5" customHeight="1" thickBot="1">
      <c r="B18" s="353"/>
      <c r="C18" s="353"/>
      <c r="D18" s="353"/>
      <c r="E18" s="2"/>
      <c r="F18" s="2"/>
      <c r="G18" s="326"/>
      <c r="I18" s="326"/>
    </row>
    <row r="19" spans="2:9" ht="16.5" customHeight="1" thickBot="1">
      <c r="B19" s="353"/>
      <c r="D19" s="353"/>
      <c r="G19" s="937">
        <v>500</v>
      </c>
      <c r="I19" s="937">
        <v>0</v>
      </c>
    </row>
    <row r="20" spans="2:9" ht="4.5" customHeight="1" thickBot="1">
      <c r="B20" s="353"/>
      <c r="G20" s="326"/>
      <c r="I20" s="326"/>
    </row>
    <row r="21" spans="2:9" ht="16.5" customHeight="1" thickBot="1">
      <c r="B21" s="353"/>
      <c r="D21" s="353"/>
      <c r="G21" s="937">
        <v>0</v>
      </c>
      <c r="I21" s="937">
        <v>0</v>
      </c>
    </row>
    <row r="22" spans="2:9" ht="4.5" customHeight="1" thickBot="1">
      <c r="B22" s="353"/>
      <c r="G22" s="326"/>
      <c r="I22" s="326"/>
    </row>
    <row r="23" spans="2:9" ht="16.5" customHeight="1" thickBot="1">
      <c r="B23" s="353"/>
      <c r="D23" s="353"/>
      <c r="G23" s="937">
        <v>0</v>
      </c>
      <c r="I23" s="937">
        <v>0</v>
      </c>
    </row>
    <row r="24" spans="2:9" ht="4.5" customHeight="1" thickBot="1">
      <c r="B24" s="353"/>
      <c r="G24" s="326"/>
      <c r="I24" s="326"/>
    </row>
    <row r="25" spans="2:9" ht="16.5" customHeight="1" thickBot="1">
      <c r="B25" s="353"/>
      <c r="D25" s="353"/>
      <c r="G25" s="937">
        <v>0</v>
      </c>
      <c r="I25" s="937">
        <v>0</v>
      </c>
    </row>
    <row r="26" spans="2:9" ht="4.5" customHeight="1" thickBot="1">
      <c r="B26" s="353"/>
      <c r="G26" s="326"/>
      <c r="I26" s="326"/>
    </row>
    <row r="27" spans="2:9" ht="16.5" customHeight="1" thickBot="1">
      <c r="B27" s="353"/>
      <c r="D27" s="353"/>
      <c r="G27" s="937">
        <v>0</v>
      </c>
      <c r="I27" s="937">
        <v>0</v>
      </c>
    </row>
    <row r="28" spans="2:9" ht="4.5" customHeight="1" thickBot="1">
      <c r="B28" s="353"/>
      <c r="G28" s="326"/>
      <c r="I28" s="326"/>
    </row>
    <row r="29" spans="2:9" ht="16.5" customHeight="1" thickBot="1">
      <c r="B29" s="353"/>
      <c r="D29" s="353"/>
      <c r="G29" s="937">
        <v>0</v>
      </c>
      <c r="I29" s="937">
        <v>0</v>
      </c>
    </row>
    <row r="30" spans="2:9" ht="4.5" customHeight="1" thickBot="1">
      <c r="B30" s="353"/>
      <c r="G30" s="326"/>
      <c r="I30" s="326"/>
    </row>
    <row r="31" spans="2:9" ht="16.5" customHeight="1" thickBot="1">
      <c r="B31" s="353"/>
      <c r="D31" s="353"/>
      <c r="G31" s="937">
        <v>0</v>
      </c>
      <c r="I31" s="937">
        <v>0</v>
      </c>
    </row>
    <row r="32" spans="2:9" ht="15.5">
      <c r="B32" s="353"/>
      <c r="C32" s="353"/>
      <c r="D32" s="353"/>
      <c r="E32" s="2"/>
      <c r="F32" s="2"/>
      <c r="G32" s="326"/>
    </row>
    <row r="33" spans="2:9" ht="16.5">
      <c r="B33" s="353"/>
      <c r="C33" s="354"/>
      <c r="D33" s="353"/>
      <c r="E33" s="2"/>
      <c r="F33" s="2"/>
      <c r="G33" s="795">
        <f>SUM(G11:G31)</f>
        <v>23000</v>
      </c>
      <c r="I33" s="795">
        <f>SUM(I11:I31)</f>
        <v>1000</v>
      </c>
    </row>
    <row r="34" spans="2:9" ht="15.5">
      <c r="B34" s="353"/>
      <c r="C34" s="2"/>
      <c r="D34" s="2"/>
      <c r="E34" s="2"/>
      <c r="F34" s="2"/>
      <c r="G34" s="326"/>
    </row>
    <row r="35" spans="2:9" ht="15.5">
      <c r="B35" s="353"/>
      <c r="C35" s="2"/>
      <c r="D35" s="2"/>
      <c r="E35" s="2"/>
      <c r="F35" s="2"/>
      <c r="G35" s="326"/>
    </row>
    <row r="36" spans="2:9" ht="15.5">
      <c r="B36" s="353"/>
      <c r="C36" s="2"/>
      <c r="D36" s="2"/>
      <c r="E36" s="2"/>
      <c r="F36" s="2"/>
      <c r="G36" s="326"/>
    </row>
    <row r="37" spans="2:9" ht="15.5">
      <c r="B37" s="353"/>
      <c r="C37" s="2"/>
      <c r="D37" s="2"/>
      <c r="E37" s="2"/>
      <c r="F37" s="2"/>
      <c r="G37" s="326"/>
    </row>
    <row r="38" spans="2:9" ht="15.5">
      <c r="B38" s="353"/>
      <c r="C38" s="2"/>
      <c r="D38" s="2"/>
      <c r="E38" s="2"/>
      <c r="F38" s="2"/>
      <c r="G38" s="326"/>
    </row>
    <row r="39" spans="2:9" ht="15.5">
      <c r="B39" s="353"/>
      <c r="C39" s="2"/>
      <c r="D39" s="2"/>
      <c r="E39" s="2"/>
      <c r="F39" s="2"/>
      <c r="G39" s="326"/>
    </row>
    <row r="40" spans="2:9" ht="15.5">
      <c r="B40" s="353"/>
      <c r="C40" s="2"/>
      <c r="D40" s="2"/>
      <c r="E40" s="2"/>
      <c r="F40" s="2"/>
      <c r="G40" s="326"/>
    </row>
    <row r="41" spans="2:9" ht="15.5">
      <c r="B41" s="353"/>
      <c r="C41" s="2"/>
      <c r="D41" s="2"/>
      <c r="E41" s="2"/>
      <c r="F41" s="2"/>
      <c r="G41" s="326"/>
    </row>
    <row r="42" spans="2:9" ht="15.5">
      <c r="B42" s="353"/>
      <c r="G42" s="326"/>
    </row>
    <row r="46" spans="2:9" ht="13">
      <c r="G46" s="326"/>
    </row>
  </sheetData>
  <sheetProtection password="E242" sheet="1" objects="1" scenarios="1"/>
  <customSheetViews>
    <customSheetView guid="{30D0538C-360A-4CDF-8D89-584CED1967CC}" showGridLines="0" outlineSymbols="0" fitToPage="1">
      <selection activeCell="K18" sqref="K18"/>
      <pageMargins left="0.78740157499999996" right="0.78740157499999996" top="0.984251969" bottom="0.984251969" header="0.4921259845" footer="0.4921259845"/>
      <pageSetup scale="92" orientation="portrait" horizontalDpi="300" verticalDpi="300" r:id="rId1"/>
      <headerFooter alignWithMargins="0"/>
    </customSheetView>
    <customSheetView guid="{4F3169C3-3348-49DE-A6DC-8AA4D2A9D7A1}" showGridLines="0" outlineSymbols="0" fitToPage="1">
      <selection activeCell="K18" sqref="K18"/>
      <pageMargins left="0.78740157499999996" right="0.78740157499999996" top="0.984251969" bottom="0.984251969" header="0.4921259845" footer="0.4921259845"/>
      <pageSetup scale="92" orientation="portrait" horizontalDpi="300" verticalDpi="300" r:id="rId2"/>
      <headerFooter alignWithMargins="0"/>
    </customSheetView>
  </customSheetViews>
  <mergeCells count="2">
    <mergeCell ref="D8:E8"/>
    <mergeCell ref="D9:E9"/>
  </mergeCells>
  <phoneticPr fontId="0" type="noConversion"/>
  <pageMargins left="0.78740157499999996" right="0.78740157499999996" top="0.984251969" bottom="0.984251969" header="0.4921259845" footer="0.4921259845"/>
  <pageSetup scale="84"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8673" r:id="rId6" name="Drop Down 1">
              <controlPr defaultSize="0" autoFill="0" autoLine="0" autoPict="0">
                <anchor moveWithCells="1">
                  <from>
                    <xdr:col>1</xdr:col>
                    <xdr:colOff>0</xdr:colOff>
                    <xdr:row>10</xdr:row>
                    <xdr:rowOff>0</xdr:rowOff>
                  </from>
                  <to>
                    <xdr:col>1</xdr:col>
                    <xdr:colOff>1549400</xdr:colOff>
                    <xdr:row>10</xdr:row>
                    <xdr:rowOff>203200</xdr:rowOff>
                  </to>
                </anchor>
              </controlPr>
            </control>
          </mc:Choice>
        </mc:AlternateContent>
        <mc:AlternateContent xmlns:mc="http://schemas.openxmlformats.org/markup-compatibility/2006">
          <mc:Choice Requires="x14">
            <control shapeId="28689" r:id="rId7" name="Drop Down 17">
              <controlPr defaultSize="0" autoFill="0" autoLine="0" autoPict="0">
                <anchor moveWithCells="1">
                  <from>
                    <xdr:col>3</xdr:col>
                    <xdr:colOff>0</xdr:colOff>
                    <xdr:row>10</xdr:row>
                    <xdr:rowOff>0</xdr:rowOff>
                  </from>
                  <to>
                    <xdr:col>5</xdr:col>
                    <xdr:colOff>0</xdr:colOff>
                    <xdr:row>11</xdr:row>
                    <xdr:rowOff>25400</xdr:rowOff>
                  </to>
                </anchor>
              </controlPr>
            </control>
          </mc:Choice>
        </mc:AlternateContent>
        <mc:AlternateContent xmlns:mc="http://schemas.openxmlformats.org/markup-compatibility/2006">
          <mc:Choice Requires="x14">
            <control shapeId="28706" r:id="rId8" name="Drop Down 34">
              <controlPr defaultSize="0" autoFill="0" autoLine="0" autoPict="0">
                <anchor moveWithCells="1">
                  <from>
                    <xdr:col>3</xdr:col>
                    <xdr:colOff>0</xdr:colOff>
                    <xdr:row>12</xdr:row>
                    <xdr:rowOff>0</xdr:rowOff>
                  </from>
                  <to>
                    <xdr:col>5</xdr:col>
                    <xdr:colOff>0</xdr:colOff>
                    <xdr:row>13</xdr:row>
                    <xdr:rowOff>25400</xdr:rowOff>
                  </to>
                </anchor>
              </controlPr>
            </control>
          </mc:Choice>
        </mc:AlternateContent>
        <mc:AlternateContent xmlns:mc="http://schemas.openxmlformats.org/markup-compatibility/2006">
          <mc:Choice Requires="x14">
            <control shapeId="28707" r:id="rId9" name="Drop Down 35">
              <controlPr defaultSize="0" autoFill="0" autoLine="0" autoPict="0">
                <anchor moveWithCells="1">
                  <from>
                    <xdr:col>3</xdr:col>
                    <xdr:colOff>0</xdr:colOff>
                    <xdr:row>14</xdr:row>
                    <xdr:rowOff>0</xdr:rowOff>
                  </from>
                  <to>
                    <xdr:col>5</xdr:col>
                    <xdr:colOff>0</xdr:colOff>
                    <xdr:row>15</xdr:row>
                    <xdr:rowOff>25400</xdr:rowOff>
                  </to>
                </anchor>
              </controlPr>
            </control>
          </mc:Choice>
        </mc:AlternateContent>
        <mc:AlternateContent xmlns:mc="http://schemas.openxmlformats.org/markup-compatibility/2006">
          <mc:Choice Requires="x14">
            <control shapeId="28708" r:id="rId10" name="Drop Down 36">
              <controlPr defaultSize="0" autoFill="0" autoLine="0" autoPict="0">
                <anchor moveWithCells="1">
                  <from>
                    <xdr:col>3</xdr:col>
                    <xdr:colOff>0</xdr:colOff>
                    <xdr:row>16</xdr:row>
                    <xdr:rowOff>0</xdr:rowOff>
                  </from>
                  <to>
                    <xdr:col>5</xdr:col>
                    <xdr:colOff>0</xdr:colOff>
                    <xdr:row>17</xdr:row>
                    <xdr:rowOff>25400</xdr:rowOff>
                  </to>
                </anchor>
              </controlPr>
            </control>
          </mc:Choice>
        </mc:AlternateContent>
        <mc:AlternateContent xmlns:mc="http://schemas.openxmlformats.org/markup-compatibility/2006">
          <mc:Choice Requires="x14">
            <control shapeId="28709" r:id="rId11" name="Drop Down 37">
              <controlPr defaultSize="0" autoFill="0" autoLine="0" autoPict="0">
                <anchor moveWithCells="1">
                  <from>
                    <xdr:col>3</xdr:col>
                    <xdr:colOff>0</xdr:colOff>
                    <xdr:row>18</xdr:row>
                    <xdr:rowOff>0</xdr:rowOff>
                  </from>
                  <to>
                    <xdr:col>5</xdr:col>
                    <xdr:colOff>0</xdr:colOff>
                    <xdr:row>19</xdr:row>
                    <xdr:rowOff>25400</xdr:rowOff>
                  </to>
                </anchor>
              </controlPr>
            </control>
          </mc:Choice>
        </mc:AlternateContent>
        <mc:AlternateContent xmlns:mc="http://schemas.openxmlformats.org/markup-compatibility/2006">
          <mc:Choice Requires="x14">
            <control shapeId="28710" r:id="rId12" name="Drop Down 38">
              <controlPr defaultSize="0" autoFill="0" autoLine="0" autoPict="0">
                <anchor moveWithCells="1">
                  <from>
                    <xdr:col>3</xdr:col>
                    <xdr:colOff>0</xdr:colOff>
                    <xdr:row>20</xdr:row>
                    <xdr:rowOff>0</xdr:rowOff>
                  </from>
                  <to>
                    <xdr:col>5</xdr:col>
                    <xdr:colOff>0</xdr:colOff>
                    <xdr:row>21</xdr:row>
                    <xdr:rowOff>25400</xdr:rowOff>
                  </to>
                </anchor>
              </controlPr>
            </control>
          </mc:Choice>
        </mc:AlternateContent>
        <mc:AlternateContent xmlns:mc="http://schemas.openxmlformats.org/markup-compatibility/2006">
          <mc:Choice Requires="x14">
            <control shapeId="28711" r:id="rId13" name="Drop Down 39">
              <controlPr defaultSize="0" autoFill="0" autoLine="0" autoPict="0">
                <anchor moveWithCells="1">
                  <from>
                    <xdr:col>3</xdr:col>
                    <xdr:colOff>0</xdr:colOff>
                    <xdr:row>22</xdr:row>
                    <xdr:rowOff>0</xdr:rowOff>
                  </from>
                  <to>
                    <xdr:col>5</xdr:col>
                    <xdr:colOff>0</xdr:colOff>
                    <xdr:row>23</xdr:row>
                    <xdr:rowOff>25400</xdr:rowOff>
                  </to>
                </anchor>
              </controlPr>
            </control>
          </mc:Choice>
        </mc:AlternateContent>
        <mc:AlternateContent xmlns:mc="http://schemas.openxmlformats.org/markup-compatibility/2006">
          <mc:Choice Requires="x14">
            <control shapeId="28712" r:id="rId14" name="Drop Down 40">
              <controlPr defaultSize="0" autoFill="0" autoLine="0" autoPict="0">
                <anchor moveWithCells="1">
                  <from>
                    <xdr:col>3</xdr:col>
                    <xdr:colOff>0</xdr:colOff>
                    <xdr:row>24</xdr:row>
                    <xdr:rowOff>0</xdr:rowOff>
                  </from>
                  <to>
                    <xdr:col>5</xdr:col>
                    <xdr:colOff>0</xdr:colOff>
                    <xdr:row>25</xdr:row>
                    <xdr:rowOff>25400</xdr:rowOff>
                  </to>
                </anchor>
              </controlPr>
            </control>
          </mc:Choice>
        </mc:AlternateContent>
        <mc:AlternateContent xmlns:mc="http://schemas.openxmlformats.org/markup-compatibility/2006">
          <mc:Choice Requires="x14">
            <control shapeId="28713" r:id="rId15" name="Drop Down 41">
              <controlPr defaultSize="0" autoFill="0" autoLine="0" autoPict="0">
                <anchor moveWithCells="1">
                  <from>
                    <xdr:col>3</xdr:col>
                    <xdr:colOff>0</xdr:colOff>
                    <xdr:row>26</xdr:row>
                    <xdr:rowOff>0</xdr:rowOff>
                  </from>
                  <to>
                    <xdr:col>5</xdr:col>
                    <xdr:colOff>0</xdr:colOff>
                    <xdr:row>27</xdr:row>
                    <xdr:rowOff>25400</xdr:rowOff>
                  </to>
                </anchor>
              </controlPr>
            </control>
          </mc:Choice>
        </mc:AlternateContent>
        <mc:AlternateContent xmlns:mc="http://schemas.openxmlformats.org/markup-compatibility/2006">
          <mc:Choice Requires="x14">
            <control shapeId="28714" r:id="rId16" name="Drop Down 42">
              <controlPr defaultSize="0" autoFill="0" autoLine="0" autoPict="0">
                <anchor moveWithCells="1">
                  <from>
                    <xdr:col>3</xdr:col>
                    <xdr:colOff>0</xdr:colOff>
                    <xdr:row>28</xdr:row>
                    <xdr:rowOff>0</xdr:rowOff>
                  </from>
                  <to>
                    <xdr:col>5</xdr:col>
                    <xdr:colOff>0</xdr:colOff>
                    <xdr:row>29</xdr:row>
                    <xdr:rowOff>25400</xdr:rowOff>
                  </to>
                </anchor>
              </controlPr>
            </control>
          </mc:Choice>
        </mc:AlternateContent>
        <mc:AlternateContent xmlns:mc="http://schemas.openxmlformats.org/markup-compatibility/2006">
          <mc:Choice Requires="x14">
            <control shapeId="28715" r:id="rId17" name="Drop Down 43">
              <controlPr defaultSize="0" autoFill="0" autoLine="0" autoPict="0">
                <anchor moveWithCells="1">
                  <from>
                    <xdr:col>3</xdr:col>
                    <xdr:colOff>0</xdr:colOff>
                    <xdr:row>30</xdr:row>
                    <xdr:rowOff>0</xdr:rowOff>
                  </from>
                  <to>
                    <xdr:col>5</xdr:col>
                    <xdr:colOff>0</xdr:colOff>
                    <xdr:row>31</xdr:row>
                    <xdr:rowOff>25400</xdr:rowOff>
                  </to>
                </anchor>
              </controlPr>
            </control>
          </mc:Choice>
        </mc:AlternateContent>
        <mc:AlternateContent xmlns:mc="http://schemas.openxmlformats.org/markup-compatibility/2006">
          <mc:Choice Requires="x14">
            <control shapeId="28716" r:id="rId18" name="Drop Down 44">
              <controlPr defaultSize="0" autoFill="0" autoLine="0" autoPict="0">
                <anchor moveWithCells="1">
                  <from>
                    <xdr:col>1</xdr:col>
                    <xdr:colOff>0</xdr:colOff>
                    <xdr:row>12</xdr:row>
                    <xdr:rowOff>0</xdr:rowOff>
                  </from>
                  <to>
                    <xdr:col>1</xdr:col>
                    <xdr:colOff>1549400</xdr:colOff>
                    <xdr:row>12</xdr:row>
                    <xdr:rowOff>203200</xdr:rowOff>
                  </to>
                </anchor>
              </controlPr>
            </control>
          </mc:Choice>
        </mc:AlternateContent>
        <mc:AlternateContent xmlns:mc="http://schemas.openxmlformats.org/markup-compatibility/2006">
          <mc:Choice Requires="x14">
            <control shapeId="28717" r:id="rId19" name="Drop Down 45">
              <controlPr defaultSize="0" autoFill="0" autoLine="0" autoPict="0">
                <anchor moveWithCells="1">
                  <from>
                    <xdr:col>1</xdr:col>
                    <xdr:colOff>0</xdr:colOff>
                    <xdr:row>14</xdr:row>
                    <xdr:rowOff>0</xdr:rowOff>
                  </from>
                  <to>
                    <xdr:col>1</xdr:col>
                    <xdr:colOff>1549400</xdr:colOff>
                    <xdr:row>14</xdr:row>
                    <xdr:rowOff>203200</xdr:rowOff>
                  </to>
                </anchor>
              </controlPr>
            </control>
          </mc:Choice>
        </mc:AlternateContent>
        <mc:AlternateContent xmlns:mc="http://schemas.openxmlformats.org/markup-compatibility/2006">
          <mc:Choice Requires="x14">
            <control shapeId="28718" r:id="rId20" name="Drop Down 46">
              <controlPr defaultSize="0" autoFill="0" autoLine="0" autoPict="0">
                <anchor moveWithCells="1">
                  <from>
                    <xdr:col>1</xdr:col>
                    <xdr:colOff>0</xdr:colOff>
                    <xdr:row>16</xdr:row>
                    <xdr:rowOff>0</xdr:rowOff>
                  </from>
                  <to>
                    <xdr:col>1</xdr:col>
                    <xdr:colOff>1549400</xdr:colOff>
                    <xdr:row>16</xdr:row>
                    <xdr:rowOff>203200</xdr:rowOff>
                  </to>
                </anchor>
              </controlPr>
            </control>
          </mc:Choice>
        </mc:AlternateContent>
        <mc:AlternateContent xmlns:mc="http://schemas.openxmlformats.org/markup-compatibility/2006">
          <mc:Choice Requires="x14">
            <control shapeId="28719" r:id="rId21" name="Drop Down 47">
              <controlPr defaultSize="0" autoFill="0" autoLine="0" autoPict="0">
                <anchor moveWithCells="1">
                  <from>
                    <xdr:col>1</xdr:col>
                    <xdr:colOff>0</xdr:colOff>
                    <xdr:row>18</xdr:row>
                    <xdr:rowOff>0</xdr:rowOff>
                  </from>
                  <to>
                    <xdr:col>1</xdr:col>
                    <xdr:colOff>1549400</xdr:colOff>
                    <xdr:row>18</xdr:row>
                    <xdr:rowOff>203200</xdr:rowOff>
                  </to>
                </anchor>
              </controlPr>
            </control>
          </mc:Choice>
        </mc:AlternateContent>
        <mc:AlternateContent xmlns:mc="http://schemas.openxmlformats.org/markup-compatibility/2006">
          <mc:Choice Requires="x14">
            <control shapeId="28720" r:id="rId22" name="Drop Down 48">
              <controlPr defaultSize="0" autoFill="0" autoLine="0" autoPict="0">
                <anchor moveWithCells="1">
                  <from>
                    <xdr:col>1</xdr:col>
                    <xdr:colOff>0</xdr:colOff>
                    <xdr:row>20</xdr:row>
                    <xdr:rowOff>0</xdr:rowOff>
                  </from>
                  <to>
                    <xdr:col>1</xdr:col>
                    <xdr:colOff>1549400</xdr:colOff>
                    <xdr:row>20</xdr:row>
                    <xdr:rowOff>203200</xdr:rowOff>
                  </to>
                </anchor>
              </controlPr>
            </control>
          </mc:Choice>
        </mc:AlternateContent>
        <mc:AlternateContent xmlns:mc="http://schemas.openxmlformats.org/markup-compatibility/2006">
          <mc:Choice Requires="x14">
            <control shapeId="28721" r:id="rId23" name="Drop Down 49">
              <controlPr defaultSize="0" autoFill="0" autoLine="0" autoPict="0">
                <anchor moveWithCells="1">
                  <from>
                    <xdr:col>1</xdr:col>
                    <xdr:colOff>0</xdr:colOff>
                    <xdr:row>22</xdr:row>
                    <xdr:rowOff>0</xdr:rowOff>
                  </from>
                  <to>
                    <xdr:col>1</xdr:col>
                    <xdr:colOff>1549400</xdr:colOff>
                    <xdr:row>22</xdr:row>
                    <xdr:rowOff>203200</xdr:rowOff>
                  </to>
                </anchor>
              </controlPr>
            </control>
          </mc:Choice>
        </mc:AlternateContent>
        <mc:AlternateContent xmlns:mc="http://schemas.openxmlformats.org/markup-compatibility/2006">
          <mc:Choice Requires="x14">
            <control shapeId="28722" r:id="rId24" name="Drop Down 50">
              <controlPr defaultSize="0" autoFill="0" autoLine="0" autoPict="0">
                <anchor moveWithCells="1">
                  <from>
                    <xdr:col>1</xdr:col>
                    <xdr:colOff>0</xdr:colOff>
                    <xdr:row>24</xdr:row>
                    <xdr:rowOff>0</xdr:rowOff>
                  </from>
                  <to>
                    <xdr:col>1</xdr:col>
                    <xdr:colOff>1549400</xdr:colOff>
                    <xdr:row>24</xdr:row>
                    <xdr:rowOff>203200</xdr:rowOff>
                  </to>
                </anchor>
              </controlPr>
            </control>
          </mc:Choice>
        </mc:AlternateContent>
        <mc:AlternateContent xmlns:mc="http://schemas.openxmlformats.org/markup-compatibility/2006">
          <mc:Choice Requires="x14">
            <control shapeId="28723" r:id="rId25" name="Drop Down 51">
              <controlPr defaultSize="0" autoFill="0" autoLine="0" autoPict="0">
                <anchor moveWithCells="1">
                  <from>
                    <xdr:col>1</xdr:col>
                    <xdr:colOff>0</xdr:colOff>
                    <xdr:row>26</xdr:row>
                    <xdr:rowOff>0</xdr:rowOff>
                  </from>
                  <to>
                    <xdr:col>1</xdr:col>
                    <xdr:colOff>1549400</xdr:colOff>
                    <xdr:row>26</xdr:row>
                    <xdr:rowOff>203200</xdr:rowOff>
                  </to>
                </anchor>
              </controlPr>
            </control>
          </mc:Choice>
        </mc:AlternateContent>
        <mc:AlternateContent xmlns:mc="http://schemas.openxmlformats.org/markup-compatibility/2006">
          <mc:Choice Requires="x14">
            <control shapeId="28724" r:id="rId26" name="Drop Down 52">
              <controlPr defaultSize="0" autoFill="0" autoLine="0" autoPict="0">
                <anchor moveWithCells="1">
                  <from>
                    <xdr:col>1</xdr:col>
                    <xdr:colOff>0</xdr:colOff>
                    <xdr:row>28</xdr:row>
                    <xdr:rowOff>0</xdr:rowOff>
                  </from>
                  <to>
                    <xdr:col>1</xdr:col>
                    <xdr:colOff>1549400</xdr:colOff>
                    <xdr:row>28</xdr:row>
                    <xdr:rowOff>203200</xdr:rowOff>
                  </to>
                </anchor>
              </controlPr>
            </control>
          </mc:Choice>
        </mc:AlternateContent>
        <mc:AlternateContent xmlns:mc="http://schemas.openxmlformats.org/markup-compatibility/2006">
          <mc:Choice Requires="x14">
            <control shapeId="28725" r:id="rId27" name="Drop Down 53">
              <controlPr defaultSize="0" autoFill="0" autoLine="0" autoPict="0">
                <anchor moveWithCells="1">
                  <from>
                    <xdr:col>1</xdr:col>
                    <xdr:colOff>0</xdr:colOff>
                    <xdr:row>30</xdr:row>
                    <xdr:rowOff>0</xdr:rowOff>
                  </from>
                  <to>
                    <xdr:col>1</xdr:col>
                    <xdr:colOff>1549400</xdr:colOff>
                    <xdr:row>30</xdr:row>
                    <xdr:rowOff>203200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
  <dimension ref="A2:KL372"/>
  <sheetViews>
    <sheetView showGridLines="0" topLeftCell="V1" workbookViewId="0">
      <selection activeCell="IT9" sqref="IT9"/>
    </sheetView>
  </sheetViews>
  <sheetFormatPr baseColWidth="10" defaultColWidth="11.453125" defaultRowHeight="12.5"/>
  <cols>
    <col min="1" max="1" width="19.453125" style="431" customWidth="1"/>
    <col min="2" max="2" width="17.08984375" style="431" customWidth="1"/>
    <col min="3" max="3" width="14.36328125" style="431" customWidth="1"/>
    <col min="4" max="4" width="16.81640625" style="431" customWidth="1"/>
    <col min="5" max="5" width="15" style="431" customWidth="1"/>
    <col min="6" max="11" width="14.36328125" style="431" customWidth="1"/>
    <col min="12" max="12" width="37" style="431" customWidth="1"/>
    <col min="13" max="13" width="17.81640625" style="431" customWidth="1"/>
    <col min="14" max="16" width="14.36328125" style="431" customWidth="1"/>
    <col min="17" max="17" width="37.81640625" style="431" customWidth="1"/>
    <col min="18" max="18" width="9.36328125" style="431" customWidth="1"/>
    <col min="19" max="19" width="36.08984375" style="431" customWidth="1"/>
    <col min="20" max="113" width="14.36328125" style="431" customWidth="1"/>
    <col min="114" max="123" width="11.453125" style="431"/>
    <col min="124" max="124" width="13.36328125" style="431" customWidth="1"/>
    <col min="125" max="254" width="11.453125" style="431"/>
    <col min="255" max="255" width="11.453125" style="1056" customWidth="1"/>
    <col min="256" max="256" width="11.453125" style="1056" hidden="1" customWidth="1"/>
    <col min="257" max="257" width="11.453125" style="1056" customWidth="1"/>
    <col min="258" max="16384" width="11.453125" style="431"/>
  </cols>
  <sheetData>
    <row r="2" spans="1:6" ht="13.5" thickBot="1">
      <c r="A2" s="1158" t="s">
        <v>239</v>
      </c>
      <c r="B2" s="1158"/>
      <c r="C2" s="1158"/>
      <c r="D2" s="1158"/>
      <c r="E2" s="1158"/>
      <c r="F2" s="1158"/>
    </row>
    <row r="4" spans="1:6">
      <c r="A4" s="432" t="s">
        <v>228</v>
      </c>
      <c r="B4" s="804" t="s">
        <v>624</v>
      </c>
      <c r="C4" s="432" t="s">
        <v>236</v>
      </c>
      <c r="D4" s="432" t="s">
        <v>587</v>
      </c>
      <c r="E4" s="432" t="s">
        <v>235</v>
      </c>
      <c r="F4" s="432" t="s">
        <v>242</v>
      </c>
    </row>
    <row r="5" spans="1:6">
      <c r="A5" s="433" t="str">
        <f>ER!$D20</f>
        <v/>
      </c>
      <c r="B5" s="433">
        <f>ER!$D22</f>
        <v>2.4703476482617587E-2</v>
      </c>
      <c r="C5" s="433">
        <f>ER!$D77</f>
        <v>1.0883231147239265</v>
      </c>
      <c r="D5" s="434">
        <f>ER!$D92</f>
        <v>0.20858895705521471</v>
      </c>
      <c r="E5" s="433">
        <f>ER!D95</f>
        <v>-0.32161534376278123</v>
      </c>
      <c r="F5" s="435">
        <f>SUM(A5:E5)</f>
        <v>1.0000002044989773</v>
      </c>
    </row>
    <row r="6" spans="1:6">
      <c r="A6" s="433" t="str">
        <f>ER!$F20</f>
        <v/>
      </c>
      <c r="B6" s="1062">
        <f>ER!$F22</f>
        <v>2.4715162138475022E-2</v>
      </c>
      <c r="C6" s="433">
        <f>ER!$F77</f>
        <v>1.0531580504430809</v>
      </c>
      <c r="D6" s="434">
        <f>ER!$F92</f>
        <v>0.10074009153763755</v>
      </c>
      <c r="E6" s="1060">
        <f>ER!F95</f>
        <v>-0.17861310935826258</v>
      </c>
      <c r="F6" s="1063">
        <f>SUM(A6:E6)</f>
        <v>1.0000001947609307</v>
      </c>
    </row>
    <row r="7" spans="1:6">
      <c r="A7" s="433" t="str">
        <f>ER!$H20</f>
        <v/>
      </c>
      <c r="B7" s="433">
        <f>ER!$H22</f>
        <v>2.4651169261160497E-2</v>
      </c>
      <c r="C7" s="1062">
        <f>ER!$H77</f>
        <v>1.0191266066617513</v>
      </c>
      <c r="D7" s="434">
        <f>ER!$H92</f>
        <v>4.9133081998989095E-2</v>
      </c>
      <c r="E7" s="1061">
        <f>ER!H95</f>
        <v>-9.2910672435299962E-2</v>
      </c>
      <c r="F7" s="435">
        <f>SUM(A7:E7)</f>
        <v>1.0000001854866007</v>
      </c>
    </row>
    <row r="8" spans="1:6">
      <c r="A8" s="433" t="str">
        <f>ER!$J20</f>
        <v/>
      </c>
      <c r="B8" s="433">
        <f>ER!$J22</f>
        <v>2.4651169261160497E-2</v>
      </c>
      <c r="C8" s="1062">
        <f>ER!$J77</f>
        <v>1.0356153983556613</v>
      </c>
      <c r="D8" s="433">
        <f>ER!$J92</f>
        <v>2.5570603156054514E-2</v>
      </c>
      <c r="E8" s="1060">
        <f>ER!J95</f>
        <v>-8.5836985286275397E-2</v>
      </c>
      <c r="F8" s="435">
        <f>SUM(A8:E8)</f>
        <v>1.0000001854866007</v>
      </c>
    </row>
    <row r="9" spans="1:6">
      <c r="A9" s="433" t="str">
        <f>ER!$L20</f>
        <v/>
      </c>
      <c r="B9" s="433">
        <f>ER!$L22</f>
        <v>2.4651169261160497E-2</v>
      </c>
      <c r="C9" s="1062">
        <f>ER!$L77</f>
        <v>1.0522021133081998</v>
      </c>
      <c r="D9" s="433">
        <f>ER!$L92</f>
        <v>1.3653778825777072E-2</v>
      </c>
      <c r="E9" s="1060">
        <f>ER!L95</f>
        <v>-9.0506875908536413E-2</v>
      </c>
      <c r="F9" s="435">
        <f>SUM(A9:E9)</f>
        <v>1.000000185486601</v>
      </c>
    </row>
    <row r="10" spans="1:6" ht="13.5" thickBot="1">
      <c r="A10" s="1158" t="s">
        <v>240</v>
      </c>
      <c r="B10" s="1158"/>
      <c r="C10" s="1158"/>
      <c r="D10" s="1158"/>
      <c r="E10" s="1158"/>
    </row>
    <row r="12" spans="1:6">
      <c r="A12" s="432" t="s">
        <v>237</v>
      </c>
      <c r="B12" s="432" t="s">
        <v>229</v>
      </c>
      <c r="C12" s="432" t="s">
        <v>212</v>
      </c>
      <c r="D12" s="432" t="s">
        <v>238</v>
      </c>
      <c r="E12" s="432" t="s">
        <v>242</v>
      </c>
    </row>
    <row r="13" spans="1:6">
      <c r="A13" s="436">
        <f>ER!$C$17</f>
        <v>48900</v>
      </c>
      <c r="B13" s="436">
        <f>RG!$J$27</f>
        <v>0</v>
      </c>
      <c r="C13" s="434" t="e">
        <f>A13/B13</f>
        <v>#DIV/0!</v>
      </c>
      <c r="D13" s="433" t="e">
        <f>1-C13</f>
        <v>#DIV/0!</v>
      </c>
      <c r="E13" s="435" t="e">
        <f>SUM(C13:D13)</f>
        <v>#DIV/0!</v>
      </c>
    </row>
    <row r="14" spans="1:6">
      <c r="A14" s="436">
        <f>ER!$E$17</f>
        <v>51345</v>
      </c>
      <c r="B14" s="436">
        <f>RG!$J$27</f>
        <v>0</v>
      </c>
      <c r="C14" s="434" t="e">
        <f>A14/B14</f>
        <v>#DIV/0!</v>
      </c>
      <c r="D14" s="433" t="e">
        <f>1-C14</f>
        <v>#DIV/0!</v>
      </c>
      <c r="E14" s="435" t="e">
        <f>SUM(C14:D14)</f>
        <v>#DIV/0!</v>
      </c>
    </row>
    <row r="15" spans="1:6">
      <c r="A15" s="436">
        <f>ER!$G$17</f>
        <v>53912.25</v>
      </c>
      <c r="B15" s="436">
        <f>RG!$J$27</f>
        <v>0</v>
      </c>
      <c r="C15" s="434" t="e">
        <f>A15/B15</f>
        <v>#DIV/0!</v>
      </c>
      <c r="D15" s="433" t="e">
        <f>1-C15</f>
        <v>#DIV/0!</v>
      </c>
      <c r="E15" s="435" t="e">
        <f>SUM(C15:D15)</f>
        <v>#DIV/0!</v>
      </c>
    </row>
    <row r="16" spans="1:6">
      <c r="A16" s="436">
        <f>ER!$I$17</f>
        <v>53912.25</v>
      </c>
      <c r="B16" s="436">
        <f>RG!$J$27</f>
        <v>0</v>
      </c>
      <c r="C16" s="434" t="e">
        <f>A16/B16</f>
        <v>#DIV/0!</v>
      </c>
      <c r="D16" s="433" t="e">
        <f>1-C16</f>
        <v>#DIV/0!</v>
      </c>
      <c r="E16" s="435" t="e">
        <f>SUM(C16:D16)</f>
        <v>#DIV/0!</v>
      </c>
    </row>
    <row r="17" spans="1:8">
      <c r="A17" s="436">
        <f>ER!$K$17</f>
        <v>53912.25</v>
      </c>
      <c r="B17" s="436">
        <f>RG!$J$27</f>
        <v>0</v>
      </c>
      <c r="C17" s="434" t="e">
        <f>A17/B17</f>
        <v>#DIV/0!</v>
      </c>
      <c r="D17" s="433" t="e">
        <f>1-C17</f>
        <v>#DIV/0!</v>
      </c>
      <c r="E17" s="435" t="e">
        <f>SUM(C17:D17)</f>
        <v>#DIV/0!</v>
      </c>
    </row>
    <row r="18" spans="1:8" ht="13.5" thickBot="1">
      <c r="A18" s="1158" t="s">
        <v>241</v>
      </c>
      <c r="B18" s="1158"/>
      <c r="C18" s="1158"/>
      <c r="D18" s="1158"/>
      <c r="E18" s="1158"/>
      <c r="F18" s="1158"/>
      <c r="G18" s="1158"/>
      <c r="H18" s="1158"/>
    </row>
    <row r="20" spans="1:8">
      <c r="A20" s="432" t="s">
        <v>237</v>
      </c>
      <c r="B20" s="432" t="str">
        <f>'V1'!A15</f>
        <v>Produit/service 1</v>
      </c>
      <c r="C20" s="432" t="str">
        <f>'V1'!A28</f>
        <v>Produit/service 2</v>
      </c>
      <c r="D20" s="432" t="str">
        <f>'V1'!A41</f>
        <v>Produit/service 3</v>
      </c>
      <c r="E20" s="432" t="str">
        <f>'V1'!A54</f>
        <v>Produit/service 4</v>
      </c>
      <c r="F20" s="432" t="str">
        <f>'V1'!A67</f>
        <v>Produit/service 5</v>
      </c>
      <c r="G20" s="432" t="str">
        <f>'V1'!A80</f>
        <v>Produit/service 6</v>
      </c>
      <c r="H20" s="432" t="s">
        <v>242</v>
      </c>
    </row>
    <row r="21" spans="1:8">
      <c r="A21" s="436">
        <f>ER!$C$17</f>
        <v>48900</v>
      </c>
      <c r="B21" s="437">
        <f>'V1'!$S25/'V1'!$S$93</f>
        <v>0.21779141104294478</v>
      </c>
      <c r="C21" s="437">
        <f>'V1'!$S38/'V1'!$S$91</f>
        <v>0.31288343558282211</v>
      </c>
      <c r="D21" s="437">
        <f>'V1'!$S51/'V1'!$S$91</f>
        <v>0.46932515337423314</v>
      </c>
      <c r="E21" s="437">
        <f>'V1'!$S64/'V1'!$S$91</f>
        <v>0</v>
      </c>
      <c r="F21" s="437">
        <f>'V1'!$S77/'V1'!$S$91</f>
        <v>0</v>
      </c>
      <c r="G21" s="437">
        <f>'V1'!$S90/'V1'!$S$91</f>
        <v>0</v>
      </c>
      <c r="H21" s="438">
        <f>SUM(B21:G21)</f>
        <v>1</v>
      </c>
    </row>
    <row r="22" spans="1:8">
      <c r="A22" s="436">
        <f>ER!$E$17</f>
        <v>51345</v>
      </c>
      <c r="B22" s="437">
        <f>'V2'!$R26/'V2'!$R$97</f>
        <v>0.21779141104294478</v>
      </c>
      <c r="C22" s="437">
        <f>'V2'!$R40/'V2'!$R$97</f>
        <v>0.31288343558282211</v>
      </c>
      <c r="D22" s="437">
        <f>'V2'!$R54/'V2'!$R$97</f>
        <v>0.46932515337423314</v>
      </c>
      <c r="E22" s="437">
        <f>'V2'!$R$68/'V2'!$R$97</f>
        <v>0</v>
      </c>
      <c r="F22" s="437">
        <f>'V2'!$R$82/'V2'!$R$97</f>
        <v>0</v>
      </c>
      <c r="G22" s="437">
        <f>'V2'!$R$96/'V2'!$R$97</f>
        <v>0</v>
      </c>
      <c r="H22" s="438">
        <f>SUM(B22:G22)</f>
        <v>1</v>
      </c>
    </row>
    <row r="23" spans="1:8">
      <c r="A23" s="436">
        <f>ER!$G$17</f>
        <v>53912.25</v>
      </c>
      <c r="B23" s="437">
        <f>'V3'!$R26/'V3'!$R$97</f>
        <v>0.21779141104294478</v>
      </c>
      <c r="C23" s="437">
        <f>'V3'!$R40/'V3'!$R$97</f>
        <v>0.31288343558282211</v>
      </c>
      <c r="D23" s="437">
        <f>'V3'!$R54/'V3'!$R$97</f>
        <v>0.46932515337423314</v>
      </c>
      <c r="E23" s="437">
        <f>'V3'!$R$68/'V3'!$R$97</f>
        <v>0</v>
      </c>
      <c r="F23" s="437">
        <f>'V3'!$R$82/'V3'!$R$97</f>
        <v>0</v>
      </c>
      <c r="G23" s="437">
        <f>'V3'!$R$96/'V3'!$R$97</f>
        <v>0</v>
      </c>
      <c r="H23" s="438">
        <f>SUM(B23:G23)</f>
        <v>1</v>
      </c>
    </row>
    <row r="24" spans="1:8">
      <c r="A24" s="436">
        <f>ER!$I$17</f>
        <v>53912.25</v>
      </c>
      <c r="B24" s="437">
        <f>'V4'!$R26/'V4'!$R$97</f>
        <v>0.21779141104294478</v>
      </c>
      <c r="C24" s="437">
        <f>'V4'!$R40/'V4'!$R$97</f>
        <v>0.31288343558282211</v>
      </c>
      <c r="D24" s="437">
        <f>'V4'!$R54/'V4'!$R$97</f>
        <v>0.46932515337423314</v>
      </c>
      <c r="E24" s="437">
        <f>'V4'!$R$68/'V4'!$R$97</f>
        <v>0</v>
      </c>
      <c r="F24" s="437">
        <f>'V4'!$R$82/'V4'!$R$97</f>
        <v>0</v>
      </c>
      <c r="G24" s="437">
        <f>'V4'!$R$96/'V4'!$R$97</f>
        <v>0</v>
      </c>
      <c r="H24" s="438">
        <f>SUM(B24:G24)</f>
        <v>1</v>
      </c>
    </row>
    <row r="25" spans="1:8">
      <c r="A25" s="436">
        <f>ER!$K$17</f>
        <v>53912.25</v>
      </c>
      <c r="B25" s="437">
        <f>'V5'!$R26/'V5'!$R$97</f>
        <v>0.21779141104294478</v>
      </c>
      <c r="C25" s="437">
        <f>'V5'!$R40/'V5'!$R$97</f>
        <v>0.31288343558282211</v>
      </c>
      <c r="D25" s="437">
        <f>'V5'!$R54/'V5'!$R$97</f>
        <v>0.46932515337423314</v>
      </c>
      <c r="E25" s="437">
        <f>'V5'!$R$68/'V5'!$R$97</f>
        <v>0</v>
      </c>
      <c r="F25" s="437">
        <f>'V5'!$R$82/'V5'!$R$97</f>
        <v>0</v>
      </c>
      <c r="G25" s="437">
        <f>'V5'!$R$96/'V5'!$R$97</f>
        <v>0</v>
      </c>
      <c r="H25" s="438">
        <f>SUM(B25:G25)</f>
        <v>1</v>
      </c>
    </row>
    <row r="27" spans="1:8">
      <c r="B27" s="439" t="s">
        <v>281</v>
      </c>
      <c r="D27" s="440">
        <f>IF(RG!A91=2,0.02,IF(RG!A91=3,0.025,IF(RG!A91=4,0.03,IF(RG!A91=5,0.035,IF(RG!A91=6,0.04,IF(RG!A91=7,0.045,IF(RG!A91=8,0.05,IF(RG!A91=9,0.055,IF(RG!A91=10,0.06,IF(RG!A91=11,0.065,IF(RG!A91=12,0.07,IF(RG!A91=13,0.075,IF(RG!A91=14,0.08,0)))))))))))))</f>
        <v>0</v>
      </c>
    </row>
    <row r="28" spans="1:8">
      <c r="B28" s="441" t="str">
        <f>TI!G23</f>
        <v>Frais de variable 1</v>
      </c>
      <c r="D28" s="442">
        <f>IF(RG!A91=15,0.085,IF(RG!A91=16,0.09,IF(RG!A91=17,0.095,IF(RG!A91=18,0.1,IF(RG!A91=19,0.105,IF(RG!A91=20,0.11,IF(RG!A91=21,0.115,IF(RG!A91=22,0.12,IF(RG!A91=23,0.125,IF(RG!A91=24,0.13,IF(RG!A91=25,0.135,IF(RG!A91=26,0.14,IF(RG!A91=27,0.145,IF(RG!A91=28,0.15,IF(RG!A91=29,0.155,IF(RG!A91=30,0.16,IF(RG!A91=31,0.165,0)))))))))))))))))</f>
        <v>8.5000000000000006E-2</v>
      </c>
    </row>
    <row r="29" spans="1:8">
      <c r="B29" s="441" t="str">
        <f>TI!G25</f>
        <v>Frais de variable 2</v>
      </c>
    </row>
    <row r="30" spans="1:8">
      <c r="B30" s="441" t="str">
        <f>TI!G27</f>
        <v>Frais de variable 3</v>
      </c>
      <c r="D30" s="1064">
        <f>CF!C58</f>
        <v>31000</v>
      </c>
    </row>
    <row r="31" spans="1:8">
      <c r="B31" s="441" t="str">
        <f>TI!G29</f>
        <v>Frais de variable 4</v>
      </c>
      <c r="D31" s="1065">
        <f>CF!J58</f>
        <v>31000</v>
      </c>
    </row>
    <row r="32" spans="1:8">
      <c r="B32" s="441" t="str">
        <f>TI!G31</f>
        <v>Frais de variable 5</v>
      </c>
    </row>
    <row r="33" spans="2:6">
      <c r="B33" s="443" t="str">
        <f>TI!G33</f>
        <v>Frais de variable 6</v>
      </c>
    </row>
    <row r="35" spans="2:6">
      <c r="B35" s="444">
        <f>IF(ER!$C$95&lt;0,0,IF(RG!A74=3,TI!$J$15,VLOOKUP(ER!$C$95,TI!$A$12:$C$111,2)))</f>
        <v>0</v>
      </c>
      <c r="C35" s="1066">
        <f>IF(ER!$E$95&lt;0,0,IF(RG!A74=3,TI!$J$15,VLOOKUP(ER!$E$95,TI!$A$12:$C$111,2)))</f>
        <v>0</v>
      </c>
      <c r="D35" s="1067">
        <f>IF(ER!$G$95&lt;0,0,IF(RG!A74=3,TI!$J$15,VLOOKUP(ER!$G$95,TI!$A$12:$C$111,2)))</f>
        <v>0</v>
      </c>
      <c r="E35" s="1067">
        <f>IF(ER!$I$95&lt;0,0,IF(RG!A74=3,TI!$J$15,VLOOKUP(ER!$I$95,TI!$A$12:$C$111,2)))</f>
        <v>0</v>
      </c>
      <c r="F35" s="1067">
        <f>IF(ER!$K$95&lt;0,0,IF(RG!A74=3,TI!$J$15,VLOOKUP(ER!$K$95,TI!$A$12:$C$111,2)))</f>
        <v>0</v>
      </c>
    </row>
    <row r="37" spans="2:6">
      <c r="B37" s="497"/>
      <c r="C37" s="497"/>
      <c r="D37" s="497"/>
    </row>
    <row r="70" spans="3:3">
      <c r="C70" s="431">
        <v>33</v>
      </c>
    </row>
    <row r="88" spans="1:15">
      <c r="B88" s="806"/>
    </row>
    <row r="91" spans="1:15">
      <c r="A91" s="917"/>
    </row>
    <row r="93" spans="1:15" ht="13">
      <c r="A93" s="445" t="s">
        <v>320</v>
      </c>
      <c r="B93" s="431" t="s">
        <v>318</v>
      </c>
      <c r="C93" s="446">
        <f>IF(AND(RG!$A$90=1,'BC1'!C$141&lt;-0.9),(ROUNDUP(-'BC1'!C$141/500,0)*500),0)</f>
        <v>0</v>
      </c>
      <c r="D93" s="446">
        <f>IF(AND(RG!$A$90=1,'BC1'!D$141&lt;-0.9),(ROUNDUP(-'BC1'!D$141/500,0)*500),0)</f>
        <v>0</v>
      </c>
      <c r="E93" s="446">
        <f>IF(AND(RG!$A$90=1,'BC1'!E$141&lt;-0.9),(ROUNDUP(-'BC1'!E$141/500,0)*500),0)</f>
        <v>0</v>
      </c>
      <c r="F93" s="446">
        <f>IF(AND(RG!$A$90=1,'BC1'!F$141&lt;-0.9),(ROUNDUP(-'BC1'!F$141/500,0)*500),0)</f>
        <v>0</v>
      </c>
      <c r="G93" s="446">
        <f>IF(AND(RG!$A$90=1,'BC1'!G$141&lt;-0.9),(ROUNDUP(-'BC1'!G$141/500,0)*500),0)</f>
        <v>0</v>
      </c>
      <c r="H93" s="446">
        <f>IF(AND(RG!$A$90=1,'BC1'!H$141&lt;-0.9),(ROUNDUP(-'BC1'!H$141/500,0)*500),0)</f>
        <v>0</v>
      </c>
      <c r="I93" s="446">
        <f>IF(AND(RG!$A$90=1,'BC1'!I$141&lt;-0.9),(ROUNDUP(-'BC1'!I$141/500,0)*500),0)</f>
        <v>0</v>
      </c>
      <c r="J93" s="446">
        <f>IF(AND(RG!$A$90=1,'BC1'!J$141&lt;-0.9),(ROUNDUP(-'BC1'!J$141/500,0)*500),0)</f>
        <v>0</v>
      </c>
      <c r="K93" s="446">
        <f>IF(AND(RG!$A$90=1,'BC1'!K$141&lt;-0.9),(ROUNDUP(-'BC1'!K$141/500,0)*500),0)</f>
        <v>0</v>
      </c>
      <c r="L93" s="446">
        <f>IF(AND(RG!$A$90=1,'BC1'!L$141&lt;-0.9),(ROUNDUP(-'BC1'!L$141/500,0)*500),0)</f>
        <v>500</v>
      </c>
      <c r="M93" s="446">
        <f>IF(AND(RG!$A$90=1,'BC1'!M$141&lt;-0.9),(ROUNDUP(-'BC1'!M$141/500,0)*500),0)</f>
        <v>500</v>
      </c>
      <c r="N93" s="446">
        <f>IF(AND(RG!$A$90=1,'BC1'!N$141&lt;-0.9),(ROUNDUP(-'BC1'!N$141/500,0)*500),0)</f>
        <v>0</v>
      </c>
      <c r="O93" s="446">
        <f>IF(AND(RG!$A$90=1,'BC1'!O$141&lt;-0.9),(ROUNDUP(-'BC1'!O$141/500,0)*500),0)</f>
        <v>0</v>
      </c>
    </row>
    <row r="94" spans="1:15">
      <c r="C94"/>
      <c r="D94"/>
      <c r="E94"/>
      <c r="F94"/>
      <c r="G94"/>
      <c r="H94"/>
      <c r="I94"/>
      <c r="J94"/>
      <c r="K94"/>
      <c r="L94"/>
      <c r="M94"/>
      <c r="N94"/>
      <c r="O94"/>
    </row>
    <row r="95" spans="1:15">
      <c r="B95" s="431" t="s">
        <v>319</v>
      </c>
      <c r="C95" s="446">
        <f>-IF('BC1'!C$141/500&gt;=1,MIN((ROUNDDOWN(('BC1'!C$141)/500,0)*500),'BC1'!C$143),0)</f>
        <v>0</v>
      </c>
      <c r="D95" s="446">
        <f>-IF('BC1'!D$141/500&gt;=1,MIN((ROUNDDOWN(('BC1'!D$141)/500,0)*500),'BC1'!D$143),0)</f>
        <v>0</v>
      </c>
      <c r="E95" s="446">
        <f>-IF('BC1'!E$141/500&gt;=1,MIN((ROUNDDOWN(('BC1'!E$141)/500,0)*500),'BC1'!E$143),0)</f>
        <v>0</v>
      </c>
      <c r="F95" s="446">
        <f>-IF('BC1'!F$141/500&gt;=1,MIN((ROUNDDOWN(('BC1'!F$141)/500,0)*500),'BC1'!F$143),0)</f>
        <v>0</v>
      </c>
      <c r="G95" s="446">
        <f>-IF('BC1'!G$141/500&gt;=1,MIN((ROUNDDOWN(('BC1'!G$141)/500,0)*500),'BC1'!G$143),0)</f>
        <v>0</v>
      </c>
      <c r="H95" s="446">
        <f>-IF('BC1'!H$141/500&gt;=1,MIN((ROUNDDOWN(('BC1'!H$141)/500,0)*500),'BC1'!H$143),0)</f>
        <v>0</v>
      </c>
      <c r="I95" s="446">
        <f>-IF('BC1'!I$141/500&gt;=1,MIN((ROUNDDOWN(('BC1'!I$141)/500,0)*500),'BC1'!I$143),0)</f>
        <v>0</v>
      </c>
      <c r="J95" s="446">
        <f>-IF('BC1'!J$141/500&gt;=1,MIN((ROUNDDOWN(('BC1'!J$141)/500,0)*500),'BC1'!J$143),0)</f>
        <v>0</v>
      </c>
      <c r="K95" s="446">
        <f>-IF('BC1'!K$141/500&gt;=1,MIN((ROUNDDOWN(('BC1'!K$141)/500,0)*500),'BC1'!K$143),0)</f>
        <v>0</v>
      </c>
      <c r="L95" s="446">
        <f>-IF('BC1'!L$141/500&gt;=1,MIN((ROUNDDOWN(('BC1'!L$141)/500,0)*500),'BC1'!L$143),0)</f>
        <v>0</v>
      </c>
      <c r="M95" s="446">
        <f>-IF('BC1'!M$141/500&gt;=1,MIN((ROUNDDOWN(('BC1'!M$141)/500,0)*500),'BC1'!M$143),0)</f>
        <v>0</v>
      </c>
      <c r="N95" s="446">
        <f>-IF('BC1'!N$141/500&gt;=1,MIN((ROUNDDOWN(('BC1'!N$141)/500,0)*500),'BC1'!N$143),0)</f>
        <v>0</v>
      </c>
      <c r="O95" s="446">
        <f>-IF('BC1'!O$141/500&gt;=1,MIN((ROUNDDOWN(('BC1'!O$141)/500,0)*500),'BC1'!O$143),0)</f>
        <v>0</v>
      </c>
    </row>
    <row r="96" spans="1:15">
      <c r="C96"/>
      <c r="D96"/>
      <c r="E96"/>
      <c r="F96"/>
      <c r="G96"/>
      <c r="H96"/>
      <c r="I96"/>
      <c r="J96"/>
      <c r="K96"/>
      <c r="L96"/>
      <c r="M96"/>
      <c r="N96"/>
      <c r="O96"/>
    </row>
    <row r="97" spans="1:16">
      <c r="C97"/>
      <c r="D97"/>
      <c r="E97"/>
      <c r="F97"/>
      <c r="G97"/>
      <c r="H97"/>
      <c r="I97"/>
      <c r="J97"/>
      <c r="K97"/>
      <c r="L97"/>
      <c r="M97"/>
      <c r="N97"/>
      <c r="O97"/>
    </row>
    <row r="98" spans="1:16" ht="13">
      <c r="A98" s="445" t="s">
        <v>321</v>
      </c>
      <c r="B98" s="431" t="s">
        <v>318</v>
      </c>
      <c r="C98" s="446">
        <f>IF(AND(RG!$A$90=2,'BC1'!C$141&lt;-0.9),(ROUNDUP(-'BC1'!C$141/1000,0)*1000),0)</f>
        <v>0</v>
      </c>
      <c r="D98" s="446">
        <f>IF(AND(RG!$A$90=2,'BC1'!D$141&lt;-0.9),(ROUNDUP(-'BC1'!D$141/1000,0)*1000),0)</f>
        <v>0</v>
      </c>
      <c r="E98" s="446">
        <f>IF(AND(RG!$A$90=2,'BC1'!E$141&lt;-0.9),(ROUNDUP(-'BC1'!E$141/1000,0)*1000),0)</f>
        <v>0</v>
      </c>
      <c r="F98" s="446">
        <f>IF(AND(RG!$A$90=2,'BC1'!F$141&lt;-0.9),(ROUNDUP(-'BC1'!F$141/1000,0)*1000),0)</f>
        <v>0</v>
      </c>
      <c r="G98" s="446">
        <f>IF(AND(RG!$A$90=2,'BC1'!G$141&lt;-0.9),(ROUNDUP(-'BC1'!G$141/1000,0)*1000),0)</f>
        <v>0</v>
      </c>
      <c r="H98" s="446">
        <f>IF(AND(RG!$A$90=2,'BC1'!H$141&lt;-0.9),(ROUNDUP(-'BC1'!H$141/1000,0)*1000),0)</f>
        <v>0</v>
      </c>
      <c r="I98" s="446">
        <f>IF(AND(RG!$A$90=2,'BC1'!I$141&lt;-0.9),(ROUNDUP(-'BC1'!I$141/1000,0)*1000),0)</f>
        <v>0</v>
      </c>
      <c r="J98" s="446">
        <f>IF(AND(RG!$A$90=2,'BC1'!J$141&lt;-0.9),(ROUNDUP(-'BC1'!J$141/1000,0)*1000),0)</f>
        <v>0</v>
      </c>
      <c r="K98" s="446">
        <f>IF(AND(RG!$A$90=2,'BC1'!K$141&lt;-0.9),(ROUNDUP(-'BC1'!K$141/1000,0)*1000),0)</f>
        <v>0</v>
      </c>
      <c r="L98" s="446">
        <f>IF(AND(RG!$A$90=2,'BC1'!L$141&lt;-0.9),(ROUNDUP(-'BC1'!L$141/1000,0)*1000),0)</f>
        <v>0</v>
      </c>
      <c r="M98" s="446">
        <f>IF(AND(RG!$A$90=2,'BC1'!M$141&lt;-0.9),(ROUNDUP(-'BC1'!M$141/1000,0)*1000),0)</f>
        <v>0</v>
      </c>
      <c r="N98" s="446">
        <f>IF(AND(RG!$A$90=2,'BC1'!N$141&lt;-0.9),(ROUNDUP(-'BC1'!N$141/1000,0)*1000),0)</f>
        <v>0</v>
      </c>
      <c r="O98" s="446">
        <f>IF(AND(RG!$A$90=2,'BC1'!O$141&lt;-0.9),(ROUNDUP(-'BC1'!O$141/1000,0)*1000),0)</f>
        <v>0</v>
      </c>
    </row>
    <row r="99" spans="1:16">
      <c r="C99"/>
      <c r="D99"/>
      <c r="E99"/>
      <c r="F99"/>
      <c r="G99"/>
      <c r="H99"/>
      <c r="I99"/>
      <c r="J99"/>
      <c r="K99"/>
      <c r="L99"/>
      <c r="M99"/>
      <c r="N99"/>
      <c r="O99"/>
    </row>
    <row r="100" spans="1:16">
      <c r="B100" s="431" t="s">
        <v>319</v>
      </c>
      <c r="C100" s="446">
        <f>-IF('BC1'!C$141/1000&gt;=1,MIN((ROUNDDOWN(('BC1'!C$141)/1000,0)*1000),'BC1'!C$143),0)</f>
        <v>0</v>
      </c>
      <c r="D100" s="446">
        <f>-IF('BC1'!D$141/1000&gt;=1,MIN((ROUNDDOWN(('BC1'!D$141)/1000,0)*1000),'BC1'!D$143),0)</f>
        <v>0</v>
      </c>
      <c r="E100" s="446">
        <f>-IF('BC1'!E$141/1000&gt;=1,MIN((ROUNDDOWN(('BC1'!E$141)/1000,0)*1000),'BC1'!E$143),0)</f>
        <v>0</v>
      </c>
      <c r="F100" s="446">
        <f>-IF('BC1'!F$141/1000&gt;=1,MIN((ROUNDDOWN(('BC1'!F$141)/1000,0)*1000),'BC1'!F$143),0)</f>
        <v>0</v>
      </c>
      <c r="G100" s="446">
        <f>-IF('BC1'!G$141/1000&gt;=1,MIN((ROUNDDOWN(('BC1'!G$141)/1000,0)*1000),'BC1'!G$143),0)</f>
        <v>0</v>
      </c>
      <c r="H100" s="446">
        <f>-IF('BC1'!H$141/1000&gt;=1,MIN((ROUNDDOWN(('BC1'!H$141)/1000,0)*1000),'BC1'!H$143),0)</f>
        <v>0</v>
      </c>
      <c r="I100" s="446">
        <f>-IF('BC1'!I$141/1000&gt;=1,MIN((ROUNDDOWN(('BC1'!I$141)/1000,0)*1000),'BC1'!I$143),0)</f>
        <v>0</v>
      </c>
      <c r="J100" s="446">
        <f>-IF('BC1'!J$141/1000&gt;=1,MIN((ROUNDDOWN(('BC1'!J$141)/1000,0)*1000),'BC1'!J$143),0)</f>
        <v>0</v>
      </c>
      <c r="K100" s="446">
        <f>-IF('BC1'!K$141/1000&gt;=1,MIN((ROUNDDOWN(('BC1'!K$141)/1000,0)*1000),'BC1'!K$143),0)</f>
        <v>0</v>
      </c>
      <c r="L100" s="446">
        <f>-IF('BC1'!L$141/1000&gt;=1,MIN((ROUNDDOWN(('BC1'!L$141)/1000,0)*1000),'BC1'!L$143),0)</f>
        <v>0</v>
      </c>
      <c r="M100" s="446">
        <f>-IF('BC1'!M$141/1000&gt;=1,MIN((ROUNDDOWN(('BC1'!M$141)/1000,0)*1000),'BC1'!M$143),0)</f>
        <v>0</v>
      </c>
      <c r="N100" s="446">
        <f>-IF('BC1'!N$141/1000&gt;=1,MIN((ROUNDDOWN(('BC1'!N$141)/1000,0)*1000),'BC1'!N$143),0)</f>
        <v>0</v>
      </c>
      <c r="O100" s="446">
        <f>-IF('BC1'!O$141/1000&gt;=1,MIN((ROUNDDOWN(('BC1'!O$141)/1000,0)*1000),'BC1'!O$143),0)</f>
        <v>0</v>
      </c>
    </row>
    <row r="101" spans="1:16">
      <c r="C101"/>
      <c r="D101"/>
      <c r="E101"/>
      <c r="F101"/>
      <c r="G101"/>
      <c r="H101"/>
      <c r="I101"/>
      <c r="J101"/>
      <c r="K101"/>
      <c r="L101"/>
      <c r="M101"/>
      <c r="N101"/>
      <c r="O101"/>
    </row>
    <row r="102" spans="1:16">
      <c r="C102"/>
      <c r="D102"/>
      <c r="E102"/>
      <c r="F102"/>
      <c r="G102"/>
      <c r="H102"/>
      <c r="I102"/>
      <c r="J102"/>
      <c r="K102"/>
      <c r="L102"/>
      <c r="M102"/>
      <c r="N102"/>
      <c r="O102"/>
    </row>
    <row r="103" spans="1:16" ht="13">
      <c r="A103" s="445" t="s">
        <v>141</v>
      </c>
      <c r="B103" s="431" t="s">
        <v>318</v>
      </c>
      <c r="C103" s="446">
        <f>IF(AND(RG!$A$90=3,('BC1'!C$141-'BC1'!C$121)&lt;-0.9),(ROUNDUP(-('BC1'!C$141-'BC1'!C$121)/5000,0)*5000),0)</f>
        <v>0</v>
      </c>
      <c r="D103" s="446">
        <f>IF(AND(RG!$A$90=3,('BC1'!D$141-'BC1'!D$121)&lt;-0.9),(ROUNDUP(-('BC1'!D$141-'BC1'!D$121)/5000,0)*5000),0)</f>
        <v>0</v>
      </c>
      <c r="E103" s="446">
        <f>IF(AND(RG!$A$90=3,('BC1'!E$141-'BC1'!E$121)&lt;-0.9),(ROUNDUP(-('BC1'!E$141-'BC1'!E$121)/5000,0)*5000),0)</f>
        <v>0</v>
      </c>
      <c r="F103" s="446">
        <f>IF(AND(RG!$A$90=3,('BC1'!F$141-'BC1'!F$121)&lt;-0.9),(ROUNDUP(-('BC1'!F$141-'BC1'!F$121)/5000,0)*5000),0)</f>
        <v>0</v>
      </c>
      <c r="G103" s="446">
        <f>IF(AND(RG!$A$90=3,('BC1'!G$141-'BC1'!G$121)&lt;-0.9),(ROUNDUP(-('BC1'!G$141-'BC1'!G$121)/5000,0)*5000),0)</f>
        <v>0</v>
      </c>
      <c r="H103" s="446">
        <f>IF(AND(RG!$A$90=3,('BC1'!H$141-'BC1'!H$121)&lt;-0.9),(ROUNDUP(-('BC1'!H$141-'BC1'!H$121)/5000,0)*5000),0)</f>
        <v>0</v>
      </c>
      <c r="I103" s="446">
        <f>IF(AND(RG!$A$90=3,('BC1'!I$141-'BC1'!I$121)&lt;-0.9),(ROUNDUP(-('BC1'!I$141-'BC1'!I$121)/5000,0)*5000),0)</f>
        <v>0</v>
      </c>
      <c r="J103" s="446">
        <f>IF(AND(RG!$A$90=3,('BC1'!J$141-'BC1'!J$121)&lt;-0.9),(ROUNDUP(-('BC1'!J$141-'BC1'!J$121)/5000,0)*5000),0)</f>
        <v>0</v>
      </c>
      <c r="K103" s="446">
        <f>IF(AND(RG!$A$90=3,('BC1'!K$141-'BC1'!K$121)&lt;-0.9),(ROUNDUP(-('BC1'!K$141-'BC1'!K$121)/5000,0)*5000),0)</f>
        <v>0</v>
      </c>
      <c r="L103" s="446">
        <f>IF(AND(RG!$A$90=3,('BC1'!L$141-'BC1'!L$121)&lt;-0.9),(ROUNDUP(-('BC1'!L$141-'BC1'!L$121)/5000,0)*5000),0)</f>
        <v>0</v>
      </c>
      <c r="M103" s="446">
        <f>IF(AND(RG!$A$90=3,('BC1'!M$141-'BC1'!M$121)&lt;-0.9),(ROUNDUP(-('BC1'!M$141-'BC1'!M$121)/5000,0)*5000),0)</f>
        <v>0</v>
      </c>
      <c r="N103" s="446">
        <f>IF(AND(RG!$A$90=3,('BC1'!N$141-'BC1'!N$121)&lt;-0.9),(ROUNDUP(-('BC1'!N$141-'BC1'!N$121)/5000,0)*5000),0)</f>
        <v>0</v>
      </c>
      <c r="O103" s="446">
        <f>IF(AND(RG!$A$90=3,('BC1'!O$141-'BC1'!O$121)&lt;-0.9),(ROUNDUP(-('BC1'!O$141-'BC1'!O$121)/5000,0)*5000),0)</f>
        <v>0</v>
      </c>
    </row>
    <row r="104" spans="1:16">
      <c r="C104"/>
      <c r="D104"/>
      <c r="E104"/>
      <c r="F104"/>
      <c r="G104"/>
      <c r="H104"/>
      <c r="I104"/>
      <c r="J104"/>
      <c r="K104"/>
      <c r="L104"/>
      <c r="M104"/>
      <c r="N104"/>
      <c r="O104"/>
    </row>
    <row r="105" spans="1:16">
      <c r="B105" s="431" t="s">
        <v>319</v>
      </c>
      <c r="C105" s="446">
        <f>-IF('BC1'!C$141/5000&gt;=1,MIN((ROUNDDOWN(('BC1'!C$141)/5000,0)*5000),'BC1'!C$143),0)</f>
        <v>0</v>
      </c>
      <c r="D105" s="446">
        <f>-IF('BC1'!D$141/5000&gt;=1,MIN((ROUNDDOWN(('BC1'!D$141)/5000,0)*5000),'BC1'!D$143),0)</f>
        <v>0</v>
      </c>
      <c r="E105" s="446">
        <f>-IF('BC1'!E$141/5000&gt;=1,MIN((ROUNDDOWN(('BC1'!E$141)/5000,0)*5000),'BC1'!E$143),0)</f>
        <v>0</v>
      </c>
      <c r="F105" s="446">
        <f>-IF('BC1'!F$141/5000&gt;=1,MIN((ROUNDDOWN(('BC1'!F$141)/5000,0)*5000),'BC1'!F$143),0)</f>
        <v>0</v>
      </c>
      <c r="G105" s="446">
        <f>-IF('BC1'!G$141/5000&gt;=1,MIN((ROUNDDOWN(('BC1'!G$141)/5000,0)*5000),'BC1'!G$143),0)</f>
        <v>0</v>
      </c>
      <c r="H105" s="446">
        <f>-IF('BC1'!H$141/5000&gt;=1,MIN((ROUNDDOWN(('BC1'!H$141)/5000,0)*5000),'BC1'!H$143),0)</f>
        <v>0</v>
      </c>
      <c r="I105" s="446">
        <f>-IF('BC1'!I$141/5000&gt;=1,MIN((ROUNDDOWN(('BC1'!I$141)/5000,0)*5000),'BC1'!I$143),0)</f>
        <v>0</v>
      </c>
      <c r="J105" s="446">
        <f>-IF('BC1'!J$141/5000&gt;=1,MIN((ROUNDDOWN(('BC1'!J$141)/5000,0)*5000),'BC1'!J$143),0)</f>
        <v>0</v>
      </c>
      <c r="K105" s="446">
        <f>-IF('BC1'!K$141/5000&gt;=1,MIN((ROUNDDOWN(('BC1'!K$141)/5000,0)*5000),'BC1'!K$143),0)</f>
        <v>0</v>
      </c>
      <c r="L105" s="446">
        <f>-IF('BC1'!L$141/5000&gt;=1,MIN((ROUNDDOWN(('BC1'!L$141)/5000,0)*5000),'BC1'!L$143),0)</f>
        <v>0</v>
      </c>
      <c r="M105" s="446">
        <f>-IF('BC1'!M$141/5000&gt;=1,MIN((ROUNDDOWN(('BC1'!M$141)/5000,0)*5000),'BC1'!M$143),0)</f>
        <v>0</v>
      </c>
      <c r="N105" s="446">
        <f>-IF('BC1'!N$141/5000&gt;=1,MIN((ROUNDDOWN(('BC1'!N$141)/5000,0)*5000),'BC1'!N$143),0)</f>
        <v>0</v>
      </c>
      <c r="O105" s="446">
        <f>-IF('BC1'!O$141/5000&gt;=1,MIN((ROUNDDOWN(('BC1'!O$141)/5000,0)*5000),'BC1'!O$143),0)</f>
        <v>0</v>
      </c>
    </row>
    <row r="106" spans="1:16">
      <c r="C106"/>
      <c r="D106"/>
      <c r="E106"/>
      <c r="F106"/>
      <c r="G106"/>
      <c r="H106"/>
      <c r="I106"/>
      <c r="J106"/>
      <c r="K106"/>
      <c r="L106"/>
      <c r="M106"/>
      <c r="N106"/>
      <c r="O106"/>
    </row>
    <row r="107" spans="1:16">
      <c r="A107" s="447"/>
      <c r="B107" s="447"/>
      <c r="C107" s="447"/>
      <c r="D107" s="447"/>
      <c r="E107" s="447"/>
      <c r="F107" s="447"/>
      <c r="G107" s="447"/>
      <c r="H107" s="447"/>
      <c r="I107" s="447"/>
      <c r="J107" s="447"/>
      <c r="K107" s="447"/>
      <c r="L107" s="447"/>
      <c r="M107" s="447"/>
      <c r="N107" s="447"/>
      <c r="O107" s="447"/>
      <c r="P107" s="447"/>
    </row>
    <row r="108" spans="1:16">
      <c r="C108"/>
      <c r="D108"/>
      <c r="E108"/>
      <c r="F108"/>
      <c r="G108"/>
      <c r="H108"/>
      <c r="I108"/>
      <c r="J108"/>
      <c r="K108"/>
      <c r="L108"/>
      <c r="M108"/>
      <c r="N108"/>
      <c r="O108"/>
    </row>
    <row r="109" spans="1:16" ht="13">
      <c r="A109" s="445" t="s">
        <v>320</v>
      </c>
      <c r="B109" s="431" t="s">
        <v>318</v>
      </c>
      <c r="C109" s="446">
        <f>IF(AND(RG!$A$90=1,'BC2'!C$137&lt;-0.9),(ROUNDUP(-'BC2'!C$137/500,0)*500),0)</f>
        <v>1500</v>
      </c>
      <c r="D109" s="446">
        <f>IF(AND(RG!$A$90=1,'BC2'!D$137&lt;-0.9),(ROUNDUP(-'BC2'!D$137/500,0)*500),0)</f>
        <v>1500</v>
      </c>
      <c r="E109" s="446">
        <f>IF(AND(RG!$A$90=1,'BC2'!E$137&lt;-0.9),(ROUNDUP(-'BC2'!E$137/500,0)*500),0)</f>
        <v>1000</v>
      </c>
      <c r="F109" s="446">
        <f>IF(AND(RG!$A$90=1,'BC2'!F$137&lt;-0.9),(ROUNDUP(-'BC2'!F$137/500,0)*500),0)</f>
        <v>1000</v>
      </c>
      <c r="G109" s="446">
        <f>IF(AND(RG!$A$90=1,'BC2'!G$137&lt;-0.9),(ROUNDUP(-'BC2'!G$137/500,0)*500),0)</f>
        <v>1000</v>
      </c>
      <c r="H109" s="446">
        <f>IF(AND(RG!$A$90=1,'BC2'!H$137&lt;-0.9),(ROUNDUP(-'BC2'!H$137/500,0)*500),0)</f>
        <v>500</v>
      </c>
      <c r="I109" s="446">
        <f>IF(AND(RG!$A$90=1,'BC2'!I$137&lt;-0.9),(ROUNDUP(-'BC2'!I$137/500,0)*500),0)</f>
        <v>500</v>
      </c>
      <c r="J109" s="446">
        <f>IF(AND(RG!$A$90=1,'BC2'!J$137&lt;-0.9),(ROUNDUP(-'BC2'!J$137/500,0)*500),0)</f>
        <v>500</v>
      </c>
      <c r="K109" s="446">
        <f>IF(AND(RG!$A$90=1,'BC2'!K$137&lt;-0.9),(ROUNDUP(-'BC2'!K$137/500,0)*500),0)</f>
        <v>0</v>
      </c>
      <c r="L109" s="446">
        <f>IF(AND(RG!$A$90=1,'BC2'!L$137&lt;-0.9),(ROUNDUP(-'BC2'!L$137/500,0)*500),0)</f>
        <v>500</v>
      </c>
      <c r="M109" s="446">
        <f>IF(AND(RG!$A$90=1,'BC2'!M$137&lt;-0.9),(ROUNDUP(-'BC2'!M$137/500,0)*500),0)</f>
        <v>0</v>
      </c>
      <c r="N109" s="446">
        <f>IF(AND(RG!$A$90=1,'BC2'!N$137&lt;-0.9),(ROUNDUP(-'BC2'!N$137/500,0)*500),0)</f>
        <v>0</v>
      </c>
      <c r="O109" s="722"/>
    </row>
    <row r="110" spans="1:16">
      <c r="C110"/>
      <c r="D110"/>
      <c r="E110"/>
      <c r="F110"/>
      <c r="G110"/>
      <c r="H110"/>
      <c r="I110"/>
      <c r="J110"/>
      <c r="K110"/>
      <c r="L110"/>
      <c r="M110"/>
      <c r="N110"/>
    </row>
    <row r="111" spans="1:16">
      <c r="B111" s="431" t="s">
        <v>319</v>
      </c>
      <c r="C111" s="446">
        <f>-IF('BC2'!C$137/500&gt;=1,MIN((ROUNDDOWN('BC2'!C$137/500,0)*500),'BC2'!C$139-'BC2'!C$143),0)</f>
        <v>0</v>
      </c>
      <c r="D111" s="446">
        <f>-IF('BC2'!D$137/500&gt;=1,MIN((ROUNDDOWN('BC2'!D$137/500,0)*500),'BC2'!D$139-'BC2'!D$143),0)</f>
        <v>0</v>
      </c>
      <c r="E111" s="446">
        <f>-IF('BC2'!E$137/500&gt;=1,MIN((ROUNDDOWN('BC2'!E$137/500,0)*500),'BC2'!E$139-'BC2'!E$143),0)</f>
        <v>0</v>
      </c>
      <c r="F111" s="446">
        <f>-IF('BC2'!F$137/500&gt;=1,MIN((ROUNDDOWN('BC2'!F$137/500,0)*500),'BC2'!F$139-'BC2'!F$143),0)</f>
        <v>0</v>
      </c>
      <c r="G111" s="446">
        <f>-IF('BC2'!G$137/500&gt;=1,MIN((ROUNDDOWN('BC2'!G$137/500,0)*500),'BC2'!G$139-'BC2'!G$143),0)</f>
        <v>0</v>
      </c>
      <c r="H111" s="446">
        <f>-IF('BC2'!H$137/500&gt;=1,MIN((ROUNDDOWN('BC2'!H$137/500,0)*500),'BC2'!H$139-'BC2'!H$143),0)</f>
        <v>0</v>
      </c>
      <c r="I111" s="446">
        <f>-IF('BC2'!I$137/500&gt;=1,MIN((ROUNDDOWN('BC2'!I$137/500,0)*500),'BC2'!I$139-'BC2'!I$143),0)</f>
        <v>0</v>
      </c>
      <c r="J111" s="446">
        <f>-IF('BC2'!J$137/500&gt;=1,MIN((ROUNDDOWN('BC2'!J$137/500,0)*500),'BC2'!J$139-'BC2'!J$143),0)</f>
        <v>0</v>
      </c>
      <c r="K111" s="446">
        <f>-IF('BC2'!K$137/500&gt;=1,MIN((ROUNDDOWN('BC2'!K$137/500,0)*500),'BC2'!K$139-'BC2'!K$143),0)</f>
        <v>0</v>
      </c>
      <c r="L111" s="446">
        <f>-IF('BC2'!L$137/500&gt;=1,MIN((ROUNDDOWN('BC2'!L$137/500,0)*500),'BC2'!L$139-'BC2'!L$143),0)</f>
        <v>0</v>
      </c>
      <c r="M111" s="446">
        <f>-IF('BC2'!M$137/500&gt;=1,MIN((ROUNDDOWN('BC2'!M$137/500,0)*500),'BC2'!M$139-'BC2'!M$143),0)</f>
        <v>-500</v>
      </c>
      <c r="N111" s="446">
        <f>-IF('BC2'!N$137/500&gt;=1,MIN((ROUNDDOWN('BC2'!N$137/500,0)*500),'BC2'!N$139-'BC2'!N$143),0)</f>
        <v>0</v>
      </c>
      <c r="O111" s="722"/>
    </row>
    <row r="112" spans="1:16">
      <c r="C112"/>
      <c r="D112"/>
      <c r="E112"/>
      <c r="F112"/>
      <c r="G112"/>
      <c r="H112"/>
      <c r="I112"/>
      <c r="J112"/>
      <c r="K112"/>
      <c r="L112"/>
      <c r="M112"/>
      <c r="N112"/>
    </row>
    <row r="113" spans="1:22">
      <c r="C113"/>
      <c r="D113"/>
      <c r="E113"/>
      <c r="F113"/>
      <c r="G113"/>
      <c r="H113"/>
      <c r="I113"/>
      <c r="J113"/>
      <c r="K113"/>
      <c r="L113"/>
      <c r="M113"/>
      <c r="N113"/>
    </row>
    <row r="114" spans="1:22" ht="13">
      <c r="A114" s="445" t="s">
        <v>321</v>
      </c>
      <c r="B114" s="431" t="s">
        <v>318</v>
      </c>
      <c r="C114" s="446">
        <f>IF(AND(RG!$A$90=2,'BC2'!C$137&lt;-0.9),(ROUNDUP(-'BC2'!C$137/1000,0)*1000),0)</f>
        <v>0</v>
      </c>
      <c r="D114" s="446">
        <f>IF(AND(RG!$A$90=2,'BC2'!D$137&lt;-0.9),(ROUNDUP(-'BC2'!D$137/1000,0)*1000),0)</f>
        <v>0</v>
      </c>
      <c r="E114" s="446">
        <f>IF(AND(RG!$A$90=2,'BC2'!E$137&lt;-0.9),(ROUNDUP(-'BC2'!E$137/1000,0)*1000),0)</f>
        <v>0</v>
      </c>
      <c r="F114" s="446">
        <f>IF(AND(RG!$A$90=2,'BC2'!F$137&lt;-0.9),(ROUNDUP(-'BC2'!F$137/1000,0)*1000),0)</f>
        <v>0</v>
      </c>
      <c r="G114" s="446">
        <f>IF(AND(RG!$A$90=2,'BC2'!G$137&lt;-0.9),(ROUNDUP(-'BC2'!G$137/1000,0)*1000),0)</f>
        <v>0</v>
      </c>
      <c r="H114" s="446">
        <f>IF(AND(RG!$A$90=2,'BC2'!H$137&lt;-0.9),(ROUNDUP(-'BC2'!H$137/1000,0)*1000),0)</f>
        <v>0</v>
      </c>
      <c r="I114" s="446">
        <f>IF(AND(RG!$A$90=2,'BC2'!I$137&lt;-0.9),(ROUNDUP(-'BC2'!I$137/1000,0)*1000),0)</f>
        <v>0</v>
      </c>
      <c r="J114" s="446">
        <f>IF(AND(RG!$A$90=2,'BC2'!J$137&lt;-0.9),(ROUNDUP(-'BC2'!J$137/1000,0)*1000),0)</f>
        <v>0</v>
      </c>
      <c r="K114" s="446">
        <f>IF(AND(RG!$A$90=2,'BC2'!K$137&lt;-0.9),(ROUNDUP(-'BC2'!K$137/1000,0)*1000),0)</f>
        <v>0</v>
      </c>
      <c r="L114" s="446">
        <f>IF(AND(RG!$A$90=2,'BC2'!L$137&lt;-0.9),(ROUNDUP(-'BC2'!L$137/1000,0)*1000),0)</f>
        <v>0</v>
      </c>
      <c r="M114" s="446">
        <f>IF(AND(RG!$A$90=2,'BC2'!M$137&lt;-0.9),(ROUNDUP(-'BC2'!M$137/1000,0)*1000),0)</f>
        <v>0</v>
      </c>
      <c r="N114" s="446">
        <f>IF(AND(RG!$A$90=2,'BC2'!N$137&lt;-0.9),(ROUNDUP(-'BC2'!N$137/1000,0)*1000),0)</f>
        <v>0</v>
      </c>
      <c r="O114" s="722"/>
    </row>
    <row r="115" spans="1:22">
      <c r="C115"/>
      <c r="D115"/>
      <c r="E115"/>
      <c r="F115"/>
      <c r="G115"/>
      <c r="H115"/>
      <c r="I115"/>
      <c r="J115"/>
      <c r="K115"/>
      <c r="L115"/>
      <c r="M115"/>
      <c r="N115"/>
    </row>
    <row r="116" spans="1:22">
      <c r="B116" s="431" t="s">
        <v>319</v>
      </c>
      <c r="C116" s="446">
        <f>-IF('BC2'!C$137/1000&gt;=1,MIN((ROUNDDOWN('BC2'!C$137/1000,0)*1000),'BC2'!C$139),0)</f>
        <v>0</v>
      </c>
      <c r="D116" s="446">
        <f>-IF('BC2'!D$137/1000&gt;=1,MIN((ROUNDDOWN('BC2'!D$137/1000,0)*1000),'BC2'!D$139),0)</f>
        <v>0</v>
      </c>
      <c r="E116" s="446">
        <f>-IF('BC2'!E$137/1000&gt;=1,MIN((ROUNDDOWN('BC2'!E$137/1000,0)*1000),'BC2'!E$139),0)</f>
        <v>0</v>
      </c>
      <c r="F116" s="446">
        <f>-IF('BC2'!F$137/1000&gt;=1,MIN((ROUNDDOWN('BC2'!F$137/1000,0)*1000),'BC2'!F$139),0)</f>
        <v>0</v>
      </c>
      <c r="G116" s="446">
        <f>-IF('BC2'!G$137/1000&gt;=1,MIN((ROUNDDOWN('BC2'!G$137/1000,0)*1000),'BC2'!G$139),0)</f>
        <v>0</v>
      </c>
      <c r="H116" s="446">
        <f>-IF('BC2'!H$137/1000&gt;=1,MIN((ROUNDDOWN('BC2'!H$137/1000,0)*1000),'BC2'!H$139),0)</f>
        <v>0</v>
      </c>
      <c r="I116" s="446">
        <f>-IF('BC2'!I$137/1000&gt;=1,MIN((ROUNDDOWN('BC2'!I$137/1000,0)*1000),'BC2'!I$139),0)</f>
        <v>0</v>
      </c>
      <c r="J116" s="446">
        <f>-IF('BC2'!J$137/1000&gt;=1,MIN((ROUNDDOWN('BC2'!J$137/1000,0)*1000),'BC2'!J$139),0)</f>
        <v>0</v>
      </c>
      <c r="K116" s="446">
        <f>-IF('BC2'!K$137/1000&gt;=1,MIN((ROUNDDOWN('BC2'!K$137/1000,0)*1000),'BC2'!K$139),0)</f>
        <v>0</v>
      </c>
      <c r="L116" s="446">
        <f>-IF('BC2'!L$137/1000&gt;=1,MIN((ROUNDDOWN('BC2'!L$137/1000,0)*1000),'BC2'!L$139),0)</f>
        <v>0</v>
      </c>
      <c r="M116" s="446">
        <f>-IF('BC2'!M$137/1000&gt;=1,MIN((ROUNDDOWN('BC2'!M$137/1000,0)*1000),'BC2'!M$139),0)</f>
        <v>0</v>
      </c>
      <c r="N116" s="446">
        <f>-IF('BC2'!N$137/1000&gt;=1,MIN((ROUNDDOWN('BC2'!N$137/1000,0)*1000),'BC2'!N$139),0)</f>
        <v>0</v>
      </c>
      <c r="O116" s="722"/>
    </row>
    <row r="117" spans="1:22">
      <c r="C117"/>
      <c r="D117"/>
      <c r="E117"/>
      <c r="F117"/>
      <c r="G117"/>
      <c r="H117"/>
      <c r="I117"/>
      <c r="J117"/>
      <c r="K117"/>
      <c r="L117"/>
      <c r="M117"/>
      <c r="N117"/>
    </row>
    <row r="118" spans="1:22">
      <c r="C118"/>
      <c r="D118"/>
      <c r="E118"/>
      <c r="F118"/>
      <c r="G118"/>
      <c r="H118"/>
      <c r="I118"/>
      <c r="J118"/>
      <c r="K118"/>
      <c r="L118"/>
      <c r="M118"/>
      <c r="N118"/>
    </row>
    <row r="119" spans="1:22" ht="13">
      <c r="A119" s="445" t="s">
        <v>141</v>
      </c>
      <c r="B119" s="431" t="s">
        <v>318</v>
      </c>
      <c r="C119" s="446">
        <f>IF(AND(RG!$A$90=3,('BC2'!C$137-'BC2'!C$119)&lt;-0.9),(ROUNDUP(-('BC2'!C$137-'BC2'!C$119)/5000,0)*5000),0)</f>
        <v>0</v>
      </c>
      <c r="D119" s="446">
        <f>IF(AND(RG!$A$90=3,('BC2'!D$137-'BC2'!D$119)&lt;-0.9),(ROUNDUP(-('BC2'!D$137-'BC2'!D$119)/5000,0)*5000),0)</f>
        <v>0</v>
      </c>
      <c r="E119" s="446">
        <f>IF(AND(RG!$A$90=3,('BC2'!E$137-'BC2'!E$119)&lt;-0.9),(ROUNDUP(-('BC2'!E$137-'BC2'!E$119)/5000,0)*5000),0)</f>
        <v>0</v>
      </c>
      <c r="F119" s="446">
        <f>IF(AND(RG!$A$90=3,('BC2'!F$137-'BC2'!F$119)&lt;-0.9),(ROUNDUP(-('BC2'!F$137-'BC2'!F$119)/5000,0)*5000),0)</f>
        <v>0</v>
      </c>
      <c r="G119" s="446">
        <f>IF(AND(RG!$A$90=3,('BC2'!G$137-'BC2'!G$119)&lt;-0.9),(ROUNDUP(-('BC2'!G$137-'BC2'!G$119)/5000,0)*5000),0)</f>
        <v>0</v>
      </c>
      <c r="H119" s="446">
        <f>IF(AND(RG!$A$90=3,('BC2'!H$137-'BC2'!H$119)&lt;-0.9),(ROUNDUP(-('BC2'!H$137-'BC2'!H$119)/5000,0)*5000),0)</f>
        <v>0</v>
      </c>
      <c r="I119" s="446">
        <f>IF(AND(RG!$A$90=3,('BC2'!I$137-'BC2'!I$119)&lt;-0.9),(ROUNDUP(-('BC2'!I$137-'BC2'!I$119)/5000,0)*5000),0)</f>
        <v>0</v>
      </c>
      <c r="J119" s="446">
        <f>IF(AND(RG!$A$90=3,('BC2'!J$137-'BC2'!J$119)&lt;-0.9),(ROUNDUP(-('BC2'!J$137-'BC2'!J$119)/5000,0)*5000),0)</f>
        <v>0</v>
      </c>
      <c r="K119" s="446">
        <f>IF(AND(RG!$A$90=3,('BC2'!K$137-'BC2'!K$119)&lt;-0.9),(ROUNDUP(-('BC2'!K$137-'BC2'!K$119)/5000,0)*5000),0)</f>
        <v>0</v>
      </c>
      <c r="L119" s="446">
        <f>IF(AND(RG!$A$90=3,('BC2'!L$137-'BC2'!L$119)&lt;-0.9),(ROUNDUP(-('BC2'!L$137-'BC2'!L$119)/5000,0)*5000),0)</f>
        <v>0</v>
      </c>
      <c r="M119" s="446">
        <f>IF(AND(RG!$A$90=3,('BC2'!M$137-'BC2'!M$119)&lt;-0.9),(ROUNDUP(-('BC2'!M$137-'BC2'!M$119)/5000,0)*5000),0)</f>
        <v>0</v>
      </c>
      <c r="N119" s="446">
        <f>IF(AND(RG!$A$90=3,('BC2'!N$137-'BC2'!N$119)&lt;-0.9),(ROUNDUP(-('BC2'!N$137-'BC2'!N$119)/5000,0)*5000),0)</f>
        <v>0</v>
      </c>
      <c r="O119" s="722"/>
    </row>
    <row r="120" spans="1:22">
      <c r="C120"/>
      <c r="D120"/>
      <c r="E120"/>
      <c r="F120"/>
      <c r="G120"/>
      <c r="H120"/>
      <c r="I120"/>
      <c r="J120"/>
      <c r="K120"/>
      <c r="L120"/>
      <c r="M120"/>
      <c r="N120"/>
    </row>
    <row r="121" spans="1:22">
      <c r="B121" s="431" t="s">
        <v>319</v>
      </c>
      <c r="C121" s="446">
        <f>-IF('BC2'!C$137/5000&gt;=1,MIN((ROUNDDOWN('BC2'!C$137/5000,0)*5000),'BC2'!C$139),0)</f>
        <v>0</v>
      </c>
      <c r="D121" s="446">
        <f>-IF('BC2'!D$137/5000&gt;=1,MIN((ROUNDDOWN('BC2'!D$137/5000,0)*5000),'BC2'!D$139),0)</f>
        <v>0</v>
      </c>
      <c r="E121" s="446">
        <f>-IF('BC2'!E$137/5000&gt;=1,MIN((ROUNDDOWN('BC2'!E$137/5000,0)*5000),'BC2'!E$139),0)</f>
        <v>0</v>
      </c>
      <c r="F121" s="446">
        <f>-IF('BC2'!F$137/5000&gt;=1,MIN((ROUNDDOWN('BC2'!F$137/5000,0)*5000),'BC2'!F$139),0)</f>
        <v>0</v>
      </c>
      <c r="G121" s="446">
        <f>-IF('BC2'!G$137/5000&gt;=1,MIN((ROUNDDOWN('BC2'!G$137/5000,0)*5000),'BC2'!G$139),0)</f>
        <v>0</v>
      </c>
      <c r="H121" s="446">
        <f>-IF('BC2'!H$137/5000&gt;=1,MIN((ROUNDDOWN('BC2'!H$137/5000,0)*5000),'BC2'!H$139),0)</f>
        <v>0</v>
      </c>
      <c r="I121" s="446">
        <f>-IF('BC2'!I$137/5000&gt;=1,MIN((ROUNDDOWN('BC2'!I$137/5000,0)*5000),'BC2'!I$139),0)</f>
        <v>0</v>
      </c>
      <c r="J121" s="446">
        <f>-IF('BC2'!J$137/5000&gt;=1,MIN((ROUNDDOWN('BC2'!J$137/5000,0)*5000),'BC2'!J$139),0)</f>
        <v>0</v>
      </c>
      <c r="K121" s="446">
        <f>-IF('BC2'!K$137/5000&gt;=1,MIN((ROUNDDOWN('BC2'!K$137/5000,0)*5000),'BC2'!K$139),0)</f>
        <v>0</v>
      </c>
      <c r="L121" s="446">
        <f>-IF('BC2'!L$137/5000&gt;=1,MIN((ROUNDDOWN('BC2'!L$137/5000,0)*5000),'BC2'!L$139),0)</f>
        <v>0</v>
      </c>
      <c r="M121" s="446">
        <f>-IF('BC2'!M$137/5000&gt;=1,MIN((ROUNDDOWN('BC2'!M$137/5000,0)*5000),'BC2'!M$139),0)</f>
        <v>0</v>
      </c>
      <c r="N121" s="446">
        <f>-IF('BC2'!N$137/5000&gt;=1,MIN((ROUNDDOWN('BC2'!N$137/5000,0)*5000),'BC2'!N$139),0)</f>
        <v>0</v>
      </c>
      <c r="O121" s="722"/>
    </row>
    <row r="126" spans="1:22">
      <c r="B126" s="448" t="s">
        <v>165</v>
      </c>
      <c r="D126" s="448" t="s">
        <v>624</v>
      </c>
      <c r="F126" s="575" t="s">
        <v>270</v>
      </c>
    </row>
    <row r="127" spans="1:22">
      <c r="A127" s="431">
        <v>1</v>
      </c>
      <c r="B127" s="449" t="s">
        <v>255</v>
      </c>
      <c r="D127" s="439">
        <v>2</v>
      </c>
      <c r="F127" s="453">
        <f>IF(AND(DG!$A127=1,CF!J35&gt;0),BP!$K$24,0)</f>
        <v>0</v>
      </c>
      <c r="G127" s="450">
        <f>IF(DG!$A$127=2,BP!$H$15,0)</f>
        <v>0</v>
      </c>
      <c r="H127" s="450">
        <f>IF(DG!$A$127=3,BP!$H$15,0)</f>
        <v>0</v>
      </c>
      <c r="I127" s="450">
        <f>IF(DG!$A$127=4,BP!$H$15,0)</f>
        <v>0</v>
      </c>
      <c r="J127" s="450">
        <f>IF(DG!$A$127=5,BP!$H$15,0)</f>
        <v>0</v>
      </c>
      <c r="K127" s="450">
        <f>IF(DG!$A$127=6,BP!$H$15,0)</f>
        <v>0</v>
      </c>
      <c r="L127" s="450">
        <f>IF(DG!$A$127=7,BP!$H$15,0)</f>
        <v>0</v>
      </c>
      <c r="M127" s="450">
        <f>IF(DG!$A$127=8,BP!$H$15,0)</f>
        <v>0</v>
      </c>
      <c r="N127" s="451">
        <f>IF(DG!$A$127=9,BP!$H$15,0)</f>
        <v>0</v>
      </c>
      <c r="O127" s="431">
        <f>IF(DG!$A$127=10,BP!$H$15,0)</f>
        <v>0</v>
      </c>
      <c r="P127" s="431">
        <f>IF(DG!$A$127=11,BP!$H$15,0)</f>
        <v>0</v>
      </c>
      <c r="Q127" s="431">
        <f>IF(DG!$A$127=12,BP!$H$15,0)</f>
        <v>0</v>
      </c>
      <c r="R127" s="431">
        <f>IF(DG!$A$127=13,BP!$H$15,0)</f>
        <v>0</v>
      </c>
      <c r="V127" s="431" t="s">
        <v>155</v>
      </c>
    </row>
    <row r="128" spans="1:22">
      <c r="A128" s="431">
        <v>1</v>
      </c>
      <c r="B128" s="452" t="s">
        <v>262</v>
      </c>
      <c r="D128" s="441">
        <v>3</v>
      </c>
      <c r="F128" s="453">
        <f>IF(AND(DG!$A128=1,CF!J36&gt;0),'ECT1'!$M$17,0)</f>
        <v>0</v>
      </c>
      <c r="G128" s="431">
        <f>IF(DG!$A$128=2,'ECT1'!$M$17,0)</f>
        <v>0</v>
      </c>
      <c r="H128" s="431">
        <f>IF(DG!$A$128=3,'ECT1'!$M$17,0)</f>
        <v>0</v>
      </c>
      <c r="I128" s="431">
        <f>IF(DG!$A$128=4,'ECT1'!$M$17,0)</f>
        <v>0</v>
      </c>
      <c r="J128" s="431">
        <f>IF(DG!$A$128=5,'ECT1'!$M$17,0)</f>
        <v>0</v>
      </c>
      <c r="K128" s="431">
        <f>IF(DG!$A$128=6,'ECT1'!$M$17,0)</f>
        <v>0</v>
      </c>
      <c r="L128" s="431">
        <f>IF(DG!$A$128=7,'ECT1'!$M$17,0)</f>
        <v>0</v>
      </c>
      <c r="M128" s="431">
        <f>IF(DG!$A$128=8,'ECT1'!$M$17,0)</f>
        <v>0</v>
      </c>
      <c r="N128" s="454">
        <f>IF(DG!$A$128=9,'ECT1'!$M$17,0)</f>
        <v>0</v>
      </c>
      <c r="O128" s="431">
        <f>IF(DG!$A$128=10,'ECT1'!$M$17,0)</f>
        <v>0</v>
      </c>
      <c r="P128" s="431">
        <f>IF(DG!$A$128=11,'ECT1'!$M$17,0)</f>
        <v>0</v>
      </c>
      <c r="Q128" s="431">
        <f>IF(DG!$A$128=12,'ECT1'!$M$17,0)</f>
        <v>0</v>
      </c>
      <c r="R128" s="431">
        <f>IF(DG!$A$128=13,'ECT1'!$M$17,0)</f>
        <v>0</v>
      </c>
      <c r="V128" s="431" t="s">
        <v>156</v>
      </c>
    </row>
    <row r="129" spans="1:18">
      <c r="A129" s="431">
        <v>1</v>
      </c>
      <c r="B129" s="452" t="s">
        <v>263</v>
      </c>
      <c r="D129" s="441">
        <v>4</v>
      </c>
      <c r="F129" s="453">
        <f>IF(AND(DG!$A129=1,CF!J37&gt;0),'ECT2'!$M$17,0)</f>
        <v>0</v>
      </c>
      <c r="G129" s="431">
        <f>IF(DG!$A$129=2,'ECT2'!$M$17,0)</f>
        <v>0</v>
      </c>
      <c r="H129" s="431">
        <f>IF(DG!$A$129=3,'ECT2'!$M$17,0)</f>
        <v>0</v>
      </c>
      <c r="I129" s="431">
        <f>IF(DG!$A$129=4,'ECT2'!$M$17,0)</f>
        <v>0</v>
      </c>
      <c r="J129" s="431">
        <f>IF(DG!$A$129=5,'ECT2'!$M$17,0)</f>
        <v>0</v>
      </c>
      <c r="K129" s="431">
        <f>IF(DG!$A$129=6,'ECT2'!$M$17,0)</f>
        <v>0</v>
      </c>
      <c r="L129" s="431">
        <f>IF(DG!$A$129=7,'ECT2'!$M$17,0)</f>
        <v>0</v>
      </c>
      <c r="M129" s="431">
        <f>IF(DG!$A$129=8,'ECT2'!$M$17,0)</f>
        <v>0</v>
      </c>
      <c r="N129" s="454">
        <f>IF(DG!$A$129=9,'ECT2'!$M$17,0)</f>
        <v>0</v>
      </c>
      <c r="O129" s="431">
        <f>IF(DG!$A$129=10,'ECT2'!$M$17,0)</f>
        <v>0</v>
      </c>
      <c r="P129" s="431">
        <f>IF(DG!$A$129=11,'ECT2'!$M$17,0)</f>
        <v>0</v>
      </c>
      <c r="Q129" s="431">
        <f>IF(DG!$A$129=12,'ECT2'!$M$17,0)</f>
        <v>0</v>
      </c>
      <c r="R129" s="431">
        <f>IF(DG!$A$129=13,'ECT2'!$M$17,0)</f>
        <v>0</v>
      </c>
    </row>
    <row r="130" spans="1:18">
      <c r="A130" s="431">
        <v>1</v>
      </c>
      <c r="B130" s="452" t="s">
        <v>264</v>
      </c>
      <c r="D130" s="441">
        <v>5</v>
      </c>
      <c r="F130" s="453">
        <f>IF(AND(DG!$A130=1,CF!J40&gt;0),EH!$M$17,0)</f>
        <v>0</v>
      </c>
      <c r="G130" s="431">
        <f>IF(DG!$A$130=2,EH!$M$17,0)</f>
        <v>0</v>
      </c>
      <c r="H130" s="431">
        <f>IF(DG!$A$130=3,EH!$M$17,0)</f>
        <v>0</v>
      </c>
      <c r="I130" s="431">
        <f>IF(DG!$A$130=4,EH!$M$17,0)</f>
        <v>0</v>
      </c>
      <c r="J130" s="431">
        <f>IF(DG!$A$130=5,EH!$M$17,0)</f>
        <v>0</v>
      </c>
      <c r="K130" s="431">
        <f>IF(DG!$A$130=6,EH!$M$17,0)</f>
        <v>0</v>
      </c>
      <c r="L130" s="431">
        <f>IF(DG!$A$130=7,EH!$M$17,0)</f>
        <v>0</v>
      </c>
      <c r="M130" s="431">
        <f>IF(DG!$A$130=8,EH!$M$17,0)</f>
        <v>0</v>
      </c>
      <c r="N130" s="454">
        <f>IF(DG!$A$130=9,EH!$M$17,0)</f>
        <v>0</v>
      </c>
      <c r="O130" s="431">
        <f>IF(DG!$A$130=10,EH!$M$17,0)</f>
        <v>0</v>
      </c>
      <c r="P130" s="431">
        <f>IF(DG!$A$130=11,EH!$M$17,0)</f>
        <v>0</v>
      </c>
      <c r="Q130" s="431">
        <f>IF(DG!$A$130=12,EH!$M$17,0)</f>
        <v>0</v>
      </c>
      <c r="R130" s="431">
        <f>IF(DG!$A$130=13,EH!$M$17,0)</f>
        <v>0</v>
      </c>
    </row>
    <row r="131" spans="1:18">
      <c r="A131" s="431">
        <v>1</v>
      </c>
      <c r="B131" s="452" t="s">
        <v>265</v>
      </c>
      <c r="D131" s="441">
        <v>6</v>
      </c>
      <c r="F131" s="453">
        <f>IF(AND(DG!$A131=1,CF!J41&gt;0),'ELT1'!$M$17,0)</f>
        <v>20000</v>
      </c>
      <c r="G131" s="431">
        <f>IF(DG!$A$131=2,'ELT1'!$M$17,0)</f>
        <v>0</v>
      </c>
      <c r="H131" s="431">
        <f>IF(DG!$A$131=3,'ELT1'!$M$17,0)</f>
        <v>0</v>
      </c>
      <c r="I131" s="431">
        <f>IF(DG!$A$131=4,'ELT1'!$M$17,0)</f>
        <v>0</v>
      </c>
      <c r="J131" s="431">
        <f>IF(DG!$A$131=5,'ELT1'!$M$17,0)</f>
        <v>0</v>
      </c>
      <c r="K131" s="431">
        <f>IF(DG!$A$131=6,'ELT1'!$M$17,0)</f>
        <v>0</v>
      </c>
      <c r="L131" s="431">
        <f>IF(DG!$A$131=7,'ELT1'!$M$17,0)</f>
        <v>0</v>
      </c>
      <c r="M131" s="431">
        <f>IF(DG!$A$131=8,'ELT1'!$M$17,0)</f>
        <v>0</v>
      </c>
      <c r="N131" s="454">
        <f>IF(DG!$A$131=9,'ELT1'!$M$17,0)</f>
        <v>0</v>
      </c>
      <c r="O131" s="431">
        <f>IF(DG!$A$131=10,'ELT1'!$M$17,0)</f>
        <v>0</v>
      </c>
      <c r="P131" s="431">
        <f>IF(DG!$A$131=11,'ELT1'!$M$17,0)</f>
        <v>0</v>
      </c>
      <c r="Q131" s="431">
        <f>IF(DG!$A$131=12,'ELT1'!$M$17,0)</f>
        <v>0</v>
      </c>
      <c r="R131" s="431">
        <f>IF(DG!$A$131=13,'ELT1'!$M$17,0)</f>
        <v>0</v>
      </c>
    </row>
    <row r="132" spans="1:18">
      <c r="A132" s="431">
        <v>1</v>
      </c>
      <c r="B132" s="452" t="s">
        <v>266</v>
      </c>
      <c r="D132" s="441">
        <v>7</v>
      </c>
      <c r="F132" s="453">
        <f>IF(AND(DG!$A132=1,CF!J42&gt;0),'ELT2'!$M$17,0)</f>
        <v>0</v>
      </c>
      <c r="G132" s="431">
        <f>IF(DG!$A$132=2,'ELT2'!$M$17,0)</f>
        <v>0</v>
      </c>
      <c r="H132" s="431">
        <f>IF(DG!$A$132=3,'ELT2'!$M$17,0)</f>
        <v>0</v>
      </c>
      <c r="I132" s="431">
        <f>IF(DG!$A$132=4,'ELT2'!$M$17,0)</f>
        <v>0</v>
      </c>
      <c r="J132" s="431">
        <f>IF(DG!$A$132=5,'ELT2'!$M$17,0)</f>
        <v>0</v>
      </c>
      <c r="K132" s="431">
        <f>IF(DG!$A$132=6,'ELT2'!$M$17,0)</f>
        <v>0</v>
      </c>
      <c r="L132" s="431">
        <f>IF(DG!$A$132=7,'ELT2'!$M$17,0)</f>
        <v>0</v>
      </c>
      <c r="M132" s="431">
        <f>IF(DG!$A$132=8,'ELT2'!$M$17,0)</f>
        <v>0</v>
      </c>
      <c r="N132" s="454">
        <f>IF(DG!$A$132=9,'ELT2'!$M$17,0)</f>
        <v>0</v>
      </c>
      <c r="O132" s="431">
        <f>IF(DG!$A$132=10,'ELT2'!$M$17,0)</f>
        <v>0</v>
      </c>
      <c r="P132" s="431">
        <f>IF(DG!$A$132=11,'ELT2'!$M$17,0)</f>
        <v>0</v>
      </c>
      <c r="Q132" s="431">
        <f>IF(DG!$A$132=12,'ELT2'!$M$17,0)</f>
        <v>0</v>
      </c>
      <c r="R132" s="431">
        <f>IF(DG!$A$132=13,'ELT2'!$M$17,0)</f>
        <v>0</v>
      </c>
    </row>
    <row r="133" spans="1:18">
      <c r="A133" s="431">
        <v>1</v>
      </c>
      <c r="B133" s="452" t="s">
        <v>267</v>
      </c>
      <c r="D133" s="443"/>
      <c r="F133" s="453">
        <f>IF(AND(DG!$A133=1,CF!J43&gt;0),'ELT3'!$M$17,0)</f>
        <v>0</v>
      </c>
      <c r="G133" s="431">
        <f>IF(DG!$A$133=2,'ELT3'!$M$17,0)</f>
        <v>0</v>
      </c>
      <c r="H133" s="431">
        <f>IF(DG!$A$133=3,'ELT3'!$M$17,0)</f>
        <v>0</v>
      </c>
      <c r="I133" s="431">
        <f>IF(DG!$A$133=4,'ELT3'!$M$17,0)</f>
        <v>0</v>
      </c>
      <c r="J133" s="431">
        <f>IF(DG!$A$133=5,'ELT3'!$M$17,0)</f>
        <v>0</v>
      </c>
      <c r="K133" s="431">
        <f>IF(DG!$A$133=6,'ELT3'!$M$17,0)</f>
        <v>0</v>
      </c>
      <c r="L133" s="431">
        <f>IF(DG!$A$133=7,'ELT3'!$M$17,0)</f>
        <v>0</v>
      </c>
      <c r="M133" s="431">
        <f>IF(DG!$A$133=8,'ELT3'!$M$17,0)</f>
        <v>0</v>
      </c>
      <c r="N133" s="454">
        <f>IF(DG!$A$133=9,'ELT3'!$M$17,0)</f>
        <v>0</v>
      </c>
      <c r="O133" s="431">
        <f>IF(DG!$A$133=10,'ELT3'!$M$17,0)</f>
        <v>0</v>
      </c>
      <c r="P133" s="431">
        <f>IF(DG!$A$133=11,'ELT3'!$M$17,0)</f>
        <v>0</v>
      </c>
      <c r="Q133" s="431">
        <f>IF(DG!$A$133=12,'ELT3'!$M$17,0)</f>
        <v>0</v>
      </c>
      <c r="R133" s="431">
        <f>IF(DG!$A$133=13,'ELT3'!$M$17,0)</f>
        <v>0</v>
      </c>
    </row>
    <row r="134" spans="1:18">
      <c r="A134" s="431">
        <v>1</v>
      </c>
      <c r="B134" s="452" t="s">
        <v>268</v>
      </c>
      <c r="F134" s="453">
        <f>IF(AND(DG!$A134=1,CF!J44&gt;0),'ELT4'!$M$17,0)</f>
        <v>0</v>
      </c>
      <c r="G134" s="431">
        <f>IF(DG!$A$134=2,'ELT4'!$M$17,0)</f>
        <v>0</v>
      </c>
      <c r="H134" s="431">
        <f>IF(DG!$A$134=3,'ELT4'!$M$17,0)</f>
        <v>0</v>
      </c>
      <c r="I134" s="431">
        <f>IF(DG!$A134=4,'ELT4'!$M$17,0)</f>
        <v>0</v>
      </c>
      <c r="J134" s="431">
        <f>IF(DG!$A134=5,'ELT4'!$M$17,0)</f>
        <v>0</v>
      </c>
      <c r="K134" s="431">
        <f>IF(DG!$A134=6,'ELT4'!$M$17,0)</f>
        <v>0</v>
      </c>
      <c r="L134" s="431">
        <f>IF(DG!$A134=7,'ELT4'!$M$17,0)</f>
        <v>0</v>
      </c>
      <c r="M134" s="431">
        <f>IF(DG!$A134=8,'ELT4'!$M$17,0)</f>
        <v>0</v>
      </c>
      <c r="N134" s="454">
        <f>IF(DG!$A134=9,'ELT4'!$M$17,0)</f>
        <v>0</v>
      </c>
      <c r="O134" s="431">
        <f>IF(DG!$A134=10,'ELT4'!$M$17,0)</f>
        <v>0</v>
      </c>
      <c r="P134" s="431">
        <f>IF(DG!$A134=11,'ELT4'!$M$17,0)</f>
        <v>0</v>
      </c>
      <c r="Q134" s="431">
        <f>IF(DG!$A134=12,'ELT4'!$M$17,0)</f>
        <v>0</v>
      </c>
      <c r="R134" s="431">
        <f>IF(DG!$A134=13,'ELT4'!$M$17,0)</f>
        <v>0</v>
      </c>
    </row>
    <row r="135" spans="1:18">
      <c r="A135" s="431">
        <v>1</v>
      </c>
      <c r="B135" s="452" t="s">
        <v>179</v>
      </c>
      <c r="F135" s="453">
        <f>IF(AND(DG!$A135=1,CF!J45&gt;0),'ELT5'!$M$17,0)</f>
        <v>0</v>
      </c>
      <c r="G135" s="431">
        <f>IF(DG!$A$135=2,'ELT5'!$M$17,0)</f>
        <v>0</v>
      </c>
      <c r="H135" s="431">
        <f>IF(DG!$A$135=3,'ELT5'!$M$17,0)</f>
        <v>0</v>
      </c>
      <c r="I135" s="431">
        <f>IF(DG!$A135=4,'ELT4'!$M$17,0)</f>
        <v>0</v>
      </c>
      <c r="J135" s="431">
        <f>IF(DG!$A135=5,'ELT4'!$M$17,0)</f>
        <v>0</v>
      </c>
      <c r="K135" s="431">
        <f>IF(DG!$A135=6,'ELT4'!$M$17,0)</f>
        <v>0</v>
      </c>
      <c r="L135" s="431">
        <f>IF(DG!$A135=7,'ELT4'!$M$17,0)</f>
        <v>0</v>
      </c>
      <c r="M135" s="431">
        <f>IF(DG!$A135=8,'ELT4'!$M$17,0)</f>
        <v>0</v>
      </c>
      <c r="N135" s="454">
        <f>IF(DG!$A135=9,'ELT4'!$M$17,0)</f>
        <v>0</v>
      </c>
      <c r="O135" s="431">
        <f>IF(DG!$A135=10,'ELT4'!$M$17,0)</f>
        <v>0</v>
      </c>
      <c r="P135" s="431">
        <f>IF(DG!$A135=11,'ELT4'!$M$17,0)</f>
        <v>0</v>
      </c>
      <c r="Q135" s="431">
        <f>IF(DG!$A135=12,'ELT4'!$M$17,0)</f>
        <v>0</v>
      </c>
      <c r="R135" s="431">
        <f>IF(DG!$A135=13,'ELT4'!$M$17,0)</f>
        <v>0</v>
      </c>
    </row>
    <row r="136" spans="1:18">
      <c r="A136" s="431">
        <v>1</v>
      </c>
      <c r="B136" s="441" t="s">
        <v>41</v>
      </c>
      <c r="F136" s="453">
        <f>IF(AND(DG!$A136=1,CF!J46&gt;0),'ELT6'!$M$17,0)</f>
        <v>0</v>
      </c>
      <c r="G136" s="431">
        <f>IF(DG!$A$136=2,'ELT6'!$M$17,0)</f>
        <v>0</v>
      </c>
      <c r="H136" s="431">
        <f>IF(DG!$A$136=3,'ELT6'!$M$17,0)</f>
        <v>0</v>
      </c>
      <c r="I136" s="431">
        <f>IF(DG!$A136=4,'ELT4'!$M$17,0)</f>
        <v>0</v>
      </c>
      <c r="J136" s="431">
        <f>IF(DG!$A136=5,'ELT4'!$M$17,0)</f>
        <v>0</v>
      </c>
      <c r="K136" s="431">
        <f>IF(DG!$A136=6,'ELT4'!$M$17,0)</f>
        <v>0</v>
      </c>
      <c r="L136" s="431">
        <f>IF(DG!$A136=7,'ELT4'!$M$17,0)</f>
        <v>0</v>
      </c>
      <c r="M136" s="431">
        <f>IF(DG!$A136=8,'ELT4'!$M$17,0)</f>
        <v>0</v>
      </c>
      <c r="N136" s="454">
        <f>IF(DG!$A136=9,'ELT4'!$M$17,0)</f>
        <v>0</v>
      </c>
      <c r="O136" s="431">
        <f>IF(DG!$A136=10,'ELT4'!$M$17,0)</f>
        <v>0</v>
      </c>
      <c r="P136" s="431">
        <f>IF(DG!$A136=11,'ELT4'!$M$17,0)</f>
        <v>0</v>
      </c>
      <c r="Q136" s="431">
        <f>IF(DG!$A136=12,'ELT4'!$M$17,0)</f>
        <v>0</v>
      </c>
      <c r="R136" s="431">
        <f>IF(DG!$A136=13,'ELT4'!$M$17,0)</f>
        <v>0</v>
      </c>
    </row>
    <row r="137" spans="1:18">
      <c r="A137" s="431">
        <v>1</v>
      </c>
      <c r="B137" s="441" t="s">
        <v>42</v>
      </c>
      <c r="F137" s="453">
        <f>IF(AND(DG!$A137=1,CF!J47&gt;0),'ELT7'!$M$17,0)</f>
        <v>0</v>
      </c>
      <c r="G137" s="431">
        <f>IF(DG!$A$137=2,'ELT7'!$M$17,0)</f>
        <v>0</v>
      </c>
      <c r="H137" s="431">
        <f>IF(DG!$A$137=3,'ELT7'!$M$17,0)</f>
        <v>0</v>
      </c>
      <c r="I137" s="431">
        <f>IF(DG!$A137=4,'ELT4'!$M$17,0)</f>
        <v>0</v>
      </c>
      <c r="J137" s="431">
        <f>IF(DG!$A137=5,'ELT4'!$M$17,0)</f>
        <v>0</v>
      </c>
      <c r="K137" s="431">
        <f>IF(DG!$A137=6,'ELT4'!$M$17,0)</f>
        <v>0</v>
      </c>
      <c r="L137" s="431">
        <f>IF(DG!$A137=7,'ELT4'!$M$17,0)</f>
        <v>0</v>
      </c>
      <c r="M137" s="431">
        <f>IF(DG!$A137=8,'ELT4'!$M$17,0)</f>
        <v>0</v>
      </c>
      <c r="N137" s="454">
        <f>IF(DG!$A137=9,'ELT4'!$M$17,0)</f>
        <v>0</v>
      </c>
      <c r="O137" s="431">
        <f>IF(DG!$A137=10,'ELT4'!$M$17,0)</f>
        <v>0</v>
      </c>
      <c r="P137" s="431">
        <f>IF(DG!$A137=11,'ELT4'!$M$17,0)</f>
        <v>0</v>
      </c>
      <c r="Q137" s="431">
        <f>IF(DG!$A137=12,'ELT4'!$M$17,0)</f>
        <v>0</v>
      </c>
      <c r="R137" s="431">
        <f>IF(DG!$A137=13,'ELT4'!$M$17,0)</f>
        <v>0</v>
      </c>
    </row>
    <row r="138" spans="1:18">
      <c r="B138" s="441" t="s">
        <v>43</v>
      </c>
      <c r="F138" s="640">
        <f>SUM(F127:F137)</f>
        <v>20000</v>
      </c>
      <c r="G138" s="640">
        <f t="shared" ref="G138:R138" si="0">SUM(G127:G137)</f>
        <v>0</v>
      </c>
      <c r="H138" s="640">
        <f t="shared" si="0"/>
        <v>0</v>
      </c>
      <c r="I138" s="640">
        <f t="shared" si="0"/>
        <v>0</v>
      </c>
      <c r="J138" s="640">
        <f t="shared" si="0"/>
        <v>0</v>
      </c>
      <c r="K138" s="640">
        <f t="shared" si="0"/>
        <v>0</v>
      </c>
      <c r="L138" s="640">
        <f t="shared" si="0"/>
        <v>0</v>
      </c>
      <c r="M138" s="640">
        <f t="shared" si="0"/>
        <v>0</v>
      </c>
      <c r="N138" s="640">
        <f t="shared" si="0"/>
        <v>0</v>
      </c>
      <c r="O138" s="640">
        <f t="shared" si="0"/>
        <v>0</v>
      </c>
      <c r="P138" s="640">
        <f t="shared" si="0"/>
        <v>0</v>
      </c>
      <c r="Q138" s="640">
        <f t="shared" si="0"/>
        <v>0</v>
      </c>
      <c r="R138" s="640">
        <f t="shared" si="0"/>
        <v>0</v>
      </c>
    </row>
    <row r="139" spans="1:18">
      <c r="B139" s="457"/>
      <c r="F139" s="641"/>
      <c r="G139" s="447">
        <v>3</v>
      </c>
      <c r="H139" s="447">
        <v>6</v>
      </c>
      <c r="I139" s="447">
        <v>9</v>
      </c>
      <c r="J139" s="447">
        <v>12</v>
      </c>
      <c r="K139" s="447">
        <v>15</v>
      </c>
      <c r="L139" s="447">
        <v>18</v>
      </c>
      <c r="M139" s="447">
        <v>21</v>
      </c>
      <c r="N139" s="456">
        <v>24</v>
      </c>
      <c r="O139" s="431" t="s">
        <v>256</v>
      </c>
      <c r="P139" s="431" t="s">
        <v>39</v>
      </c>
      <c r="Q139" s="431" t="s">
        <v>40</v>
      </c>
    </row>
    <row r="140" spans="1:18">
      <c r="B140" s="443"/>
    </row>
    <row r="141" spans="1:18">
      <c r="B141" s="443"/>
    </row>
    <row r="142" spans="1:18">
      <c r="B142" s="443"/>
    </row>
    <row r="143" spans="1:18">
      <c r="B143" s="457"/>
    </row>
    <row r="144" spans="1:18">
      <c r="B144" s="457"/>
    </row>
    <row r="145" spans="1:280">
      <c r="B145" s="457"/>
    </row>
    <row r="146" spans="1:280">
      <c r="B146" s="457"/>
    </row>
    <row r="147" spans="1:280">
      <c r="B147" s="457"/>
    </row>
    <row r="148" spans="1:280">
      <c r="B148" s="457"/>
    </row>
    <row r="149" spans="1:280">
      <c r="B149" s="457"/>
    </row>
    <row r="150" spans="1:280">
      <c r="B150" s="458"/>
    </row>
    <row r="151" spans="1:280">
      <c r="B151" s="458"/>
    </row>
    <row r="152" spans="1:280">
      <c r="B152" s="458"/>
    </row>
    <row r="153" spans="1:280">
      <c r="B153" s="458"/>
    </row>
    <row r="154" spans="1:280">
      <c r="B154" s="458"/>
    </row>
    <row r="155" spans="1:280">
      <c r="A155" s="448" t="s">
        <v>257</v>
      </c>
      <c r="B155" s="458"/>
    </row>
    <row r="156" spans="1:280">
      <c r="B156" s="458"/>
      <c r="D156" s="431" t="str">
        <f>A158</f>
        <v>Loyer</v>
      </c>
      <c r="E156" s="431" t="str">
        <f>A159</f>
        <v>Coût d'énergie</v>
      </c>
      <c r="F156" s="431" t="str">
        <f>A160</f>
        <v>Entretien / réparation</v>
      </c>
      <c r="G156" s="431" t="str">
        <f>A161</f>
        <v>Services sanitaires</v>
      </c>
      <c r="H156" s="431" t="str">
        <f>A162</f>
        <v>Frais de déplacement</v>
      </c>
      <c r="I156" s="431" t="str">
        <f>A163</f>
        <v>Immatriculation et permis</v>
      </c>
      <c r="J156" s="431" t="str">
        <f>A164</f>
        <v>Assurances</v>
      </c>
      <c r="K156" s="431" t="str">
        <f>A165</f>
        <v>Dépenses R&amp;D</v>
      </c>
      <c r="L156" s="431" t="str">
        <f>A166</f>
        <v>Autre frais d'exploitation 1</v>
      </c>
      <c r="M156" s="431" t="str">
        <f>$A167</f>
        <v>Autre frais d'exploitation 2</v>
      </c>
      <c r="N156" s="431" t="str">
        <f>$A168</f>
        <v>Autre frais d'exploitation 3</v>
      </c>
      <c r="O156" s="431" t="str">
        <f>$A169</f>
        <v>Autre frais d'exploitation 4</v>
      </c>
      <c r="P156" s="431" t="str">
        <f>$A170</f>
        <v>Autre frais d'exploitation 5</v>
      </c>
      <c r="Q156" s="431" t="str">
        <f>$A171</f>
        <v>Autre frais d'exploitation 6</v>
      </c>
      <c r="R156" s="431" t="str">
        <f>$A172</f>
        <v>Autre frais d'exploitation 7</v>
      </c>
      <c r="S156" s="431" t="str">
        <f>$A173</f>
        <v>Autre frais d'exploitation 8</v>
      </c>
      <c r="T156" s="431" t="str">
        <f>$A174</f>
        <v>Frais de représentation</v>
      </c>
      <c r="U156" s="431" t="str">
        <f>$A175</f>
        <v>Publicité</v>
      </c>
      <c r="V156" s="431" t="str">
        <f>$A176</f>
        <v>Autres frais de vente 1</v>
      </c>
      <c r="W156" s="431" t="str">
        <f>$A177</f>
        <v>Autres frais de vente 2</v>
      </c>
      <c r="X156" s="431" t="str">
        <f>$A178</f>
        <v>Autres frais de vente 3</v>
      </c>
      <c r="Y156" s="431" t="str">
        <f>$A179</f>
        <v>Autres frais de vente 4</v>
      </c>
      <c r="Z156" s="431" t="str">
        <f>$A180</f>
        <v>Autres frais de vente 5</v>
      </c>
      <c r="AA156" s="431" t="str">
        <f>$A181</f>
        <v>Téléphonie et internet</v>
      </c>
      <c r="AB156" s="431" t="str">
        <f>$A182</f>
        <v>Honoraires professionnels</v>
      </c>
      <c r="AC156" s="431" t="str">
        <f>$A183</f>
        <v>Frais de bureau</v>
      </c>
      <c r="AD156" s="431" t="str">
        <f>$A184</f>
        <v>Mauvaises créances</v>
      </c>
      <c r="AE156" s="431" t="str">
        <f>$A185</f>
        <v>Fournitures de bureau</v>
      </c>
      <c r="AF156" s="431" t="str">
        <f>$A186</f>
        <v>Fais d'hébèrgement de site Web</v>
      </c>
      <c r="AG156" s="431" t="str">
        <f>$A187</f>
        <v>Autres frais d'administration 2</v>
      </c>
      <c r="AH156" s="431" t="str">
        <f>$A188</f>
        <v>Autres frais d'administration 3</v>
      </c>
      <c r="AI156" s="431" t="str">
        <f>$A189</f>
        <v>Autres frais d'administration 4</v>
      </c>
      <c r="AJ156" s="431" t="str">
        <f>$A190</f>
        <v>Autres frais d'administration 5</v>
      </c>
      <c r="AK156" s="431" t="str">
        <f>$A191</f>
        <v>Frais bancaires</v>
      </c>
      <c r="AL156" s="431" t="str">
        <f>$A192</f>
        <v>Dépôt Électricité</v>
      </c>
      <c r="AM156" s="431" t="str">
        <f>$A193</f>
        <v>Dépôt Téléphone</v>
      </c>
      <c r="AN156" s="431" t="str">
        <f>$A194</f>
        <v>Dépôt Gaz</v>
      </c>
      <c r="AO156" s="431" t="str">
        <f>$A195</f>
        <v>Dépôt Loyer</v>
      </c>
      <c r="AP156" s="431" t="str">
        <f>$A196</f>
        <v>Autres dépôts de sécurité</v>
      </c>
      <c r="IC156" s="1056"/>
      <c r="ID156" s="1056"/>
      <c r="IE156" s="1056"/>
      <c r="IU156" s="431"/>
      <c r="IV156" s="431"/>
      <c r="IW156" s="431"/>
    </row>
    <row r="157" spans="1:280" ht="13">
      <c r="A157" s="459" t="s">
        <v>425</v>
      </c>
      <c r="B157" s="460"/>
      <c r="C157" s="450"/>
      <c r="D157" s="450"/>
      <c r="E157" s="450"/>
      <c r="F157" s="450"/>
      <c r="G157" s="450"/>
      <c r="H157" s="450"/>
      <c r="I157" s="450"/>
      <c r="J157" s="450"/>
      <c r="K157" s="450"/>
      <c r="L157" s="450"/>
      <c r="M157" s="450"/>
      <c r="N157" s="450"/>
      <c r="O157" s="450"/>
      <c r="P157" s="450"/>
      <c r="Q157" s="450"/>
      <c r="R157" s="450"/>
      <c r="S157" s="450"/>
      <c r="IC157" s="1056"/>
      <c r="ID157" s="1056"/>
      <c r="IE157" s="1056"/>
      <c r="IU157" s="431"/>
      <c r="IV157" s="431"/>
      <c r="IW157" s="431"/>
    </row>
    <row r="158" spans="1:280" ht="13">
      <c r="A158" s="1159" t="str">
        <f>'FG1'!A14</f>
        <v>Loyer</v>
      </c>
      <c r="B158" s="1160"/>
      <c r="C158" s="461">
        <v>26</v>
      </c>
      <c r="D158" s="462">
        <f>IF(DG!$C158=2,FDD!$H14,0)</f>
        <v>0</v>
      </c>
      <c r="E158" s="462">
        <f>IF(DG!$C158=3,FDD!$H14,0)</f>
        <v>0</v>
      </c>
      <c r="F158" s="462">
        <f>IF(DG!$C158=4,FDD!$H14,0)</f>
        <v>0</v>
      </c>
      <c r="G158" s="462">
        <f>IF(DG!$C158=5,FDD!$H14,0)</f>
        <v>0</v>
      </c>
      <c r="H158" s="462">
        <f>IF(DG!$C158=6,FDD!$H14,0)</f>
        <v>0</v>
      </c>
      <c r="I158" s="462">
        <f>IF(DG!$C158=7,FDD!$H14,0)</f>
        <v>0</v>
      </c>
      <c r="J158" s="462">
        <f>IF(DG!$C158=8,FDD!$H14,0)</f>
        <v>0</v>
      </c>
      <c r="K158" s="462">
        <f>IF(DG!$C158=9,FDD!$H14,0)</f>
        <v>0</v>
      </c>
      <c r="L158" s="462">
        <f>IF(DG!$C158=10,FDD!$H14,0)</f>
        <v>0</v>
      </c>
      <c r="M158" s="462">
        <f>IF(DG!$C158=11,FDD!$H14,0)</f>
        <v>0</v>
      </c>
      <c r="N158" s="462">
        <f>IF(DG!$C158=12,FDD!$H14,0)</f>
        <v>0</v>
      </c>
      <c r="O158" s="462">
        <f>IF(DG!$C158=13,FDD!$H14,0)</f>
        <v>0</v>
      </c>
      <c r="P158" s="462">
        <f>IF(DG!$C158=14,FDD!$H14,0)</f>
        <v>0</v>
      </c>
      <c r="Q158" s="462">
        <f>IF(DG!$C158=15,FDD!$H14,0)</f>
        <v>0</v>
      </c>
      <c r="R158" s="462">
        <f>IF(DG!$C158=16,FDD!$H14,0)</f>
        <v>0</v>
      </c>
      <c r="S158" s="462">
        <f>IF(DG!$C158=17,FDD!$H14,0)</f>
        <v>0</v>
      </c>
      <c r="T158" s="462">
        <f>IF(DG!$C158=18,FDD!$H14,0)</f>
        <v>0</v>
      </c>
      <c r="U158" s="462">
        <f>IF(DG!$C158=19,FDD!$H14,0)</f>
        <v>0</v>
      </c>
      <c r="V158" s="462">
        <f>IF(DG!$C158=20,FDD!$H14,0)</f>
        <v>0</v>
      </c>
      <c r="W158" s="462">
        <f>IF(DG!$C158=21,FDD!$H14,0)</f>
        <v>0</v>
      </c>
      <c r="X158" s="462">
        <f>IF(DG!$C158=22,FDD!$H14,0)</f>
        <v>0</v>
      </c>
      <c r="Y158" s="462">
        <f>IF(DG!$C158=23,FDD!$H14,0)</f>
        <v>0</v>
      </c>
      <c r="Z158" s="462">
        <f>IF(DG!$C158=24,FDD!$H14,0)</f>
        <v>0</v>
      </c>
      <c r="AA158" s="462">
        <f>IF(DG!$C158=25,FDD!$H14,0)</f>
        <v>0</v>
      </c>
      <c r="AB158" s="462">
        <f>IF(DG!$C158=26,FDD!$H14,0)</f>
        <v>1</v>
      </c>
      <c r="AC158" s="462">
        <f>IF(DG!$C158=27,FDD!$H14,0)</f>
        <v>0</v>
      </c>
      <c r="AD158" s="462">
        <f>IF(DG!$C158=28,FDD!$H14,0)</f>
        <v>0</v>
      </c>
      <c r="AE158" s="462">
        <f>IF(DG!$C158=29,FDD!$H14,0)</f>
        <v>0</v>
      </c>
      <c r="AF158" s="462">
        <f>IF(DG!$C158=30,FDD!$H14,0)</f>
        <v>0</v>
      </c>
      <c r="AG158" s="462">
        <f>IF(DG!$C158=31,FDD!$H14,0)</f>
        <v>0</v>
      </c>
      <c r="AH158" s="462">
        <f>IF(DG!$C158=32,FDD!$H14,0)</f>
        <v>0</v>
      </c>
      <c r="AI158" s="462">
        <f>IF(DG!$C158=33,FDD!$H14,0)</f>
        <v>0</v>
      </c>
      <c r="AJ158" s="462">
        <f>IF(DG!$C158=34,FDD!$H14,0)</f>
        <v>0</v>
      </c>
      <c r="AK158" s="462">
        <f>IF(DG!$C158=35,FDD!$H14,0)</f>
        <v>0</v>
      </c>
      <c r="AL158" s="462">
        <f>IF(DG!$C158=36,FDD!$H14,0)</f>
        <v>0</v>
      </c>
      <c r="AM158" s="462">
        <f>IF(DG!$C158=37,FDD!$H14,0)</f>
        <v>0</v>
      </c>
      <c r="AN158" s="462">
        <f>IF(DG!$C158=38,FDD!$H14,0)</f>
        <v>0</v>
      </c>
      <c r="AO158" s="462">
        <f>IF(DG!$C158=39,FDD!$H14,0)</f>
        <v>0</v>
      </c>
      <c r="AP158" s="462">
        <f>IF(DG!$C158=40,FDD!$H14,0)</f>
        <v>0</v>
      </c>
      <c r="AQ158" s="462"/>
      <c r="AR158" s="1059">
        <f>IF(AS158=D$156,D$197,IF(AS158=E$156,E$197,IF(AS158=F$156,F$197,IF(AS158=G$156,G$197,IF(AS158=H$156,H$197,IF(AS158=I$156,I$197,IF(AS158=J$156,J$197,IF(AS158=K$156,K$197,IF(AS158=L$156,L$197,IF(AS158=M$156,M$197,IF(AS158=N$156,N$197,IF(AS158=O$156,O$197,IF(AS158=P$156,P$197,IF(AS158=Q$156,Q$197,IF(AS158=R$156,R$197,IF(AS158=S$156,S$197,IF(AS158=T$156,T$197,IF(AS158=U$156,U$197,IF(AS158=V$156,V$197,IF(AS158=W$156,W$197,IF(AS158=X$156,X$197,IF(AS158=Y$156,Y$197,IF(AS158=Z$156,Z$197,IF(AS158=AA$156,AA$197,IF(AS158=AA$156,AA$197,IF(AS158=AB$156,AB$197,IF(AS158=AC$156,AC$197,IF(AS158=AD$156,AD$197,IF(AS158=AE$156,AE$197,IF(AS158=AF$156,AF$197,IF(AS158=AG$156,AG$197,IF(AS158=AH$156,AH$197,IF(AS158=AI$156,AI$197,IF(AS158=AJ$156,AJ$197,IF(AS158=AK$156,AK$197,IF(AS158=AL$156,AL$197,IF(AS158=AM$156,AM$197,IF(AS158=AN$156,AN$197,IF(AS158=AO$156,AO$197,IF(AS158=AP$156,AP$197,0))))))))))))))))))))))))))))))))))))))))</f>
        <v>1</v>
      </c>
      <c r="AS158" s="1056" t="str">
        <f>IF($C158=2,A$158,IF($C158=3,A$159,IF($C158=4,A$160,IF($C158=5,A$161,IF($C158=6,A$162,IF($C158=7,A$163,IF($C158=8,A$164,IF($C158=9,A$165,IF($C158=10,A$166,IF($C158=11,A$167,IF($C158=12,A$168,IF($C158=13,A$169,IF($C158=14,A$170,IF($C158=15,A$171,IF($C158=16,A$172,IF($C158=17,A$173,IF($C158=18,A$174,IF($C158=19,A$175,IF($C158=20,A$176,IF($C158=21,A$177,IF($C158=22,A$178,IF($C158=23,A$179,IF($C158=24,A$180,IF($C158=25,A$181,IF($C158=26,A$182,IF($C158=27,A$183,IF($C158=28,A$184,IF($C158=29,A$185,IF($C158=30,A$186,IF($C158=31,A$187,IF($C158=32,A$188,IF($C158=33,A$189,IF($C158=34,A$190,IF($C158=35,A$191,IF($C158=36,A$192,IF($C158=37,A$193,IF($C158=38,A$194,IF($C158=39,A$195,IF($C158=40,A$196,"")))))))))))))))))))))))))))))))))))))))</f>
        <v>Honoraires professionnels</v>
      </c>
      <c r="AT158" s="1056"/>
      <c r="IU158" s="431"/>
      <c r="IV158" s="431"/>
      <c r="IW158" s="431"/>
      <c r="JR158" s="1056"/>
      <c r="JS158" s="1056"/>
      <c r="JT158" s="1056"/>
    </row>
    <row r="159" spans="1:280" ht="13">
      <c r="A159" s="1159" t="str">
        <f>'FG1'!A16</f>
        <v>Coût d'énergie</v>
      </c>
      <c r="B159" s="1160"/>
      <c r="C159" s="461">
        <v>19</v>
      </c>
      <c r="D159" s="462">
        <f>IF(DG!$C159=2,FDD!$H16,0)</f>
        <v>0</v>
      </c>
      <c r="E159" s="462">
        <f>IF(DG!$C159=3,FDD!$H16,0)</f>
        <v>0</v>
      </c>
      <c r="F159" s="462">
        <f>IF(DG!$C159=4,FDD!$H16,0)</f>
        <v>0</v>
      </c>
      <c r="G159" s="462">
        <f>IF(DG!$C159=5,FDD!$H16,0)</f>
        <v>0</v>
      </c>
      <c r="H159" s="462">
        <f>IF(DG!$C159=6,FDD!$H16,0)</f>
        <v>0</v>
      </c>
      <c r="I159" s="462">
        <f>IF(DG!$C159=7,FDD!$H16,0)</f>
        <v>0</v>
      </c>
      <c r="J159" s="462">
        <f>IF(DG!$C159=8,FDD!$H16,0)</f>
        <v>0</v>
      </c>
      <c r="K159" s="462">
        <f>IF(DG!$C159=9,FDD!$H16,0)</f>
        <v>0</v>
      </c>
      <c r="L159" s="462">
        <f>IF(DG!$C159=10,FDD!$H16,0)</f>
        <v>0</v>
      </c>
      <c r="M159" s="462">
        <f>IF(DG!$C159=11,FDD!$H16,0)</f>
        <v>0</v>
      </c>
      <c r="N159" s="462">
        <f>IF(DG!$C159=12,FDD!$H16,0)</f>
        <v>0</v>
      </c>
      <c r="O159" s="462">
        <f>IF(DG!$C159=13,FDD!$H16,0)</f>
        <v>0</v>
      </c>
      <c r="P159" s="462">
        <f>IF(DG!$C159=14,FDD!$H16,0)</f>
        <v>0</v>
      </c>
      <c r="Q159" s="462">
        <f>IF(DG!$C159=15,FDD!$H16,0)</f>
        <v>0</v>
      </c>
      <c r="R159" s="462">
        <f>IF(DG!$C159=16,FDD!$H16,0)</f>
        <v>0</v>
      </c>
      <c r="S159" s="462">
        <f>IF(DG!$C159=17,FDD!$H16,0)</f>
        <v>0</v>
      </c>
      <c r="T159" s="462">
        <f>IF(DG!$C159=18,FDD!$H16,0)</f>
        <v>0</v>
      </c>
      <c r="U159" s="462">
        <f>IF(DG!$C159=19,FDD!$H16,0)</f>
        <v>1</v>
      </c>
      <c r="V159" s="462">
        <f>IF(DG!$C159=20,FDD!$H16,0)</f>
        <v>0</v>
      </c>
      <c r="W159" s="462">
        <f>IF(DG!$C159=21,FDD!$H16,0)</f>
        <v>0</v>
      </c>
      <c r="X159" s="462">
        <f>IF(DG!$C159=22,FDD!$H16,0)</f>
        <v>0</v>
      </c>
      <c r="Y159" s="462">
        <f>IF(DG!$C159=23,FDD!$H16,0)</f>
        <v>0</v>
      </c>
      <c r="Z159" s="462">
        <f>IF(DG!$C159=24,FDD!$H16,0)</f>
        <v>0</v>
      </c>
      <c r="AA159" s="462">
        <f>IF(DG!$C159=25,FDD!$H16,0)</f>
        <v>0</v>
      </c>
      <c r="AB159" s="462">
        <f>IF(DG!$C159=26,FDD!$H16,0)</f>
        <v>0</v>
      </c>
      <c r="AC159" s="462">
        <f>IF(DG!$C159=27,FDD!$H16,0)</f>
        <v>0</v>
      </c>
      <c r="AD159" s="462">
        <f>IF(DG!$C159=28,FDD!$H16,0)</f>
        <v>0</v>
      </c>
      <c r="AE159" s="462">
        <f>IF(DG!$C159=29,FDD!$H16,0)</f>
        <v>0</v>
      </c>
      <c r="AF159" s="462">
        <f>IF(DG!$C159=30,FDD!$H16,0)</f>
        <v>0</v>
      </c>
      <c r="AG159" s="462">
        <f>IF(DG!$C159=31,FDD!$H16,0)</f>
        <v>0</v>
      </c>
      <c r="AH159" s="462">
        <f>IF(DG!$C159=32,FDD!$H16,0)</f>
        <v>0</v>
      </c>
      <c r="AI159" s="462">
        <f>IF(DG!$C159=33,FDD!$H16,0)</f>
        <v>0</v>
      </c>
      <c r="AJ159" s="462">
        <f>IF(DG!$C159=34,FDD!$H16,0)</f>
        <v>0</v>
      </c>
      <c r="AK159" s="462">
        <f>IF(DG!$C159=35,FDD!$H16,0)</f>
        <v>0</v>
      </c>
      <c r="AL159" s="462">
        <f>IF(DG!$C159=36,FDD!$H16,0)</f>
        <v>0</v>
      </c>
      <c r="AM159" s="462">
        <f>IF(DG!$C159=37,FDD!$H16,0)</f>
        <v>0</v>
      </c>
      <c r="AN159" s="462">
        <f>IF(DG!$C159=38,FDD!$H16,0)</f>
        <v>0</v>
      </c>
      <c r="AO159" s="462">
        <f>IF(DG!$C159=39,FDD!$H16,0)</f>
        <v>0</v>
      </c>
      <c r="AP159" s="462">
        <f>IF(DG!$C159=40,FDD!$H16,0)</f>
        <v>0</v>
      </c>
      <c r="AQ159" s="462"/>
      <c r="AR159" s="1059">
        <f t="shared" ref="AR159:AR173" si="1">IF(AS159=D$156,D$197,IF(AS159=E$156,E$197,IF(AS159=F$156,F$197,IF(AS159=G$156,G$197,IF(AS159=H$156,H$197,IF(AS159=I$156,I$197,IF(AS159=J$156,J$197,IF(AS159=K$156,K$197,IF(AS159=L$156,L$197,IF(AS159=M$156,M$197,IF(AS159=N$156,N$197,IF(AS159=O$156,O$197,IF(AS159=P$156,P$197,IF(AS159=Q$156,Q$197,IF(AS159=R$156,R$197,IF(AS159=S$156,S$197,IF(AS159=T$156,T$197,IF(AS159=U$156,U$197,IF(AS159=V$156,V$197,IF(AS159=W$156,W$197,IF(AS159=X$156,X$197,IF(AS159=Y$156,Y$197,IF(AS159=Z$156,Z$197,IF(AS159=AA$156,AA$197,IF(AS159=AA$156,AA$197,IF(AS159=AB$156,AB$197,IF(AS159=AC$156,AC$197,IF(AS159=AD$156,AD$197,IF(AS159=AE$156,AE$197,IF(AS159=AF$156,AF$197,IF(AS159=AG$156,AG$197,IF(AS159=AH$156,AH$197,IF(AS159=AI$156,AI$197,IF(AS159=AJ$156,AJ$197,IF(AS159=AK$156,AK$197,IF(AS159=AL$156,AL$197,IF(AS159=AM$156,AM$197,IF(AS159=AN$156,AN$197,IF(AS159=AO$156,AO$197,IF(AS159=AP$156,AP$197,0))))))))))))))))))))))))))))))))))))))))</f>
        <v>1</v>
      </c>
      <c r="AS159" s="1056" t="str">
        <f t="shared" ref="AS159:AS173" si="2">IF($C159=2,A$158,IF($C159=3,A$159,IF($C159=4,A$160,IF($C159=5,A$161,IF($C159=6,A$162,IF($C159=7,A$163,IF($C159=8,A$164,IF($C159=9,A$165,IF($C159=10,A$166,IF($C159=11,A$167,IF($C159=12,A$168,IF($C159=13,A$169,IF($C159=14,A$170,IF($C159=15,A$171,IF($C159=16,A$172,IF($C159=17,A$173,IF($C159=18,A$174,IF($C159=19,A$175,IF($C159=20,A$176,IF($C159=21,A$177,IF($C159=22,A$178,IF($C159=23,A$179,IF($C159=24,A$180,IF($C159=25,A$181,IF($C159=26,A$182,IF($C159=27,A$183,IF($C159=28,A$184,IF($C159=29,A$185,IF($C159=30,A$186,IF($C159=31,A$187,IF($C159=32,A$188,IF($C159=33,A$189,IF($C159=34,A$190,IF($C159=35,A$191,IF($C159=36,A$192,IF($C159=37,A$193,IF($C159=38,A$194,IF($C159=39,A$195,IF($C159=40,A$196,"")))))))))))))))))))))))))))))))))))))))</f>
        <v>Publicité</v>
      </c>
      <c r="AT159" s="1056"/>
      <c r="IU159" s="431"/>
      <c r="IV159" s="431"/>
      <c r="IW159" s="431"/>
      <c r="JR159" s="1056"/>
      <c r="JS159" s="1056"/>
      <c r="JT159" s="1056"/>
    </row>
    <row r="160" spans="1:280" ht="13">
      <c r="A160" s="1159" t="str">
        <f>'FG1'!A18</f>
        <v>Entretien / réparation</v>
      </c>
      <c r="B160" s="1160"/>
      <c r="C160" s="461">
        <v>7</v>
      </c>
      <c r="D160" s="462">
        <f>IF(DG!$C160=2,FDD!$H18,0)</f>
        <v>0</v>
      </c>
      <c r="E160" s="462">
        <f>IF(DG!$C160=3,FDD!$H18,0)</f>
        <v>0</v>
      </c>
      <c r="F160" s="462">
        <f>IF(DG!$C160=4,FDD!$H18,0)</f>
        <v>0</v>
      </c>
      <c r="G160" s="462">
        <f>IF(DG!$C160=5,FDD!$H18,0)</f>
        <v>0</v>
      </c>
      <c r="H160" s="462">
        <f>IF(DG!$C160=6,FDD!$H18,0)</f>
        <v>0</v>
      </c>
      <c r="I160" s="462">
        <f>IF(DG!$C160=7,FDD!$H18,0)</f>
        <v>1</v>
      </c>
      <c r="J160" s="462">
        <f>IF(DG!$C160=8,FDD!$H18,0)</f>
        <v>0</v>
      </c>
      <c r="K160" s="462">
        <f>IF(DG!$C160=9,FDD!$H18,0)</f>
        <v>0</v>
      </c>
      <c r="L160" s="462">
        <f>IF(DG!$C160=10,FDD!$H18,0)</f>
        <v>0</v>
      </c>
      <c r="M160" s="462">
        <f>IF(DG!$C160=11,FDD!$H18,0)</f>
        <v>0</v>
      </c>
      <c r="N160" s="462">
        <f>IF(DG!$C160=12,FDD!$H18,0)</f>
        <v>0</v>
      </c>
      <c r="O160" s="462">
        <f>IF(DG!$C160=13,FDD!$H18,0)</f>
        <v>0</v>
      </c>
      <c r="P160" s="462">
        <f>IF(DG!$C160=14,FDD!$H18,0)</f>
        <v>0</v>
      </c>
      <c r="Q160" s="462">
        <f>IF(DG!$C160=15,FDD!$H18,0)</f>
        <v>0</v>
      </c>
      <c r="R160" s="462">
        <f>IF(DG!$C160=16,FDD!$H18,0)</f>
        <v>0</v>
      </c>
      <c r="S160" s="462">
        <f>IF(DG!$C160=17,FDD!$H18,0)</f>
        <v>0</v>
      </c>
      <c r="T160" s="462">
        <f>IF(DG!$C160=18,FDD!$H18,0)</f>
        <v>0</v>
      </c>
      <c r="U160" s="462">
        <f>IF(DG!$C160=19,FDD!$H18,0)</f>
        <v>0</v>
      </c>
      <c r="V160" s="462">
        <f>IF(DG!$C160=20,FDD!$H18,0)</f>
        <v>0</v>
      </c>
      <c r="W160" s="462">
        <f>IF(DG!$C160=21,FDD!$H18,0)</f>
        <v>0</v>
      </c>
      <c r="X160" s="462">
        <f>IF(DG!$C160=22,FDD!$H18,0)</f>
        <v>0</v>
      </c>
      <c r="Y160" s="462">
        <f>IF(DG!$C160=23,FDD!$H18,0)</f>
        <v>0</v>
      </c>
      <c r="Z160" s="462">
        <f>IF(DG!$C160=24,FDD!$H18,0)</f>
        <v>0</v>
      </c>
      <c r="AA160" s="462">
        <f>IF(DG!$C160=25,FDD!$H18,0)</f>
        <v>0</v>
      </c>
      <c r="AB160" s="462">
        <f>IF(DG!$C160=26,FDD!$H18,0)</f>
        <v>0</v>
      </c>
      <c r="AC160" s="462">
        <f>IF(DG!$C160=27,FDD!$H18,0)</f>
        <v>0</v>
      </c>
      <c r="AD160" s="462">
        <f>IF(DG!$C160=28,FDD!$H18,0)</f>
        <v>0</v>
      </c>
      <c r="AE160" s="462">
        <f>IF(DG!$C160=29,FDD!$H18,0)</f>
        <v>0</v>
      </c>
      <c r="AF160" s="462">
        <f>IF(DG!$C160=30,FDD!$H18,0)</f>
        <v>0</v>
      </c>
      <c r="AG160" s="462">
        <f>IF(DG!$C160=31,FDD!$H18,0)</f>
        <v>0</v>
      </c>
      <c r="AH160" s="462">
        <f>IF(DG!$C160=32,FDD!$H18,0)</f>
        <v>0</v>
      </c>
      <c r="AI160" s="462">
        <f>IF(DG!$C160=33,FDD!$H18,0)</f>
        <v>0</v>
      </c>
      <c r="AJ160" s="462">
        <f>IF(DG!$C160=34,FDD!$H18,0)</f>
        <v>0</v>
      </c>
      <c r="AK160" s="462">
        <f>IF(DG!$C160=35,FDD!$H18,0)</f>
        <v>0</v>
      </c>
      <c r="AL160" s="462">
        <f>IF(DG!$C160=36,FDD!$H18,0)</f>
        <v>0</v>
      </c>
      <c r="AM160" s="462">
        <f>IF(DG!$C160=37,FDD!$H18,0)</f>
        <v>0</v>
      </c>
      <c r="AN160" s="462">
        <f>IF(DG!$C160=38,FDD!$H18,0)</f>
        <v>0</v>
      </c>
      <c r="AO160" s="462">
        <f>IF(DG!$C160=39,FDD!$H18,0)</f>
        <v>0</v>
      </c>
      <c r="AP160" s="462">
        <f>IF(DG!$C160=40,FDD!$H18,0)</f>
        <v>0</v>
      </c>
      <c r="AQ160" s="462"/>
      <c r="AR160" s="1059">
        <f t="shared" si="1"/>
        <v>1</v>
      </c>
      <c r="AS160" s="1056" t="str">
        <f t="shared" si="2"/>
        <v>Immatriculation et permis</v>
      </c>
      <c r="AT160" s="1056"/>
      <c r="IU160" s="431"/>
      <c r="IV160" s="431"/>
      <c r="IW160" s="431"/>
      <c r="JR160" s="1056"/>
      <c r="JS160" s="1056"/>
      <c r="JT160" s="1056"/>
    </row>
    <row r="161" spans="1:280" ht="13">
      <c r="A161" s="1159" t="str">
        <f>'FG1'!A20</f>
        <v>Services sanitaires</v>
      </c>
      <c r="B161" s="1160"/>
      <c r="C161" s="461">
        <v>8</v>
      </c>
      <c r="D161" s="462">
        <f>IF(DG!$C161=2,FDD!$H20,0)</f>
        <v>0</v>
      </c>
      <c r="E161" s="462">
        <f>IF(DG!$C161=3,FDD!$H20,0)</f>
        <v>0</v>
      </c>
      <c r="F161" s="462">
        <f>IF(DG!$C161=4,FDD!$H20,0)</f>
        <v>0</v>
      </c>
      <c r="G161" s="462">
        <f>IF(DG!$C161=5,FDD!$H20,0)</f>
        <v>0</v>
      </c>
      <c r="H161" s="462">
        <f>IF(DG!$C161=6,FDD!$H20,0)</f>
        <v>0</v>
      </c>
      <c r="I161" s="462">
        <f>IF(DG!$C161=7,FDD!$H20,0)</f>
        <v>0</v>
      </c>
      <c r="J161" s="462">
        <f>IF(DG!$C161=8,FDD!$H20,0)</f>
        <v>1</v>
      </c>
      <c r="K161" s="462">
        <f>IF(DG!$C161=9,FDD!$H20,0)</f>
        <v>0</v>
      </c>
      <c r="L161" s="462">
        <f>IF(DG!$C161=10,FDD!$H20,0)</f>
        <v>0</v>
      </c>
      <c r="M161" s="462">
        <f>IF(DG!$C161=11,FDD!$H20,0)</f>
        <v>0</v>
      </c>
      <c r="N161" s="462">
        <f>IF(DG!$C161=12,FDD!$H20,0)</f>
        <v>0</v>
      </c>
      <c r="O161" s="462">
        <f>IF(DG!$C161=13,FDD!$H20,0)</f>
        <v>0</v>
      </c>
      <c r="P161" s="462">
        <f>IF(DG!$C161=14,FDD!$H20,0)</f>
        <v>0</v>
      </c>
      <c r="Q161" s="462">
        <f>IF(DG!$C161=15,FDD!$H20,0)</f>
        <v>0</v>
      </c>
      <c r="R161" s="462">
        <f>IF(DG!$C161=16,FDD!$H20,0)</f>
        <v>0</v>
      </c>
      <c r="S161" s="462">
        <f>IF(DG!$C161=17,FDD!$H20,0)</f>
        <v>0</v>
      </c>
      <c r="T161" s="462">
        <f>IF(DG!$C161=18,FDD!$H20,0)</f>
        <v>0</v>
      </c>
      <c r="U161" s="462">
        <f>IF(DG!$C161=19,FDD!$H20,0)</f>
        <v>0</v>
      </c>
      <c r="V161" s="462">
        <f>IF(DG!$C161=20,FDD!$H20,0)</f>
        <v>0</v>
      </c>
      <c r="W161" s="462">
        <f>IF(DG!$C161=21,FDD!$H20,0)</f>
        <v>0</v>
      </c>
      <c r="X161" s="462">
        <f>IF(DG!$C161=22,FDD!$H20,0)</f>
        <v>0</v>
      </c>
      <c r="Y161" s="462">
        <f>IF(DG!$C161=23,FDD!$H20,0)</f>
        <v>0</v>
      </c>
      <c r="Z161" s="462">
        <f>IF(DG!$C161=24,FDD!$H20,0)</f>
        <v>0</v>
      </c>
      <c r="AA161" s="462">
        <f>IF(DG!$C161=25,FDD!$H20,0)</f>
        <v>0</v>
      </c>
      <c r="AB161" s="462">
        <f>IF(DG!$C161=26,FDD!$H20,0)</f>
        <v>0</v>
      </c>
      <c r="AC161" s="462">
        <f>IF(DG!$C161=27,FDD!$H20,0)</f>
        <v>0</v>
      </c>
      <c r="AD161" s="462">
        <f>IF(DG!$C161=28,FDD!$H20,0)</f>
        <v>0</v>
      </c>
      <c r="AE161" s="462">
        <f>IF(DG!$C161=29,FDD!$H20,0)</f>
        <v>0</v>
      </c>
      <c r="AF161" s="462">
        <f>IF(DG!$C161=30,FDD!$H20,0)</f>
        <v>0</v>
      </c>
      <c r="AG161" s="462">
        <f>IF(DG!$C161=31,FDD!$H20,0)</f>
        <v>0</v>
      </c>
      <c r="AH161" s="462">
        <f>IF(DG!$C161=32,FDD!$H20,0)</f>
        <v>0</v>
      </c>
      <c r="AI161" s="462">
        <f>IF(DG!$C161=33,FDD!$H20,0)</f>
        <v>0</v>
      </c>
      <c r="AJ161" s="462">
        <f>IF(DG!$C161=34,FDD!$H20,0)</f>
        <v>0</v>
      </c>
      <c r="AK161" s="462">
        <f>IF(DG!$C161=35,FDD!$H20,0)</f>
        <v>0</v>
      </c>
      <c r="AL161" s="462">
        <f>IF(DG!$C161=36,FDD!$H20,0)</f>
        <v>0</v>
      </c>
      <c r="AM161" s="462">
        <f>IF(DG!$C161=37,FDD!$H20,0)</f>
        <v>0</v>
      </c>
      <c r="AN161" s="462">
        <f>IF(DG!$C161=38,FDD!$H20,0)</f>
        <v>0</v>
      </c>
      <c r="AO161" s="462">
        <f>IF(DG!$C161=39,FDD!$H20,0)</f>
        <v>0</v>
      </c>
      <c r="AP161" s="462">
        <f>IF(DG!$C161=40,FDD!$H20,0)</f>
        <v>0</v>
      </c>
      <c r="AQ161" s="462"/>
      <c r="AR161" s="1059">
        <f t="shared" si="1"/>
        <v>1</v>
      </c>
      <c r="AS161" s="1056" t="str">
        <f t="shared" si="2"/>
        <v>Assurances</v>
      </c>
      <c r="AT161" s="1056"/>
      <c r="IU161" s="431"/>
      <c r="IV161" s="431"/>
      <c r="IW161" s="431"/>
      <c r="JR161" s="1056"/>
      <c r="JS161" s="1056"/>
      <c r="JT161" s="1056"/>
    </row>
    <row r="162" spans="1:280" ht="13">
      <c r="A162" s="1159" t="str">
        <f>'FG1'!A22</f>
        <v>Frais de déplacement</v>
      </c>
      <c r="B162" s="1160"/>
      <c r="C162" s="461">
        <v>35</v>
      </c>
      <c r="D162" s="462">
        <f>IF(DG!$C162=2,FDD!$H22,0)</f>
        <v>0</v>
      </c>
      <c r="E162" s="462">
        <f>IF(DG!$C162=3,FDD!$H22,0)</f>
        <v>0</v>
      </c>
      <c r="F162" s="462">
        <f>IF(DG!$C162=4,FDD!$H22,0)</f>
        <v>0</v>
      </c>
      <c r="G162" s="462">
        <f>IF(DG!$C162=5,FDD!$H22,0)</f>
        <v>0</v>
      </c>
      <c r="H162" s="462">
        <f>IF(DG!$C162=6,FDD!$H22,0)</f>
        <v>0</v>
      </c>
      <c r="I162" s="462">
        <f>IF(DG!$C162=7,FDD!$H22,0)</f>
        <v>0</v>
      </c>
      <c r="J162" s="462">
        <f>IF(DG!$C162=8,FDD!$H22,0)</f>
        <v>0</v>
      </c>
      <c r="K162" s="462">
        <f>IF(DG!$C162=9,FDD!$H22,0)</f>
        <v>0</v>
      </c>
      <c r="L162" s="462">
        <f>IF(DG!$C162=10,FDD!$H22,0)</f>
        <v>0</v>
      </c>
      <c r="M162" s="462">
        <f>IF(DG!$C162=11,FDD!$H22,0)</f>
        <v>0</v>
      </c>
      <c r="N162" s="462">
        <f>IF(DG!$C162=12,FDD!$H22,0)</f>
        <v>0</v>
      </c>
      <c r="O162" s="462">
        <f>IF(DG!$C162=13,FDD!$H22,0)</f>
        <v>0</v>
      </c>
      <c r="P162" s="462">
        <f>IF(DG!$C162=14,FDD!$H22,0)</f>
        <v>0</v>
      </c>
      <c r="Q162" s="462">
        <f>IF(DG!$C162=15,FDD!$H22,0)</f>
        <v>0</v>
      </c>
      <c r="R162" s="462">
        <f>IF(DG!$C162=16,FDD!$H22,0)</f>
        <v>0</v>
      </c>
      <c r="S162" s="462">
        <f>IF(DG!$C162=17,FDD!$H22,0)</f>
        <v>0</v>
      </c>
      <c r="T162" s="462">
        <f>IF(DG!$C162=18,FDD!$H22,0)</f>
        <v>0</v>
      </c>
      <c r="U162" s="462">
        <f>IF(DG!$C162=19,FDD!$H22,0)</f>
        <v>0</v>
      </c>
      <c r="V162" s="462">
        <f>IF(DG!$C162=20,FDD!$H22,0)</f>
        <v>0</v>
      </c>
      <c r="W162" s="462">
        <f>IF(DG!$C162=21,FDD!$H22,0)</f>
        <v>0</v>
      </c>
      <c r="X162" s="462">
        <f>IF(DG!$C162=22,FDD!$H22,0)</f>
        <v>0</v>
      </c>
      <c r="Y162" s="462">
        <f>IF(DG!$C162=23,FDD!$H22,0)</f>
        <v>0</v>
      </c>
      <c r="Z162" s="462">
        <f>IF(DG!$C162=24,FDD!$H22,0)</f>
        <v>0</v>
      </c>
      <c r="AA162" s="462">
        <f>IF(DG!$C162=25,FDD!$H22,0)</f>
        <v>0</v>
      </c>
      <c r="AB162" s="462">
        <f>IF(DG!$C162=26,FDD!$H22,0)</f>
        <v>0</v>
      </c>
      <c r="AC162" s="462">
        <f>IF(DG!$C162=27,FDD!$H22,0)</f>
        <v>0</v>
      </c>
      <c r="AD162" s="462">
        <f>IF(DG!$C162=28,FDD!$H22,0)</f>
        <v>0</v>
      </c>
      <c r="AE162" s="462">
        <f>IF(DG!$C162=29,FDD!$H22,0)</f>
        <v>0</v>
      </c>
      <c r="AF162" s="462">
        <f>IF(DG!$C162=30,FDD!$H22,0)</f>
        <v>0</v>
      </c>
      <c r="AG162" s="462">
        <f>IF(DG!$C162=31,FDD!$H22,0)</f>
        <v>0</v>
      </c>
      <c r="AH162" s="462">
        <f>IF(DG!$C162=32,FDD!$H22,0)</f>
        <v>0</v>
      </c>
      <c r="AI162" s="462">
        <f>IF(DG!$C162=33,FDD!$H22,0)</f>
        <v>0</v>
      </c>
      <c r="AJ162" s="462">
        <f>IF(DG!$C162=34,FDD!$H22,0)</f>
        <v>0</v>
      </c>
      <c r="AK162" s="462">
        <f>IF(DG!$C162=35,FDD!$H22,0)</f>
        <v>1</v>
      </c>
      <c r="AL162" s="462">
        <f>IF(DG!$C162=36,FDD!$H22,0)</f>
        <v>0</v>
      </c>
      <c r="AM162" s="462">
        <f>IF(DG!$C162=37,FDD!$H22,0)</f>
        <v>0</v>
      </c>
      <c r="AN162" s="462">
        <f>IF(DG!$C162=38,FDD!$H22,0)</f>
        <v>0</v>
      </c>
      <c r="AO162" s="462">
        <f>IF(DG!$C162=39,FDD!$H22,0)</f>
        <v>0</v>
      </c>
      <c r="AP162" s="462">
        <f>IF(DG!$C162=40,FDD!$H22,0)</f>
        <v>0</v>
      </c>
      <c r="AQ162" s="462"/>
      <c r="AR162" s="1059">
        <f t="shared" si="1"/>
        <v>1</v>
      </c>
      <c r="AS162" s="1056" t="str">
        <f t="shared" si="2"/>
        <v>Frais bancaires</v>
      </c>
      <c r="AT162" s="1056"/>
      <c r="IU162" s="431"/>
      <c r="IV162" s="431"/>
      <c r="IW162" s="431"/>
      <c r="JR162" s="1056"/>
      <c r="JS162" s="1056"/>
      <c r="JT162" s="1056"/>
    </row>
    <row r="163" spans="1:280" ht="13">
      <c r="A163" s="1159" t="str">
        <f>'FG1'!A24</f>
        <v>Immatriculation et permis</v>
      </c>
      <c r="B163" s="1160"/>
      <c r="C163" s="461">
        <v>29</v>
      </c>
      <c r="D163" s="462">
        <f>IF(DG!$C163=2,FDD!$H24,0)</f>
        <v>0</v>
      </c>
      <c r="E163" s="462">
        <f>IF(DG!$C163=3,FDD!$H24,0)</f>
        <v>0</v>
      </c>
      <c r="F163" s="462">
        <f>IF(DG!$C163=4,FDD!$H24,0)</f>
        <v>0</v>
      </c>
      <c r="G163" s="462">
        <f>IF(DG!$C163=5,FDD!$H24,0)</f>
        <v>0</v>
      </c>
      <c r="H163" s="462">
        <f>IF(DG!$C163=6,FDD!$H24,0)</f>
        <v>0</v>
      </c>
      <c r="I163" s="462">
        <f>IF(DG!$C163=7,FDD!$H24,0)</f>
        <v>0</v>
      </c>
      <c r="J163" s="462">
        <f>IF(DG!$C163=8,FDD!$H24,0)</f>
        <v>0</v>
      </c>
      <c r="K163" s="462">
        <f>IF(DG!$C163=9,FDD!$H24,0)</f>
        <v>0</v>
      </c>
      <c r="L163" s="462">
        <f>IF(DG!$C163=10,FDD!$H24,0)</f>
        <v>0</v>
      </c>
      <c r="M163" s="462">
        <f>IF(DG!$C163=11,FDD!$H24,0)</f>
        <v>0</v>
      </c>
      <c r="N163" s="462">
        <f>IF(DG!$C163=12,FDD!$H24,0)</f>
        <v>0</v>
      </c>
      <c r="O163" s="462">
        <f>IF(DG!$C163=13,FDD!$H24,0)</f>
        <v>0</v>
      </c>
      <c r="P163" s="462">
        <f>IF(DG!$C163=14,FDD!$H24,0)</f>
        <v>0</v>
      </c>
      <c r="Q163" s="462">
        <f>IF(DG!$C163=15,FDD!$H24,0)</f>
        <v>0</v>
      </c>
      <c r="R163" s="462">
        <f>IF(DG!$C163=16,FDD!$H24,0)</f>
        <v>0</v>
      </c>
      <c r="S163" s="462">
        <f>IF(DG!$C163=17,FDD!$H24,0)</f>
        <v>0</v>
      </c>
      <c r="T163" s="462">
        <f>IF(DG!$C163=18,FDD!$H24,0)</f>
        <v>0</v>
      </c>
      <c r="U163" s="462">
        <f>IF(DG!$C163=19,FDD!$H24,0)</f>
        <v>0</v>
      </c>
      <c r="V163" s="462">
        <f>IF(DG!$C163=20,FDD!$H24,0)</f>
        <v>0</v>
      </c>
      <c r="W163" s="462">
        <f>IF(DG!$C163=21,FDD!$H24,0)</f>
        <v>0</v>
      </c>
      <c r="X163" s="462">
        <f>IF(DG!$C163=22,FDD!$H24,0)</f>
        <v>0</v>
      </c>
      <c r="Y163" s="462">
        <f>IF(DG!$C163=23,FDD!$H24,0)</f>
        <v>0</v>
      </c>
      <c r="Z163" s="462">
        <f>IF(DG!$C163=24,FDD!$H24,0)</f>
        <v>0</v>
      </c>
      <c r="AA163" s="462">
        <f>IF(DG!$C163=25,FDD!$H24,0)</f>
        <v>0</v>
      </c>
      <c r="AB163" s="462">
        <f>IF(DG!$C163=26,FDD!$H24,0)</f>
        <v>0</v>
      </c>
      <c r="AC163" s="462">
        <f>IF(DG!$C163=27,FDD!$H24,0)</f>
        <v>0</v>
      </c>
      <c r="AD163" s="462">
        <f>IF(DG!$C163=28,FDD!$H24,0)</f>
        <v>0</v>
      </c>
      <c r="AE163" s="462">
        <f>IF(DG!$C163=29,FDD!$H24,0)</f>
        <v>1</v>
      </c>
      <c r="AF163" s="462">
        <f>IF(DG!$C163=30,FDD!$H24,0)</f>
        <v>0</v>
      </c>
      <c r="AG163" s="462">
        <f>IF(DG!$C163=31,FDD!$H24,0)</f>
        <v>0</v>
      </c>
      <c r="AH163" s="462">
        <f>IF(DG!$C163=32,FDD!$H24,0)</f>
        <v>0</v>
      </c>
      <c r="AI163" s="462">
        <f>IF(DG!$C163=33,FDD!$H24,0)</f>
        <v>0</v>
      </c>
      <c r="AJ163" s="462">
        <f>IF(DG!$C163=34,FDD!$H24,0)</f>
        <v>0</v>
      </c>
      <c r="AK163" s="462">
        <f>IF(DG!$C163=35,FDD!$H24,0)</f>
        <v>0</v>
      </c>
      <c r="AL163" s="462">
        <f>IF(DG!$C163=36,FDD!$H24,0)</f>
        <v>0</v>
      </c>
      <c r="AM163" s="462">
        <f>IF(DG!$C163=37,FDD!$H24,0)</f>
        <v>0</v>
      </c>
      <c r="AN163" s="462">
        <f>IF(DG!$C163=38,FDD!$H24,0)</f>
        <v>0</v>
      </c>
      <c r="AO163" s="462">
        <f>IF(DG!$C163=39,FDD!$H24,0)</f>
        <v>0</v>
      </c>
      <c r="AP163" s="462">
        <f>IF(DG!$C163=40,FDD!$H24,0)</f>
        <v>0</v>
      </c>
      <c r="AQ163" s="462"/>
      <c r="AR163" s="1059">
        <f t="shared" si="1"/>
        <v>1</v>
      </c>
      <c r="AS163" s="1056" t="str">
        <f t="shared" si="2"/>
        <v>Fournitures de bureau</v>
      </c>
      <c r="AT163" s="1056"/>
      <c r="IU163" s="431"/>
      <c r="IV163" s="431"/>
      <c r="IW163" s="431"/>
      <c r="JR163" s="1056"/>
      <c r="JS163" s="1056"/>
      <c r="JT163" s="1056"/>
    </row>
    <row r="164" spans="1:280" ht="13">
      <c r="A164" s="1159" t="str">
        <f>'FG1'!A26</f>
        <v>Assurances</v>
      </c>
      <c r="B164" s="1160"/>
      <c r="C164" s="461">
        <v>25</v>
      </c>
      <c r="D164" s="462">
        <f>IF(DG!$C164=2,FDD!$H26,0)</f>
        <v>0</v>
      </c>
      <c r="E164" s="462">
        <f>IF(DG!$C164=3,FDD!$H26,0)</f>
        <v>0</v>
      </c>
      <c r="F164" s="462">
        <f>IF(DG!$C164=4,FDD!$H26,0)</f>
        <v>0</v>
      </c>
      <c r="G164" s="462">
        <f>IF(DG!$C164=5,FDD!$H26,0)</f>
        <v>0</v>
      </c>
      <c r="H164" s="462">
        <f>IF(DG!$C164=6,FDD!$H26,0)</f>
        <v>0</v>
      </c>
      <c r="I164" s="462">
        <f>IF(DG!$C164=7,FDD!$H26,0)</f>
        <v>0</v>
      </c>
      <c r="J164" s="462">
        <f>IF(DG!$C164=8,FDD!$H26,0)</f>
        <v>0</v>
      </c>
      <c r="K164" s="462">
        <f>IF(DG!$C164=9,FDD!$H26,0)</f>
        <v>0</v>
      </c>
      <c r="L164" s="462">
        <f>IF(DG!$C164=10,FDD!$H26,0)</f>
        <v>0</v>
      </c>
      <c r="M164" s="462">
        <f>IF(DG!$C164=11,FDD!$H26,0)</f>
        <v>0</v>
      </c>
      <c r="N164" s="462">
        <f>IF(DG!$C164=12,FDD!$H26,0)</f>
        <v>0</v>
      </c>
      <c r="O164" s="462">
        <f>IF(DG!$C164=13,FDD!$H26,0)</f>
        <v>0</v>
      </c>
      <c r="P164" s="462">
        <f>IF(DG!$C164=14,FDD!$H26,0)</f>
        <v>0</v>
      </c>
      <c r="Q164" s="462">
        <f>IF(DG!$C164=15,FDD!$H26,0)</f>
        <v>0</v>
      </c>
      <c r="R164" s="462">
        <f>IF(DG!$C164=16,FDD!$H26,0)</f>
        <v>0</v>
      </c>
      <c r="S164" s="462">
        <f>IF(DG!$C164=17,FDD!$H26,0)</f>
        <v>0</v>
      </c>
      <c r="T164" s="462">
        <f>IF(DG!$C164=18,FDD!$H26,0)</f>
        <v>0</v>
      </c>
      <c r="U164" s="462">
        <f>IF(DG!$C164=19,FDD!$H26,0)</f>
        <v>0</v>
      </c>
      <c r="V164" s="462">
        <f>IF(DG!$C164=20,FDD!$H26,0)</f>
        <v>0</v>
      </c>
      <c r="W164" s="462">
        <f>IF(DG!$C164=21,FDD!$H26,0)</f>
        <v>0</v>
      </c>
      <c r="X164" s="462">
        <f>IF(DG!$C164=22,FDD!$H26,0)</f>
        <v>0</v>
      </c>
      <c r="Y164" s="462">
        <f>IF(DG!$C164=23,FDD!$H26,0)</f>
        <v>0</v>
      </c>
      <c r="Z164" s="462">
        <f>IF(DG!$C164=24,FDD!$H26,0)</f>
        <v>0</v>
      </c>
      <c r="AA164" s="462">
        <f>IF(DG!$C164=25,FDD!$H26,0)</f>
        <v>0</v>
      </c>
      <c r="AB164" s="462">
        <f>IF(DG!$C164=26,FDD!$H26,0)</f>
        <v>0</v>
      </c>
      <c r="AC164" s="462">
        <f>IF(DG!$C164=27,FDD!$H26,0)</f>
        <v>0</v>
      </c>
      <c r="AD164" s="462">
        <f>IF(DG!$C164=28,FDD!$H26,0)</f>
        <v>0</v>
      </c>
      <c r="AE164" s="462">
        <f>IF(DG!$C164=29,FDD!$H26,0)</f>
        <v>0</v>
      </c>
      <c r="AF164" s="462">
        <f>IF(DG!$C164=30,FDD!$H26,0)</f>
        <v>0</v>
      </c>
      <c r="AG164" s="462">
        <f>IF(DG!$C164=31,FDD!$H26,0)</f>
        <v>0</v>
      </c>
      <c r="AH164" s="462">
        <f>IF(DG!$C164=32,FDD!$H26,0)</f>
        <v>0</v>
      </c>
      <c r="AI164" s="462">
        <f>IF(DG!$C164=33,FDD!$H26,0)</f>
        <v>0</v>
      </c>
      <c r="AJ164" s="462">
        <f>IF(DG!$C164=34,FDD!$H26,0)</f>
        <v>0</v>
      </c>
      <c r="AK164" s="462">
        <f>IF(DG!$C164=35,FDD!$H26,0)</f>
        <v>0</v>
      </c>
      <c r="AL164" s="462">
        <f>IF(DG!$C164=36,FDD!$H26,0)</f>
        <v>0</v>
      </c>
      <c r="AM164" s="462">
        <f>IF(DG!$C164=37,FDD!$H26,0)</f>
        <v>0</v>
      </c>
      <c r="AN164" s="462">
        <f>IF(DG!$C164=38,FDD!$H26,0)</f>
        <v>0</v>
      </c>
      <c r="AO164" s="462">
        <f>IF(DG!$C164=39,FDD!$H26,0)</f>
        <v>0</v>
      </c>
      <c r="AP164" s="462">
        <f>IF(DG!$C164=40,FDD!$H26,0)</f>
        <v>0</v>
      </c>
      <c r="AQ164" s="462"/>
      <c r="AR164" s="1059">
        <f t="shared" si="1"/>
        <v>0</v>
      </c>
      <c r="AS164" s="1056" t="str">
        <f t="shared" si="2"/>
        <v>Téléphonie et internet</v>
      </c>
      <c r="AT164" s="1056"/>
      <c r="IU164" s="431"/>
      <c r="IV164" s="431"/>
      <c r="IW164" s="431"/>
      <c r="JR164" s="1056"/>
      <c r="JS164" s="1056"/>
      <c r="JT164" s="1056"/>
    </row>
    <row r="165" spans="1:280" ht="13">
      <c r="A165" s="1159" t="str">
        <f>'FG1'!A28</f>
        <v>Dépenses R&amp;D</v>
      </c>
      <c r="B165" s="1160"/>
      <c r="C165" s="461">
        <v>1</v>
      </c>
      <c r="D165" s="462">
        <f>IF(DG!$C165=2,FDD!$H28,0)</f>
        <v>0</v>
      </c>
      <c r="E165" s="462">
        <f>IF(DG!$C165=3,FDD!$H28,0)</f>
        <v>0</v>
      </c>
      <c r="F165" s="462">
        <f>IF(DG!$C165=4,FDD!$H28,0)</f>
        <v>0</v>
      </c>
      <c r="G165" s="462">
        <f>IF(DG!$C165=5,FDD!$H28,0)</f>
        <v>0</v>
      </c>
      <c r="H165" s="462">
        <f>IF(DG!$C165=6,FDD!$H28,0)</f>
        <v>0</v>
      </c>
      <c r="I165" s="462">
        <f>IF(DG!$C165=7,FDD!$H28,0)</f>
        <v>0</v>
      </c>
      <c r="J165" s="462">
        <f>IF(DG!$C165=8,FDD!$H28,0)</f>
        <v>0</v>
      </c>
      <c r="K165" s="462">
        <f>IF(DG!$C165=9,FDD!$H28,0)</f>
        <v>0</v>
      </c>
      <c r="L165" s="462">
        <f>IF(DG!$C165=10,FDD!$H28,0)</f>
        <v>0</v>
      </c>
      <c r="M165" s="462">
        <f>IF(DG!$C165=11,FDD!$H28,0)</f>
        <v>0</v>
      </c>
      <c r="N165" s="462">
        <f>IF(DG!$C165=12,FDD!$H28,0)</f>
        <v>0</v>
      </c>
      <c r="O165" s="462">
        <f>IF(DG!$C165=13,FDD!$H28,0)</f>
        <v>0</v>
      </c>
      <c r="P165" s="462">
        <f>IF(DG!$C165=14,FDD!$H28,0)</f>
        <v>0</v>
      </c>
      <c r="Q165" s="462">
        <f>IF(DG!$C165=15,FDD!$H28,0)</f>
        <v>0</v>
      </c>
      <c r="R165" s="462">
        <f>IF(DG!$C165=16,FDD!$H28,0)</f>
        <v>0</v>
      </c>
      <c r="S165" s="462">
        <f>IF(DG!$C165=17,FDD!$H28,0)</f>
        <v>0</v>
      </c>
      <c r="T165" s="462">
        <f>IF(DG!$C165=18,FDD!$H28,0)</f>
        <v>0</v>
      </c>
      <c r="U165" s="462">
        <f>IF(DG!$C165=19,FDD!$H28,0)</f>
        <v>0</v>
      </c>
      <c r="V165" s="462">
        <f>IF(DG!$C165=20,FDD!$H28,0)</f>
        <v>0</v>
      </c>
      <c r="W165" s="462">
        <f>IF(DG!$C165=21,FDD!$H28,0)</f>
        <v>0</v>
      </c>
      <c r="X165" s="462">
        <f>IF(DG!$C165=22,FDD!$H28,0)</f>
        <v>0</v>
      </c>
      <c r="Y165" s="462">
        <f>IF(DG!$C165=23,FDD!$H28,0)</f>
        <v>0</v>
      </c>
      <c r="Z165" s="462">
        <f>IF(DG!$C165=24,FDD!$H28,0)</f>
        <v>0</v>
      </c>
      <c r="AA165" s="462">
        <f>IF(DG!$C165=25,FDD!$H28,0)</f>
        <v>0</v>
      </c>
      <c r="AB165" s="462">
        <f>IF(DG!$C165=26,FDD!$H28,0)</f>
        <v>0</v>
      </c>
      <c r="AC165" s="462">
        <f>IF(DG!$C165=27,FDD!$H28,0)</f>
        <v>0</v>
      </c>
      <c r="AD165" s="462">
        <f>IF(DG!$C165=28,FDD!$H28,0)</f>
        <v>0</v>
      </c>
      <c r="AE165" s="462">
        <f>IF(DG!$C165=29,FDD!$H28,0)</f>
        <v>0</v>
      </c>
      <c r="AF165" s="462">
        <f>IF(DG!$C165=30,FDD!$H28,0)</f>
        <v>0</v>
      </c>
      <c r="AG165" s="462">
        <f>IF(DG!$C165=31,FDD!$H28,0)</f>
        <v>0</v>
      </c>
      <c r="AH165" s="462">
        <f>IF(DG!$C165=32,FDD!$H28,0)</f>
        <v>0</v>
      </c>
      <c r="AI165" s="462">
        <f>IF(DG!$C165=33,FDD!$H28,0)</f>
        <v>0</v>
      </c>
      <c r="AJ165" s="462">
        <f>IF(DG!$C165=34,FDD!$H28,0)</f>
        <v>0</v>
      </c>
      <c r="AK165" s="462">
        <f>IF(DG!$C165=35,FDD!$H28,0)</f>
        <v>0</v>
      </c>
      <c r="AL165" s="462">
        <f>IF(DG!$C165=36,FDD!$H28,0)</f>
        <v>0</v>
      </c>
      <c r="AM165" s="462">
        <f>IF(DG!$C165=37,FDD!$H28,0)</f>
        <v>0</v>
      </c>
      <c r="AN165" s="462">
        <f>IF(DG!$C165=38,FDD!$H28,0)</f>
        <v>0</v>
      </c>
      <c r="AO165" s="462">
        <f>IF(DG!$C165=39,FDD!$H28,0)</f>
        <v>0</v>
      </c>
      <c r="AP165" s="462">
        <f>IF(DG!$C165=40,FDD!$H28,0)</f>
        <v>0</v>
      </c>
      <c r="AQ165" s="462"/>
      <c r="AR165" s="1059">
        <f t="shared" si="1"/>
        <v>0</v>
      </c>
      <c r="AS165" s="1056" t="str">
        <f t="shared" si="2"/>
        <v/>
      </c>
      <c r="AT165" s="1056"/>
      <c r="IU165" s="431"/>
      <c r="IV165" s="431"/>
      <c r="IW165" s="431"/>
      <c r="JR165" s="1056"/>
      <c r="JS165" s="1056"/>
      <c r="JT165" s="1056"/>
    </row>
    <row r="166" spans="1:280" ht="13">
      <c r="A166" s="1159" t="str">
        <f>'FG1'!A30</f>
        <v>Autre frais d'exploitation 1</v>
      </c>
      <c r="B166" s="1160"/>
      <c r="C166" s="461">
        <v>1</v>
      </c>
      <c r="D166" s="462">
        <f>IF(DG!$C166=2,FDD!$H30,0)</f>
        <v>0</v>
      </c>
      <c r="E166" s="462">
        <f>IF(DG!$C166=3,FDD!$H30,0)</f>
        <v>0</v>
      </c>
      <c r="F166" s="462">
        <f>IF(DG!$C166=4,FDD!$H30,0)</f>
        <v>0</v>
      </c>
      <c r="G166" s="462">
        <f>IF(DG!$C166=5,FDD!$H30,0)</f>
        <v>0</v>
      </c>
      <c r="H166" s="462">
        <f>IF(DG!$C166=6,FDD!$H30,0)</f>
        <v>0</v>
      </c>
      <c r="I166" s="462">
        <f>IF(DG!$C166=7,FDD!$H30,0)</f>
        <v>0</v>
      </c>
      <c r="J166" s="462">
        <f>IF(DG!$C166=8,FDD!$H30,0)</f>
        <v>0</v>
      </c>
      <c r="K166" s="462">
        <f>IF(DG!$C166=9,FDD!$H30,0)</f>
        <v>0</v>
      </c>
      <c r="L166" s="462">
        <f>IF(DG!$C166=10,FDD!$H30,0)</f>
        <v>0</v>
      </c>
      <c r="M166" s="462">
        <f>IF(DG!$C166=11,FDD!$H30,0)</f>
        <v>0</v>
      </c>
      <c r="N166" s="462">
        <f>IF(DG!$C166=12,FDD!$H30,0)</f>
        <v>0</v>
      </c>
      <c r="O166" s="462">
        <f>IF(DG!$C166=13,FDD!$H30,0)</f>
        <v>0</v>
      </c>
      <c r="P166" s="462">
        <f>IF(DG!$C166=14,FDD!$H30,0)</f>
        <v>0</v>
      </c>
      <c r="Q166" s="462">
        <f>IF(DG!$C166=15,FDD!$H30,0)</f>
        <v>0</v>
      </c>
      <c r="R166" s="462">
        <f>IF(DG!$C166=16,FDD!$H30,0)</f>
        <v>0</v>
      </c>
      <c r="S166" s="462">
        <f>IF(DG!$C166=17,FDD!$H30,0)</f>
        <v>0</v>
      </c>
      <c r="T166" s="462">
        <f>IF(DG!$C166=18,FDD!$H30,0)</f>
        <v>0</v>
      </c>
      <c r="U166" s="462">
        <f>IF(DG!$C166=19,FDD!$H30,0)</f>
        <v>0</v>
      </c>
      <c r="V166" s="462">
        <f>IF(DG!$C166=20,FDD!$H30,0)</f>
        <v>0</v>
      </c>
      <c r="W166" s="462">
        <f>IF(DG!$C166=21,FDD!$H30,0)</f>
        <v>0</v>
      </c>
      <c r="X166" s="462">
        <f>IF(DG!$C166=22,FDD!$H30,0)</f>
        <v>0</v>
      </c>
      <c r="Y166" s="462">
        <f>IF(DG!$C166=23,FDD!$H30,0)</f>
        <v>0</v>
      </c>
      <c r="Z166" s="462">
        <f>IF(DG!$C166=24,FDD!$H30,0)</f>
        <v>0</v>
      </c>
      <c r="AA166" s="462">
        <f>IF(DG!$C166=25,FDD!$H30,0)</f>
        <v>0</v>
      </c>
      <c r="AB166" s="462">
        <f>IF(DG!$C166=26,FDD!$H30,0)</f>
        <v>0</v>
      </c>
      <c r="AC166" s="462">
        <f>IF(DG!$C166=27,FDD!$H30,0)</f>
        <v>0</v>
      </c>
      <c r="AD166" s="462">
        <f>IF(DG!$C166=28,FDD!$H30,0)</f>
        <v>0</v>
      </c>
      <c r="AE166" s="462">
        <f>IF(DG!$C166=29,FDD!$H30,0)</f>
        <v>0</v>
      </c>
      <c r="AF166" s="462">
        <f>IF(DG!$C166=30,FDD!$H30,0)</f>
        <v>0</v>
      </c>
      <c r="AG166" s="462">
        <f>IF(DG!$C166=31,FDD!$H30,0)</f>
        <v>0</v>
      </c>
      <c r="AH166" s="462">
        <f>IF(DG!$C166=32,FDD!$H30,0)</f>
        <v>0</v>
      </c>
      <c r="AI166" s="462">
        <f>IF(DG!$C166=33,FDD!$H30,0)</f>
        <v>0</v>
      </c>
      <c r="AJ166" s="462">
        <f>IF(DG!$C166=34,FDD!$H30,0)</f>
        <v>0</v>
      </c>
      <c r="AK166" s="462">
        <f>IF(DG!$C166=35,FDD!$H30,0)</f>
        <v>0</v>
      </c>
      <c r="AL166" s="462">
        <f>IF(DG!$C166=36,FDD!$H30,0)</f>
        <v>0</v>
      </c>
      <c r="AM166" s="462">
        <f>IF(DG!$C166=37,FDD!$H30,0)</f>
        <v>0</v>
      </c>
      <c r="AN166" s="462">
        <f>IF(DG!$C166=38,FDD!$H30,0)</f>
        <v>0</v>
      </c>
      <c r="AO166" s="462">
        <f>IF(DG!$C166=39,FDD!$H30,0)</f>
        <v>0</v>
      </c>
      <c r="AP166" s="462">
        <f>IF(DG!$C166=40,FDD!$H30,0)</f>
        <v>0</v>
      </c>
      <c r="AQ166" s="462"/>
      <c r="AR166" s="1059">
        <f t="shared" si="1"/>
        <v>0</v>
      </c>
      <c r="AS166" s="1056" t="str">
        <f t="shared" si="2"/>
        <v/>
      </c>
      <c r="AT166" s="1056"/>
      <c r="IU166" s="431"/>
      <c r="IV166" s="431"/>
      <c r="IW166" s="431"/>
      <c r="JR166" s="1056"/>
      <c r="JS166" s="1056"/>
      <c r="JT166" s="1056"/>
    </row>
    <row r="167" spans="1:280" ht="13">
      <c r="A167" s="1159" t="str">
        <f>'FG1'!A32</f>
        <v>Autre frais d'exploitation 2</v>
      </c>
      <c r="B167" s="1160"/>
      <c r="C167" s="461">
        <v>1</v>
      </c>
      <c r="D167" s="462">
        <f>IF(DG!$C167=2,FDD!$H32,0)</f>
        <v>0</v>
      </c>
      <c r="E167" s="462">
        <f>IF(DG!$C167=3,FDD!$H32,0)</f>
        <v>0</v>
      </c>
      <c r="F167" s="462">
        <f>IF(DG!$C167=4,FDD!$H32,0)</f>
        <v>0</v>
      </c>
      <c r="G167" s="462">
        <f>IF(DG!$C167=5,FDD!$H32,0)</f>
        <v>0</v>
      </c>
      <c r="H167" s="462">
        <f>IF(DG!$C167=6,FDD!$H32,0)</f>
        <v>0</v>
      </c>
      <c r="I167" s="462">
        <f>IF(DG!$C167=7,FDD!$H32,0)</f>
        <v>0</v>
      </c>
      <c r="J167" s="462">
        <f>IF(DG!$C167=8,FDD!$H32,0)</f>
        <v>0</v>
      </c>
      <c r="K167" s="462">
        <f>IF(DG!$C167=9,FDD!$H32,0)</f>
        <v>0</v>
      </c>
      <c r="L167" s="462">
        <f>IF(DG!$C167=10,FDD!$H32,0)</f>
        <v>0</v>
      </c>
      <c r="M167" s="462">
        <f>IF(DG!$C167=11,FDD!$H32,0)</f>
        <v>0</v>
      </c>
      <c r="N167" s="462">
        <f>IF(DG!$C167=12,FDD!$H32,0)</f>
        <v>0</v>
      </c>
      <c r="O167" s="462">
        <f>IF(DG!$C167=13,FDD!$H32,0)</f>
        <v>0</v>
      </c>
      <c r="P167" s="462">
        <f>IF(DG!$C167=14,FDD!$H32,0)</f>
        <v>0</v>
      </c>
      <c r="Q167" s="462">
        <f>IF(DG!$C167=15,FDD!$H32,0)</f>
        <v>0</v>
      </c>
      <c r="R167" s="462">
        <f>IF(DG!$C167=16,FDD!$H32,0)</f>
        <v>0</v>
      </c>
      <c r="S167" s="462">
        <f>IF(DG!$C167=17,FDD!$H32,0)</f>
        <v>0</v>
      </c>
      <c r="T167" s="462">
        <f>IF(DG!$C167=18,FDD!$H32,0)</f>
        <v>0</v>
      </c>
      <c r="U167" s="462">
        <f>IF(DG!$C167=19,FDD!$H32,0)</f>
        <v>0</v>
      </c>
      <c r="V167" s="462">
        <f>IF(DG!$C167=20,FDD!$H32,0)</f>
        <v>0</v>
      </c>
      <c r="W167" s="462">
        <f>IF(DG!$C167=21,FDD!$H32,0)</f>
        <v>0</v>
      </c>
      <c r="X167" s="462">
        <f>IF(DG!$C167=22,FDD!$H32,0)</f>
        <v>0</v>
      </c>
      <c r="Y167" s="462">
        <f>IF(DG!$C167=23,FDD!$H32,0)</f>
        <v>0</v>
      </c>
      <c r="Z167" s="462">
        <f>IF(DG!$C167=24,FDD!$H32,0)</f>
        <v>0</v>
      </c>
      <c r="AA167" s="462">
        <f>IF(DG!$C167=25,FDD!$H32,0)</f>
        <v>0</v>
      </c>
      <c r="AB167" s="462">
        <f>IF(DG!$C167=26,FDD!$H32,0)</f>
        <v>0</v>
      </c>
      <c r="AC167" s="462">
        <f>IF(DG!$C167=27,FDD!$H32,0)</f>
        <v>0</v>
      </c>
      <c r="AD167" s="462">
        <f>IF(DG!$C167=28,FDD!$H32,0)</f>
        <v>0</v>
      </c>
      <c r="AE167" s="462">
        <f>IF(DG!$C167=29,FDD!$H32,0)</f>
        <v>0</v>
      </c>
      <c r="AF167" s="462">
        <f>IF(DG!$C167=30,FDD!$H32,0)</f>
        <v>0</v>
      </c>
      <c r="AG167" s="462">
        <f>IF(DG!$C167=31,FDD!$H32,0)</f>
        <v>0</v>
      </c>
      <c r="AH167" s="462">
        <f>IF(DG!$C167=32,FDD!$H32,0)</f>
        <v>0</v>
      </c>
      <c r="AI167" s="462">
        <f>IF(DG!$C167=33,FDD!$H32,0)</f>
        <v>0</v>
      </c>
      <c r="AJ167" s="462">
        <f>IF(DG!$C167=34,FDD!$H32,0)</f>
        <v>0</v>
      </c>
      <c r="AK167" s="462">
        <f>IF(DG!$C167=35,FDD!$H32,0)</f>
        <v>0</v>
      </c>
      <c r="AL167" s="462">
        <f>IF(DG!$C167=36,FDD!$H32,0)</f>
        <v>0</v>
      </c>
      <c r="AM167" s="462">
        <f>IF(DG!$C167=37,FDD!$H32,0)</f>
        <v>0</v>
      </c>
      <c r="AN167" s="462">
        <f>IF(DG!$C167=38,FDD!$H32,0)</f>
        <v>0</v>
      </c>
      <c r="AO167" s="462">
        <f>IF(DG!$C167=39,FDD!$H32,0)</f>
        <v>0</v>
      </c>
      <c r="AP167" s="462">
        <f>IF(DG!$C167=40,FDD!$H32,0)</f>
        <v>0</v>
      </c>
      <c r="AQ167" s="462"/>
      <c r="AR167" s="1059">
        <f t="shared" si="1"/>
        <v>0</v>
      </c>
      <c r="AS167" s="1056" t="str">
        <f t="shared" si="2"/>
        <v/>
      </c>
      <c r="AT167" s="1056"/>
      <c r="IU167" s="431"/>
      <c r="IV167" s="431"/>
      <c r="IW167" s="431"/>
      <c r="JR167" s="1056"/>
      <c r="JS167" s="1056"/>
      <c r="JT167" s="1056"/>
    </row>
    <row r="168" spans="1:280" ht="13">
      <c r="A168" s="1159" t="str">
        <f>'FG1'!A34</f>
        <v>Autre frais d'exploitation 3</v>
      </c>
      <c r="B168" s="1160"/>
      <c r="C168" s="461">
        <v>1</v>
      </c>
      <c r="D168" s="462">
        <f>IF(DG!$C168=2,FDD!$H34,0)</f>
        <v>0</v>
      </c>
      <c r="E168" s="462">
        <f>IF(DG!$C168=3,FDD!$H34,0)</f>
        <v>0</v>
      </c>
      <c r="F168" s="462">
        <f>IF(DG!$C168=4,FDD!$H34,0)</f>
        <v>0</v>
      </c>
      <c r="G168" s="462">
        <f>IF(DG!$C168=5,FDD!$H34,0)</f>
        <v>0</v>
      </c>
      <c r="H168" s="462">
        <f>IF(DG!$C168=6,FDD!$H34,0)</f>
        <v>0</v>
      </c>
      <c r="I168" s="462">
        <f>IF(DG!$C168=7,FDD!$H34,0)</f>
        <v>0</v>
      </c>
      <c r="J168" s="462">
        <f>IF(DG!$C168=8,FDD!$H34,0)</f>
        <v>0</v>
      </c>
      <c r="K168" s="462">
        <f>IF(DG!$C168=9,FDD!$H34,0)</f>
        <v>0</v>
      </c>
      <c r="L168" s="462">
        <f>IF(DG!$C168=10,FDD!$H34,0)</f>
        <v>0</v>
      </c>
      <c r="M168" s="462">
        <f>IF(DG!$C168=11,FDD!$H34,0)</f>
        <v>0</v>
      </c>
      <c r="N168" s="462">
        <f>IF(DG!$C168=12,FDD!$H34,0)</f>
        <v>0</v>
      </c>
      <c r="O168" s="462">
        <f>IF(DG!$C168=13,FDD!$H34,0)</f>
        <v>0</v>
      </c>
      <c r="P168" s="462">
        <f>IF(DG!$C168=14,FDD!$H34,0)</f>
        <v>0</v>
      </c>
      <c r="Q168" s="462">
        <f>IF(DG!$C168=15,FDD!$H34,0)</f>
        <v>0</v>
      </c>
      <c r="R168" s="462">
        <f>IF(DG!$C168=16,FDD!$H34,0)</f>
        <v>0</v>
      </c>
      <c r="S168" s="462">
        <f>IF(DG!$C168=17,FDD!$H34,0)</f>
        <v>0</v>
      </c>
      <c r="T168" s="462">
        <f>IF(DG!$C168=18,FDD!$H34,0)</f>
        <v>0</v>
      </c>
      <c r="U168" s="462">
        <f>IF(DG!$C168=19,FDD!$H34,0)</f>
        <v>0</v>
      </c>
      <c r="V168" s="462">
        <f>IF(DG!$C168=20,FDD!$H34,0)</f>
        <v>0</v>
      </c>
      <c r="W168" s="462">
        <f>IF(DG!$C168=21,FDD!$H34,0)</f>
        <v>0</v>
      </c>
      <c r="X168" s="462">
        <f>IF(DG!$C168=22,FDD!$H34,0)</f>
        <v>0</v>
      </c>
      <c r="Y168" s="462">
        <f>IF(DG!$C168=23,FDD!$H34,0)</f>
        <v>0</v>
      </c>
      <c r="Z168" s="462">
        <f>IF(DG!$C168=24,FDD!$H34,0)</f>
        <v>0</v>
      </c>
      <c r="AA168" s="462">
        <f>IF(DG!$C168=25,FDD!$H34,0)</f>
        <v>0</v>
      </c>
      <c r="AB168" s="462">
        <f>IF(DG!$C168=26,FDD!$H34,0)</f>
        <v>0</v>
      </c>
      <c r="AC168" s="462">
        <f>IF(DG!$C168=27,FDD!$H34,0)</f>
        <v>0</v>
      </c>
      <c r="AD168" s="462">
        <f>IF(DG!$C168=28,FDD!$H34,0)</f>
        <v>0</v>
      </c>
      <c r="AE168" s="462">
        <f>IF(DG!$C168=29,FDD!$H34,0)</f>
        <v>0</v>
      </c>
      <c r="AF168" s="462">
        <f>IF(DG!$C168=30,FDD!$H34,0)</f>
        <v>0</v>
      </c>
      <c r="AG168" s="462">
        <f>IF(DG!$C168=31,FDD!$H34,0)</f>
        <v>0</v>
      </c>
      <c r="AH168" s="462">
        <f>IF(DG!$C168=32,FDD!$H34,0)</f>
        <v>0</v>
      </c>
      <c r="AI168" s="462">
        <f>IF(DG!$C168=33,FDD!$H34,0)</f>
        <v>0</v>
      </c>
      <c r="AJ168" s="462">
        <f>IF(DG!$C168=34,FDD!$H34,0)</f>
        <v>0</v>
      </c>
      <c r="AK168" s="462">
        <f>IF(DG!$C168=35,FDD!$H34,0)</f>
        <v>0</v>
      </c>
      <c r="AL168" s="462">
        <f>IF(DG!$C168=36,FDD!$H34,0)</f>
        <v>0</v>
      </c>
      <c r="AM168" s="462">
        <f>IF(DG!$C168=37,FDD!$H34,0)</f>
        <v>0</v>
      </c>
      <c r="AN168" s="462">
        <f>IF(DG!$C168=38,FDD!$H34,0)</f>
        <v>0</v>
      </c>
      <c r="AO168" s="462">
        <f>IF(DG!$C168=39,FDD!$H34,0)</f>
        <v>0</v>
      </c>
      <c r="AP168" s="462">
        <f>IF(DG!$C168=40,FDD!$H34,0)</f>
        <v>0</v>
      </c>
      <c r="AQ168" s="462"/>
      <c r="AR168" s="1059">
        <f t="shared" si="1"/>
        <v>0</v>
      </c>
      <c r="AS168" s="1056" t="str">
        <f t="shared" si="2"/>
        <v/>
      </c>
      <c r="AT168" s="1056"/>
      <c r="IU168" s="431"/>
      <c r="IV168" s="431"/>
      <c r="IW168" s="431"/>
      <c r="JR168" s="1056"/>
      <c r="JS168" s="1056"/>
      <c r="JT168" s="1056"/>
    </row>
    <row r="169" spans="1:280" ht="13">
      <c r="A169" s="1159" t="str">
        <f>'FG1'!A36</f>
        <v>Autre frais d'exploitation 4</v>
      </c>
      <c r="B169" s="1160"/>
      <c r="C169" s="461">
        <v>1</v>
      </c>
      <c r="D169" s="462">
        <f>IF(DG!$C169=2,FDD!$H36,0)</f>
        <v>0</v>
      </c>
      <c r="E169" s="462">
        <f>IF(DG!$C169=3,FDD!$H36,0)</f>
        <v>0</v>
      </c>
      <c r="F169" s="462">
        <f>IF(DG!$C169=4,FDD!$H36,0)</f>
        <v>0</v>
      </c>
      <c r="G169" s="462">
        <f>IF(DG!$C169=5,FDD!$H36,0)</f>
        <v>0</v>
      </c>
      <c r="H169" s="462">
        <f>IF(DG!$C169=6,FDD!$H36,0)</f>
        <v>0</v>
      </c>
      <c r="I169" s="462">
        <f>IF(DG!$C169=7,FDD!$H36,0)</f>
        <v>0</v>
      </c>
      <c r="J169" s="462">
        <f>IF(DG!$C169=8,FDD!$H36,0)</f>
        <v>0</v>
      </c>
      <c r="K169" s="462">
        <f>IF(DG!$C169=9,FDD!$H36,0)</f>
        <v>0</v>
      </c>
      <c r="L169" s="462">
        <f>IF(DG!$C169=10,FDD!$H36,0)</f>
        <v>0</v>
      </c>
      <c r="M169" s="462">
        <f>IF(DG!$C169=11,FDD!$H36,0)</f>
        <v>0</v>
      </c>
      <c r="N169" s="462">
        <f>IF(DG!$C169=12,FDD!$H36,0)</f>
        <v>0</v>
      </c>
      <c r="O169" s="462">
        <f>IF(DG!$C169=13,FDD!$H36,0)</f>
        <v>0</v>
      </c>
      <c r="P169" s="462">
        <f>IF(DG!$C169=14,FDD!$H36,0)</f>
        <v>0</v>
      </c>
      <c r="Q169" s="462">
        <f>IF(DG!$C169=15,FDD!$H36,0)</f>
        <v>0</v>
      </c>
      <c r="R169" s="462">
        <f>IF(DG!$C169=16,FDD!$H36,0)</f>
        <v>0</v>
      </c>
      <c r="S169" s="462">
        <f>IF(DG!$C169=17,FDD!$H36,0)</f>
        <v>0</v>
      </c>
      <c r="T169" s="462">
        <f>IF(DG!$C169=18,FDD!$H36,0)</f>
        <v>0</v>
      </c>
      <c r="U169" s="462">
        <f>IF(DG!$C169=19,FDD!$H36,0)</f>
        <v>0</v>
      </c>
      <c r="V169" s="462">
        <f>IF(DG!$C169=20,FDD!$H36,0)</f>
        <v>0</v>
      </c>
      <c r="W169" s="462">
        <f>IF(DG!$C169=21,FDD!$H36,0)</f>
        <v>0</v>
      </c>
      <c r="X169" s="462">
        <f>IF(DG!$C169=22,FDD!$H36,0)</f>
        <v>0</v>
      </c>
      <c r="Y169" s="462">
        <f>IF(DG!$C169=23,FDD!$H36,0)</f>
        <v>0</v>
      </c>
      <c r="Z169" s="462">
        <f>IF(DG!$C169=24,FDD!$H36,0)</f>
        <v>0</v>
      </c>
      <c r="AA169" s="462">
        <f>IF(DG!$C169=25,FDD!$H36,0)</f>
        <v>0</v>
      </c>
      <c r="AB169" s="462">
        <f>IF(DG!$C169=26,FDD!$H36,0)</f>
        <v>0</v>
      </c>
      <c r="AC169" s="462">
        <f>IF(DG!$C169=27,FDD!$H36,0)</f>
        <v>0</v>
      </c>
      <c r="AD169" s="462">
        <f>IF(DG!$C169=28,FDD!$H36,0)</f>
        <v>0</v>
      </c>
      <c r="AE169" s="462">
        <f>IF(DG!$C169=29,FDD!$H36,0)</f>
        <v>0</v>
      </c>
      <c r="AF169" s="462">
        <f>IF(DG!$C169=30,FDD!$H36,0)</f>
        <v>0</v>
      </c>
      <c r="AG169" s="462">
        <f>IF(DG!$C169=31,FDD!$H36,0)</f>
        <v>0</v>
      </c>
      <c r="AH169" s="462">
        <f>IF(DG!$C169=32,FDD!$H36,0)</f>
        <v>0</v>
      </c>
      <c r="AI169" s="462">
        <f>IF(DG!$C169=33,FDD!$H36,0)</f>
        <v>0</v>
      </c>
      <c r="AJ169" s="462">
        <f>IF(DG!$C169=34,FDD!$H36,0)</f>
        <v>0</v>
      </c>
      <c r="AK169" s="462">
        <f>IF(DG!$C169=35,FDD!$H36,0)</f>
        <v>0</v>
      </c>
      <c r="AL169" s="462">
        <f>IF(DG!$C169=36,FDD!$H36,0)</f>
        <v>0</v>
      </c>
      <c r="AM169" s="462">
        <f>IF(DG!$C169=37,FDD!$H36,0)</f>
        <v>0</v>
      </c>
      <c r="AN169" s="462">
        <f>IF(DG!$C169=38,FDD!$H36,0)</f>
        <v>0</v>
      </c>
      <c r="AO169" s="462">
        <f>IF(DG!$C169=39,FDD!$H36,0)</f>
        <v>0</v>
      </c>
      <c r="AP169" s="462">
        <f>IF(DG!$C169=40,FDD!$H36,0)</f>
        <v>0</v>
      </c>
      <c r="AQ169" s="462"/>
      <c r="AR169" s="1059">
        <f t="shared" si="1"/>
        <v>0</v>
      </c>
      <c r="AS169" s="1056" t="str">
        <f t="shared" si="2"/>
        <v/>
      </c>
      <c r="AT169" s="1056"/>
      <c r="IU169" s="431"/>
      <c r="IV169" s="431"/>
      <c r="IW169" s="431"/>
      <c r="JR169" s="1056"/>
      <c r="JS169" s="1056"/>
      <c r="JT169" s="1056"/>
    </row>
    <row r="170" spans="1:280" ht="13">
      <c r="A170" s="1159" t="str">
        <f>'FG1'!A38</f>
        <v>Autre frais d'exploitation 5</v>
      </c>
      <c r="B170" s="1160"/>
      <c r="C170" s="461">
        <v>1</v>
      </c>
      <c r="D170" s="462">
        <f>IF(DG!$C170=2,FDD!$H38,0)</f>
        <v>0</v>
      </c>
      <c r="E170" s="462">
        <f>IF(DG!$C170=3,FDD!$H38,0)</f>
        <v>0</v>
      </c>
      <c r="F170" s="462">
        <f>IF(DG!$C170=4,FDD!$H38,0)</f>
        <v>0</v>
      </c>
      <c r="G170" s="462">
        <f>IF(DG!$C170=5,FDD!$H38,0)</f>
        <v>0</v>
      </c>
      <c r="H170" s="462">
        <f>IF(DG!$C170=6,FDD!$H38,0)</f>
        <v>0</v>
      </c>
      <c r="I170" s="462">
        <f>IF(DG!$C170=7,FDD!$H38,0)</f>
        <v>0</v>
      </c>
      <c r="J170" s="462">
        <f>IF(DG!$C170=8,FDD!$H38,0)</f>
        <v>0</v>
      </c>
      <c r="K170" s="462">
        <f>IF(DG!$C170=9,FDD!$H38,0)</f>
        <v>0</v>
      </c>
      <c r="L170" s="462">
        <f>IF(DG!$C170=10,FDD!$H38,0)</f>
        <v>0</v>
      </c>
      <c r="M170" s="462">
        <f>IF(DG!$C170=11,FDD!$H38,0)</f>
        <v>0</v>
      </c>
      <c r="N170" s="462">
        <f>IF(DG!$C170=12,FDD!$H38,0)</f>
        <v>0</v>
      </c>
      <c r="O170" s="462">
        <f>IF(DG!$C170=13,FDD!$H38,0)</f>
        <v>0</v>
      </c>
      <c r="P170" s="462">
        <f>IF(DG!$C170=14,FDD!$H38,0)</f>
        <v>0</v>
      </c>
      <c r="Q170" s="462">
        <f>IF(DG!$C170=15,FDD!$H38,0)</f>
        <v>0</v>
      </c>
      <c r="R170" s="462">
        <f>IF(DG!$C170=16,FDD!$H38,0)</f>
        <v>0</v>
      </c>
      <c r="S170" s="462">
        <f>IF(DG!$C170=17,FDD!$H38,0)</f>
        <v>0</v>
      </c>
      <c r="T170" s="462">
        <f>IF(DG!$C170=18,FDD!$H38,0)</f>
        <v>0</v>
      </c>
      <c r="U170" s="462">
        <f>IF(DG!$C170=19,FDD!$H38,0)</f>
        <v>0</v>
      </c>
      <c r="V170" s="462">
        <f>IF(DG!$C170=20,FDD!$H38,0)</f>
        <v>0</v>
      </c>
      <c r="W170" s="462">
        <f>IF(DG!$C170=21,FDD!$H38,0)</f>
        <v>0</v>
      </c>
      <c r="X170" s="462">
        <f>IF(DG!$C170=22,FDD!$H38,0)</f>
        <v>0</v>
      </c>
      <c r="Y170" s="462">
        <f>IF(DG!$C170=23,FDD!$H38,0)</f>
        <v>0</v>
      </c>
      <c r="Z170" s="462">
        <f>IF(DG!$C170=24,FDD!$H38,0)</f>
        <v>0</v>
      </c>
      <c r="AA170" s="462">
        <f>IF(DG!$C170=25,FDD!$H38,0)</f>
        <v>0</v>
      </c>
      <c r="AB170" s="462">
        <f>IF(DG!$C170=26,FDD!$H38,0)</f>
        <v>0</v>
      </c>
      <c r="AC170" s="462">
        <f>IF(DG!$C170=27,FDD!$H38,0)</f>
        <v>0</v>
      </c>
      <c r="AD170" s="462">
        <f>IF(DG!$C170=28,FDD!$H38,0)</f>
        <v>0</v>
      </c>
      <c r="AE170" s="462">
        <f>IF(DG!$C170=29,FDD!$H38,0)</f>
        <v>0</v>
      </c>
      <c r="AF170" s="462">
        <f>IF(DG!$C170=30,FDD!$H38,0)</f>
        <v>0</v>
      </c>
      <c r="AG170" s="462">
        <f>IF(DG!$C170=31,FDD!$H38,0)</f>
        <v>0</v>
      </c>
      <c r="AH170" s="462">
        <f>IF(DG!$C170=32,FDD!$H38,0)</f>
        <v>0</v>
      </c>
      <c r="AI170" s="462">
        <f>IF(DG!$C170=33,FDD!$H38,0)</f>
        <v>0</v>
      </c>
      <c r="AJ170" s="462">
        <f>IF(DG!$C170=34,FDD!$H38,0)</f>
        <v>0</v>
      </c>
      <c r="AK170" s="462">
        <f>IF(DG!$C170=35,FDD!$H38,0)</f>
        <v>0</v>
      </c>
      <c r="AL170" s="462">
        <f>IF(DG!$C170=36,FDD!$H38,0)</f>
        <v>0</v>
      </c>
      <c r="AM170" s="462">
        <f>IF(DG!$C170=37,FDD!$H38,0)</f>
        <v>0</v>
      </c>
      <c r="AN170" s="462">
        <f>IF(DG!$C170=38,FDD!$H38,0)</f>
        <v>0</v>
      </c>
      <c r="AO170" s="462">
        <f>IF(DG!$C170=39,FDD!$H38,0)</f>
        <v>0</v>
      </c>
      <c r="AP170" s="462">
        <f>IF(DG!$C170=40,FDD!$H38,0)</f>
        <v>0</v>
      </c>
      <c r="AQ170" s="462"/>
      <c r="AR170" s="1059">
        <f t="shared" si="1"/>
        <v>0</v>
      </c>
      <c r="AS170" s="1056" t="str">
        <f t="shared" si="2"/>
        <v/>
      </c>
      <c r="AT170" s="1056"/>
      <c r="IU170" s="431"/>
      <c r="IV170" s="431"/>
      <c r="IW170" s="431"/>
      <c r="JR170" s="1056"/>
      <c r="JS170" s="1056"/>
      <c r="JT170" s="1056"/>
    </row>
    <row r="171" spans="1:280" ht="13">
      <c r="A171" s="1159" t="str">
        <f>'FG1'!A40</f>
        <v>Autre frais d'exploitation 6</v>
      </c>
      <c r="B171" s="1160"/>
      <c r="C171" s="461">
        <v>1</v>
      </c>
      <c r="D171" s="462">
        <f>IF(DG!$C171=2,FDD!$H40,0)</f>
        <v>0</v>
      </c>
      <c r="E171" s="462">
        <f>IF(DG!$C171=3,FDD!$H40,0)</f>
        <v>0</v>
      </c>
      <c r="F171" s="462">
        <f>IF(DG!$C171=4,FDD!$H40,0)</f>
        <v>0</v>
      </c>
      <c r="G171" s="462">
        <f>IF(DG!$C171=5,FDD!$H40,0)</f>
        <v>0</v>
      </c>
      <c r="H171" s="462">
        <f>IF(DG!$C171=6,FDD!$H40,0)</f>
        <v>0</v>
      </c>
      <c r="I171" s="462">
        <f>IF(DG!$C171=7,FDD!$H40,0)</f>
        <v>0</v>
      </c>
      <c r="J171" s="462">
        <f>IF(DG!$C171=8,FDD!$H40,0)</f>
        <v>0</v>
      </c>
      <c r="K171" s="462">
        <f>IF(DG!$C171=9,FDD!$H40,0)</f>
        <v>0</v>
      </c>
      <c r="L171" s="462">
        <f>IF(DG!$C171=10,FDD!$H40,0)</f>
        <v>0</v>
      </c>
      <c r="M171" s="462">
        <f>IF(DG!$C171=11,FDD!$H40,0)</f>
        <v>0</v>
      </c>
      <c r="N171" s="462">
        <f>IF(DG!$C171=12,FDD!$H40,0)</f>
        <v>0</v>
      </c>
      <c r="O171" s="462">
        <f>IF(DG!$C171=13,FDD!$H40,0)</f>
        <v>0</v>
      </c>
      <c r="P171" s="462">
        <f>IF(DG!$C171=14,FDD!$H40,0)</f>
        <v>0</v>
      </c>
      <c r="Q171" s="462">
        <f>IF(DG!$C171=15,FDD!$H40,0)</f>
        <v>0</v>
      </c>
      <c r="R171" s="462">
        <f>IF(DG!$C171=16,FDD!$H40,0)</f>
        <v>0</v>
      </c>
      <c r="S171" s="462">
        <f>IF(DG!$C171=17,FDD!$H40,0)</f>
        <v>0</v>
      </c>
      <c r="T171" s="462">
        <f>IF(DG!$C171=18,FDD!$H40,0)</f>
        <v>0</v>
      </c>
      <c r="U171" s="462">
        <f>IF(DG!$C171=19,FDD!$H40,0)</f>
        <v>0</v>
      </c>
      <c r="V171" s="462">
        <f>IF(DG!$C171=20,FDD!$H40,0)</f>
        <v>0</v>
      </c>
      <c r="W171" s="462">
        <f>IF(DG!$C171=21,FDD!$H40,0)</f>
        <v>0</v>
      </c>
      <c r="X171" s="462">
        <f>IF(DG!$C171=22,FDD!$H40,0)</f>
        <v>0</v>
      </c>
      <c r="Y171" s="462">
        <f>IF(DG!$C171=23,FDD!$H40,0)</f>
        <v>0</v>
      </c>
      <c r="Z171" s="462">
        <f>IF(DG!$C171=24,FDD!$H40,0)</f>
        <v>0</v>
      </c>
      <c r="AA171" s="462">
        <f>IF(DG!$C171=25,FDD!$H40,0)</f>
        <v>0</v>
      </c>
      <c r="AB171" s="462">
        <f>IF(DG!$C171=26,FDD!$H40,0)</f>
        <v>0</v>
      </c>
      <c r="AC171" s="462">
        <f>IF(DG!$C171=27,FDD!$H40,0)</f>
        <v>0</v>
      </c>
      <c r="AD171" s="462">
        <f>IF(DG!$C171=28,FDD!$H40,0)</f>
        <v>0</v>
      </c>
      <c r="AE171" s="462">
        <f>IF(DG!$C171=29,FDD!$H40,0)</f>
        <v>0</v>
      </c>
      <c r="AF171" s="462">
        <f>IF(DG!$C171=30,FDD!$H40,0)</f>
        <v>0</v>
      </c>
      <c r="AG171" s="462">
        <f>IF(DG!$C171=31,FDD!$H40,0)</f>
        <v>0</v>
      </c>
      <c r="AH171" s="462">
        <f>IF(DG!$C171=32,FDD!$H40,0)</f>
        <v>0</v>
      </c>
      <c r="AI171" s="462">
        <f>IF(DG!$C171=33,FDD!$H40,0)</f>
        <v>0</v>
      </c>
      <c r="AJ171" s="462">
        <f>IF(DG!$C171=34,FDD!$H40,0)</f>
        <v>0</v>
      </c>
      <c r="AK171" s="462">
        <f>IF(DG!$C171=35,FDD!$H40,0)</f>
        <v>0</v>
      </c>
      <c r="AL171" s="462">
        <f>IF(DG!$C171=36,FDD!$H40,0)</f>
        <v>0</v>
      </c>
      <c r="AM171" s="462">
        <f>IF(DG!$C171=37,FDD!$H40,0)</f>
        <v>0</v>
      </c>
      <c r="AN171" s="462">
        <f>IF(DG!$C171=38,FDD!$H40,0)</f>
        <v>0</v>
      </c>
      <c r="AO171" s="462">
        <f>IF(DG!$C171=39,FDD!$H40,0)</f>
        <v>0</v>
      </c>
      <c r="AP171" s="462">
        <f>IF(DG!$C171=40,FDD!$H40,0)</f>
        <v>0</v>
      </c>
      <c r="AQ171" s="462"/>
      <c r="AR171" s="1059">
        <f t="shared" si="1"/>
        <v>0</v>
      </c>
      <c r="AS171" s="1056" t="str">
        <f t="shared" si="2"/>
        <v/>
      </c>
      <c r="AT171" s="1056"/>
      <c r="IU171" s="431"/>
      <c r="IV171" s="431"/>
      <c r="IW171" s="431"/>
      <c r="JR171" s="1056"/>
      <c r="JS171" s="1056"/>
      <c r="JT171" s="1056"/>
    </row>
    <row r="172" spans="1:280" ht="13">
      <c r="A172" s="1159" t="str">
        <f>'FG1'!A42</f>
        <v>Autre frais d'exploitation 7</v>
      </c>
      <c r="B172" s="1160"/>
      <c r="C172" s="461">
        <v>1</v>
      </c>
      <c r="D172" s="462">
        <f>IF(DG!$C172=2,FDD!$H42,0)</f>
        <v>0</v>
      </c>
      <c r="E172" s="462">
        <f>IF(DG!$C172=3,FDD!$H42,0)</f>
        <v>0</v>
      </c>
      <c r="F172" s="462">
        <f>IF(DG!$C172=4,FDD!$H42,0)</f>
        <v>0</v>
      </c>
      <c r="G172" s="462">
        <f>IF(DG!$C172=5,FDD!$H42,0)</f>
        <v>0</v>
      </c>
      <c r="H172" s="462">
        <f>IF(DG!$C172=6,FDD!$H42,0)</f>
        <v>0</v>
      </c>
      <c r="I172" s="462">
        <f>IF(DG!$C172=7,FDD!$H42,0)</f>
        <v>0</v>
      </c>
      <c r="J172" s="462">
        <f>IF(DG!$C172=8,FDD!$H42,0)</f>
        <v>0</v>
      </c>
      <c r="K172" s="462">
        <f>IF(DG!$C172=9,FDD!$H42,0)</f>
        <v>0</v>
      </c>
      <c r="L172" s="462">
        <f>IF(DG!$C172=10,FDD!$H42,0)</f>
        <v>0</v>
      </c>
      <c r="M172" s="462">
        <f>IF(DG!$C172=11,FDD!$H42,0)</f>
        <v>0</v>
      </c>
      <c r="N172" s="462">
        <f>IF(DG!$C172=12,FDD!$H42,0)</f>
        <v>0</v>
      </c>
      <c r="O172" s="462">
        <f>IF(DG!$C172=13,FDD!$H42,0)</f>
        <v>0</v>
      </c>
      <c r="P172" s="462">
        <f>IF(DG!$C172=14,FDD!$H42,0)</f>
        <v>0</v>
      </c>
      <c r="Q172" s="462">
        <f>IF(DG!$C172=15,FDD!$H42,0)</f>
        <v>0</v>
      </c>
      <c r="R172" s="462">
        <f>IF(DG!$C172=16,FDD!$H42,0)</f>
        <v>0</v>
      </c>
      <c r="S172" s="462">
        <f>IF(DG!$C172=17,FDD!$H42,0)</f>
        <v>0</v>
      </c>
      <c r="T172" s="462">
        <f>IF(DG!$C172=18,FDD!$H42,0)</f>
        <v>0</v>
      </c>
      <c r="U172" s="462">
        <f>IF(DG!$C172=19,FDD!$H42,0)</f>
        <v>0</v>
      </c>
      <c r="V172" s="462">
        <f>IF(DG!$C172=20,FDD!$H42,0)</f>
        <v>0</v>
      </c>
      <c r="W172" s="462">
        <f>IF(DG!$C172=21,FDD!$H42,0)</f>
        <v>0</v>
      </c>
      <c r="X172" s="462">
        <f>IF(DG!$C172=22,FDD!$H42,0)</f>
        <v>0</v>
      </c>
      <c r="Y172" s="462">
        <f>IF(DG!$C172=23,FDD!$H42,0)</f>
        <v>0</v>
      </c>
      <c r="Z172" s="462">
        <f>IF(DG!$C172=24,FDD!$H42,0)</f>
        <v>0</v>
      </c>
      <c r="AA172" s="462">
        <f>IF(DG!$C172=25,FDD!$H42,0)</f>
        <v>0</v>
      </c>
      <c r="AB172" s="462">
        <f>IF(DG!$C172=26,FDD!$H42,0)</f>
        <v>0</v>
      </c>
      <c r="AC172" s="462">
        <f>IF(DG!$C172=27,FDD!$H42,0)</f>
        <v>0</v>
      </c>
      <c r="AD172" s="462">
        <f>IF(DG!$C172=28,FDD!$H42,0)</f>
        <v>0</v>
      </c>
      <c r="AE172" s="462">
        <f>IF(DG!$C172=29,FDD!$H42,0)</f>
        <v>0</v>
      </c>
      <c r="AF172" s="462">
        <f>IF(DG!$C172=30,FDD!$H42,0)</f>
        <v>0</v>
      </c>
      <c r="AG172" s="462">
        <f>IF(DG!$C172=31,FDD!$H42,0)</f>
        <v>0</v>
      </c>
      <c r="AH172" s="462">
        <f>IF(DG!$C172=32,FDD!$H42,0)</f>
        <v>0</v>
      </c>
      <c r="AI172" s="462">
        <f>IF(DG!$C172=33,FDD!$H42,0)</f>
        <v>0</v>
      </c>
      <c r="AJ172" s="462">
        <f>IF(DG!$C172=34,FDD!$H42,0)</f>
        <v>0</v>
      </c>
      <c r="AK172" s="462">
        <f>IF(DG!$C172=35,FDD!$H42,0)</f>
        <v>0</v>
      </c>
      <c r="AL172" s="462">
        <f>IF(DG!$C172=36,FDD!$H42,0)</f>
        <v>0</v>
      </c>
      <c r="AM172" s="462">
        <f>IF(DG!$C172=37,FDD!$H42,0)</f>
        <v>0</v>
      </c>
      <c r="AN172" s="462">
        <f>IF(DG!$C172=38,FDD!$H42,0)</f>
        <v>0</v>
      </c>
      <c r="AO172" s="462">
        <f>IF(DG!$C172=39,FDD!$H42,0)</f>
        <v>0</v>
      </c>
      <c r="AP172" s="462">
        <f>IF(DG!$C172=40,FDD!$H42,0)</f>
        <v>0</v>
      </c>
      <c r="AQ172" s="462"/>
      <c r="AR172" s="1059">
        <f t="shared" si="1"/>
        <v>0</v>
      </c>
      <c r="AS172" s="1056" t="str">
        <f t="shared" si="2"/>
        <v/>
      </c>
      <c r="AT172" s="1056"/>
      <c r="IU172" s="431"/>
      <c r="IV172" s="431"/>
      <c r="IW172" s="431"/>
      <c r="JR172" s="1056"/>
      <c r="JS172" s="1056"/>
      <c r="JT172" s="1056"/>
    </row>
    <row r="173" spans="1:280" ht="13">
      <c r="A173" s="1159" t="str">
        <f>'FG1'!A44</f>
        <v>Autre frais d'exploitation 8</v>
      </c>
      <c r="B173" s="1160"/>
      <c r="C173" s="461">
        <v>1</v>
      </c>
      <c r="D173" s="462">
        <f>IF(DG!$C173=2,FDD!$H44,0)</f>
        <v>0</v>
      </c>
      <c r="E173" s="462">
        <f>IF(DG!$C173=3,FDD!$H44,0)</f>
        <v>0</v>
      </c>
      <c r="F173" s="462">
        <f>IF(DG!$C173=4,FDD!$H44,0)</f>
        <v>0</v>
      </c>
      <c r="G173" s="462">
        <f>IF(DG!$C173=5,FDD!$H44,0)</f>
        <v>0</v>
      </c>
      <c r="H173" s="462">
        <f>IF(DG!$C173=6,FDD!$H44,0)</f>
        <v>0</v>
      </c>
      <c r="I173" s="462">
        <f>IF(DG!$C173=7,FDD!$H44,0)</f>
        <v>0</v>
      </c>
      <c r="J173" s="462">
        <f>IF(DG!$C173=8,FDD!$H44,0)</f>
        <v>0</v>
      </c>
      <c r="K173" s="462">
        <f>IF(DG!$C173=9,FDD!$H44,0)</f>
        <v>0</v>
      </c>
      <c r="L173" s="462">
        <f>IF(DG!$C173=10,FDD!$H44,0)</f>
        <v>0</v>
      </c>
      <c r="M173" s="462">
        <f>IF(DG!$C173=11,FDD!$H44,0)</f>
        <v>0</v>
      </c>
      <c r="N173" s="462">
        <f>IF(DG!$C173=12,FDD!$H44,0)</f>
        <v>0</v>
      </c>
      <c r="O173" s="462">
        <f>IF(DG!$C173=13,FDD!$H44,0)</f>
        <v>0</v>
      </c>
      <c r="P173" s="462">
        <f>IF(DG!$C173=14,FDD!$H44,0)</f>
        <v>0</v>
      </c>
      <c r="Q173" s="462">
        <f>IF(DG!$C173=15,FDD!$H44,0)</f>
        <v>0</v>
      </c>
      <c r="R173" s="462">
        <f>IF(DG!$C173=16,FDD!$H44,0)</f>
        <v>0</v>
      </c>
      <c r="S173" s="462">
        <f>IF(DG!$C173=17,FDD!$H44,0)</f>
        <v>0</v>
      </c>
      <c r="T173" s="462">
        <f>IF(DG!$C173=18,FDD!$H44,0)</f>
        <v>0</v>
      </c>
      <c r="U173" s="462">
        <f>IF(DG!$C173=19,FDD!$H44,0)</f>
        <v>0</v>
      </c>
      <c r="V173" s="462">
        <f>IF(DG!$C173=20,FDD!$H44,0)</f>
        <v>0</v>
      </c>
      <c r="W173" s="462">
        <f>IF(DG!$C173=21,FDD!$H44,0)</f>
        <v>0</v>
      </c>
      <c r="X173" s="462">
        <f>IF(DG!$C173=22,FDD!$H44,0)</f>
        <v>0</v>
      </c>
      <c r="Y173" s="462">
        <f>IF(DG!$C173=23,FDD!$H44,0)</f>
        <v>0</v>
      </c>
      <c r="Z173" s="462">
        <f>IF(DG!$C173=24,FDD!$H44,0)</f>
        <v>0</v>
      </c>
      <c r="AA173" s="462">
        <f>IF(DG!$C173=25,FDD!$H44,0)</f>
        <v>0</v>
      </c>
      <c r="AB173" s="462">
        <f>IF(DG!$C173=26,FDD!$H44,0)</f>
        <v>0</v>
      </c>
      <c r="AC173" s="462">
        <f>IF(DG!$C173=27,FDD!$H44,0)</f>
        <v>0</v>
      </c>
      <c r="AD173" s="462">
        <f>IF(DG!$C173=28,FDD!$H44,0)</f>
        <v>0</v>
      </c>
      <c r="AE173" s="462">
        <f>IF(DG!$C173=29,FDD!$H44,0)</f>
        <v>0</v>
      </c>
      <c r="AF173" s="462">
        <f>IF(DG!$C173=30,FDD!$H44,0)</f>
        <v>0</v>
      </c>
      <c r="AG173" s="462">
        <f>IF(DG!$C173=31,FDD!$H44,0)</f>
        <v>0</v>
      </c>
      <c r="AH173" s="462">
        <f>IF(DG!$C173=32,FDD!$H44,0)</f>
        <v>0</v>
      </c>
      <c r="AI173" s="462">
        <f>IF(DG!$C173=33,FDD!$H44,0)</f>
        <v>0</v>
      </c>
      <c r="AJ173" s="462">
        <f>IF(DG!$C173=34,FDD!$H44,0)</f>
        <v>0</v>
      </c>
      <c r="AK173" s="462">
        <f>IF(DG!$C173=35,FDD!$H44,0)</f>
        <v>0</v>
      </c>
      <c r="AL173" s="462">
        <f>IF(DG!$C173=36,FDD!$H44,0)</f>
        <v>0</v>
      </c>
      <c r="AM173" s="462">
        <f>IF(DG!$C173=37,FDD!$H44,0)</f>
        <v>0</v>
      </c>
      <c r="AN173" s="462">
        <f>IF(DG!$C173=38,FDD!$H44,0)</f>
        <v>0</v>
      </c>
      <c r="AO173" s="462">
        <f>IF(DG!$C173=39,FDD!$H44,0)</f>
        <v>0</v>
      </c>
      <c r="AP173" s="462">
        <f>IF(DG!$C173=40,FDD!$H44,0)</f>
        <v>0</v>
      </c>
      <c r="AQ173" s="462"/>
      <c r="AR173" s="1059">
        <f t="shared" si="1"/>
        <v>0</v>
      </c>
      <c r="AS173" s="1056" t="str">
        <f t="shared" si="2"/>
        <v/>
      </c>
      <c r="AT173" s="1056"/>
      <c r="IU173" s="431"/>
      <c r="IV173" s="431"/>
      <c r="IW173" s="431"/>
      <c r="JR173" s="1056"/>
      <c r="JS173" s="1056"/>
      <c r="JT173" s="1056"/>
    </row>
    <row r="174" spans="1:280" ht="13">
      <c r="A174" s="1159" t="str">
        <f>'FG1'!A47</f>
        <v>Frais de représentation</v>
      </c>
      <c r="B174" s="1160"/>
      <c r="C174" s="461"/>
      <c r="D174" s="462">
        <f>IF(DG!$C174=2,FDD!$H46,0)</f>
        <v>0</v>
      </c>
      <c r="E174" s="462">
        <f>IF(DG!$C174=3,FDD!$H46,0)</f>
        <v>0</v>
      </c>
      <c r="F174" s="462">
        <f>IF(DG!$C174=4,FDD!$H46,0)</f>
        <v>0</v>
      </c>
      <c r="G174" s="462">
        <f>IF(DG!$C174=5,FDD!$H46,0)</f>
        <v>0</v>
      </c>
      <c r="H174" s="462">
        <f>IF(DG!$C174=6,FDD!$H46,0)</f>
        <v>0</v>
      </c>
      <c r="I174" s="462">
        <f>IF(DG!$C174=7,FDD!$H46,0)</f>
        <v>0</v>
      </c>
      <c r="J174" s="462">
        <f>IF(DG!$C174=8,FDD!$H46,0)</f>
        <v>0</v>
      </c>
      <c r="K174" s="462">
        <f>IF(DG!$C174=9,FDD!$H46,0)</f>
        <v>0</v>
      </c>
      <c r="L174" s="462">
        <f>IF(DG!$C174=10,FDD!$H46,0)</f>
        <v>0</v>
      </c>
      <c r="M174" s="462">
        <f>IF(DG!$C174=11,FDD!$H46,0)</f>
        <v>0</v>
      </c>
      <c r="N174" s="462">
        <f>IF(DG!$C174=12,FDD!$H46,0)</f>
        <v>0</v>
      </c>
      <c r="O174" s="462">
        <f>IF(DG!$C174=13,FDD!$H46,0)</f>
        <v>0</v>
      </c>
      <c r="P174" s="462">
        <f>IF(DG!$C174=14,FDD!$H46,0)</f>
        <v>0</v>
      </c>
      <c r="Q174" s="462">
        <f>IF(DG!$C174=15,FDD!$H46,0)</f>
        <v>0</v>
      </c>
      <c r="R174" s="462">
        <f>IF(DG!$C174=16,FDD!$H46,0)</f>
        <v>0</v>
      </c>
      <c r="S174" s="462">
        <f>IF(DG!$C174=17,FDD!$H46,0)</f>
        <v>0</v>
      </c>
      <c r="T174" s="462">
        <f>IF(DG!$C174=18,FDD!$H46,0)</f>
        <v>0</v>
      </c>
      <c r="U174" s="462">
        <f>IF(DG!$C174=19,FDD!$H46,0)</f>
        <v>0</v>
      </c>
      <c r="V174" s="462">
        <f>IF(DG!$C174=20,FDD!$H46,0)</f>
        <v>0</v>
      </c>
      <c r="W174" s="462">
        <f>IF(DG!$C174=21,FDD!$H46,0)</f>
        <v>0</v>
      </c>
      <c r="X174" s="462">
        <f>IF(DG!$C174=22,FDD!$H46,0)</f>
        <v>0</v>
      </c>
      <c r="Y174" s="462">
        <f>IF(DG!$C174=23,FDD!$H46,0)</f>
        <v>0</v>
      </c>
      <c r="Z174" s="462">
        <f>IF(DG!$C174=24,FDD!$H46,0)</f>
        <v>0</v>
      </c>
      <c r="AA174" s="462">
        <f>IF(DG!$C174=25,FDD!$H46,0)</f>
        <v>0</v>
      </c>
      <c r="AB174" s="462">
        <f>IF(DG!$C174=26,FDD!$H46,0)</f>
        <v>0</v>
      </c>
      <c r="AC174" s="462">
        <f>IF(DG!$C174=27,FDD!$H46,0)</f>
        <v>0</v>
      </c>
      <c r="AD174" s="462">
        <f>IF(DG!$C174=28,FDD!$H46,0)</f>
        <v>0</v>
      </c>
      <c r="AE174" s="462">
        <f>IF(DG!$C174=29,FDD!$H46,0)</f>
        <v>0</v>
      </c>
      <c r="AF174" s="462">
        <f>IF(DG!$C174=30,FDD!$H46,0)</f>
        <v>0</v>
      </c>
      <c r="AG174" s="462">
        <f>IF(DG!$C174=31,FDD!$H46,0)</f>
        <v>0</v>
      </c>
      <c r="AH174" s="462">
        <f>IF(DG!$C174=32,FDD!$H46,0)</f>
        <v>0</v>
      </c>
      <c r="AI174" s="462">
        <f>IF(DG!$C174=33,FDD!$H46,0)</f>
        <v>0</v>
      </c>
      <c r="AJ174" s="462">
        <f>IF(DG!$C174=34,FDD!$H46,0)</f>
        <v>0</v>
      </c>
      <c r="AK174" s="462">
        <f>IF(DG!$C174=35,FDD!$H46,0)</f>
        <v>0</v>
      </c>
      <c r="AL174" s="462">
        <f>IF(DG!$C174=36,FDD!$H46,0)</f>
        <v>0</v>
      </c>
      <c r="AM174" s="462">
        <f>IF(DG!$C174=37,FDD!$H46,0)</f>
        <v>0</v>
      </c>
      <c r="AN174" s="462">
        <f>IF(DG!$C174=38,FDD!$H46,0)</f>
        <v>0</v>
      </c>
      <c r="AO174" s="462">
        <f>IF(DG!$C174=39,FDD!$H46,0)</f>
        <v>0</v>
      </c>
      <c r="AP174" s="462">
        <f>IF(DG!$C174=40,FDD!$H46,0)</f>
        <v>0</v>
      </c>
      <c r="AQ174" s="462"/>
      <c r="AR174" s="464"/>
      <c r="IU174" s="431"/>
      <c r="IV174" s="431"/>
      <c r="IW174" s="431"/>
      <c r="JR174" s="1056"/>
      <c r="JS174" s="1056"/>
      <c r="JT174" s="1056"/>
    </row>
    <row r="175" spans="1:280" ht="13">
      <c r="A175" s="1159" t="str">
        <f>'FG1'!A49</f>
        <v>Publicité</v>
      </c>
      <c r="B175" s="1160"/>
      <c r="C175" s="461"/>
      <c r="D175" s="462">
        <f>IF(DG!$C175=2,FDD!$H48,0)</f>
        <v>0</v>
      </c>
      <c r="E175" s="462">
        <f>IF(DG!$C175=3,FDD!$H48,0)</f>
        <v>0</v>
      </c>
      <c r="F175" s="462">
        <f>IF(DG!$C175=4,FDD!$H48,0)</f>
        <v>0</v>
      </c>
      <c r="G175" s="462">
        <f>IF(DG!$C175=5,FDD!$H48,0)</f>
        <v>0</v>
      </c>
      <c r="H175" s="462">
        <f>IF(DG!$C175=6,FDD!$H48,0)</f>
        <v>0</v>
      </c>
      <c r="I175" s="462">
        <f>IF(DG!$C175=7,FDD!$H48,0)</f>
        <v>0</v>
      </c>
      <c r="J175" s="462">
        <f>IF(DG!$C175=8,FDD!$H48,0)</f>
        <v>0</v>
      </c>
      <c r="K175" s="462">
        <f>IF(DG!$C175=9,FDD!$H48,0)</f>
        <v>0</v>
      </c>
      <c r="L175" s="462">
        <f>IF(DG!$C175=10,FDD!$H48,0)</f>
        <v>0</v>
      </c>
      <c r="M175" s="462">
        <f>IF(DG!$C175=11,FDD!$H48,0)</f>
        <v>0</v>
      </c>
      <c r="N175" s="462">
        <f>IF(DG!$C175=12,FDD!$H48,0)</f>
        <v>0</v>
      </c>
      <c r="O175" s="462">
        <f>IF(DG!$C175=13,FDD!$H48,0)</f>
        <v>0</v>
      </c>
      <c r="P175" s="462">
        <f>IF(DG!$C175=14,FDD!$H48,0)</f>
        <v>0</v>
      </c>
      <c r="Q175" s="462">
        <f>IF(DG!$C175=15,FDD!$H48,0)</f>
        <v>0</v>
      </c>
      <c r="R175" s="462">
        <f>IF(DG!$C175=16,FDD!$H48,0)</f>
        <v>0</v>
      </c>
      <c r="S175" s="462">
        <f>IF(DG!$C175=17,FDD!$H48,0)</f>
        <v>0</v>
      </c>
      <c r="T175" s="462">
        <f>IF(DG!$C175=18,FDD!$H48,0)</f>
        <v>0</v>
      </c>
      <c r="U175" s="462">
        <f>IF(DG!$C175=19,FDD!$H48,0)</f>
        <v>0</v>
      </c>
      <c r="V175" s="462">
        <f>IF(DG!$C175=20,FDD!$H48,0)</f>
        <v>0</v>
      </c>
      <c r="W175" s="462">
        <f>IF(DG!$C175=21,FDD!$H48,0)</f>
        <v>0</v>
      </c>
      <c r="X175" s="462">
        <f>IF(DG!$C175=22,FDD!$H48,0)</f>
        <v>0</v>
      </c>
      <c r="Y175" s="462">
        <f>IF(DG!$C175=23,FDD!$H48,0)</f>
        <v>0</v>
      </c>
      <c r="Z175" s="462">
        <f>IF(DG!$C175=24,FDD!$H48,0)</f>
        <v>0</v>
      </c>
      <c r="AA175" s="462">
        <f>IF(DG!$C175=25,FDD!$H48,0)</f>
        <v>0</v>
      </c>
      <c r="AB175" s="462">
        <f>IF(DG!$C175=26,FDD!$H48,0)</f>
        <v>0</v>
      </c>
      <c r="AC175" s="462">
        <f>IF(DG!$C175=27,FDD!$H48,0)</f>
        <v>0</v>
      </c>
      <c r="AD175" s="462">
        <f>IF(DG!$C175=28,FDD!$H48,0)</f>
        <v>0</v>
      </c>
      <c r="AE175" s="462">
        <f>IF(DG!$C175=29,FDD!$H48,0)</f>
        <v>0</v>
      </c>
      <c r="AF175" s="462">
        <f>IF(DG!$C175=30,FDD!$H48,0)</f>
        <v>0</v>
      </c>
      <c r="AG175" s="462">
        <f>IF(DG!$C175=31,FDD!$H48,0)</f>
        <v>0</v>
      </c>
      <c r="AH175" s="462">
        <f>IF(DG!$C175=32,FDD!$H48,0)</f>
        <v>0</v>
      </c>
      <c r="AI175" s="462">
        <f>IF(DG!$C175=33,FDD!$H48,0)</f>
        <v>0</v>
      </c>
      <c r="AJ175" s="462">
        <f>IF(DG!$C175=34,FDD!$H48,0)</f>
        <v>0</v>
      </c>
      <c r="AK175" s="462">
        <f>IF(DG!$C175=35,FDD!$H48,0)</f>
        <v>0</v>
      </c>
      <c r="AL175" s="462">
        <f>IF(DG!$C175=36,FDD!$H48,0)</f>
        <v>0</v>
      </c>
      <c r="AM175" s="462">
        <f>IF(DG!$C175=37,FDD!$H48,0)</f>
        <v>0</v>
      </c>
      <c r="AN175" s="462">
        <f>IF(DG!$C175=38,FDD!$H48,0)</f>
        <v>0</v>
      </c>
      <c r="AO175" s="462">
        <f>IF(DG!$C175=39,FDD!$H48,0)</f>
        <v>0</v>
      </c>
      <c r="AP175" s="462">
        <f>IF(DG!$C175=40,FDD!$H48,0)</f>
        <v>0</v>
      </c>
      <c r="AQ175" s="462"/>
      <c r="AR175" s="464"/>
      <c r="IU175" s="431"/>
      <c r="IV175" s="431"/>
      <c r="IW175" s="431"/>
      <c r="JR175" s="1056"/>
      <c r="JS175" s="1056"/>
      <c r="JT175" s="1056"/>
    </row>
    <row r="176" spans="1:280" ht="13">
      <c r="A176" s="1159" t="str">
        <f>'FG1'!A51</f>
        <v>Autres frais de vente 1</v>
      </c>
      <c r="B176" s="1160"/>
      <c r="C176" s="461"/>
      <c r="D176" s="462">
        <f>IF(DG!$C176=2,FDD!$H50,0)</f>
        <v>0</v>
      </c>
      <c r="E176" s="462">
        <f>IF(DG!$C176=3,FDD!$H50,0)</f>
        <v>0</v>
      </c>
      <c r="F176" s="462">
        <f>IF(DG!$C176=4,FDD!$H50,0)</f>
        <v>0</v>
      </c>
      <c r="G176" s="462">
        <f>IF(DG!$C176=5,FDD!$H50,0)</f>
        <v>0</v>
      </c>
      <c r="H176" s="462">
        <f>IF(DG!$C176=6,FDD!$H50,0)</f>
        <v>0</v>
      </c>
      <c r="I176" s="462">
        <f>IF(DG!$C176=7,FDD!$H50,0)</f>
        <v>0</v>
      </c>
      <c r="J176" s="462">
        <f>IF(DG!$C176=8,FDD!$H50,0)</f>
        <v>0</v>
      </c>
      <c r="K176" s="462">
        <f>IF(DG!$C176=9,FDD!$H50,0)</f>
        <v>0</v>
      </c>
      <c r="L176" s="462">
        <f>IF(DG!$C176=10,FDD!$H50,0)</f>
        <v>0</v>
      </c>
      <c r="M176" s="462">
        <f>IF(DG!$C176=11,FDD!$H50,0)</f>
        <v>0</v>
      </c>
      <c r="N176" s="462">
        <f>IF(DG!$C176=12,FDD!$H50,0)</f>
        <v>0</v>
      </c>
      <c r="O176" s="462">
        <f>IF(DG!$C176=13,FDD!$H50,0)</f>
        <v>0</v>
      </c>
      <c r="P176" s="462">
        <f>IF(DG!$C176=14,FDD!$H50,0)</f>
        <v>0</v>
      </c>
      <c r="Q176" s="462">
        <f>IF(DG!$C176=15,FDD!$H50,0)</f>
        <v>0</v>
      </c>
      <c r="R176" s="462">
        <f>IF(DG!$C176=16,FDD!$H50,0)</f>
        <v>0</v>
      </c>
      <c r="S176" s="462">
        <f>IF(DG!$C176=17,FDD!$H50,0)</f>
        <v>0</v>
      </c>
      <c r="T176" s="462">
        <f>IF(DG!$C176=18,FDD!$H50,0)</f>
        <v>0</v>
      </c>
      <c r="U176" s="462">
        <f>IF(DG!$C176=19,FDD!$H50,0)</f>
        <v>0</v>
      </c>
      <c r="V176" s="462">
        <f>IF(DG!$C176=20,FDD!$H50,0)</f>
        <v>0</v>
      </c>
      <c r="W176" s="462">
        <f>IF(DG!$C176=21,FDD!$H50,0)</f>
        <v>0</v>
      </c>
      <c r="X176" s="462">
        <f>IF(DG!$C176=22,FDD!$H50,0)</f>
        <v>0</v>
      </c>
      <c r="Y176" s="462">
        <f>IF(DG!$C176=23,FDD!$H50,0)</f>
        <v>0</v>
      </c>
      <c r="Z176" s="462">
        <f>IF(DG!$C176=24,FDD!$H50,0)</f>
        <v>0</v>
      </c>
      <c r="AA176" s="462">
        <f>IF(DG!$C176=25,FDD!$H50,0)</f>
        <v>0</v>
      </c>
      <c r="AB176" s="462">
        <f>IF(DG!$C176=26,FDD!$H50,0)</f>
        <v>0</v>
      </c>
      <c r="AC176" s="462">
        <f>IF(DG!$C176=27,FDD!$H50,0)</f>
        <v>0</v>
      </c>
      <c r="AD176" s="462">
        <f>IF(DG!$C176=28,FDD!$H50,0)</f>
        <v>0</v>
      </c>
      <c r="AE176" s="462">
        <f>IF(DG!$C176=29,FDD!$H50,0)</f>
        <v>0</v>
      </c>
      <c r="AF176" s="462">
        <f>IF(DG!$C176=30,FDD!$H50,0)</f>
        <v>0</v>
      </c>
      <c r="AG176" s="462">
        <f>IF(DG!$C176=31,FDD!$H50,0)</f>
        <v>0</v>
      </c>
      <c r="AH176" s="462">
        <f>IF(DG!$C176=32,FDD!$H50,0)</f>
        <v>0</v>
      </c>
      <c r="AI176" s="462">
        <f>IF(DG!$C176=33,FDD!$H50,0)</f>
        <v>0</v>
      </c>
      <c r="AJ176" s="462">
        <f>IF(DG!$C176=34,FDD!$H50,0)</f>
        <v>0</v>
      </c>
      <c r="AK176" s="462">
        <f>IF(DG!$C176=35,FDD!$H50,0)</f>
        <v>0</v>
      </c>
      <c r="AL176" s="462">
        <f>IF(DG!$C176=36,FDD!$H50,0)</f>
        <v>0</v>
      </c>
      <c r="AM176" s="462">
        <f>IF(DG!$C176=37,FDD!$H50,0)</f>
        <v>0</v>
      </c>
      <c r="AN176" s="462">
        <f>IF(DG!$C176=38,FDD!$H50,0)</f>
        <v>0</v>
      </c>
      <c r="AO176" s="462">
        <f>IF(DG!$C176=39,FDD!$H50,0)</f>
        <v>0</v>
      </c>
      <c r="AP176" s="462">
        <f>IF(DG!$C176=40,FDD!$H50,0)</f>
        <v>0</v>
      </c>
      <c r="AQ176" s="462"/>
      <c r="AR176" s="464"/>
      <c r="IU176" s="431"/>
      <c r="IV176" s="431"/>
      <c r="IW176" s="431"/>
      <c r="JR176" s="1056"/>
      <c r="JS176" s="1056"/>
      <c r="JT176" s="1056"/>
    </row>
    <row r="177" spans="1:280" ht="13">
      <c r="A177" s="1159" t="str">
        <f>'FG1'!A53</f>
        <v>Autres frais de vente 2</v>
      </c>
      <c r="B177" s="1160"/>
      <c r="C177" s="461"/>
      <c r="D177" s="462">
        <f>IF(DG!$C177=2,FDD!$H52,0)</f>
        <v>0</v>
      </c>
      <c r="E177" s="462">
        <f>IF(DG!$C177=3,FDD!$H52,0)</f>
        <v>0</v>
      </c>
      <c r="F177" s="462">
        <f>IF(DG!$C177=4,FDD!$H52,0)</f>
        <v>0</v>
      </c>
      <c r="G177" s="462">
        <f>IF(DG!$C177=5,FDD!$H52,0)</f>
        <v>0</v>
      </c>
      <c r="H177" s="462">
        <f>IF(DG!$C177=6,FDD!$H52,0)</f>
        <v>0</v>
      </c>
      <c r="I177" s="462">
        <f>IF(DG!$C177=7,FDD!$H52,0)</f>
        <v>0</v>
      </c>
      <c r="J177" s="462">
        <f>IF(DG!$C177=8,FDD!$H52,0)</f>
        <v>0</v>
      </c>
      <c r="K177" s="462">
        <f>IF(DG!$C177=9,FDD!$H52,0)</f>
        <v>0</v>
      </c>
      <c r="L177" s="462">
        <f>IF(DG!$C177=10,FDD!$H52,0)</f>
        <v>0</v>
      </c>
      <c r="M177" s="462">
        <f>IF(DG!$C177=11,FDD!$H52,0)</f>
        <v>0</v>
      </c>
      <c r="N177" s="462">
        <f>IF(DG!$C177=12,FDD!$H52,0)</f>
        <v>0</v>
      </c>
      <c r="O177" s="462">
        <f>IF(DG!$C177=13,FDD!$H52,0)</f>
        <v>0</v>
      </c>
      <c r="P177" s="462">
        <f>IF(DG!$C177=14,FDD!$H52,0)</f>
        <v>0</v>
      </c>
      <c r="Q177" s="462">
        <f>IF(DG!$C177=15,FDD!$H52,0)</f>
        <v>0</v>
      </c>
      <c r="R177" s="462">
        <f>IF(DG!$C177=16,FDD!$H52,0)</f>
        <v>0</v>
      </c>
      <c r="S177" s="462">
        <f>IF(DG!$C177=17,FDD!$H52,0)</f>
        <v>0</v>
      </c>
      <c r="T177" s="462">
        <f>IF(DG!$C177=18,FDD!$H52,0)</f>
        <v>0</v>
      </c>
      <c r="U177" s="462">
        <f>IF(DG!$C177=19,FDD!$H52,0)</f>
        <v>0</v>
      </c>
      <c r="V177" s="462">
        <f>IF(DG!$C177=20,FDD!$H52,0)</f>
        <v>0</v>
      </c>
      <c r="W177" s="462">
        <f>IF(DG!$C177=21,FDD!$H52,0)</f>
        <v>0</v>
      </c>
      <c r="X177" s="462">
        <f>IF(DG!$C177=22,FDD!$H52,0)</f>
        <v>0</v>
      </c>
      <c r="Y177" s="462">
        <f>IF(DG!$C177=23,FDD!$H52,0)</f>
        <v>0</v>
      </c>
      <c r="Z177" s="462">
        <f>IF(DG!$C177=24,FDD!$H52,0)</f>
        <v>0</v>
      </c>
      <c r="AA177" s="462">
        <f>IF(DG!$C177=25,FDD!$H52,0)</f>
        <v>0</v>
      </c>
      <c r="AB177" s="462">
        <f>IF(DG!$C177=26,FDD!$H52,0)</f>
        <v>0</v>
      </c>
      <c r="AC177" s="462">
        <f>IF(DG!$C177=27,FDD!$H52,0)</f>
        <v>0</v>
      </c>
      <c r="AD177" s="462">
        <f>IF(DG!$C177=28,FDD!$H52,0)</f>
        <v>0</v>
      </c>
      <c r="AE177" s="462">
        <f>IF(DG!$C177=29,FDD!$H52,0)</f>
        <v>0</v>
      </c>
      <c r="AF177" s="462">
        <f>IF(DG!$C177=30,FDD!$H52,0)</f>
        <v>0</v>
      </c>
      <c r="AG177" s="462">
        <f>IF(DG!$C177=31,FDD!$H52,0)</f>
        <v>0</v>
      </c>
      <c r="AH177" s="462">
        <f>IF(DG!$C177=32,FDD!$H52,0)</f>
        <v>0</v>
      </c>
      <c r="AI177" s="462">
        <f>IF(DG!$C177=33,FDD!$H52,0)</f>
        <v>0</v>
      </c>
      <c r="AJ177" s="462">
        <f>IF(DG!$C177=34,FDD!$H52,0)</f>
        <v>0</v>
      </c>
      <c r="AK177" s="462">
        <f>IF(DG!$C177=35,FDD!$H52,0)</f>
        <v>0</v>
      </c>
      <c r="AL177" s="462">
        <f>IF(DG!$C177=36,FDD!$H52,0)</f>
        <v>0</v>
      </c>
      <c r="AM177" s="462">
        <f>IF(DG!$C177=37,FDD!$H52,0)</f>
        <v>0</v>
      </c>
      <c r="AN177" s="462">
        <f>IF(DG!$C177=38,FDD!$H52,0)</f>
        <v>0</v>
      </c>
      <c r="AO177" s="462">
        <f>IF(DG!$C177=39,FDD!$H52,0)</f>
        <v>0</v>
      </c>
      <c r="AP177" s="462">
        <f>IF(DG!$C177=40,FDD!$H52,0)</f>
        <v>0</v>
      </c>
      <c r="AQ177" s="462"/>
      <c r="AR177" s="464"/>
      <c r="IU177" s="431"/>
      <c r="IV177" s="431"/>
      <c r="IW177" s="431"/>
      <c r="JR177" s="1056"/>
      <c r="JS177" s="1056"/>
      <c r="JT177" s="1056"/>
    </row>
    <row r="178" spans="1:280" ht="13">
      <c r="A178" s="1159" t="str">
        <f>'FG1'!A55</f>
        <v>Autres frais de vente 3</v>
      </c>
      <c r="B178" s="1160"/>
      <c r="C178" s="461"/>
      <c r="D178" s="462">
        <f>IF(DG!$C178=2,FDD!$H54,0)</f>
        <v>0</v>
      </c>
      <c r="E178" s="462">
        <f>IF(DG!$C178=3,FDD!$H54,0)</f>
        <v>0</v>
      </c>
      <c r="F178" s="462">
        <f>IF(DG!$C178=4,FDD!$H54,0)</f>
        <v>0</v>
      </c>
      <c r="G178" s="462">
        <f>IF(DG!$C178=5,FDD!$H54,0)</f>
        <v>0</v>
      </c>
      <c r="H178" s="462">
        <f>IF(DG!$C178=6,FDD!$H54,0)</f>
        <v>0</v>
      </c>
      <c r="I178" s="462">
        <f>IF(DG!$C178=7,FDD!$H54,0)</f>
        <v>0</v>
      </c>
      <c r="J178" s="462">
        <f>IF(DG!$C178=8,FDD!$H54,0)</f>
        <v>0</v>
      </c>
      <c r="K178" s="462">
        <f>IF(DG!$C178=9,FDD!$H54,0)</f>
        <v>0</v>
      </c>
      <c r="L178" s="462">
        <f>IF(DG!$C178=10,FDD!$H54,0)</f>
        <v>0</v>
      </c>
      <c r="M178" s="462">
        <f>IF(DG!$C178=11,FDD!$H54,0)</f>
        <v>0</v>
      </c>
      <c r="N178" s="462">
        <f>IF(DG!$C178=12,FDD!$H54,0)</f>
        <v>0</v>
      </c>
      <c r="O178" s="462">
        <f>IF(DG!$C178=13,FDD!$H54,0)</f>
        <v>0</v>
      </c>
      <c r="P178" s="462">
        <f>IF(DG!$C178=14,FDD!$H54,0)</f>
        <v>0</v>
      </c>
      <c r="Q178" s="462">
        <f>IF(DG!$C178=15,FDD!$H54,0)</f>
        <v>0</v>
      </c>
      <c r="R178" s="462">
        <f>IF(DG!$C178=16,FDD!$H54,0)</f>
        <v>0</v>
      </c>
      <c r="S178" s="462">
        <f>IF(DG!$C178=17,FDD!$H54,0)</f>
        <v>0</v>
      </c>
      <c r="T178" s="462">
        <f>IF(DG!$C178=18,FDD!$H54,0)</f>
        <v>0</v>
      </c>
      <c r="U178" s="462">
        <f>IF(DG!$C178=19,FDD!$H54,0)</f>
        <v>0</v>
      </c>
      <c r="V178" s="462">
        <f>IF(DG!$C178=20,FDD!$H54,0)</f>
        <v>0</v>
      </c>
      <c r="W178" s="462">
        <f>IF(DG!$C178=21,FDD!$H54,0)</f>
        <v>0</v>
      </c>
      <c r="X178" s="462">
        <f>IF(DG!$C178=22,FDD!$H54,0)</f>
        <v>0</v>
      </c>
      <c r="Y178" s="462">
        <f>IF(DG!$C178=23,FDD!$H54,0)</f>
        <v>0</v>
      </c>
      <c r="Z178" s="462">
        <f>IF(DG!$C178=24,FDD!$H54,0)</f>
        <v>0</v>
      </c>
      <c r="AA178" s="462">
        <f>IF(DG!$C178=25,FDD!$H54,0)</f>
        <v>0</v>
      </c>
      <c r="AB178" s="462">
        <f>IF(DG!$C178=26,FDD!$H54,0)</f>
        <v>0</v>
      </c>
      <c r="AC178" s="462">
        <f>IF(DG!$C178=27,FDD!$H54,0)</f>
        <v>0</v>
      </c>
      <c r="AD178" s="462">
        <f>IF(DG!$C178=28,FDD!$H54,0)</f>
        <v>0</v>
      </c>
      <c r="AE178" s="462">
        <f>IF(DG!$C178=29,FDD!$H54,0)</f>
        <v>0</v>
      </c>
      <c r="AF178" s="462">
        <f>IF(DG!$C178=30,FDD!$H54,0)</f>
        <v>0</v>
      </c>
      <c r="AG178" s="462">
        <f>IF(DG!$C178=31,FDD!$H54,0)</f>
        <v>0</v>
      </c>
      <c r="AH178" s="462">
        <f>IF(DG!$C178=32,FDD!$H54,0)</f>
        <v>0</v>
      </c>
      <c r="AI178" s="462">
        <f>IF(DG!$C178=33,FDD!$H54,0)</f>
        <v>0</v>
      </c>
      <c r="AJ178" s="462">
        <f>IF(DG!$C178=34,FDD!$H54,0)</f>
        <v>0</v>
      </c>
      <c r="AK178" s="462">
        <f>IF(DG!$C178=35,FDD!$H54,0)</f>
        <v>0</v>
      </c>
      <c r="AL178" s="462">
        <f>IF(DG!$C178=36,FDD!$H54,0)</f>
        <v>0</v>
      </c>
      <c r="AM178" s="462">
        <f>IF(DG!$C178=37,FDD!$H54,0)</f>
        <v>0</v>
      </c>
      <c r="AN178" s="462">
        <f>IF(DG!$C178=38,FDD!$H54,0)</f>
        <v>0</v>
      </c>
      <c r="AO178" s="462">
        <f>IF(DG!$C178=39,FDD!$H54,0)</f>
        <v>0</v>
      </c>
      <c r="AP178" s="462">
        <f>IF(DG!$C178=40,FDD!$H54,0)</f>
        <v>0</v>
      </c>
      <c r="AQ178" s="462"/>
      <c r="AR178" s="464"/>
      <c r="IU178" s="431"/>
      <c r="IV178" s="431"/>
      <c r="IW178" s="431"/>
      <c r="JR178" s="1056"/>
      <c r="JS178" s="1056"/>
      <c r="JT178" s="1056"/>
    </row>
    <row r="179" spans="1:280" ht="13">
      <c r="A179" s="1159" t="str">
        <f>'FG1'!A57</f>
        <v>Autres frais de vente 4</v>
      </c>
      <c r="B179" s="1160"/>
      <c r="C179" s="461"/>
      <c r="D179" s="462">
        <f>IF(DG!$C179=2,FDD!$H56,0)</f>
        <v>0</v>
      </c>
      <c r="E179" s="462">
        <f>IF(DG!$C179=3,FDD!$H56,0)</f>
        <v>0</v>
      </c>
      <c r="F179" s="462">
        <f>IF(DG!$C179=4,FDD!$H56,0)</f>
        <v>0</v>
      </c>
      <c r="G179" s="462">
        <f>IF(DG!$C179=5,FDD!$H56,0)</f>
        <v>0</v>
      </c>
      <c r="H179" s="462">
        <f>IF(DG!$C179=6,FDD!$H56,0)</f>
        <v>0</v>
      </c>
      <c r="I179" s="462">
        <f>IF(DG!$C179=7,FDD!$H56,0)</f>
        <v>0</v>
      </c>
      <c r="J179" s="462">
        <f>IF(DG!$C179=8,FDD!$H56,0)</f>
        <v>0</v>
      </c>
      <c r="K179" s="462">
        <f>IF(DG!$C179=9,FDD!$H56,0)</f>
        <v>0</v>
      </c>
      <c r="L179" s="462">
        <f>IF(DG!$C179=10,FDD!$H56,0)</f>
        <v>0</v>
      </c>
      <c r="M179" s="462">
        <f>IF(DG!$C179=11,FDD!$H56,0)</f>
        <v>0</v>
      </c>
      <c r="N179" s="462">
        <f>IF(DG!$C179=12,FDD!$H56,0)</f>
        <v>0</v>
      </c>
      <c r="O179" s="462">
        <f>IF(DG!$C179=13,FDD!$H56,0)</f>
        <v>0</v>
      </c>
      <c r="P179" s="462">
        <f>IF(DG!$C179=14,FDD!$H56,0)</f>
        <v>0</v>
      </c>
      <c r="Q179" s="462">
        <f>IF(DG!$C179=15,FDD!$H56,0)</f>
        <v>0</v>
      </c>
      <c r="R179" s="462">
        <f>IF(DG!$C179=16,FDD!$H56,0)</f>
        <v>0</v>
      </c>
      <c r="S179" s="462">
        <f>IF(DG!$C179=17,FDD!$H56,0)</f>
        <v>0</v>
      </c>
      <c r="T179" s="462">
        <f>IF(DG!$C179=18,FDD!$H56,0)</f>
        <v>0</v>
      </c>
      <c r="U179" s="462">
        <f>IF(DG!$C179=19,FDD!$H56,0)</f>
        <v>0</v>
      </c>
      <c r="V179" s="462">
        <f>IF(DG!$C179=20,FDD!$H56,0)</f>
        <v>0</v>
      </c>
      <c r="W179" s="462">
        <f>IF(DG!$C179=21,FDD!$H56,0)</f>
        <v>0</v>
      </c>
      <c r="X179" s="462">
        <f>IF(DG!$C179=22,FDD!$H56,0)</f>
        <v>0</v>
      </c>
      <c r="Y179" s="462">
        <f>IF(DG!$C179=23,FDD!$H56,0)</f>
        <v>0</v>
      </c>
      <c r="Z179" s="462">
        <f>IF(DG!$C179=24,FDD!$H56,0)</f>
        <v>0</v>
      </c>
      <c r="AA179" s="462">
        <f>IF(DG!$C179=25,FDD!$H56,0)</f>
        <v>0</v>
      </c>
      <c r="AB179" s="462">
        <f>IF(DG!$C179=26,FDD!$H56,0)</f>
        <v>0</v>
      </c>
      <c r="AC179" s="462">
        <f>IF(DG!$C179=27,FDD!$H56,0)</f>
        <v>0</v>
      </c>
      <c r="AD179" s="462">
        <f>IF(DG!$C179=28,FDD!$H56,0)</f>
        <v>0</v>
      </c>
      <c r="AE179" s="462">
        <f>IF(DG!$C179=29,FDD!$H56,0)</f>
        <v>0</v>
      </c>
      <c r="AF179" s="462">
        <f>IF(DG!$C179=30,FDD!$H56,0)</f>
        <v>0</v>
      </c>
      <c r="AG179" s="462">
        <f>IF(DG!$C179=31,FDD!$H56,0)</f>
        <v>0</v>
      </c>
      <c r="AH179" s="462">
        <f>IF(DG!$C179=32,FDD!$H56,0)</f>
        <v>0</v>
      </c>
      <c r="AI179" s="462">
        <f>IF(DG!$C179=33,FDD!$H56,0)</f>
        <v>0</v>
      </c>
      <c r="AJ179" s="462">
        <f>IF(DG!$C179=34,FDD!$H56,0)</f>
        <v>0</v>
      </c>
      <c r="AK179" s="462">
        <f>IF(DG!$C179=35,FDD!$H56,0)</f>
        <v>0</v>
      </c>
      <c r="AL179" s="462">
        <f>IF(DG!$C179=36,FDD!$H56,0)</f>
        <v>0</v>
      </c>
      <c r="AM179" s="462">
        <f>IF(DG!$C179=37,FDD!$H56,0)</f>
        <v>0</v>
      </c>
      <c r="AN179" s="462">
        <f>IF(DG!$C179=38,FDD!$H56,0)</f>
        <v>0</v>
      </c>
      <c r="AO179" s="462">
        <f>IF(DG!$C179=39,FDD!$H56,0)</f>
        <v>0</v>
      </c>
      <c r="AP179" s="462">
        <f>IF(DG!$C179=40,FDD!$H56,0)</f>
        <v>0</v>
      </c>
      <c r="AQ179" s="462"/>
      <c r="AR179" s="464"/>
      <c r="IU179" s="431"/>
      <c r="IV179" s="431"/>
      <c r="IW179" s="431"/>
      <c r="JR179" s="1056"/>
      <c r="JS179" s="1056"/>
      <c r="JT179" s="1056"/>
    </row>
    <row r="180" spans="1:280" ht="13">
      <c r="A180" s="1159" t="str">
        <f>'FG1'!A59</f>
        <v>Autres frais de vente 5</v>
      </c>
      <c r="B180" s="1160"/>
      <c r="C180" s="461"/>
      <c r="D180" s="462">
        <f>IF(DG!$C180=2,FDD!$H58,0)</f>
        <v>0</v>
      </c>
      <c r="E180" s="462">
        <f>IF(DG!$C180=3,FDD!$H58,0)</f>
        <v>0</v>
      </c>
      <c r="F180" s="462">
        <f>IF(DG!$C180=4,FDD!$H58,0)</f>
        <v>0</v>
      </c>
      <c r="G180" s="462">
        <f>IF(DG!$C180=5,FDD!$H58,0)</f>
        <v>0</v>
      </c>
      <c r="H180" s="462">
        <f>IF(DG!$C180=6,FDD!$H58,0)</f>
        <v>0</v>
      </c>
      <c r="I180" s="462">
        <f>IF(DG!$C180=7,FDD!$H58,0)</f>
        <v>0</v>
      </c>
      <c r="J180" s="462">
        <f>IF(DG!$C180=8,FDD!$H58,0)</f>
        <v>0</v>
      </c>
      <c r="K180" s="462">
        <f>IF(DG!$C180=9,FDD!$H58,0)</f>
        <v>0</v>
      </c>
      <c r="L180" s="462">
        <f>IF(DG!$C180=10,FDD!$H58,0)</f>
        <v>0</v>
      </c>
      <c r="M180" s="462">
        <f>IF(DG!$C180=11,FDD!$H58,0)</f>
        <v>0</v>
      </c>
      <c r="N180" s="462">
        <f>IF(DG!$C180=12,FDD!$H58,0)</f>
        <v>0</v>
      </c>
      <c r="O180" s="462">
        <f>IF(DG!$C180=13,FDD!$H58,0)</f>
        <v>0</v>
      </c>
      <c r="P180" s="462">
        <f>IF(DG!$C180=14,FDD!$H58,0)</f>
        <v>0</v>
      </c>
      <c r="Q180" s="462">
        <f>IF(DG!$C180=15,FDD!$H58,0)</f>
        <v>0</v>
      </c>
      <c r="R180" s="462">
        <f>IF(DG!$C180=16,FDD!$H58,0)</f>
        <v>0</v>
      </c>
      <c r="S180" s="462">
        <f>IF(DG!$C180=17,FDD!$H58,0)</f>
        <v>0</v>
      </c>
      <c r="T180" s="462">
        <f>IF(DG!$C180=18,FDD!$H58,0)</f>
        <v>0</v>
      </c>
      <c r="U180" s="462">
        <f>IF(DG!$C180=19,FDD!$H58,0)</f>
        <v>0</v>
      </c>
      <c r="V180" s="462">
        <f>IF(DG!$C180=20,FDD!$H58,0)</f>
        <v>0</v>
      </c>
      <c r="W180" s="462">
        <f>IF(DG!$C180=21,FDD!$H58,0)</f>
        <v>0</v>
      </c>
      <c r="X180" s="462">
        <f>IF(DG!$C180=22,FDD!$H58,0)</f>
        <v>0</v>
      </c>
      <c r="Y180" s="462">
        <f>IF(DG!$C180=23,FDD!$H58,0)</f>
        <v>0</v>
      </c>
      <c r="Z180" s="462">
        <f>IF(DG!$C180=24,FDD!$H58,0)</f>
        <v>0</v>
      </c>
      <c r="AA180" s="462">
        <f>IF(DG!$C180=25,FDD!$H58,0)</f>
        <v>0</v>
      </c>
      <c r="AB180" s="462">
        <f>IF(DG!$C180=26,FDD!$H58,0)</f>
        <v>0</v>
      </c>
      <c r="AC180" s="462">
        <f>IF(DG!$C180=27,FDD!$H58,0)</f>
        <v>0</v>
      </c>
      <c r="AD180" s="462">
        <f>IF(DG!$C180=28,FDD!$H58,0)</f>
        <v>0</v>
      </c>
      <c r="AE180" s="462">
        <f>IF(DG!$C180=29,FDD!$H58,0)</f>
        <v>0</v>
      </c>
      <c r="AF180" s="462">
        <f>IF(DG!$C180=30,FDD!$H58,0)</f>
        <v>0</v>
      </c>
      <c r="AG180" s="462">
        <f>IF(DG!$C180=31,FDD!$H58,0)</f>
        <v>0</v>
      </c>
      <c r="AH180" s="462">
        <f>IF(DG!$C180=32,FDD!$H58,0)</f>
        <v>0</v>
      </c>
      <c r="AI180" s="462">
        <f>IF(DG!$C180=33,FDD!$H58,0)</f>
        <v>0</v>
      </c>
      <c r="AJ180" s="462">
        <f>IF(DG!$C180=34,FDD!$H58,0)</f>
        <v>0</v>
      </c>
      <c r="AK180" s="462">
        <f>IF(DG!$C180=35,FDD!$H58,0)</f>
        <v>0</v>
      </c>
      <c r="AL180" s="462">
        <f>IF(DG!$C180=36,FDD!$H58,0)</f>
        <v>0</v>
      </c>
      <c r="AM180" s="462">
        <f>IF(DG!$C180=37,FDD!$H58,0)</f>
        <v>0</v>
      </c>
      <c r="AN180" s="462">
        <f>IF(DG!$C180=38,FDD!$H58,0)</f>
        <v>0</v>
      </c>
      <c r="AO180" s="462">
        <f>IF(DG!$C180=39,FDD!$H58,0)</f>
        <v>0</v>
      </c>
      <c r="AP180" s="462">
        <f>IF(DG!$C180=40,FDD!$H58,0)</f>
        <v>0</v>
      </c>
      <c r="AQ180" s="462"/>
      <c r="AR180" s="464"/>
      <c r="IU180" s="431"/>
      <c r="IV180" s="431"/>
      <c r="IW180" s="431"/>
      <c r="JR180" s="1056"/>
      <c r="JS180" s="1056"/>
      <c r="JT180" s="1056"/>
    </row>
    <row r="181" spans="1:280" ht="13">
      <c r="A181" s="1159" t="str">
        <f>'FG1'!A62</f>
        <v>Téléphonie et internet</v>
      </c>
      <c r="B181" s="1160"/>
      <c r="C181" s="461"/>
      <c r="D181" s="462">
        <f>IF(DG!$C181=2,FDD!$H60,0)</f>
        <v>0</v>
      </c>
      <c r="E181" s="462">
        <f>IF(DG!$C181=3,FDD!$H60,0)</f>
        <v>0</v>
      </c>
      <c r="F181" s="462">
        <f>IF(DG!$C181=4,FDD!$H60,0)</f>
        <v>0</v>
      </c>
      <c r="G181" s="462">
        <f>IF(DG!$C181=5,FDD!$H60,0)</f>
        <v>0</v>
      </c>
      <c r="H181" s="462">
        <f>IF(DG!$C181=6,FDD!$H60,0)</f>
        <v>0</v>
      </c>
      <c r="I181" s="462">
        <f>IF(DG!$C181=7,FDD!$H60,0)</f>
        <v>0</v>
      </c>
      <c r="J181" s="462">
        <f>IF(DG!$C181=8,FDD!$H60,0)</f>
        <v>0</v>
      </c>
      <c r="K181" s="462">
        <f>IF(DG!$C181=9,FDD!$H60,0)</f>
        <v>0</v>
      </c>
      <c r="L181" s="462">
        <f>IF(DG!$C181=10,FDD!$H60,0)</f>
        <v>0</v>
      </c>
      <c r="M181" s="462">
        <f>IF(DG!$C181=11,FDD!$H60,0)</f>
        <v>0</v>
      </c>
      <c r="N181" s="462">
        <f>IF(DG!$C181=12,FDD!$H60,0)</f>
        <v>0</v>
      </c>
      <c r="O181" s="462">
        <f>IF(DG!$C181=13,FDD!$H60,0)</f>
        <v>0</v>
      </c>
      <c r="P181" s="462">
        <f>IF(DG!$C181=14,FDD!$H60,0)</f>
        <v>0</v>
      </c>
      <c r="Q181" s="462">
        <f>IF(DG!$C181=15,FDD!$H60,0)</f>
        <v>0</v>
      </c>
      <c r="R181" s="462">
        <f>IF(DG!$C181=16,FDD!$H60,0)</f>
        <v>0</v>
      </c>
      <c r="S181" s="462">
        <f>IF(DG!$C181=17,FDD!$H60,0)</f>
        <v>0</v>
      </c>
      <c r="T181" s="462">
        <f>IF(DG!$C181=18,FDD!$H60,0)</f>
        <v>0</v>
      </c>
      <c r="U181" s="462">
        <f>IF(DG!$C181=19,FDD!$H60,0)</f>
        <v>0</v>
      </c>
      <c r="V181" s="462">
        <f>IF(DG!$C181=20,FDD!$H60,0)</f>
        <v>0</v>
      </c>
      <c r="W181" s="462">
        <f>IF(DG!$C181=21,FDD!$H60,0)</f>
        <v>0</v>
      </c>
      <c r="X181" s="462">
        <f>IF(DG!$C181=22,FDD!$H60,0)</f>
        <v>0</v>
      </c>
      <c r="Y181" s="462">
        <f>IF(DG!$C181=23,FDD!$H60,0)</f>
        <v>0</v>
      </c>
      <c r="Z181" s="462">
        <f>IF(DG!$C181=24,FDD!$H60,0)</f>
        <v>0</v>
      </c>
      <c r="AA181" s="462">
        <f>IF(DG!$C181=25,FDD!$H60,0)</f>
        <v>0</v>
      </c>
      <c r="AB181" s="462">
        <f>IF(DG!$C181=26,FDD!$H60,0)</f>
        <v>0</v>
      </c>
      <c r="AC181" s="462">
        <f>IF(DG!$C181=27,FDD!$H60,0)</f>
        <v>0</v>
      </c>
      <c r="AD181" s="462">
        <f>IF(DG!$C181=28,FDD!$H60,0)</f>
        <v>0</v>
      </c>
      <c r="AE181" s="462">
        <f>IF(DG!$C181=29,FDD!$H60,0)</f>
        <v>0</v>
      </c>
      <c r="AF181" s="462">
        <f>IF(DG!$C181=30,FDD!$H60,0)</f>
        <v>0</v>
      </c>
      <c r="AG181" s="462">
        <f>IF(DG!$C181=31,FDD!$H60,0)</f>
        <v>0</v>
      </c>
      <c r="AH181" s="462">
        <f>IF(DG!$C181=32,FDD!$H60,0)</f>
        <v>0</v>
      </c>
      <c r="AI181" s="462">
        <f>IF(DG!$C181=33,FDD!$H60,0)</f>
        <v>0</v>
      </c>
      <c r="AJ181" s="462">
        <f>IF(DG!$C181=34,FDD!$H60,0)</f>
        <v>0</v>
      </c>
      <c r="AK181" s="462">
        <f>IF(DG!$C181=35,FDD!$H60,0)</f>
        <v>0</v>
      </c>
      <c r="AL181" s="462">
        <f>IF(DG!$C181=36,FDD!$H60,0)</f>
        <v>0</v>
      </c>
      <c r="AM181" s="462">
        <f>IF(DG!$C181=37,FDD!$H60,0)</f>
        <v>0</v>
      </c>
      <c r="AN181" s="462">
        <f>IF(DG!$C181=38,FDD!$H60,0)</f>
        <v>0</v>
      </c>
      <c r="AO181" s="462">
        <f>IF(DG!$C181=39,FDD!$H60,0)</f>
        <v>0</v>
      </c>
      <c r="AP181" s="462">
        <f>IF(DG!$C181=40,FDD!$H60,0)</f>
        <v>0</v>
      </c>
      <c r="AQ181" s="462"/>
      <c r="AR181" s="464"/>
      <c r="IU181" s="431"/>
      <c r="IV181" s="431"/>
      <c r="IW181" s="431"/>
      <c r="JR181" s="1056"/>
      <c r="JS181" s="1056"/>
      <c r="JT181" s="1056"/>
    </row>
    <row r="182" spans="1:280" ht="13">
      <c r="A182" s="1159" t="str">
        <f>'FG1'!A64</f>
        <v>Honoraires professionnels</v>
      </c>
      <c r="B182" s="1160"/>
      <c r="C182" s="461"/>
      <c r="D182" s="462">
        <f>IF(DG!$C182=2,FDD!$H62,0)</f>
        <v>0</v>
      </c>
      <c r="E182" s="462">
        <f>IF(DG!$C182=3,FDD!$H62,0)</f>
        <v>0</v>
      </c>
      <c r="F182" s="462">
        <f>IF(DG!$C182=4,FDD!$H62,0)</f>
        <v>0</v>
      </c>
      <c r="G182" s="462">
        <f>IF(DG!$C182=5,FDD!$H62,0)</f>
        <v>0</v>
      </c>
      <c r="H182" s="462">
        <f>IF(DG!$C182=6,FDD!$H62,0)</f>
        <v>0</v>
      </c>
      <c r="I182" s="462">
        <f>IF(DG!$C182=7,FDD!$H62,0)</f>
        <v>0</v>
      </c>
      <c r="J182" s="462">
        <f>IF(DG!$C182=8,FDD!$H62,0)</f>
        <v>0</v>
      </c>
      <c r="K182" s="462">
        <f>IF(DG!$C182=9,FDD!$H62,0)</f>
        <v>0</v>
      </c>
      <c r="L182" s="462">
        <f>IF(DG!$C182=10,FDD!$H62,0)</f>
        <v>0</v>
      </c>
      <c r="M182" s="462">
        <f>IF(DG!$C182=11,FDD!$H62,0)</f>
        <v>0</v>
      </c>
      <c r="N182" s="462">
        <f>IF(DG!$C182=12,FDD!$H62,0)</f>
        <v>0</v>
      </c>
      <c r="O182" s="462">
        <f>IF(DG!$C182=13,FDD!$H62,0)</f>
        <v>0</v>
      </c>
      <c r="P182" s="462">
        <f>IF(DG!$C182=14,FDD!$H62,0)</f>
        <v>0</v>
      </c>
      <c r="Q182" s="462">
        <f>IF(DG!$C182=15,FDD!$H62,0)</f>
        <v>0</v>
      </c>
      <c r="R182" s="462">
        <f>IF(DG!$C182=16,FDD!$H62,0)</f>
        <v>0</v>
      </c>
      <c r="S182" s="462">
        <f>IF(DG!$C182=17,FDD!$H62,0)</f>
        <v>0</v>
      </c>
      <c r="T182" s="462">
        <f>IF(DG!$C182=18,FDD!$H62,0)</f>
        <v>0</v>
      </c>
      <c r="U182" s="462">
        <f>IF(DG!$C182=19,FDD!$H62,0)</f>
        <v>0</v>
      </c>
      <c r="V182" s="462">
        <f>IF(DG!$C182=20,FDD!$H62,0)</f>
        <v>0</v>
      </c>
      <c r="W182" s="462">
        <f>IF(DG!$C182=21,FDD!$H62,0)</f>
        <v>0</v>
      </c>
      <c r="X182" s="462">
        <f>IF(DG!$C182=22,FDD!$H62,0)</f>
        <v>0</v>
      </c>
      <c r="Y182" s="462">
        <f>IF(DG!$C182=23,FDD!$H62,0)</f>
        <v>0</v>
      </c>
      <c r="Z182" s="462">
        <f>IF(DG!$C182=24,FDD!$H62,0)</f>
        <v>0</v>
      </c>
      <c r="AA182" s="462">
        <f>IF(DG!$C182=25,FDD!$H62,0)</f>
        <v>0</v>
      </c>
      <c r="AB182" s="462">
        <f>IF(DG!$C182=26,FDD!$H62,0)</f>
        <v>0</v>
      </c>
      <c r="AC182" s="462">
        <f>IF(DG!$C182=27,FDD!$H62,0)</f>
        <v>0</v>
      </c>
      <c r="AD182" s="462">
        <f>IF(DG!$C182=28,FDD!$H62,0)</f>
        <v>0</v>
      </c>
      <c r="AE182" s="462">
        <f>IF(DG!$C182=29,FDD!$H62,0)</f>
        <v>0</v>
      </c>
      <c r="AF182" s="462">
        <f>IF(DG!$C182=30,FDD!$H62,0)</f>
        <v>0</v>
      </c>
      <c r="AG182" s="462">
        <f>IF(DG!$C182=31,FDD!$H62,0)</f>
        <v>0</v>
      </c>
      <c r="AH182" s="462">
        <f>IF(DG!$C182=32,FDD!$H62,0)</f>
        <v>0</v>
      </c>
      <c r="AI182" s="462">
        <f>IF(DG!$C182=33,FDD!$H62,0)</f>
        <v>0</v>
      </c>
      <c r="AJ182" s="462">
        <f>IF(DG!$C182=34,FDD!$H62,0)</f>
        <v>0</v>
      </c>
      <c r="AK182" s="462">
        <f>IF(DG!$C182=35,FDD!$H62,0)</f>
        <v>0</v>
      </c>
      <c r="AL182" s="462">
        <f>IF(DG!$C182=36,FDD!$H62,0)</f>
        <v>0</v>
      </c>
      <c r="AM182" s="462">
        <f>IF(DG!$C182=37,FDD!$H62,0)</f>
        <v>0</v>
      </c>
      <c r="AN182" s="462">
        <f>IF(DG!$C182=38,FDD!$H62,0)</f>
        <v>0</v>
      </c>
      <c r="AO182" s="462">
        <f>IF(DG!$C182=39,FDD!$H62,0)</f>
        <v>0</v>
      </c>
      <c r="AP182" s="462">
        <f>IF(DG!$C182=40,FDD!$H62,0)</f>
        <v>0</v>
      </c>
      <c r="AQ182" s="462"/>
      <c r="AR182" s="464"/>
      <c r="IU182" s="431"/>
      <c r="IV182" s="431"/>
      <c r="IW182" s="431"/>
      <c r="JR182" s="1056"/>
      <c r="JS182" s="1056"/>
      <c r="JT182" s="1056"/>
    </row>
    <row r="183" spans="1:280" ht="13">
      <c r="A183" s="1159" t="str">
        <f>'FG1'!A66</f>
        <v>Frais de bureau</v>
      </c>
      <c r="B183" s="1160"/>
      <c r="C183" s="461"/>
      <c r="D183" s="462">
        <f>IF(DG!$C183=2,FDD!$H64,0)</f>
        <v>0</v>
      </c>
      <c r="E183" s="462">
        <f>IF(DG!$C183=3,FDD!$H64,0)</f>
        <v>0</v>
      </c>
      <c r="F183" s="462">
        <f>IF(DG!$C183=4,FDD!$H64,0)</f>
        <v>0</v>
      </c>
      <c r="G183" s="462">
        <f>IF(DG!$C183=5,FDD!$H64,0)</f>
        <v>0</v>
      </c>
      <c r="H183" s="462">
        <f>IF(DG!$C183=6,FDD!$H64,0)</f>
        <v>0</v>
      </c>
      <c r="I183" s="462">
        <f>IF(DG!$C183=7,FDD!$H64,0)</f>
        <v>0</v>
      </c>
      <c r="J183" s="462">
        <f>IF(DG!$C183=8,FDD!$H64,0)</f>
        <v>0</v>
      </c>
      <c r="K183" s="462">
        <f>IF(DG!$C183=9,FDD!$H64,0)</f>
        <v>0</v>
      </c>
      <c r="L183" s="462">
        <f>IF(DG!$C183=10,FDD!$H64,0)</f>
        <v>0</v>
      </c>
      <c r="M183" s="462">
        <f>IF(DG!$C183=11,FDD!$H64,0)</f>
        <v>0</v>
      </c>
      <c r="N183" s="462">
        <f>IF(DG!$C183=12,FDD!$H64,0)</f>
        <v>0</v>
      </c>
      <c r="O183" s="462">
        <f>IF(DG!$C183=13,FDD!$H64,0)</f>
        <v>0</v>
      </c>
      <c r="P183" s="462">
        <f>IF(DG!$C183=14,FDD!$H64,0)</f>
        <v>0</v>
      </c>
      <c r="Q183" s="462">
        <f>IF(DG!$C183=15,FDD!$H64,0)</f>
        <v>0</v>
      </c>
      <c r="R183" s="462">
        <f>IF(DG!$C183=16,FDD!$H64,0)</f>
        <v>0</v>
      </c>
      <c r="S183" s="462">
        <f>IF(DG!$C183=17,FDD!$H64,0)</f>
        <v>0</v>
      </c>
      <c r="T183" s="462">
        <f>IF(DG!$C183=18,FDD!$H64,0)</f>
        <v>0</v>
      </c>
      <c r="U183" s="462">
        <f>IF(DG!$C183=19,FDD!$H64,0)</f>
        <v>0</v>
      </c>
      <c r="V183" s="462">
        <f>IF(DG!$C183=20,FDD!$H64,0)</f>
        <v>0</v>
      </c>
      <c r="W183" s="462">
        <f>IF(DG!$C183=21,FDD!$H64,0)</f>
        <v>0</v>
      </c>
      <c r="X183" s="462">
        <f>IF(DG!$C183=22,FDD!$H64,0)</f>
        <v>0</v>
      </c>
      <c r="Y183" s="462">
        <f>IF(DG!$C183=23,FDD!$H64,0)</f>
        <v>0</v>
      </c>
      <c r="Z183" s="462">
        <f>IF(DG!$C183=24,FDD!$H64,0)</f>
        <v>0</v>
      </c>
      <c r="AA183" s="462">
        <f>IF(DG!$C183=25,FDD!$H64,0)</f>
        <v>0</v>
      </c>
      <c r="AB183" s="462">
        <f>IF(DG!$C183=26,FDD!$H64,0)</f>
        <v>0</v>
      </c>
      <c r="AC183" s="462">
        <f>IF(DG!$C183=27,FDD!$H64,0)</f>
        <v>0</v>
      </c>
      <c r="AD183" s="462">
        <f>IF(DG!$C183=28,FDD!$H64,0)</f>
        <v>0</v>
      </c>
      <c r="AE183" s="462">
        <f>IF(DG!$C183=29,FDD!$H64,0)</f>
        <v>0</v>
      </c>
      <c r="AF183" s="462">
        <f>IF(DG!$C183=30,FDD!$H64,0)</f>
        <v>0</v>
      </c>
      <c r="AG183" s="462">
        <f>IF(DG!$C183=31,FDD!$H64,0)</f>
        <v>0</v>
      </c>
      <c r="AH183" s="462">
        <f>IF(DG!$C183=32,FDD!$H64,0)</f>
        <v>0</v>
      </c>
      <c r="AI183" s="462">
        <f>IF(DG!$C183=33,FDD!$H64,0)</f>
        <v>0</v>
      </c>
      <c r="AJ183" s="462">
        <f>IF(DG!$C183=34,FDD!$H64,0)</f>
        <v>0</v>
      </c>
      <c r="AK183" s="462">
        <f>IF(DG!$C183=35,FDD!$H64,0)</f>
        <v>0</v>
      </c>
      <c r="AL183" s="462">
        <f>IF(DG!$C183=36,FDD!$H64,0)</f>
        <v>0</v>
      </c>
      <c r="AM183" s="462">
        <f>IF(DG!$C183=37,FDD!$H64,0)</f>
        <v>0</v>
      </c>
      <c r="AN183" s="462">
        <f>IF(DG!$C183=38,FDD!$H64,0)</f>
        <v>0</v>
      </c>
      <c r="AO183" s="462">
        <f>IF(DG!$C183=39,FDD!$H64,0)</f>
        <v>0</v>
      </c>
      <c r="AP183" s="462">
        <f>IF(DG!$C183=40,FDD!$H64,0)</f>
        <v>0</v>
      </c>
      <c r="AQ183" s="462"/>
      <c r="AR183" s="464"/>
      <c r="IU183" s="431"/>
      <c r="IV183" s="431"/>
      <c r="IW183" s="431"/>
      <c r="JR183" s="1056"/>
      <c r="JS183" s="1056"/>
      <c r="JT183" s="1056"/>
    </row>
    <row r="184" spans="1:280" ht="13">
      <c r="A184" s="1159" t="str">
        <f>'FG1'!A68</f>
        <v>Mauvaises créances</v>
      </c>
      <c r="B184" s="1160"/>
      <c r="C184" s="461"/>
      <c r="D184" s="462">
        <f>IF(DG!$C184=2,FDD!$H66,0)</f>
        <v>0</v>
      </c>
      <c r="E184" s="462">
        <f>IF(DG!$C184=3,FDD!$H66,0)</f>
        <v>0</v>
      </c>
      <c r="F184" s="462">
        <f>IF(DG!$C184=4,FDD!$H66,0)</f>
        <v>0</v>
      </c>
      <c r="G184" s="462">
        <f>IF(DG!$C184=5,FDD!$H66,0)</f>
        <v>0</v>
      </c>
      <c r="H184" s="462">
        <f>IF(DG!$C184=6,FDD!$H66,0)</f>
        <v>0</v>
      </c>
      <c r="I184" s="462">
        <f>IF(DG!$C184=7,FDD!$H66,0)</f>
        <v>0</v>
      </c>
      <c r="J184" s="462">
        <f>IF(DG!$C184=8,FDD!$H66,0)</f>
        <v>0</v>
      </c>
      <c r="K184" s="462">
        <f>IF(DG!$C184=9,FDD!$H66,0)</f>
        <v>0</v>
      </c>
      <c r="L184" s="462">
        <f>IF(DG!$C184=10,FDD!$H66,0)</f>
        <v>0</v>
      </c>
      <c r="M184" s="462">
        <f>IF(DG!$C184=11,FDD!$H66,0)</f>
        <v>0</v>
      </c>
      <c r="N184" s="462">
        <f>IF(DG!$C184=12,FDD!$H66,0)</f>
        <v>0</v>
      </c>
      <c r="O184" s="462">
        <f>IF(DG!$C184=13,FDD!$H66,0)</f>
        <v>0</v>
      </c>
      <c r="P184" s="462">
        <f>IF(DG!$C184=14,FDD!$H66,0)</f>
        <v>0</v>
      </c>
      <c r="Q184" s="462">
        <f>IF(DG!$C184=15,FDD!$H66,0)</f>
        <v>0</v>
      </c>
      <c r="R184" s="462">
        <f>IF(DG!$C184=16,FDD!$H66,0)</f>
        <v>0</v>
      </c>
      <c r="S184" s="462">
        <f>IF(DG!$C184=17,FDD!$H66,0)</f>
        <v>0</v>
      </c>
      <c r="T184" s="462">
        <f>IF(DG!$C184=18,FDD!$H66,0)</f>
        <v>0</v>
      </c>
      <c r="U184" s="462">
        <f>IF(DG!$C184=19,FDD!$H66,0)</f>
        <v>0</v>
      </c>
      <c r="V184" s="462">
        <f>IF(DG!$C184=20,FDD!$H66,0)</f>
        <v>0</v>
      </c>
      <c r="W184" s="462">
        <f>IF(DG!$C184=21,FDD!$H66,0)</f>
        <v>0</v>
      </c>
      <c r="X184" s="462">
        <f>IF(DG!$C184=22,FDD!$H66,0)</f>
        <v>0</v>
      </c>
      <c r="Y184" s="462">
        <f>IF(DG!$C184=23,FDD!$H66,0)</f>
        <v>0</v>
      </c>
      <c r="Z184" s="462">
        <f>IF(DG!$C184=24,FDD!$H66,0)</f>
        <v>0</v>
      </c>
      <c r="AA184" s="462">
        <f>IF(DG!$C184=25,FDD!$H66,0)</f>
        <v>0</v>
      </c>
      <c r="AB184" s="462">
        <f>IF(DG!$C184=26,FDD!$H66,0)</f>
        <v>0</v>
      </c>
      <c r="AC184" s="462">
        <f>IF(DG!$C184=27,FDD!$H66,0)</f>
        <v>0</v>
      </c>
      <c r="AD184" s="462">
        <f>IF(DG!$C184=28,FDD!$H66,0)</f>
        <v>0</v>
      </c>
      <c r="AE184" s="462">
        <f>IF(DG!$C184=29,FDD!$H66,0)</f>
        <v>0</v>
      </c>
      <c r="AF184" s="462">
        <f>IF(DG!$C184=30,FDD!$H66,0)</f>
        <v>0</v>
      </c>
      <c r="AG184" s="462">
        <f>IF(DG!$C184=31,FDD!$H66,0)</f>
        <v>0</v>
      </c>
      <c r="AH184" s="462">
        <f>IF(DG!$C184=32,FDD!$H66,0)</f>
        <v>0</v>
      </c>
      <c r="AI184" s="462">
        <f>IF(DG!$C184=33,FDD!$H66,0)</f>
        <v>0</v>
      </c>
      <c r="AJ184" s="462">
        <f>IF(DG!$C184=34,FDD!$H66,0)</f>
        <v>0</v>
      </c>
      <c r="AK184" s="462">
        <f>IF(DG!$C184=35,FDD!$H66,0)</f>
        <v>0</v>
      </c>
      <c r="AL184" s="462">
        <f>IF(DG!$C184=36,FDD!$H66,0)</f>
        <v>0</v>
      </c>
      <c r="AM184" s="462">
        <f>IF(DG!$C184=37,FDD!$H66,0)</f>
        <v>0</v>
      </c>
      <c r="AN184" s="462">
        <f>IF(DG!$C184=38,FDD!$H66,0)</f>
        <v>0</v>
      </c>
      <c r="AO184" s="462">
        <f>IF(DG!$C184=39,FDD!$H66,0)</f>
        <v>0</v>
      </c>
      <c r="AP184" s="462">
        <f>IF(DG!$C184=40,FDD!$H66,0)</f>
        <v>0</v>
      </c>
      <c r="AQ184" s="462"/>
      <c r="AR184" s="464"/>
      <c r="IU184" s="431"/>
      <c r="IV184" s="431"/>
      <c r="IW184" s="431"/>
      <c r="JR184" s="1056"/>
      <c r="JS184" s="1056"/>
      <c r="JT184" s="1056"/>
    </row>
    <row r="185" spans="1:280" ht="13">
      <c r="A185" s="1159" t="str">
        <f>'FG1'!A70</f>
        <v>Fournitures de bureau</v>
      </c>
      <c r="B185" s="1160"/>
      <c r="C185" s="461"/>
      <c r="D185" s="462">
        <f>IF(DG!$C185=2,FDD!$H68,0)</f>
        <v>0</v>
      </c>
      <c r="E185" s="462">
        <f>IF(DG!$C185=3,FDD!$H68,0)</f>
        <v>0</v>
      </c>
      <c r="F185" s="462">
        <f>IF(DG!$C185=4,FDD!$H68,0)</f>
        <v>0</v>
      </c>
      <c r="G185" s="462">
        <f>IF(DG!$C185=5,FDD!$H68,0)</f>
        <v>0</v>
      </c>
      <c r="H185" s="462">
        <f>IF(DG!$C185=6,FDD!$H68,0)</f>
        <v>0</v>
      </c>
      <c r="I185" s="462">
        <f>IF(DG!$C185=7,FDD!$H68,0)</f>
        <v>0</v>
      </c>
      <c r="J185" s="462">
        <f>IF(DG!$C185=8,FDD!$H68,0)</f>
        <v>0</v>
      </c>
      <c r="K185" s="462">
        <f>IF(DG!$C185=9,FDD!$H68,0)</f>
        <v>0</v>
      </c>
      <c r="L185" s="462">
        <f>IF(DG!$C185=10,FDD!$H68,0)</f>
        <v>0</v>
      </c>
      <c r="M185" s="462">
        <f>IF(DG!$C185=11,FDD!$H68,0)</f>
        <v>0</v>
      </c>
      <c r="N185" s="462">
        <f>IF(DG!$C185=12,FDD!$H68,0)</f>
        <v>0</v>
      </c>
      <c r="O185" s="462">
        <f>IF(DG!$C185=13,FDD!$H68,0)</f>
        <v>0</v>
      </c>
      <c r="P185" s="462">
        <f>IF(DG!$C185=14,FDD!$H68,0)</f>
        <v>0</v>
      </c>
      <c r="Q185" s="462">
        <f>IF(DG!$C185=15,FDD!$H68,0)</f>
        <v>0</v>
      </c>
      <c r="R185" s="462">
        <f>IF(DG!$C185=16,FDD!$H68,0)</f>
        <v>0</v>
      </c>
      <c r="S185" s="462">
        <f>IF(DG!$C185=17,FDD!$H68,0)</f>
        <v>0</v>
      </c>
      <c r="T185" s="462">
        <f>IF(DG!$C185=18,FDD!$H68,0)</f>
        <v>0</v>
      </c>
      <c r="U185" s="462">
        <f>IF(DG!$C185=19,FDD!$H68,0)</f>
        <v>0</v>
      </c>
      <c r="V185" s="462">
        <f>IF(DG!$C185=20,FDD!$H68,0)</f>
        <v>0</v>
      </c>
      <c r="W185" s="462">
        <f>IF(DG!$C185=21,FDD!$H68,0)</f>
        <v>0</v>
      </c>
      <c r="X185" s="462">
        <f>IF(DG!$C185=22,FDD!$H68,0)</f>
        <v>0</v>
      </c>
      <c r="Y185" s="462">
        <f>IF(DG!$C185=23,FDD!$H68,0)</f>
        <v>0</v>
      </c>
      <c r="Z185" s="462">
        <f>IF(DG!$C185=24,FDD!$H68,0)</f>
        <v>0</v>
      </c>
      <c r="AA185" s="462">
        <f>IF(DG!$C185=25,FDD!$H68,0)</f>
        <v>0</v>
      </c>
      <c r="AB185" s="462">
        <f>IF(DG!$C185=26,FDD!$H68,0)</f>
        <v>0</v>
      </c>
      <c r="AC185" s="462">
        <f>IF(DG!$C185=27,FDD!$H68,0)</f>
        <v>0</v>
      </c>
      <c r="AD185" s="462">
        <f>IF(DG!$C185=28,FDD!$H68,0)</f>
        <v>0</v>
      </c>
      <c r="AE185" s="462">
        <f>IF(DG!$C185=29,FDD!$H68,0)</f>
        <v>0</v>
      </c>
      <c r="AF185" s="462">
        <f>IF(DG!$C185=30,FDD!$H68,0)</f>
        <v>0</v>
      </c>
      <c r="AG185" s="462">
        <f>IF(DG!$C185=31,FDD!$H68,0)</f>
        <v>0</v>
      </c>
      <c r="AH185" s="462">
        <f>IF(DG!$C185=32,FDD!$H68,0)</f>
        <v>0</v>
      </c>
      <c r="AI185" s="462">
        <f>IF(DG!$C185=33,FDD!$H68,0)</f>
        <v>0</v>
      </c>
      <c r="AJ185" s="462">
        <f>IF(DG!$C185=34,FDD!$H68,0)</f>
        <v>0</v>
      </c>
      <c r="AK185" s="462">
        <f>IF(DG!$C185=35,FDD!$H68,0)</f>
        <v>0</v>
      </c>
      <c r="AL185" s="462">
        <f>IF(DG!$C185=36,FDD!$H68,0)</f>
        <v>0</v>
      </c>
      <c r="AM185" s="462">
        <f>IF(DG!$C185=37,FDD!$H68,0)</f>
        <v>0</v>
      </c>
      <c r="AN185" s="462">
        <f>IF(DG!$C185=38,FDD!$H68,0)</f>
        <v>0</v>
      </c>
      <c r="AO185" s="462">
        <f>IF(DG!$C185=39,FDD!$H68,0)</f>
        <v>0</v>
      </c>
      <c r="AP185" s="462">
        <f>IF(DG!$C185=40,FDD!$H68,0)</f>
        <v>0</v>
      </c>
      <c r="AQ185" s="462"/>
      <c r="AR185" s="464"/>
      <c r="IU185" s="431"/>
      <c r="IV185" s="431"/>
      <c r="IW185" s="431"/>
      <c r="JR185" s="1056"/>
      <c r="JS185" s="1056"/>
      <c r="JT185" s="1056"/>
    </row>
    <row r="186" spans="1:280" ht="13">
      <c r="A186" s="1159" t="str">
        <f>'FG1'!A72</f>
        <v>Fais d'hébèrgement de site Web</v>
      </c>
      <c r="B186" s="1160"/>
      <c r="C186" s="461"/>
      <c r="D186" s="462">
        <f>IF(DG!$C186=2,FDD!$H70,0)</f>
        <v>0</v>
      </c>
      <c r="E186" s="462">
        <f>IF(DG!$C186=3,FDD!$H70,0)</f>
        <v>0</v>
      </c>
      <c r="F186" s="462">
        <f>IF(DG!$C186=4,FDD!$H70,0)</f>
        <v>0</v>
      </c>
      <c r="G186" s="462">
        <f>IF(DG!$C186=5,FDD!$H70,0)</f>
        <v>0</v>
      </c>
      <c r="H186" s="462">
        <f>IF(DG!$C186=6,FDD!$H70,0)</f>
        <v>0</v>
      </c>
      <c r="I186" s="462">
        <f>IF(DG!$C186=7,FDD!$H70,0)</f>
        <v>0</v>
      </c>
      <c r="J186" s="462">
        <f>IF(DG!$C186=8,FDD!$H70,0)</f>
        <v>0</v>
      </c>
      <c r="K186" s="462">
        <f>IF(DG!$C186=9,FDD!$H70,0)</f>
        <v>0</v>
      </c>
      <c r="L186" s="462">
        <f>IF(DG!$C186=10,FDD!$H70,0)</f>
        <v>0</v>
      </c>
      <c r="M186" s="462">
        <f>IF(DG!$C186=11,FDD!$H70,0)</f>
        <v>0</v>
      </c>
      <c r="N186" s="462">
        <f>IF(DG!$C186=12,FDD!$H70,0)</f>
        <v>0</v>
      </c>
      <c r="O186" s="462">
        <f>IF(DG!$C186=13,FDD!$H70,0)</f>
        <v>0</v>
      </c>
      <c r="P186" s="462">
        <f>IF(DG!$C186=14,FDD!$H70,0)</f>
        <v>0</v>
      </c>
      <c r="Q186" s="462">
        <f>IF(DG!$C186=15,FDD!$H70,0)</f>
        <v>0</v>
      </c>
      <c r="R186" s="462">
        <f>IF(DG!$C186=16,FDD!$H70,0)</f>
        <v>0</v>
      </c>
      <c r="S186" s="462">
        <f>IF(DG!$C186=17,FDD!$H70,0)</f>
        <v>0</v>
      </c>
      <c r="T186" s="462">
        <f>IF(DG!$C186=18,FDD!$H70,0)</f>
        <v>0</v>
      </c>
      <c r="U186" s="462">
        <f>IF(DG!$C186=19,FDD!$H70,0)</f>
        <v>0</v>
      </c>
      <c r="V186" s="462">
        <f>IF(DG!$C186=20,FDD!$H70,0)</f>
        <v>0</v>
      </c>
      <c r="W186" s="462">
        <f>IF(DG!$C186=21,FDD!$H70,0)</f>
        <v>0</v>
      </c>
      <c r="X186" s="462">
        <f>IF(DG!$C186=22,FDD!$H70,0)</f>
        <v>0</v>
      </c>
      <c r="Y186" s="462">
        <f>IF(DG!$C186=23,FDD!$H70,0)</f>
        <v>0</v>
      </c>
      <c r="Z186" s="462">
        <f>IF(DG!$C186=24,FDD!$H70,0)</f>
        <v>0</v>
      </c>
      <c r="AA186" s="462">
        <f>IF(DG!$C186=25,FDD!$H70,0)</f>
        <v>0</v>
      </c>
      <c r="AB186" s="462">
        <f>IF(DG!$C186=26,FDD!$H70,0)</f>
        <v>0</v>
      </c>
      <c r="AC186" s="462">
        <f>IF(DG!$C186=27,FDD!$H70,0)</f>
        <v>0</v>
      </c>
      <c r="AD186" s="462">
        <f>IF(DG!$C186=28,FDD!$H70,0)</f>
        <v>0</v>
      </c>
      <c r="AE186" s="462">
        <f>IF(DG!$C186=29,FDD!$H70,0)</f>
        <v>0</v>
      </c>
      <c r="AF186" s="462">
        <f>IF(DG!$C186=30,FDD!$H70,0)</f>
        <v>0</v>
      </c>
      <c r="AG186" s="462">
        <f>IF(DG!$C186=31,FDD!$H70,0)</f>
        <v>0</v>
      </c>
      <c r="AH186" s="462">
        <f>IF(DG!$C186=32,FDD!$H70,0)</f>
        <v>0</v>
      </c>
      <c r="AI186" s="462">
        <f>IF(DG!$C186=33,FDD!$H70,0)</f>
        <v>0</v>
      </c>
      <c r="AJ186" s="462">
        <f>IF(DG!$C186=34,FDD!$H70,0)</f>
        <v>0</v>
      </c>
      <c r="AK186" s="462">
        <f>IF(DG!$C186=35,FDD!$H70,0)</f>
        <v>0</v>
      </c>
      <c r="AL186" s="462">
        <f>IF(DG!$C186=36,FDD!$H70,0)</f>
        <v>0</v>
      </c>
      <c r="AM186" s="462">
        <f>IF(DG!$C186=37,FDD!$H70,0)</f>
        <v>0</v>
      </c>
      <c r="AN186" s="462">
        <f>IF(DG!$C186=38,FDD!$H70,0)</f>
        <v>0</v>
      </c>
      <c r="AO186" s="462">
        <f>IF(DG!$C186=39,FDD!$H70,0)</f>
        <v>0</v>
      </c>
      <c r="AP186" s="462">
        <f>IF(DG!$C186=40,FDD!$H70,0)</f>
        <v>0</v>
      </c>
      <c r="AQ186" s="462"/>
      <c r="AR186" s="464"/>
      <c r="IU186" s="431"/>
      <c r="IV186" s="431"/>
      <c r="IW186" s="431"/>
      <c r="JR186" s="1056"/>
      <c r="JS186" s="1056"/>
      <c r="JT186" s="1056"/>
    </row>
    <row r="187" spans="1:280" ht="13">
      <c r="A187" s="1159" t="str">
        <f>'FG1'!A74</f>
        <v>Autres frais d'administration 2</v>
      </c>
      <c r="B187" s="1160"/>
      <c r="C187" s="461"/>
      <c r="D187" s="462">
        <f>IF(DG!$C187=2,FDD!$H72,0)</f>
        <v>0</v>
      </c>
      <c r="E187" s="462">
        <f>IF(DG!$C187=3,FDD!$H72,0)</f>
        <v>0</v>
      </c>
      <c r="F187" s="462">
        <f>IF(DG!$C187=4,FDD!$H72,0)</f>
        <v>0</v>
      </c>
      <c r="G187" s="462">
        <f>IF(DG!$C187=5,FDD!$H72,0)</f>
        <v>0</v>
      </c>
      <c r="H187" s="462">
        <f>IF(DG!$C187=6,FDD!$H72,0)</f>
        <v>0</v>
      </c>
      <c r="I187" s="462">
        <f>IF(DG!$C187=7,FDD!$H72,0)</f>
        <v>0</v>
      </c>
      <c r="J187" s="462">
        <f>IF(DG!$C187=8,FDD!$H72,0)</f>
        <v>0</v>
      </c>
      <c r="K187" s="462">
        <f>IF(DG!$C187=9,FDD!$H72,0)</f>
        <v>0</v>
      </c>
      <c r="L187" s="462">
        <f>IF(DG!$C187=10,FDD!$H72,0)</f>
        <v>0</v>
      </c>
      <c r="M187" s="462">
        <f>IF(DG!$C187=11,FDD!$H72,0)</f>
        <v>0</v>
      </c>
      <c r="N187" s="462">
        <f>IF(DG!$C187=12,FDD!$H72,0)</f>
        <v>0</v>
      </c>
      <c r="O187" s="462">
        <f>IF(DG!$C187=13,FDD!$H72,0)</f>
        <v>0</v>
      </c>
      <c r="P187" s="462">
        <f>IF(DG!$C187=14,FDD!$H72,0)</f>
        <v>0</v>
      </c>
      <c r="Q187" s="462">
        <f>IF(DG!$C187=15,FDD!$H72,0)</f>
        <v>0</v>
      </c>
      <c r="R187" s="462">
        <f>IF(DG!$C187=16,FDD!$H72,0)</f>
        <v>0</v>
      </c>
      <c r="S187" s="462">
        <f>IF(DG!$C187=17,FDD!$H72,0)</f>
        <v>0</v>
      </c>
      <c r="T187" s="462">
        <f>IF(DG!$C187=18,FDD!$H72,0)</f>
        <v>0</v>
      </c>
      <c r="U187" s="462">
        <f>IF(DG!$C187=19,FDD!$H72,0)</f>
        <v>0</v>
      </c>
      <c r="V187" s="462">
        <f>IF(DG!$C187=20,FDD!$H72,0)</f>
        <v>0</v>
      </c>
      <c r="W187" s="462">
        <f>IF(DG!$C187=21,FDD!$H72,0)</f>
        <v>0</v>
      </c>
      <c r="X187" s="462">
        <f>IF(DG!$C187=22,FDD!$H72,0)</f>
        <v>0</v>
      </c>
      <c r="Y187" s="462">
        <f>IF(DG!$C187=23,FDD!$H72,0)</f>
        <v>0</v>
      </c>
      <c r="Z187" s="462">
        <f>IF(DG!$C187=24,FDD!$H72,0)</f>
        <v>0</v>
      </c>
      <c r="AA187" s="462">
        <f>IF(DG!$C187=25,FDD!$H72,0)</f>
        <v>0</v>
      </c>
      <c r="AB187" s="462">
        <f>IF(DG!$C187=26,FDD!$H72,0)</f>
        <v>0</v>
      </c>
      <c r="AC187" s="462">
        <f>IF(DG!$C187=27,FDD!$H72,0)</f>
        <v>0</v>
      </c>
      <c r="AD187" s="462">
        <f>IF(DG!$C187=28,FDD!$H72,0)</f>
        <v>0</v>
      </c>
      <c r="AE187" s="462">
        <f>IF(DG!$C187=29,FDD!$H72,0)</f>
        <v>0</v>
      </c>
      <c r="AF187" s="462">
        <f>IF(DG!$C187=30,FDD!$H72,0)</f>
        <v>0</v>
      </c>
      <c r="AG187" s="462">
        <f>IF(DG!$C187=31,FDD!$H72,0)</f>
        <v>0</v>
      </c>
      <c r="AH187" s="462">
        <f>IF(DG!$C187=32,FDD!$H72,0)</f>
        <v>0</v>
      </c>
      <c r="AI187" s="462">
        <f>IF(DG!$C187=33,FDD!$H72,0)</f>
        <v>0</v>
      </c>
      <c r="AJ187" s="462">
        <f>IF(DG!$C187=34,FDD!$H72,0)</f>
        <v>0</v>
      </c>
      <c r="AK187" s="462">
        <f>IF(DG!$C187=35,FDD!$H72,0)</f>
        <v>0</v>
      </c>
      <c r="AL187" s="462">
        <f>IF(DG!$C187=36,FDD!$H72,0)</f>
        <v>0</v>
      </c>
      <c r="AM187" s="462">
        <f>IF(DG!$C187=37,FDD!$H72,0)</f>
        <v>0</v>
      </c>
      <c r="AN187" s="462">
        <f>IF(DG!$C187=38,FDD!$H72,0)</f>
        <v>0</v>
      </c>
      <c r="AO187" s="462">
        <f>IF(DG!$C187=39,FDD!$H72,0)</f>
        <v>0</v>
      </c>
      <c r="AP187" s="462">
        <f>IF(DG!$C187=40,FDD!$H72,0)</f>
        <v>0</v>
      </c>
      <c r="AQ187" s="462"/>
      <c r="AR187" s="464"/>
      <c r="IU187" s="431"/>
      <c r="IV187" s="431"/>
      <c r="IW187" s="431"/>
      <c r="JR187" s="1056"/>
      <c r="JS187" s="1056"/>
      <c r="JT187" s="1056"/>
    </row>
    <row r="188" spans="1:280" ht="13">
      <c r="A188" s="1159" t="str">
        <f>'FG1'!A76</f>
        <v>Autres frais d'administration 3</v>
      </c>
      <c r="B188" s="1160"/>
      <c r="C188" s="461"/>
      <c r="D188" s="462">
        <f>IF(DG!$C188=2,FDD!$H74,0)</f>
        <v>0</v>
      </c>
      <c r="E188" s="462">
        <f>IF(DG!$C188=3,FDD!$H74,0)</f>
        <v>0</v>
      </c>
      <c r="F188" s="462">
        <f>IF(DG!$C188=4,FDD!$H74,0)</f>
        <v>0</v>
      </c>
      <c r="G188" s="462">
        <f>IF(DG!$C188=5,FDD!$H74,0)</f>
        <v>0</v>
      </c>
      <c r="H188" s="462">
        <f>IF(DG!$C188=6,FDD!$H74,0)</f>
        <v>0</v>
      </c>
      <c r="I188" s="462">
        <f>IF(DG!$C188=7,FDD!$H74,0)</f>
        <v>0</v>
      </c>
      <c r="J188" s="462">
        <f>IF(DG!$C188=8,FDD!$H74,0)</f>
        <v>0</v>
      </c>
      <c r="K188" s="462">
        <f>IF(DG!$C188=9,FDD!$H74,0)</f>
        <v>0</v>
      </c>
      <c r="L188" s="462">
        <f>IF(DG!$C188=10,FDD!$H74,0)</f>
        <v>0</v>
      </c>
      <c r="M188" s="462">
        <f>IF(DG!$C188=11,FDD!$H74,0)</f>
        <v>0</v>
      </c>
      <c r="N188" s="462">
        <f>IF(DG!$C188=12,FDD!$H74,0)</f>
        <v>0</v>
      </c>
      <c r="O188" s="462">
        <f>IF(DG!$C188=13,FDD!$H74,0)</f>
        <v>0</v>
      </c>
      <c r="P188" s="462">
        <f>IF(DG!$C188=14,FDD!$H74,0)</f>
        <v>0</v>
      </c>
      <c r="Q188" s="462">
        <f>IF(DG!$C188=15,FDD!$H74,0)</f>
        <v>0</v>
      </c>
      <c r="R188" s="462">
        <f>IF(DG!$C188=16,FDD!$H74,0)</f>
        <v>0</v>
      </c>
      <c r="S188" s="462">
        <f>IF(DG!$C188=17,FDD!$H74,0)</f>
        <v>0</v>
      </c>
      <c r="T188" s="462">
        <f>IF(DG!$C188=18,FDD!$H74,0)</f>
        <v>0</v>
      </c>
      <c r="U188" s="462">
        <f>IF(DG!$C188=19,FDD!$H74,0)</f>
        <v>0</v>
      </c>
      <c r="V188" s="462">
        <f>IF(DG!$C188=20,FDD!$H74,0)</f>
        <v>0</v>
      </c>
      <c r="W188" s="462">
        <f>IF(DG!$C188=21,FDD!$H74,0)</f>
        <v>0</v>
      </c>
      <c r="X188" s="462">
        <f>IF(DG!$C188=22,FDD!$H74,0)</f>
        <v>0</v>
      </c>
      <c r="Y188" s="462">
        <f>IF(DG!$C188=23,FDD!$H74,0)</f>
        <v>0</v>
      </c>
      <c r="Z188" s="462">
        <f>IF(DG!$C188=24,FDD!$H74,0)</f>
        <v>0</v>
      </c>
      <c r="AA188" s="462">
        <f>IF(DG!$C188=25,FDD!$H74,0)</f>
        <v>0</v>
      </c>
      <c r="AB188" s="462">
        <f>IF(DG!$C188=26,FDD!$H74,0)</f>
        <v>0</v>
      </c>
      <c r="AC188" s="462">
        <f>IF(DG!$C188=27,FDD!$H74,0)</f>
        <v>0</v>
      </c>
      <c r="AD188" s="462">
        <f>IF(DG!$C188=28,FDD!$H74,0)</f>
        <v>0</v>
      </c>
      <c r="AE188" s="462">
        <f>IF(DG!$C188=29,FDD!$H74,0)</f>
        <v>0</v>
      </c>
      <c r="AF188" s="462">
        <f>IF(DG!$C188=30,FDD!$H74,0)</f>
        <v>0</v>
      </c>
      <c r="AG188" s="462">
        <f>IF(DG!$C188=31,FDD!$H74,0)</f>
        <v>0</v>
      </c>
      <c r="AH188" s="462">
        <f>IF(DG!$C188=32,FDD!$H74,0)</f>
        <v>0</v>
      </c>
      <c r="AI188" s="462">
        <f>IF(DG!$C188=33,FDD!$H74,0)</f>
        <v>0</v>
      </c>
      <c r="AJ188" s="462">
        <f>IF(DG!$C188=34,FDD!$H74,0)</f>
        <v>0</v>
      </c>
      <c r="AK188" s="462">
        <f>IF(DG!$C188=35,FDD!$H74,0)</f>
        <v>0</v>
      </c>
      <c r="AL188" s="462">
        <f>IF(DG!$C188=36,FDD!$H74,0)</f>
        <v>0</v>
      </c>
      <c r="AM188" s="462">
        <f>IF(DG!$C188=37,FDD!$H74,0)</f>
        <v>0</v>
      </c>
      <c r="AN188" s="462">
        <f>IF(DG!$C188=38,FDD!$H74,0)</f>
        <v>0</v>
      </c>
      <c r="AO188" s="462">
        <f>IF(DG!$C188=39,FDD!$H74,0)</f>
        <v>0</v>
      </c>
      <c r="AP188" s="462">
        <f>IF(DG!$C188=40,FDD!$H74,0)</f>
        <v>0</v>
      </c>
      <c r="AQ188" s="462"/>
      <c r="AR188" s="464"/>
      <c r="IU188" s="431"/>
      <c r="IV188" s="431"/>
      <c r="IW188" s="431"/>
      <c r="JR188" s="1056"/>
      <c r="JS188" s="1056"/>
      <c r="JT188" s="1056"/>
    </row>
    <row r="189" spans="1:280" ht="13">
      <c r="A189" s="1159" t="str">
        <f>'FG1'!A78</f>
        <v>Autres frais d'administration 4</v>
      </c>
      <c r="B189" s="1160"/>
      <c r="C189" s="461"/>
      <c r="D189" s="462">
        <f>IF(DG!$C189=2,FDD!$H76,0)</f>
        <v>0</v>
      </c>
      <c r="E189" s="462">
        <f>IF(DG!$C189=3,FDD!$H76,0)</f>
        <v>0</v>
      </c>
      <c r="F189" s="462">
        <f>IF(DG!$C189=4,FDD!$H76,0)</f>
        <v>0</v>
      </c>
      <c r="G189" s="462">
        <f>IF(DG!$C189=5,FDD!$H76,0)</f>
        <v>0</v>
      </c>
      <c r="H189" s="462">
        <f>IF(DG!$C189=6,FDD!$H76,0)</f>
        <v>0</v>
      </c>
      <c r="I189" s="462">
        <f>IF(DG!$C189=7,FDD!$H76,0)</f>
        <v>0</v>
      </c>
      <c r="J189" s="462">
        <f>IF(DG!$C189=8,FDD!$H76,0)</f>
        <v>0</v>
      </c>
      <c r="K189" s="462">
        <f>IF(DG!$C189=9,FDD!$H76,0)</f>
        <v>0</v>
      </c>
      <c r="L189" s="462">
        <f>IF(DG!$C189=10,FDD!$H76,0)</f>
        <v>0</v>
      </c>
      <c r="M189" s="462">
        <f>IF(DG!$C189=11,FDD!$H76,0)</f>
        <v>0</v>
      </c>
      <c r="N189" s="462">
        <f>IF(DG!$C189=12,FDD!$H76,0)</f>
        <v>0</v>
      </c>
      <c r="O189" s="462">
        <f>IF(DG!$C189=13,FDD!$H76,0)</f>
        <v>0</v>
      </c>
      <c r="P189" s="462">
        <f>IF(DG!$C189=14,FDD!$H76,0)</f>
        <v>0</v>
      </c>
      <c r="Q189" s="462">
        <f>IF(DG!$C189=15,FDD!$H76,0)</f>
        <v>0</v>
      </c>
      <c r="R189" s="462">
        <f>IF(DG!$C189=16,FDD!$H76,0)</f>
        <v>0</v>
      </c>
      <c r="S189" s="462">
        <f>IF(DG!$C189=17,FDD!$H76,0)</f>
        <v>0</v>
      </c>
      <c r="T189" s="462">
        <f>IF(DG!$C189=18,FDD!$H76,0)</f>
        <v>0</v>
      </c>
      <c r="U189" s="462">
        <f>IF(DG!$C189=19,FDD!$H76,0)</f>
        <v>0</v>
      </c>
      <c r="V189" s="462">
        <f>IF(DG!$C189=20,FDD!$H76,0)</f>
        <v>0</v>
      </c>
      <c r="W189" s="462">
        <f>IF(DG!$C189=21,FDD!$H76,0)</f>
        <v>0</v>
      </c>
      <c r="X189" s="462">
        <f>IF(DG!$C189=22,FDD!$H76,0)</f>
        <v>0</v>
      </c>
      <c r="Y189" s="462">
        <f>IF(DG!$C189=23,FDD!$H76,0)</f>
        <v>0</v>
      </c>
      <c r="Z189" s="462">
        <f>IF(DG!$C189=24,FDD!$H76,0)</f>
        <v>0</v>
      </c>
      <c r="AA189" s="462">
        <f>IF(DG!$C189=25,FDD!$H76,0)</f>
        <v>0</v>
      </c>
      <c r="AB189" s="462">
        <f>IF(DG!$C189=26,FDD!$H76,0)</f>
        <v>0</v>
      </c>
      <c r="AC189" s="462">
        <f>IF(DG!$C189=27,FDD!$H76,0)</f>
        <v>0</v>
      </c>
      <c r="AD189" s="462">
        <f>IF(DG!$C189=28,FDD!$H76,0)</f>
        <v>0</v>
      </c>
      <c r="AE189" s="462">
        <f>IF(DG!$C189=29,FDD!$H76,0)</f>
        <v>0</v>
      </c>
      <c r="AF189" s="462">
        <f>IF(DG!$C189=30,FDD!$H76,0)</f>
        <v>0</v>
      </c>
      <c r="AG189" s="462">
        <f>IF(DG!$C189=31,FDD!$H76,0)</f>
        <v>0</v>
      </c>
      <c r="AH189" s="462">
        <f>IF(DG!$C189=32,FDD!$H76,0)</f>
        <v>0</v>
      </c>
      <c r="AI189" s="462">
        <f>IF(DG!$C189=33,FDD!$H76,0)</f>
        <v>0</v>
      </c>
      <c r="AJ189" s="462">
        <f>IF(DG!$C189=34,FDD!$H76,0)</f>
        <v>0</v>
      </c>
      <c r="AK189" s="462">
        <f>IF(DG!$C189=35,FDD!$H76,0)</f>
        <v>0</v>
      </c>
      <c r="AL189" s="462">
        <f>IF(DG!$C189=36,FDD!$H76,0)</f>
        <v>0</v>
      </c>
      <c r="AM189" s="462">
        <f>IF(DG!$C189=37,FDD!$H76,0)</f>
        <v>0</v>
      </c>
      <c r="AN189" s="462">
        <f>IF(DG!$C189=38,FDD!$H76,0)</f>
        <v>0</v>
      </c>
      <c r="AO189" s="462">
        <f>IF(DG!$C189=39,FDD!$H76,0)</f>
        <v>0</v>
      </c>
      <c r="AP189" s="462">
        <f>IF(DG!$C189=40,FDD!$H76,0)</f>
        <v>0</v>
      </c>
      <c r="AQ189" s="462"/>
      <c r="AR189" s="464"/>
      <c r="IU189" s="431"/>
      <c r="IV189" s="431"/>
      <c r="IW189" s="431"/>
      <c r="JR189" s="1056"/>
      <c r="JS189" s="1056"/>
      <c r="JT189" s="1056"/>
    </row>
    <row r="190" spans="1:280" ht="13">
      <c r="A190" s="1159" t="str">
        <f>'FG1'!A80</f>
        <v>Autres frais d'administration 5</v>
      </c>
      <c r="B190" s="1160"/>
      <c r="C190" s="461"/>
      <c r="D190" s="462">
        <f>IF(DG!$C190=2,FDD!$H78,0)</f>
        <v>0</v>
      </c>
      <c r="E190" s="462">
        <f>IF(DG!$C190=3,FDD!$H78,0)</f>
        <v>0</v>
      </c>
      <c r="F190" s="462">
        <f>IF(DG!$C190=4,FDD!$H78,0)</f>
        <v>0</v>
      </c>
      <c r="G190" s="462">
        <f>IF(DG!$C190=5,FDD!$H78,0)</f>
        <v>0</v>
      </c>
      <c r="H190" s="462">
        <f>IF(DG!$C190=6,FDD!$H78,0)</f>
        <v>0</v>
      </c>
      <c r="I190" s="462">
        <f>IF(DG!$C190=7,FDD!$H78,0)</f>
        <v>0</v>
      </c>
      <c r="J190" s="462">
        <f>IF(DG!$C190=8,FDD!$H78,0)</f>
        <v>0</v>
      </c>
      <c r="K190" s="462">
        <f>IF(DG!$C190=9,FDD!$H78,0)</f>
        <v>0</v>
      </c>
      <c r="L190" s="462">
        <f>IF(DG!$C190=10,FDD!$H78,0)</f>
        <v>0</v>
      </c>
      <c r="M190" s="462">
        <f>IF(DG!$C190=11,FDD!$H78,0)</f>
        <v>0</v>
      </c>
      <c r="N190" s="462">
        <f>IF(DG!$C190=12,FDD!$H78,0)</f>
        <v>0</v>
      </c>
      <c r="O190" s="462">
        <f>IF(DG!$C190=13,FDD!$H78,0)</f>
        <v>0</v>
      </c>
      <c r="P190" s="462">
        <f>IF(DG!$C190=14,FDD!$H78,0)</f>
        <v>0</v>
      </c>
      <c r="Q190" s="462">
        <f>IF(DG!$C190=15,FDD!$H78,0)</f>
        <v>0</v>
      </c>
      <c r="R190" s="462">
        <f>IF(DG!$C190=16,FDD!$H78,0)</f>
        <v>0</v>
      </c>
      <c r="S190" s="462">
        <f>IF(DG!$C190=17,FDD!$H78,0)</f>
        <v>0</v>
      </c>
      <c r="T190" s="462">
        <f>IF(DG!$C190=18,FDD!$H78,0)</f>
        <v>0</v>
      </c>
      <c r="U190" s="462">
        <f>IF(DG!$C190=19,FDD!$H78,0)</f>
        <v>0</v>
      </c>
      <c r="V190" s="462">
        <f>IF(DG!$C190=20,FDD!$H78,0)</f>
        <v>0</v>
      </c>
      <c r="W190" s="462">
        <f>IF(DG!$C190=21,FDD!$H78,0)</f>
        <v>0</v>
      </c>
      <c r="X190" s="462">
        <f>IF(DG!$C190=22,FDD!$H78,0)</f>
        <v>0</v>
      </c>
      <c r="Y190" s="462">
        <f>IF(DG!$C190=23,FDD!$H78,0)</f>
        <v>0</v>
      </c>
      <c r="Z190" s="462">
        <f>IF(DG!$C190=24,FDD!$H78,0)</f>
        <v>0</v>
      </c>
      <c r="AA190" s="462">
        <f>IF(DG!$C190=25,FDD!$H78,0)</f>
        <v>0</v>
      </c>
      <c r="AB190" s="462">
        <f>IF(DG!$C190=26,FDD!$H78,0)</f>
        <v>0</v>
      </c>
      <c r="AC190" s="462">
        <f>IF(DG!$C190=27,FDD!$H78,0)</f>
        <v>0</v>
      </c>
      <c r="AD190" s="462">
        <f>IF(DG!$C190=28,FDD!$H78,0)</f>
        <v>0</v>
      </c>
      <c r="AE190" s="462">
        <f>IF(DG!$C190=29,FDD!$H78,0)</f>
        <v>0</v>
      </c>
      <c r="AF190" s="462">
        <f>IF(DG!$C190=30,FDD!$H78,0)</f>
        <v>0</v>
      </c>
      <c r="AG190" s="462">
        <f>IF(DG!$C190=31,FDD!$H78,0)</f>
        <v>0</v>
      </c>
      <c r="AH190" s="462">
        <f>IF(DG!$C190=32,FDD!$H78,0)</f>
        <v>0</v>
      </c>
      <c r="AI190" s="462">
        <f>IF(DG!$C190=33,FDD!$H78,0)</f>
        <v>0</v>
      </c>
      <c r="AJ190" s="462">
        <f>IF(DG!$C190=34,FDD!$H78,0)</f>
        <v>0</v>
      </c>
      <c r="AK190" s="462">
        <f>IF(DG!$C190=35,FDD!$H78,0)</f>
        <v>0</v>
      </c>
      <c r="AL190" s="462">
        <f>IF(DG!$C190=36,FDD!$H78,0)</f>
        <v>0</v>
      </c>
      <c r="AM190" s="462">
        <f>IF(DG!$C190=37,FDD!$H78,0)</f>
        <v>0</v>
      </c>
      <c r="AN190" s="462">
        <f>IF(DG!$C190=38,FDD!$H78,0)</f>
        <v>0</v>
      </c>
      <c r="AO190" s="462">
        <f>IF(DG!$C190=39,FDD!$H78,0)</f>
        <v>0</v>
      </c>
      <c r="AP190" s="462">
        <f>IF(DG!$C190=40,FDD!$H78,0)</f>
        <v>0</v>
      </c>
      <c r="AQ190" s="462"/>
      <c r="AR190" s="464"/>
      <c r="IU190" s="431"/>
      <c r="IV190" s="431"/>
      <c r="IW190" s="431"/>
      <c r="JR190" s="1056"/>
      <c r="JS190" s="1056"/>
      <c r="JT190" s="1056"/>
    </row>
    <row r="191" spans="1:280" ht="13">
      <c r="A191" s="1159" t="str">
        <f>'FG1'!A85</f>
        <v>Frais bancaires</v>
      </c>
      <c r="B191" s="1160"/>
      <c r="C191" s="461"/>
      <c r="D191" s="462">
        <f>IF(DG!$C191=2,FDD!$H80,0)</f>
        <v>0</v>
      </c>
      <c r="E191" s="462">
        <f>IF(DG!$C191=3,FDD!$H80,0)</f>
        <v>0</v>
      </c>
      <c r="F191" s="462">
        <f>IF(DG!$C191=4,FDD!$H80,0)</f>
        <v>0</v>
      </c>
      <c r="G191" s="462">
        <f>IF(DG!$C191=5,FDD!$H80,0)</f>
        <v>0</v>
      </c>
      <c r="H191" s="462">
        <f>IF(DG!$C191=6,FDD!$H80,0)</f>
        <v>0</v>
      </c>
      <c r="I191" s="462">
        <f>IF(DG!$C191=7,FDD!$H80,0)</f>
        <v>0</v>
      </c>
      <c r="J191" s="462">
        <f>IF(DG!$C191=8,FDD!$H80,0)</f>
        <v>0</v>
      </c>
      <c r="K191" s="462">
        <f>IF(DG!$C191=9,FDD!$H80,0)</f>
        <v>0</v>
      </c>
      <c r="L191" s="462">
        <f>IF(DG!$C191=10,FDD!$H80,0)</f>
        <v>0</v>
      </c>
      <c r="M191" s="462">
        <f>IF(DG!$C191=11,FDD!$H80,0)</f>
        <v>0</v>
      </c>
      <c r="N191" s="462">
        <f>IF(DG!$C191=12,FDD!$H80,0)</f>
        <v>0</v>
      </c>
      <c r="O191" s="462">
        <f>IF(DG!$C191=13,FDD!$H80,0)</f>
        <v>0</v>
      </c>
      <c r="P191" s="462">
        <f>IF(DG!$C191=14,FDD!$H80,0)</f>
        <v>0</v>
      </c>
      <c r="Q191" s="462">
        <f>IF(DG!$C191=15,FDD!$H80,0)</f>
        <v>0</v>
      </c>
      <c r="R191" s="462">
        <f>IF(DG!$C191=16,FDD!$H80,0)</f>
        <v>0</v>
      </c>
      <c r="S191" s="462">
        <f>IF(DG!$C191=17,FDD!$H80,0)</f>
        <v>0</v>
      </c>
      <c r="T191" s="462">
        <f>IF(DG!$C191=18,FDD!$H80,0)</f>
        <v>0</v>
      </c>
      <c r="U191" s="462">
        <f>IF(DG!$C191=19,FDD!$H80,0)</f>
        <v>0</v>
      </c>
      <c r="V191" s="462">
        <f>IF(DG!$C191=20,FDD!$H80,0)</f>
        <v>0</v>
      </c>
      <c r="W191" s="462">
        <f>IF(DG!$C191=21,FDD!$H80,0)</f>
        <v>0</v>
      </c>
      <c r="X191" s="462">
        <f>IF(DG!$C191=22,FDD!$H80,0)</f>
        <v>0</v>
      </c>
      <c r="Y191" s="462">
        <f>IF(DG!$C191=23,FDD!$H80,0)</f>
        <v>0</v>
      </c>
      <c r="Z191" s="462">
        <f>IF(DG!$C191=24,FDD!$H80,0)</f>
        <v>0</v>
      </c>
      <c r="AA191" s="462">
        <f>IF(DG!$C191=25,FDD!$H80,0)</f>
        <v>0</v>
      </c>
      <c r="AB191" s="462">
        <f>IF(DG!$C191=26,FDD!$H80,0)</f>
        <v>0</v>
      </c>
      <c r="AC191" s="462">
        <f>IF(DG!$C191=27,FDD!$H80,0)</f>
        <v>0</v>
      </c>
      <c r="AD191" s="462">
        <f>IF(DG!$C191=28,FDD!$H80,0)</f>
        <v>0</v>
      </c>
      <c r="AE191" s="462">
        <f>IF(DG!$C191=29,FDD!$H80,0)</f>
        <v>0</v>
      </c>
      <c r="AF191" s="462">
        <f>IF(DG!$C191=30,FDD!$H80,0)</f>
        <v>0</v>
      </c>
      <c r="AG191" s="462">
        <f>IF(DG!$C191=31,FDD!$H80,0)</f>
        <v>0</v>
      </c>
      <c r="AH191" s="462">
        <f>IF(DG!$C191=32,FDD!$H80,0)</f>
        <v>0</v>
      </c>
      <c r="AI191" s="462">
        <f>IF(DG!$C191=33,FDD!$H80,0)</f>
        <v>0</v>
      </c>
      <c r="AJ191" s="462">
        <f>IF(DG!$C191=34,FDD!$H80,0)</f>
        <v>0</v>
      </c>
      <c r="AK191" s="462">
        <f>IF(DG!$C191=35,FDD!$H80,0)</f>
        <v>0</v>
      </c>
      <c r="AL191" s="462">
        <f>IF(DG!$C191=36,FDD!$H80,0)</f>
        <v>0</v>
      </c>
      <c r="AM191" s="462">
        <f>IF(DG!$C191=37,FDD!$H80,0)</f>
        <v>0</v>
      </c>
      <c r="AN191" s="462">
        <f>IF(DG!$C191=38,FDD!$H80,0)</f>
        <v>0</v>
      </c>
      <c r="AO191" s="462">
        <f>IF(DG!$C191=39,FDD!$H80,0)</f>
        <v>0</v>
      </c>
      <c r="AP191" s="462">
        <f>IF(DG!$C191=40,FDD!$H80,0)</f>
        <v>0</v>
      </c>
      <c r="AQ191" s="462"/>
      <c r="AR191" s="464"/>
      <c r="IU191" s="431"/>
      <c r="IV191" s="431"/>
      <c r="IW191" s="431"/>
      <c r="JR191" s="1056"/>
      <c r="JS191" s="1056"/>
      <c r="JT191" s="1056"/>
    </row>
    <row r="192" spans="1:280" ht="13">
      <c r="A192" s="463" t="s">
        <v>308</v>
      </c>
      <c r="B192" s="461"/>
      <c r="C192" s="461"/>
      <c r="D192" s="462">
        <f>IF(DG!$C192=2,FDD!$H82,0)</f>
        <v>0</v>
      </c>
      <c r="E192" s="462">
        <f>IF(DG!$C192=3,FDD!$H82,0)</f>
        <v>0</v>
      </c>
      <c r="F192" s="462">
        <f>IF(DG!$C192=4,FDD!$H82,0)</f>
        <v>0</v>
      </c>
      <c r="G192" s="462">
        <f>IF(DG!$C192=5,FDD!$H82,0)</f>
        <v>0</v>
      </c>
      <c r="H192" s="462">
        <f>IF(DG!$C192=6,FDD!$H82,0)</f>
        <v>0</v>
      </c>
      <c r="I192" s="462">
        <f>IF(DG!$C192=7,FDD!$H82,0)</f>
        <v>0</v>
      </c>
      <c r="J192" s="462">
        <f>IF(DG!$C192=8,FDD!$H82,0)</f>
        <v>0</v>
      </c>
      <c r="K192" s="462">
        <f>IF(DG!$C192=9,FDD!$H82,0)</f>
        <v>0</v>
      </c>
      <c r="L192" s="462">
        <f>IF(DG!$C192=10,FDD!$H82,0)</f>
        <v>0</v>
      </c>
      <c r="M192" s="462">
        <f>IF(DG!$C192=11,FDD!$H82,0)</f>
        <v>0</v>
      </c>
      <c r="N192" s="462">
        <f>IF(DG!$C192=12,FDD!$H82,0)</f>
        <v>0</v>
      </c>
      <c r="O192" s="462">
        <f>IF(DG!$C192=13,FDD!$H82,0)</f>
        <v>0</v>
      </c>
      <c r="P192" s="462">
        <f>IF(DG!$C192=14,FDD!$H82,0)</f>
        <v>0</v>
      </c>
      <c r="Q192" s="462">
        <f>IF(DG!$C192=15,FDD!$H82,0)</f>
        <v>0</v>
      </c>
      <c r="R192" s="462">
        <f>IF(DG!$C192=16,FDD!$H82,0)</f>
        <v>0</v>
      </c>
      <c r="S192" s="462">
        <f>IF(DG!$C192=17,FDD!$H82,0)</f>
        <v>0</v>
      </c>
      <c r="T192" s="462">
        <f>IF(DG!$C192=18,FDD!$H82,0)</f>
        <v>0</v>
      </c>
      <c r="U192" s="462">
        <f>IF(DG!$C192=19,FDD!$H82,0)</f>
        <v>0</v>
      </c>
      <c r="V192" s="462">
        <f>IF(DG!$C192=20,FDD!$H82,0)</f>
        <v>0</v>
      </c>
      <c r="W192" s="462">
        <f>IF(DG!$C192=21,FDD!$H82,0)</f>
        <v>0</v>
      </c>
      <c r="X192" s="462">
        <f>IF(DG!$C192=22,FDD!$H82,0)</f>
        <v>0</v>
      </c>
      <c r="Y192" s="462">
        <f>IF(DG!$C192=23,FDD!$H82,0)</f>
        <v>0</v>
      </c>
      <c r="Z192" s="462">
        <f>IF(DG!$C192=24,FDD!$H82,0)</f>
        <v>0</v>
      </c>
      <c r="AA192" s="462">
        <f>IF(DG!$C192=25,FDD!$H82,0)</f>
        <v>0</v>
      </c>
      <c r="AB192" s="462">
        <f>IF(DG!$C192=26,FDD!$H82,0)</f>
        <v>0</v>
      </c>
      <c r="AC192" s="462">
        <f>IF(DG!$C192=27,FDD!$H82,0)</f>
        <v>0</v>
      </c>
      <c r="AD192" s="462">
        <f>IF(DG!$C192=28,FDD!$H82,0)</f>
        <v>0</v>
      </c>
      <c r="AE192" s="462">
        <f>IF(DG!$C192=29,FDD!$H82,0)</f>
        <v>0</v>
      </c>
      <c r="AF192" s="462">
        <f>IF(DG!$C192=30,FDD!$H82,0)</f>
        <v>0</v>
      </c>
      <c r="AG192" s="462">
        <f>IF(DG!$C192=31,FDD!$H82,0)</f>
        <v>0</v>
      </c>
      <c r="AH192" s="462">
        <f>IF(DG!$C192=32,FDD!$H82,0)</f>
        <v>0</v>
      </c>
      <c r="AI192" s="462">
        <f>IF(DG!$C192=33,FDD!$H82,0)</f>
        <v>0</v>
      </c>
      <c r="AJ192" s="462">
        <f>IF(DG!$C192=34,FDD!$H82,0)</f>
        <v>0</v>
      </c>
      <c r="AK192" s="462">
        <f>IF(DG!$C192=35,FDD!$H82,0)</f>
        <v>0</v>
      </c>
      <c r="AL192" s="462">
        <f>IF(DG!$C192=36,FDD!$H82,0)</f>
        <v>0</v>
      </c>
      <c r="AM192" s="462">
        <f>IF(DG!$C192=37,FDD!$H82,0)</f>
        <v>0</v>
      </c>
      <c r="AN192" s="462">
        <f>IF(DG!$C192=38,FDD!$H82,0)</f>
        <v>0</v>
      </c>
      <c r="AO192" s="462">
        <f>IF(DG!$C192=39,FDD!$H82,0)</f>
        <v>0</v>
      </c>
      <c r="AP192" s="462">
        <f>IF(DG!$C192=40,FDD!$H82,0)</f>
        <v>0</v>
      </c>
      <c r="AQ192" s="462"/>
      <c r="AR192" s="464"/>
      <c r="IU192" s="431"/>
      <c r="IV192" s="431"/>
      <c r="IW192" s="431"/>
      <c r="JR192" s="1056"/>
      <c r="JS192" s="1056"/>
      <c r="JT192" s="1056"/>
    </row>
    <row r="193" spans="1:298" ht="13">
      <c r="A193" s="463" t="s">
        <v>307</v>
      </c>
      <c r="B193" s="461"/>
      <c r="C193" s="461"/>
      <c r="D193" s="462">
        <f>IF(DG!$C193=2,FDD!$H84,0)</f>
        <v>0</v>
      </c>
      <c r="E193" s="462">
        <f>IF(DG!$C193=3,FDD!$H84,0)</f>
        <v>0</v>
      </c>
      <c r="F193" s="462">
        <f>IF(DG!$C193=4,FDD!$H84,0)</f>
        <v>0</v>
      </c>
      <c r="G193" s="462">
        <f>IF(DG!$C193=5,FDD!$H84,0)</f>
        <v>0</v>
      </c>
      <c r="H193" s="462">
        <f>IF(DG!$C193=6,FDD!$H84,0)</f>
        <v>0</v>
      </c>
      <c r="I193" s="462">
        <f>IF(DG!$C193=7,FDD!$H84,0)</f>
        <v>0</v>
      </c>
      <c r="J193" s="462">
        <f>IF(DG!$C193=8,FDD!$H84,0)</f>
        <v>0</v>
      </c>
      <c r="K193" s="462">
        <f>IF(DG!$C193=9,FDD!$H84,0)</f>
        <v>0</v>
      </c>
      <c r="L193" s="462">
        <f>IF(DG!$C193=10,FDD!$H84,0)</f>
        <v>0</v>
      </c>
      <c r="M193" s="462">
        <f>IF(DG!$C193=11,FDD!$H84,0)</f>
        <v>0</v>
      </c>
      <c r="N193" s="462">
        <f>IF(DG!$C193=12,FDD!$H84,0)</f>
        <v>0</v>
      </c>
      <c r="O193" s="462">
        <f>IF(DG!$C193=13,FDD!$H84,0)</f>
        <v>0</v>
      </c>
      <c r="P193" s="462">
        <f>IF(DG!$C193=14,FDD!$H84,0)</f>
        <v>0</v>
      </c>
      <c r="Q193" s="462">
        <f>IF(DG!$C193=15,FDD!$H84,0)</f>
        <v>0</v>
      </c>
      <c r="R193" s="462">
        <f>IF(DG!$C193=16,FDD!$H84,0)</f>
        <v>0</v>
      </c>
      <c r="S193" s="462">
        <f>IF(DG!$C193=17,FDD!$H84,0)</f>
        <v>0</v>
      </c>
      <c r="T193" s="462">
        <f>IF(DG!$C193=18,FDD!$H84,0)</f>
        <v>0</v>
      </c>
      <c r="U193" s="462">
        <f>IF(DG!$C193=19,FDD!$H84,0)</f>
        <v>0</v>
      </c>
      <c r="V193" s="462">
        <f>IF(DG!$C193=20,FDD!$H84,0)</f>
        <v>0</v>
      </c>
      <c r="W193" s="462">
        <f>IF(DG!$C193=21,FDD!$H84,0)</f>
        <v>0</v>
      </c>
      <c r="X193" s="462">
        <f>IF(DG!$C193=22,FDD!$H84,0)</f>
        <v>0</v>
      </c>
      <c r="Y193" s="462">
        <f>IF(DG!$C193=23,FDD!$H84,0)</f>
        <v>0</v>
      </c>
      <c r="Z193" s="462">
        <f>IF(DG!$C193=24,FDD!$H84,0)</f>
        <v>0</v>
      </c>
      <c r="AA193" s="462">
        <f>IF(DG!$C193=25,FDD!$H84,0)</f>
        <v>0</v>
      </c>
      <c r="AB193" s="462">
        <f>IF(DG!$C193=26,FDD!$H84,0)</f>
        <v>0</v>
      </c>
      <c r="AC193" s="462">
        <f>IF(DG!$C193=27,FDD!$H84,0)</f>
        <v>0</v>
      </c>
      <c r="AD193" s="462">
        <f>IF(DG!$C193=28,FDD!$H84,0)</f>
        <v>0</v>
      </c>
      <c r="AE193" s="462">
        <f>IF(DG!$C193=29,FDD!$H84,0)</f>
        <v>0</v>
      </c>
      <c r="AF193" s="462">
        <f>IF(DG!$C193=30,FDD!$H84,0)</f>
        <v>0</v>
      </c>
      <c r="AG193" s="462">
        <f>IF(DG!$C193=31,FDD!$H84,0)</f>
        <v>0</v>
      </c>
      <c r="AH193" s="462">
        <f>IF(DG!$C193=32,FDD!$H84,0)</f>
        <v>0</v>
      </c>
      <c r="AI193" s="462">
        <f>IF(DG!$C193=33,FDD!$H84,0)</f>
        <v>0</v>
      </c>
      <c r="AJ193" s="462">
        <f>IF(DG!$C193=34,FDD!$H84,0)</f>
        <v>0</v>
      </c>
      <c r="AK193" s="462">
        <f>IF(DG!$C193=35,FDD!$H84,0)</f>
        <v>0</v>
      </c>
      <c r="AL193" s="462">
        <f>IF(DG!$C193=36,FDD!$H84,0)</f>
        <v>0</v>
      </c>
      <c r="AM193" s="462">
        <f>IF(DG!$C193=37,FDD!$H84,0)</f>
        <v>0</v>
      </c>
      <c r="AN193" s="462">
        <f>IF(DG!$C193=38,FDD!$H84,0)</f>
        <v>0</v>
      </c>
      <c r="AO193" s="462">
        <f>IF(DG!$C193=39,FDD!$H84,0)</f>
        <v>0</v>
      </c>
      <c r="AP193" s="462">
        <f>IF(DG!$C193=40,FDD!$H84,0)</f>
        <v>0</v>
      </c>
      <c r="AQ193" s="462"/>
      <c r="AR193" s="464"/>
      <c r="IU193" s="431"/>
      <c r="IV193" s="431"/>
      <c r="IW193" s="431"/>
      <c r="JR193" s="1056"/>
      <c r="JS193" s="1056"/>
      <c r="JT193" s="1056"/>
    </row>
    <row r="194" spans="1:298" ht="13">
      <c r="A194" s="463" t="s">
        <v>433</v>
      </c>
      <c r="B194" s="461"/>
      <c r="C194" s="461"/>
      <c r="D194" s="462">
        <f>IF(DG!$C194=2,FDD!$H86,0)</f>
        <v>0</v>
      </c>
      <c r="E194" s="462">
        <f>IF(DG!$C194=3,FDD!$H86,0)</f>
        <v>0</v>
      </c>
      <c r="F194" s="462">
        <f>IF(DG!$C194=4,FDD!$H86,0)</f>
        <v>0</v>
      </c>
      <c r="G194" s="462">
        <f>IF(DG!$C194=5,FDD!$H86,0)</f>
        <v>0</v>
      </c>
      <c r="H194" s="462">
        <f>IF(DG!$C194=6,FDD!$H86,0)</f>
        <v>0</v>
      </c>
      <c r="I194" s="462">
        <f>IF(DG!$C194=7,FDD!$H86,0)</f>
        <v>0</v>
      </c>
      <c r="J194" s="462">
        <f>IF(DG!$C194=8,FDD!$H86,0)</f>
        <v>0</v>
      </c>
      <c r="K194" s="462">
        <f>IF(DG!$C194=9,FDD!$H86,0)</f>
        <v>0</v>
      </c>
      <c r="L194" s="462">
        <f>IF(DG!$C194=10,FDD!$H86,0)</f>
        <v>0</v>
      </c>
      <c r="M194" s="462">
        <f>IF(DG!$C194=11,FDD!$H86,0)</f>
        <v>0</v>
      </c>
      <c r="N194" s="462">
        <f>IF(DG!$C194=12,FDD!$H86,0)</f>
        <v>0</v>
      </c>
      <c r="O194" s="462">
        <f>IF(DG!$C194=13,FDD!$H86,0)</f>
        <v>0</v>
      </c>
      <c r="P194" s="462">
        <f>IF(DG!$C194=14,FDD!$H86,0)</f>
        <v>0</v>
      </c>
      <c r="Q194" s="462">
        <f>IF(DG!$C194=15,FDD!$H86,0)</f>
        <v>0</v>
      </c>
      <c r="R194" s="462">
        <f>IF(DG!$C194=16,FDD!$H86,0)</f>
        <v>0</v>
      </c>
      <c r="S194" s="462">
        <f>IF(DG!$C194=17,FDD!$H86,0)</f>
        <v>0</v>
      </c>
      <c r="T194" s="462">
        <f>IF(DG!$C194=18,FDD!$H86,0)</f>
        <v>0</v>
      </c>
      <c r="U194" s="462">
        <f>IF(DG!$C194=19,FDD!$H86,0)</f>
        <v>0</v>
      </c>
      <c r="V194" s="462">
        <f>IF(DG!$C194=20,FDD!$H86,0)</f>
        <v>0</v>
      </c>
      <c r="W194" s="462">
        <f>IF(DG!$C194=21,FDD!$H86,0)</f>
        <v>0</v>
      </c>
      <c r="X194" s="462">
        <f>IF(DG!$C194=22,FDD!$H86,0)</f>
        <v>0</v>
      </c>
      <c r="Y194" s="462">
        <f>IF(DG!$C194=23,FDD!$H86,0)</f>
        <v>0</v>
      </c>
      <c r="Z194" s="462">
        <f>IF(DG!$C194=24,FDD!$H86,0)</f>
        <v>0</v>
      </c>
      <c r="AA194" s="462">
        <f>IF(DG!$C194=25,FDD!$H86,0)</f>
        <v>0</v>
      </c>
      <c r="AB194" s="462">
        <f>IF(DG!$C194=26,FDD!$H86,0)</f>
        <v>0</v>
      </c>
      <c r="AC194" s="462">
        <f>IF(DG!$C194=27,FDD!$H86,0)</f>
        <v>0</v>
      </c>
      <c r="AD194" s="462">
        <f>IF(DG!$C194=28,FDD!$H86,0)</f>
        <v>0</v>
      </c>
      <c r="AE194" s="462">
        <f>IF(DG!$C194=29,FDD!$H86,0)</f>
        <v>0</v>
      </c>
      <c r="AF194" s="462">
        <f>IF(DG!$C194=30,FDD!$H86,0)</f>
        <v>0</v>
      </c>
      <c r="AG194" s="462">
        <f>IF(DG!$C194=31,FDD!$H86,0)</f>
        <v>0</v>
      </c>
      <c r="AH194" s="462">
        <f>IF(DG!$C194=32,FDD!$H86,0)</f>
        <v>0</v>
      </c>
      <c r="AI194" s="462">
        <f>IF(DG!$C194=33,FDD!$H86,0)</f>
        <v>0</v>
      </c>
      <c r="AJ194" s="462">
        <f>IF(DG!$C194=34,FDD!$H86,0)</f>
        <v>0</v>
      </c>
      <c r="AK194" s="462">
        <f>IF(DG!$C194=35,FDD!$H86,0)</f>
        <v>0</v>
      </c>
      <c r="AL194" s="462">
        <f>IF(DG!$C194=36,FDD!$H86,0)</f>
        <v>0</v>
      </c>
      <c r="AM194" s="462">
        <f>IF(DG!$C194=37,FDD!$H86,0)</f>
        <v>0</v>
      </c>
      <c r="AN194" s="462">
        <f>IF(DG!$C194=38,FDD!$H86,0)</f>
        <v>0</v>
      </c>
      <c r="AO194" s="462">
        <f>IF(DG!$C194=39,FDD!$H86,0)</f>
        <v>0</v>
      </c>
      <c r="AP194" s="462">
        <f>IF(DG!$C194=40,FDD!$H86,0)</f>
        <v>0</v>
      </c>
      <c r="AQ194" s="462"/>
      <c r="AR194" s="464"/>
      <c r="IU194" s="431"/>
      <c r="IV194" s="431"/>
      <c r="IW194" s="431"/>
      <c r="JR194" s="1056"/>
      <c r="JS194" s="1056"/>
      <c r="JT194" s="1056"/>
    </row>
    <row r="195" spans="1:298" ht="13">
      <c r="A195" s="463" t="s">
        <v>432</v>
      </c>
      <c r="B195" s="461"/>
      <c r="C195" s="461"/>
      <c r="D195" s="462">
        <f>IF(DG!$C195=2,FDD!$H88,0)</f>
        <v>0</v>
      </c>
      <c r="E195" s="462">
        <f>IF(DG!$C195=3,FDD!$H88,0)</f>
        <v>0</v>
      </c>
      <c r="F195" s="462">
        <f>IF(DG!$C195=4,FDD!$H88,0)</f>
        <v>0</v>
      </c>
      <c r="G195" s="462">
        <f>IF(DG!$C195=5,FDD!$H88,0)</f>
        <v>0</v>
      </c>
      <c r="H195" s="462">
        <f>IF(DG!$C195=6,FDD!$H88,0)</f>
        <v>0</v>
      </c>
      <c r="I195" s="462">
        <f>IF(DG!$C195=7,FDD!$H88,0)</f>
        <v>0</v>
      </c>
      <c r="J195" s="462">
        <f>IF(DG!$C195=8,FDD!$H88,0)</f>
        <v>0</v>
      </c>
      <c r="K195" s="462">
        <f>IF(DG!$C195=9,FDD!$H88,0)</f>
        <v>0</v>
      </c>
      <c r="L195" s="462">
        <f>IF(DG!$C195=10,FDD!$H88,0)</f>
        <v>0</v>
      </c>
      <c r="M195" s="462">
        <f>IF(DG!$C195=11,FDD!$H88,0)</f>
        <v>0</v>
      </c>
      <c r="N195" s="462">
        <f>IF(DG!$C195=12,FDD!$H88,0)</f>
        <v>0</v>
      </c>
      <c r="O195" s="462">
        <f>IF(DG!$C195=13,FDD!$H88,0)</f>
        <v>0</v>
      </c>
      <c r="P195" s="462">
        <f>IF(DG!$C195=14,FDD!$H88,0)</f>
        <v>0</v>
      </c>
      <c r="Q195" s="462">
        <f>IF(DG!$C195=15,FDD!$H88,0)</f>
        <v>0</v>
      </c>
      <c r="R195" s="462">
        <f>IF(DG!$C195=16,FDD!$H88,0)</f>
        <v>0</v>
      </c>
      <c r="S195" s="462">
        <f>IF(DG!$C195=17,FDD!$H88,0)</f>
        <v>0</v>
      </c>
      <c r="T195" s="462">
        <f>IF(DG!$C195=18,FDD!$H88,0)</f>
        <v>0</v>
      </c>
      <c r="U195" s="462">
        <f>IF(DG!$C195=19,FDD!$H88,0)</f>
        <v>0</v>
      </c>
      <c r="V195" s="462">
        <f>IF(DG!$C195=20,FDD!$H88,0)</f>
        <v>0</v>
      </c>
      <c r="W195" s="462">
        <f>IF(DG!$C195=21,FDD!$H88,0)</f>
        <v>0</v>
      </c>
      <c r="X195" s="462">
        <f>IF(DG!$C195=22,FDD!$H88,0)</f>
        <v>0</v>
      </c>
      <c r="Y195" s="462">
        <f>IF(DG!$C195=23,FDD!$H88,0)</f>
        <v>0</v>
      </c>
      <c r="Z195" s="462">
        <f>IF(DG!$C195=24,FDD!$H88,0)</f>
        <v>0</v>
      </c>
      <c r="AA195" s="462">
        <f>IF(DG!$C195=25,FDD!$H88,0)</f>
        <v>0</v>
      </c>
      <c r="AB195" s="462">
        <f>IF(DG!$C195=26,FDD!$H88,0)</f>
        <v>0</v>
      </c>
      <c r="AC195" s="462">
        <f>IF(DG!$C195=27,FDD!$H88,0)</f>
        <v>0</v>
      </c>
      <c r="AD195" s="462">
        <f>IF(DG!$C195=28,FDD!$H88,0)</f>
        <v>0</v>
      </c>
      <c r="AE195" s="462">
        <f>IF(DG!$C195=29,FDD!$H88,0)</f>
        <v>0</v>
      </c>
      <c r="AF195" s="462">
        <f>IF(DG!$C195=30,FDD!$H88,0)</f>
        <v>0</v>
      </c>
      <c r="AG195" s="462">
        <f>IF(DG!$C195=31,FDD!$H88,0)</f>
        <v>0</v>
      </c>
      <c r="AH195" s="462">
        <f>IF(DG!$C195=32,FDD!$H88,0)</f>
        <v>0</v>
      </c>
      <c r="AI195" s="462">
        <f>IF(DG!$C195=33,FDD!$H88,0)</f>
        <v>0</v>
      </c>
      <c r="AJ195" s="462">
        <f>IF(DG!$C195=34,FDD!$H88,0)</f>
        <v>0</v>
      </c>
      <c r="AK195" s="462">
        <f>IF(DG!$C195=35,FDD!$H88,0)</f>
        <v>0</v>
      </c>
      <c r="AL195" s="462">
        <f>IF(DG!$C195=36,FDD!$H88,0)</f>
        <v>0</v>
      </c>
      <c r="AM195" s="462">
        <f>IF(DG!$C195=37,FDD!$H88,0)</f>
        <v>0</v>
      </c>
      <c r="AN195" s="462">
        <f>IF(DG!$C195=38,FDD!$H88,0)</f>
        <v>0</v>
      </c>
      <c r="AO195" s="462">
        <f>IF(DG!$C195=39,FDD!$H88,0)</f>
        <v>0</v>
      </c>
      <c r="AP195" s="462">
        <f>IF(DG!$C195=40,FDD!$H88,0)</f>
        <v>0</v>
      </c>
      <c r="AQ195" s="462"/>
      <c r="AR195" s="464"/>
      <c r="IU195" s="431"/>
      <c r="IV195" s="431"/>
      <c r="IW195" s="431"/>
      <c r="JR195" s="1056"/>
      <c r="JS195" s="1056"/>
      <c r="JT195" s="1056"/>
    </row>
    <row r="196" spans="1:298" ht="13">
      <c r="A196" s="463" t="s">
        <v>434</v>
      </c>
      <c r="B196" s="461"/>
      <c r="C196" s="461"/>
      <c r="D196" s="462">
        <f>IF(DG!$C196=2,FDD!$H90,0)</f>
        <v>0</v>
      </c>
      <c r="E196" s="462">
        <f>IF(DG!$C196=3,FDD!$H90,0)</f>
        <v>0</v>
      </c>
      <c r="F196" s="462">
        <f>IF(DG!$C196=4,FDD!$H90,0)</f>
        <v>0</v>
      </c>
      <c r="G196" s="462">
        <f>IF(DG!$C196=5,FDD!$H90,0)</f>
        <v>0</v>
      </c>
      <c r="H196" s="462">
        <f>IF(DG!$C196=6,FDD!$H90,0)</f>
        <v>0</v>
      </c>
      <c r="I196" s="462">
        <f>IF(DG!$C196=7,FDD!$H90,0)</f>
        <v>0</v>
      </c>
      <c r="J196" s="462">
        <f>IF(DG!$C196=8,FDD!$H90,0)</f>
        <v>0</v>
      </c>
      <c r="K196" s="462">
        <f>IF(DG!$C196=9,FDD!$H90,0)</f>
        <v>0</v>
      </c>
      <c r="L196" s="462">
        <f>IF(DG!$C196=10,FDD!$H90,0)</f>
        <v>0</v>
      </c>
      <c r="M196" s="462">
        <f>IF(DG!$C196=11,FDD!$H90,0)</f>
        <v>0</v>
      </c>
      <c r="N196" s="462">
        <f>IF(DG!$C196=12,FDD!$H90,0)</f>
        <v>0</v>
      </c>
      <c r="O196" s="462">
        <f>IF(DG!$C196=13,FDD!$H90,0)</f>
        <v>0</v>
      </c>
      <c r="P196" s="462">
        <f>IF(DG!$C196=14,FDD!$H90,0)</f>
        <v>0</v>
      </c>
      <c r="Q196" s="462">
        <f>IF(DG!$C196=15,FDD!$H90,0)</f>
        <v>0</v>
      </c>
      <c r="R196" s="462">
        <f>IF(DG!$C196=16,FDD!$H90,0)</f>
        <v>0</v>
      </c>
      <c r="S196" s="462">
        <f>IF(DG!$C196=17,FDD!$H90,0)</f>
        <v>0</v>
      </c>
      <c r="T196" s="462">
        <f>IF(DG!$C196=18,FDD!$H90,0)</f>
        <v>0</v>
      </c>
      <c r="U196" s="462">
        <f>IF(DG!$C196=19,FDD!$H90,0)</f>
        <v>0</v>
      </c>
      <c r="V196" s="462">
        <f>IF(DG!$C196=20,FDD!$H90,0)</f>
        <v>0</v>
      </c>
      <c r="W196" s="462">
        <f>IF(DG!$C196=21,FDD!$H90,0)</f>
        <v>0</v>
      </c>
      <c r="X196" s="462">
        <f>IF(DG!$C196=22,FDD!$H90,0)</f>
        <v>0</v>
      </c>
      <c r="Y196" s="462">
        <f>IF(DG!$C196=23,FDD!$H90,0)</f>
        <v>0</v>
      </c>
      <c r="Z196" s="462">
        <f>IF(DG!$C196=24,FDD!$H90,0)</f>
        <v>0</v>
      </c>
      <c r="AA196" s="462">
        <f>IF(DG!$C196=25,FDD!$H90,0)</f>
        <v>0</v>
      </c>
      <c r="AB196" s="462">
        <f>IF(DG!$C196=26,FDD!$H90,0)</f>
        <v>0</v>
      </c>
      <c r="AC196" s="462">
        <f>IF(DG!$C196=27,FDD!$H90,0)</f>
        <v>0</v>
      </c>
      <c r="AD196" s="462">
        <f>IF(DG!$C196=28,FDD!$H90,0)</f>
        <v>0</v>
      </c>
      <c r="AE196" s="462">
        <f>IF(DG!$C196=29,FDD!$H90,0)</f>
        <v>0</v>
      </c>
      <c r="AF196" s="462">
        <f>IF(DG!$C196=30,FDD!$H90,0)</f>
        <v>0</v>
      </c>
      <c r="AG196" s="462">
        <f>IF(DG!$C196=31,FDD!$H90,0)</f>
        <v>0</v>
      </c>
      <c r="AH196" s="462">
        <f>IF(DG!$C196=32,FDD!$H90,0)</f>
        <v>0</v>
      </c>
      <c r="AI196" s="462">
        <f>IF(DG!$C196=33,FDD!$H90,0)</f>
        <v>0</v>
      </c>
      <c r="AJ196" s="462">
        <f>IF(DG!$C196=34,FDD!$H90,0)</f>
        <v>0</v>
      </c>
      <c r="AK196" s="462">
        <f>IF(DG!$C196=35,FDD!$H90,0)</f>
        <v>0</v>
      </c>
      <c r="AL196" s="462">
        <f>IF(DG!$C196=36,FDD!$H90,0)</f>
        <v>0</v>
      </c>
      <c r="AM196" s="462">
        <f>IF(DG!$C196=37,FDD!$H90,0)</f>
        <v>0</v>
      </c>
      <c r="AN196" s="462">
        <f>IF(DG!$C196=38,FDD!$H90,0)</f>
        <v>0</v>
      </c>
      <c r="AO196" s="462">
        <f>IF(DG!$C196=39,FDD!$H90,0)</f>
        <v>0</v>
      </c>
      <c r="AP196" s="462">
        <f>IF(DG!$C196=40,FDD!$H90,0)</f>
        <v>0</v>
      </c>
      <c r="AQ196" s="462"/>
      <c r="AR196" s="464"/>
      <c r="IU196" s="431"/>
      <c r="IV196" s="431"/>
      <c r="IW196" s="431"/>
      <c r="JR196" s="1056"/>
      <c r="JS196" s="1056"/>
      <c r="JT196" s="1056"/>
    </row>
    <row r="197" spans="1:298">
      <c r="D197" s="464">
        <f>SUM(D158:D195)</f>
        <v>0</v>
      </c>
      <c r="E197" s="464">
        <f t="shared" ref="E197:S197" si="3">SUM(E158:E195)</f>
        <v>0</v>
      </c>
      <c r="F197" s="464">
        <f t="shared" si="3"/>
        <v>0</v>
      </c>
      <c r="G197" s="464">
        <f t="shared" si="3"/>
        <v>0</v>
      </c>
      <c r="H197" s="464">
        <f t="shared" si="3"/>
        <v>0</v>
      </c>
      <c r="I197" s="464">
        <f t="shared" si="3"/>
        <v>1</v>
      </c>
      <c r="J197" s="464">
        <f t="shared" si="3"/>
        <v>1</v>
      </c>
      <c r="K197" s="464">
        <f t="shared" si="3"/>
        <v>0</v>
      </c>
      <c r="L197" s="464">
        <f t="shared" si="3"/>
        <v>0</v>
      </c>
      <c r="M197" s="464">
        <f t="shared" si="3"/>
        <v>0</v>
      </c>
      <c r="N197" s="464">
        <f t="shared" si="3"/>
        <v>0</v>
      </c>
      <c r="O197" s="464">
        <f t="shared" si="3"/>
        <v>0</v>
      </c>
      <c r="P197" s="464">
        <f t="shared" si="3"/>
        <v>0</v>
      </c>
      <c r="Q197" s="464">
        <f t="shared" si="3"/>
        <v>0</v>
      </c>
      <c r="R197" s="464">
        <f t="shared" si="3"/>
        <v>0</v>
      </c>
      <c r="S197" s="464">
        <f t="shared" si="3"/>
        <v>0</v>
      </c>
      <c r="T197" s="464">
        <f>SUM(T158:T195)</f>
        <v>0</v>
      </c>
      <c r="U197" s="464">
        <f t="shared" ref="U197:AP197" si="4">SUM(U158:U195)</f>
        <v>1</v>
      </c>
      <c r="V197" s="464">
        <f t="shared" si="4"/>
        <v>0</v>
      </c>
      <c r="W197" s="464">
        <f t="shared" si="4"/>
        <v>0</v>
      </c>
      <c r="X197" s="464">
        <f t="shared" si="4"/>
        <v>0</v>
      </c>
      <c r="Y197" s="464">
        <f t="shared" si="4"/>
        <v>0</v>
      </c>
      <c r="Z197" s="464">
        <f t="shared" si="4"/>
        <v>0</v>
      </c>
      <c r="AA197" s="464">
        <f t="shared" si="4"/>
        <v>0</v>
      </c>
      <c r="AB197" s="464">
        <f t="shared" si="4"/>
        <v>1</v>
      </c>
      <c r="AC197" s="464">
        <f t="shared" si="4"/>
        <v>0</v>
      </c>
      <c r="AD197" s="464">
        <f t="shared" si="4"/>
        <v>0</v>
      </c>
      <c r="AE197" s="464">
        <f t="shared" si="4"/>
        <v>1</v>
      </c>
      <c r="AF197" s="464">
        <f t="shared" si="4"/>
        <v>0</v>
      </c>
      <c r="AG197" s="464">
        <f t="shared" si="4"/>
        <v>0</v>
      </c>
      <c r="AH197" s="464">
        <f t="shared" si="4"/>
        <v>0</v>
      </c>
      <c r="AI197" s="464">
        <f t="shared" si="4"/>
        <v>0</v>
      </c>
      <c r="AJ197" s="464">
        <f t="shared" si="4"/>
        <v>0</v>
      </c>
      <c r="AK197" s="464">
        <f t="shared" si="4"/>
        <v>1</v>
      </c>
      <c r="AL197" s="464">
        <f t="shared" si="4"/>
        <v>0</v>
      </c>
      <c r="AM197" s="464">
        <f t="shared" si="4"/>
        <v>0</v>
      </c>
      <c r="AN197" s="464">
        <f t="shared" si="4"/>
        <v>0</v>
      </c>
      <c r="AO197" s="464">
        <f t="shared" si="4"/>
        <v>0</v>
      </c>
      <c r="AP197" s="464">
        <f t="shared" si="4"/>
        <v>0</v>
      </c>
      <c r="AQ197" s="464"/>
      <c r="AR197" s="464"/>
      <c r="IU197" s="431"/>
      <c r="IV197" s="431"/>
      <c r="IW197" s="431"/>
      <c r="JR197" s="1056"/>
      <c r="JS197" s="1056"/>
      <c r="JT197" s="1056"/>
    </row>
    <row r="198" spans="1:298">
      <c r="AR198" s="464">
        <f>SUM(AR158:AR196)</f>
        <v>6</v>
      </c>
      <c r="IU198" s="431"/>
      <c r="IV198" s="431"/>
      <c r="IW198" s="431"/>
      <c r="JR198" s="1056"/>
      <c r="JS198" s="1056"/>
      <c r="JT198" s="1056"/>
    </row>
    <row r="199" spans="1:298">
      <c r="A199" s="465" t="s">
        <v>261</v>
      </c>
      <c r="AR199" s="464">
        <f>SUM(AL197:AP197)</f>
        <v>0</v>
      </c>
      <c r="IU199" s="431"/>
      <c r="IV199" s="431"/>
      <c r="IW199" s="431"/>
      <c r="KJ199" s="1056"/>
      <c r="KK199" s="1056"/>
      <c r="KL199" s="1056"/>
    </row>
    <row r="200" spans="1:298">
      <c r="A200" s="448" t="s">
        <v>552</v>
      </c>
      <c r="B200" s="448" t="s">
        <v>260</v>
      </c>
    </row>
    <row r="201" spans="1:298" ht="15.5">
      <c r="A201" s="431">
        <v>9</v>
      </c>
      <c r="B201" s="466">
        <v>1</v>
      </c>
      <c r="C201" s="792" t="s">
        <v>281</v>
      </c>
      <c r="D201" s="450"/>
      <c r="E201" s="451" t="s">
        <v>435</v>
      </c>
    </row>
    <row r="202" spans="1:298" ht="15.5">
      <c r="A202" s="431">
        <v>8</v>
      </c>
      <c r="B202" s="466">
        <v>1</v>
      </c>
      <c r="C202" s="467" t="str">
        <f>IF(RG!A78=5,"Terre","Terrain")</f>
        <v>Terrain</v>
      </c>
      <c r="E202" s="454" t="s">
        <v>262</v>
      </c>
    </row>
    <row r="203" spans="1:298" ht="15.5">
      <c r="A203" s="431">
        <v>11</v>
      </c>
      <c r="B203" s="466">
        <v>1</v>
      </c>
      <c r="C203" s="467" t="s">
        <v>440</v>
      </c>
      <c r="E203" s="454" t="s">
        <v>263</v>
      </c>
    </row>
    <row r="204" spans="1:298" ht="15.5">
      <c r="A204" s="431">
        <v>12</v>
      </c>
      <c r="B204" s="466">
        <v>1</v>
      </c>
      <c r="C204" s="467" t="s">
        <v>296</v>
      </c>
      <c r="E204" s="454" t="s">
        <v>264</v>
      </c>
    </row>
    <row r="205" spans="1:298" ht="15.5">
      <c r="A205" s="431">
        <v>7</v>
      </c>
      <c r="B205" s="466">
        <v>1</v>
      </c>
      <c r="C205" s="467" t="str">
        <f>IF(RG!A78=5,"Animaux","Améliorations locatives")</f>
        <v>Améliorations locatives</v>
      </c>
      <c r="E205" s="454" t="s">
        <v>265</v>
      </c>
    </row>
    <row r="206" spans="1:298" ht="15.5">
      <c r="A206" s="431">
        <v>1</v>
      </c>
      <c r="B206" s="466">
        <v>1</v>
      </c>
      <c r="C206" s="467" t="s">
        <v>278</v>
      </c>
      <c r="E206" s="454" t="s">
        <v>266</v>
      </c>
    </row>
    <row r="207" spans="1:298" ht="15.5">
      <c r="A207" s="431">
        <v>1</v>
      </c>
      <c r="B207" s="466">
        <v>1</v>
      </c>
      <c r="C207" s="793" t="str">
        <f>IF(RG!A78=5,"Machinerie et équipement","Équipement")</f>
        <v>Équipement</v>
      </c>
      <c r="E207" s="454" t="s">
        <v>267</v>
      </c>
    </row>
    <row r="208" spans="1:298" ht="15.5">
      <c r="A208" s="431">
        <v>1</v>
      </c>
      <c r="B208" s="466">
        <v>1</v>
      </c>
      <c r="C208" s="467" t="s">
        <v>442</v>
      </c>
      <c r="E208" s="454" t="s">
        <v>268</v>
      </c>
    </row>
    <row r="209" spans="1:257" ht="15.5">
      <c r="A209" s="431">
        <v>1</v>
      </c>
      <c r="B209" s="466">
        <v>1</v>
      </c>
      <c r="C209" s="467" t="s">
        <v>138</v>
      </c>
      <c r="E209" s="454" t="s">
        <v>269</v>
      </c>
    </row>
    <row r="210" spans="1:257" ht="15.5">
      <c r="A210" s="431">
        <v>1</v>
      </c>
      <c r="B210" s="466">
        <v>1</v>
      </c>
      <c r="C210" s="793" t="s">
        <v>610</v>
      </c>
      <c r="E210" s="454" t="s">
        <v>436</v>
      </c>
    </row>
    <row r="211" spans="1:257" ht="15.5">
      <c r="A211" s="431">
        <v>1</v>
      </c>
      <c r="B211" s="466">
        <v>1</v>
      </c>
      <c r="C211" s="789" t="s">
        <v>608</v>
      </c>
      <c r="E211" s="454" t="s">
        <v>37</v>
      </c>
    </row>
    <row r="212" spans="1:257">
      <c r="C212" s="453" t="str">
        <f>IF(RG!A78=5,"Quotas","Autres actifs intangibles")</f>
        <v>Autres actifs intangibles</v>
      </c>
      <c r="E212" s="454" t="s">
        <v>38</v>
      </c>
    </row>
    <row r="213" spans="1:257" ht="13">
      <c r="C213" s="455"/>
      <c r="D213" s="447"/>
      <c r="E213" s="468"/>
    </row>
    <row r="214" spans="1:257" ht="12.75" customHeight="1">
      <c r="C214" s="1163" t="str">
        <f>IF(RG!A78=5,"","(Achalandage, brevets, droits de franchise, etc...)")</f>
        <v>(Achalandage, brevets, droits de franchise, etc...)</v>
      </c>
    </row>
    <row r="215" spans="1:257">
      <c r="C215" s="1164"/>
    </row>
    <row r="216" spans="1:257" s="469" customFormat="1">
      <c r="C216" s="1164"/>
      <c r="D216" s="1077" t="s">
        <v>182</v>
      </c>
      <c r="E216" s="1077">
        <v>3</v>
      </c>
      <c r="F216" s="1077">
        <v>6</v>
      </c>
      <c r="G216" s="1077">
        <v>9</v>
      </c>
      <c r="H216" s="1077">
        <v>12</v>
      </c>
      <c r="I216" s="1077">
        <v>15</v>
      </c>
      <c r="J216" s="1077">
        <v>18</v>
      </c>
      <c r="K216" s="1077">
        <v>21</v>
      </c>
      <c r="L216" s="1077">
        <v>24</v>
      </c>
      <c r="M216" s="1077" t="s">
        <v>256</v>
      </c>
      <c r="N216" s="1077" t="s">
        <v>39</v>
      </c>
      <c r="O216" s="1077" t="s">
        <v>40</v>
      </c>
      <c r="P216" s="1077" t="s">
        <v>182</v>
      </c>
      <c r="Q216" s="1077">
        <v>3</v>
      </c>
      <c r="R216" s="1077">
        <v>6</v>
      </c>
      <c r="S216" s="1077">
        <v>9</v>
      </c>
      <c r="T216" s="1077">
        <v>12</v>
      </c>
      <c r="U216" s="1077">
        <v>15</v>
      </c>
      <c r="V216" s="1077">
        <v>18</v>
      </c>
      <c r="W216" s="1077">
        <v>21</v>
      </c>
      <c r="X216" s="1077">
        <v>24</v>
      </c>
      <c r="Y216" s="1077" t="s">
        <v>256</v>
      </c>
      <c r="Z216" s="1077" t="s">
        <v>39</v>
      </c>
      <c r="AA216" s="1077" t="s">
        <v>40</v>
      </c>
      <c r="AB216" s="1077" t="s">
        <v>182</v>
      </c>
      <c r="AC216" s="1077">
        <v>3</v>
      </c>
      <c r="AD216" s="1077">
        <v>6</v>
      </c>
      <c r="AE216" s="1077">
        <v>9</v>
      </c>
      <c r="AF216" s="1077">
        <v>12</v>
      </c>
      <c r="AG216" s="1077">
        <v>15</v>
      </c>
      <c r="AH216" s="1077">
        <v>18</v>
      </c>
      <c r="AI216" s="1077">
        <v>21</v>
      </c>
      <c r="AJ216" s="1077">
        <v>24</v>
      </c>
      <c r="AK216" s="1077" t="s">
        <v>256</v>
      </c>
      <c r="AL216" s="1077" t="s">
        <v>39</v>
      </c>
      <c r="AM216" s="1077" t="s">
        <v>40</v>
      </c>
      <c r="AN216" s="1077" t="s">
        <v>182</v>
      </c>
      <c r="AO216" s="1077">
        <v>3</v>
      </c>
      <c r="AP216" s="1077">
        <v>6</v>
      </c>
      <c r="AQ216" s="1077">
        <v>9</v>
      </c>
      <c r="AR216" s="1077">
        <v>12</v>
      </c>
      <c r="AS216" s="1077">
        <v>15</v>
      </c>
      <c r="AT216" s="1077">
        <v>18</v>
      </c>
      <c r="AU216" s="1077">
        <v>21</v>
      </c>
      <c r="AV216" s="1077">
        <v>24</v>
      </c>
      <c r="AW216" s="1077" t="s">
        <v>256</v>
      </c>
      <c r="AX216" s="1077" t="s">
        <v>39</v>
      </c>
      <c r="AY216" s="1077" t="s">
        <v>40</v>
      </c>
      <c r="AZ216" s="1077" t="s">
        <v>182</v>
      </c>
      <c r="BA216" s="1077">
        <v>3</v>
      </c>
      <c r="BB216" s="1077">
        <v>6</v>
      </c>
      <c r="BC216" s="1077">
        <v>9</v>
      </c>
      <c r="BD216" s="1077">
        <v>12</v>
      </c>
      <c r="BE216" s="1077">
        <v>15</v>
      </c>
      <c r="BF216" s="1077">
        <v>18</v>
      </c>
      <c r="BG216" s="1077">
        <v>21</v>
      </c>
      <c r="BH216" s="1077">
        <v>24</v>
      </c>
      <c r="BI216" s="1077" t="s">
        <v>256</v>
      </c>
      <c r="BJ216" s="1077" t="s">
        <v>39</v>
      </c>
      <c r="BK216" s="1077" t="s">
        <v>40</v>
      </c>
      <c r="BL216" s="1077" t="s">
        <v>182</v>
      </c>
      <c r="BM216" s="1077">
        <v>3</v>
      </c>
      <c r="BN216" s="1077">
        <v>6</v>
      </c>
      <c r="BO216" s="1077">
        <v>9</v>
      </c>
      <c r="BP216" s="1077">
        <v>12</v>
      </c>
      <c r="BQ216" s="1077">
        <v>15</v>
      </c>
      <c r="BR216" s="1077">
        <v>18</v>
      </c>
      <c r="BS216" s="1077">
        <v>21</v>
      </c>
      <c r="BT216" s="1077">
        <v>24</v>
      </c>
      <c r="BU216" s="1077" t="s">
        <v>256</v>
      </c>
      <c r="BV216" s="1077" t="s">
        <v>39</v>
      </c>
      <c r="BW216" s="1077" t="s">
        <v>40</v>
      </c>
      <c r="BX216" s="1077" t="s">
        <v>182</v>
      </c>
      <c r="BY216" s="1077">
        <v>3</v>
      </c>
      <c r="BZ216" s="1077">
        <v>6</v>
      </c>
      <c r="CA216" s="1077">
        <v>9</v>
      </c>
      <c r="CB216" s="1077">
        <v>12</v>
      </c>
      <c r="CC216" s="1077">
        <v>15</v>
      </c>
      <c r="CD216" s="1077">
        <v>18</v>
      </c>
      <c r="CE216" s="1077">
        <v>21</v>
      </c>
      <c r="CF216" s="1077">
        <v>24</v>
      </c>
      <c r="CG216" s="1077" t="s">
        <v>256</v>
      </c>
      <c r="CH216" s="1077" t="s">
        <v>39</v>
      </c>
      <c r="CI216" s="1077" t="s">
        <v>40</v>
      </c>
      <c r="CJ216" s="1077" t="s">
        <v>182</v>
      </c>
      <c r="CK216" s="1077">
        <v>3</v>
      </c>
      <c r="CL216" s="1077">
        <v>6</v>
      </c>
      <c r="CM216" s="1077">
        <v>9</v>
      </c>
      <c r="CN216" s="1077">
        <v>12</v>
      </c>
      <c r="CO216" s="1077">
        <v>15</v>
      </c>
      <c r="CP216" s="1077">
        <v>18</v>
      </c>
      <c r="CQ216" s="1077">
        <v>21</v>
      </c>
      <c r="CR216" s="1077">
        <v>24</v>
      </c>
      <c r="CS216" s="1077" t="s">
        <v>256</v>
      </c>
      <c r="CT216" s="1077" t="s">
        <v>39</v>
      </c>
      <c r="CU216" s="1077" t="s">
        <v>40</v>
      </c>
      <c r="CV216" s="1077" t="s">
        <v>182</v>
      </c>
      <c r="CW216" s="1077">
        <v>3</v>
      </c>
      <c r="CX216" s="1077">
        <v>6</v>
      </c>
      <c r="CY216" s="1077">
        <v>9</v>
      </c>
      <c r="CZ216" s="1077">
        <v>12</v>
      </c>
      <c r="DA216" s="1077">
        <v>15</v>
      </c>
      <c r="DB216" s="1077">
        <v>18</v>
      </c>
      <c r="DC216" s="1077">
        <v>21</v>
      </c>
      <c r="DD216" s="1077">
        <v>24</v>
      </c>
      <c r="DE216" s="1077" t="s">
        <v>256</v>
      </c>
      <c r="DF216" s="1077" t="s">
        <v>39</v>
      </c>
      <c r="DG216" s="1077" t="s">
        <v>40</v>
      </c>
      <c r="DH216" s="1077" t="s">
        <v>182</v>
      </c>
      <c r="DI216" s="1077">
        <v>3</v>
      </c>
      <c r="DJ216" s="1077">
        <v>6</v>
      </c>
      <c r="DK216" s="1077">
        <v>9</v>
      </c>
      <c r="DL216" s="1077">
        <v>12</v>
      </c>
      <c r="DM216" s="1077">
        <v>15</v>
      </c>
      <c r="DN216" s="1077">
        <v>18</v>
      </c>
      <c r="DO216" s="1077">
        <v>21</v>
      </c>
      <c r="DP216" s="1077">
        <v>24</v>
      </c>
      <c r="DQ216" s="1077" t="s">
        <v>256</v>
      </c>
      <c r="DR216" s="1077" t="s">
        <v>39</v>
      </c>
      <c r="DS216" s="1077" t="s">
        <v>40</v>
      </c>
      <c r="DT216" s="1077" t="s">
        <v>182</v>
      </c>
      <c r="DU216" s="1077">
        <v>3</v>
      </c>
      <c r="DV216" s="1077">
        <v>6</v>
      </c>
      <c r="DW216" s="1077">
        <v>9</v>
      </c>
      <c r="DX216" s="1077">
        <v>12</v>
      </c>
      <c r="DY216" s="1077">
        <v>15</v>
      </c>
      <c r="DZ216" s="1077">
        <v>18</v>
      </c>
      <c r="EA216" s="1077">
        <v>21</v>
      </c>
      <c r="EB216" s="1077">
        <v>24</v>
      </c>
      <c r="EC216" s="1077" t="s">
        <v>256</v>
      </c>
      <c r="ED216" s="1077" t="s">
        <v>39</v>
      </c>
      <c r="EE216" s="1077" t="s">
        <v>40</v>
      </c>
      <c r="IU216" s="1057"/>
      <c r="IV216" s="1057"/>
      <c r="IW216" s="1057"/>
    </row>
    <row r="217" spans="1:257">
      <c r="D217" s="470">
        <f>IF(AND(DG!$A201=2,DG!$B201=1),IMMO!$G11+IMMO!$I11,0)</f>
        <v>0</v>
      </c>
      <c r="E217" s="470">
        <f>IF(AND(DG!$A201=2,DG!$B201=2),IMMO!$G11+IMMO!$I11,0)</f>
        <v>0</v>
      </c>
      <c r="F217" s="470">
        <f>IF(AND(DG!$A201=2,DG!$B201=3),IMMO!$G11+IMMO!$I11,0)</f>
        <v>0</v>
      </c>
      <c r="G217" s="470">
        <f>IF(AND(DG!$A201=2,DG!$B201=4),IMMO!$G11+IMMO!$I11,0)</f>
        <v>0</v>
      </c>
      <c r="H217" s="470">
        <f>IF(AND(DG!$A201=2,DG!$B201=5),IMMO!$G11+IMMO!$I11,0)</f>
        <v>0</v>
      </c>
      <c r="I217" s="470">
        <f>IF(AND(DG!$A201=2,DG!$B201=6),IMMO!$G11+IMMO!$I11,0)</f>
        <v>0</v>
      </c>
      <c r="J217" s="470">
        <f>IF(AND(DG!$A201=2,DG!$B201=7),IMMO!$G11+IMMO!$I11,0)</f>
        <v>0</v>
      </c>
      <c r="K217" s="470">
        <f>IF(AND(DG!$A201=2,DG!$B201=8),IMMO!$G11+IMMO!$I11,0)</f>
        <v>0</v>
      </c>
      <c r="L217" s="470">
        <f>IF(AND(DG!$A201=2,DG!$B201=9),IMMO!$G11+IMMO!$I11,0)</f>
        <v>0</v>
      </c>
      <c r="M217" s="470">
        <f>IF(AND(DG!$A201=2,DG!$B201=10),IMMO!$G11+IMMO!$I11,0)</f>
        <v>0</v>
      </c>
      <c r="N217" s="470">
        <f>IF(AND(DG!$A201=2,DG!$B201=11),IMMO!$G11+IMMO!$I11,0)</f>
        <v>0</v>
      </c>
      <c r="O217" s="470">
        <f>IF(AND(DG!$A201=2,DG!$B201=12),IMMO!$G11+IMMO!$I11,0)</f>
        <v>0</v>
      </c>
      <c r="P217" s="470">
        <f>IF(AND(DG!$A201=3,DG!$B201=1),IMMO!$G11+IMMO!$I11,0)</f>
        <v>0</v>
      </c>
      <c r="Q217" s="470">
        <f>IF(AND(DG!$A201=3,DG!$B201=2),IMMO!$G11+IMMO!$I11,0)</f>
        <v>0</v>
      </c>
      <c r="R217" s="470">
        <f>IF(AND(DG!$A201=3,DG!$B201=3),IMMO!$G11+IMMO!$I11,0)</f>
        <v>0</v>
      </c>
      <c r="S217" s="470">
        <f>IF(AND(DG!$A201=3,DG!$B201=4),IMMO!$G11+IMMO!$I11,0)</f>
        <v>0</v>
      </c>
      <c r="T217" s="470">
        <f>IF(AND(DG!$A201=3,DG!$B201=5),IMMO!$G11+IMMO!$I11,0)</f>
        <v>0</v>
      </c>
      <c r="U217" s="470">
        <f>IF(AND(DG!$A201=3,DG!$B201=6),IMMO!$G11+IMMO!$I11,0)</f>
        <v>0</v>
      </c>
      <c r="V217" s="470">
        <f>IF(AND(DG!$A201=3,DG!$B201=7),IMMO!$G11+IMMO!$I11,0)</f>
        <v>0</v>
      </c>
      <c r="W217" s="470">
        <f>IF(AND(DG!$A201=3,DG!$B201=8),IMMO!$G11+IMMO!$I11,0)</f>
        <v>0</v>
      </c>
      <c r="X217" s="470">
        <f>IF(AND(DG!$A201=3,DG!$B201=9),IMMO!$G11+IMMO!$I11,0)</f>
        <v>0</v>
      </c>
      <c r="Y217" s="470">
        <f>IF(AND(DG!$A201=3,DG!$B201=10),IMMO!$G11+IMMO!$I11,0)</f>
        <v>0</v>
      </c>
      <c r="Z217" s="470">
        <f>IF(AND(DG!$A201=3,DG!$B201=11),IMMO!$G11+IMMO!$I11,0)</f>
        <v>0</v>
      </c>
      <c r="AA217" s="470">
        <f>IF(AND(DG!$A201=3,DG!$B201=12),IMMO!$G11+IMMO!$I11,0)</f>
        <v>0</v>
      </c>
      <c r="AB217" s="470">
        <f>IF(AND(DG!$A201=4,DG!$B201=1),IMMO!$G11+IMMO!$I11,0)</f>
        <v>0</v>
      </c>
      <c r="AC217" s="470">
        <f>IF(AND(DG!$A201=4,DG!$B201=2),IMMO!$G11+IMMO!$I11,0)</f>
        <v>0</v>
      </c>
      <c r="AD217" s="470">
        <f>IF(AND(DG!$A201=4,DG!$B201=3),IMMO!$G11+IMMO!$I11,0)</f>
        <v>0</v>
      </c>
      <c r="AE217" s="470">
        <f>IF(AND(DG!$A201=4,DG!$B201=4),IMMO!$G11+IMMO!$I11,0)</f>
        <v>0</v>
      </c>
      <c r="AF217" s="470">
        <f>IF(AND(DG!$A201=4,DG!$B201=5),IMMO!$G11+IMMO!$I11,0)</f>
        <v>0</v>
      </c>
      <c r="AG217" s="470">
        <f>IF(AND(DG!$A201=4,DG!$B201=6),IMMO!$G11+IMMO!$I11,0)</f>
        <v>0</v>
      </c>
      <c r="AH217" s="470">
        <f>IF(AND(DG!$A201=4,DG!$B201=7),IMMO!$G11+IMMO!$I11,0)</f>
        <v>0</v>
      </c>
      <c r="AI217" s="470">
        <f>IF(AND(DG!$A201=4,DG!$B201=8),IMMO!$G11+IMMO!$I11,0)</f>
        <v>0</v>
      </c>
      <c r="AJ217" s="470">
        <f>IF(AND(DG!$A201=4,DG!$B201=9),IMMO!$G11+IMMO!$I11,0)</f>
        <v>0</v>
      </c>
      <c r="AK217" s="470">
        <f>IF(AND(DG!$A201=4,DG!$B201=10),IMMO!$G11+IMMO!$I11,0)</f>
        <v>0</v>
      </c>
      <c r="AL217" s="470">
        <f>IF(AND(DG!$A201=4,DG!$B201=11),IMMO!$G11+IMMO!$I11,0)</f>
        <v>0</v>
      </c>
      <c r="AM217" s="470">
        <f>IF(AND(DG!$A201=4,DG!$B201=12),IMMO!$G11+IMMO!$I11,0)</f>
        <v>0</v>
      </c>
      <c r="AN217" s="470">
        <f>IF(AND(DG!$A201=5,DG!$B201=1),IMMO!$G11+IMMO!$I11,0)</f>
        <v>0</v>
      </c>
      <c r="AO217" s="470">
        <f>IF(AND(DG!$A201=5,DG!$B201=2),IMMO!$G11+IMMO!$I11,0)</f>
        <v>0</v>
      </c>
      <c r="AP217" s="470">
        <f>IF(AND(DG!$A201=5,DG!$B201=3),IMMO!$G11+IMMO!$I11,0)</f>
        <v>0</v>
      </c>
      <c r="AQ217" s="470">
        <f>IF(AND(DG!$A201=5,DG!$B201=4),IMMO!$G11+IMMO!$I11,0)</f>
        <v>0</v>
      </c>
      <c r="AR217" s="470">
        <f>IF(AND(DG!$A201=5,DG!$B201=5),IMMO!$G11+IMMO!$I11,0)</f>
        <v>0</v>
      </c>
      <c r="AS217" s="470">
        <f>IF(AND(DG!$A201=5,DG!$B201=6),IMMO!$G11+IMMO!$I11,0)</f>
        <v>0</v>
      </c>
      <c r="AT217" s="470">
        <f>IF(AND(DG!$A201=5,DG!$B201=7),IMMO!$G11+IMMO!$I11,0)</f>
        <v>0</v>
      </c>
      <c r="AU217" s="470">
        <f>IF(AND(DG!$A201=5,DG!$B201=8),IMMO!$G11+IMMO!$I11,0)</f>
        <v>0</v>
      </c>
      <c r="AV217" s="470">
        <f>IF(AND(DG!$A201=5,DG!$B201=9),IMMO!$G11+IMMO!$I11,0)</f>
        <v>0</v>
      </c>
      <c r="AW217" s="470">
        <f>IF(AND(DG!$A201=5,DG!$B201=10),IMMO!$G11+IMMO!$I11,0)</f>
        <v>0</v>
      </c>
      <c r="AX217" s="470">
        <f>IF(AND(DG!$A201=5,DG!$B201=11),IMMO!$G11+IMMO!$I11,0)</f>
        <v>0</v>
      </c>
      <c r="AY217" s="470">
        <f>IF(AND(DG!$A201=5,DG!$B201=12),IMMO!$G11+IMMO!$I11,0)</f>
        <v>0</v>
      </c>
      <c r="AZ217" s="470">
        <f>IF(AND(DG!$A201=6,DG!$B201=1),IMMO!$G11+IMMO!$I11,0)</f>
        <v>0</v>
      </c>
      <c r="BA217" s="470">
        <f>IF(AND(DG!$A201=6,DG!$B201=2),IMMO!$G11+IMMO!$I11,0)</f>
        <v>0</v>
      </c>
      <c r="BB217" s="470">
        <f>IF(AND(DG!$A201=6,DG!$B201=3),IMMO!$G11+IMMO!$I11,0)</f>
        <v>0</v>
      </c>
      <c r="BC217" s="470">
        <f>IF(AND(DG!$A201=6,DG!$B201=4),IMMO!$G11+IMMO!$I11,0)</f>
        <v>0</v>
      </c>
      <c r="BD217" s="470">
        <f>IF(AND(DG!$A201=6,DG!$B201=5),IMMO!$G11+IMMO!$I11,0)</f>
        <v>0</v>
      </c>
      <c r="BE217" s="470">
        <f>IF(AND(DG!$A201=6,DG!$B201=6),IMMO!$G11+IMMO!$I11,0)</f>
        <v>0</v>
      </c>
      <c r="BF217" s="470">
        <f>IF(AND(DG!$A201=6,DG!$B201=7),IMMO!$G11+IMMO!$I11,0)</f>
        <v>0</v>
      </c>
      <c r="BG217" s="470">
        <f>IF(AND(DG!$A201=6,DG!$B201=8),IMMO!$G11+IMMO!$I11,0)</f>
        <v>0</v>
      </c>
      <c r="BH217" s="470">
        <f>IF(AND(DG!$A201=6,DG!$B201=9),IMMO!$G11+IMMO!$I11,0)</f>
        <v>0</v>
      </c>
      <c r="BI217" s="470">
        <f>IF(AND(DG!$A201=6,DG!$B201=10),IMMO!$G11+IMMO!$I11,0)</f>
        <v>0</v>
      </c>
      <c r="BJ217" s="470">
        <f>IF(AND(DG!$A201=6,DG!$B201=11),IMMO!$G11+IMMO!$I11,0)</f>
        <v>0</v>
      </c>
      <c r="BK217" s="470">
        <f>IF(AND(DG!$A201=6,DG!$B201=12),IMMO!$G11+IMMO!$I11,0)</f>
        <v>0</v>
      </c>
      <c r="BL217" s="470">
        <f>IF(AND(DG!$A201=7,DG!$B201=1),IMMO!$G11+IMMO!$I11,0)</f>
        <v>0</v>
      </c>
      <c r="BM217" s="470">
        <f>IF(AND(DG!$A201=7,DG!$B201=2),IMMO!$G11+IMMO!$I11,0)</f>
        <v>0</v>
      </c>
      <c r="BN217" s="470">
        <f>IF(AND(DG!$A201=7,DG!$B201=3),IMMO!$G11+IMMO!$I11,0)</f>
        <v>0</v>
      </c>
      <c r="BO217" s="470">
        <f>IF(AND(DG!$A201=7,DG!$B201=4),IMMO!$G11+IMMO!$I11,0)</f>
        <v>0</v>
      </c>
      <c r="BP217" s="470">
        <f>IF(AND(DG!$A201=7,DG!$B201=5),IMMO!$G11+IMMO!$I11,0)</f>
        <v>0</v>
      </c>
      <c r="BQ217" s="470">
        <f>IF(AND(DG!$A201=7,DG!$B201=6),IMMO!$G11+IMMO!$I11,0)</f>
        <v>0</v>
      </c>
      <c r="BR217" s="470">
        <f>IF(AND(DG!$A201=7,DG!$B201=7),IMMO!$G11+IMMO!$I11,0)</f>
        <v>0</v>
      </c>
      <c r="BS217" s="470">
        <f>IF(AND(DG!$A201=7,DG!$B201=8),IMMO!$G11+IMMO!$I11,0)</f>
        <v>0</v>
      </c>
      <c r="BT217" s="470">
        <f>IF(AND(DG!$A201=7,DG!$B201=9),IMMO!$G11+IMMO!$I11,0)</f>
        <v>0</v>
      </c>
      <c r="BU217" s="470">
        <f>IF(AND(DG!$A201=7,DG!$B201=10),IMMO!$G11+IMMO!$I11,0)</f>
        <v>0</v>
      </c>
      <c r="BV217" s="470">
        <f>IF(AND(DG!$A201=7,DG!$B201=11),IMMO!$G11+IMMO!$I11,0)</f>
        <v>0</v>
      </c>
      <c r="BW217" s="470">
        <f>IF(AND(DG!$A201=7,DG!$B201=12),IMMO!$G11+IMMO!$I11,0)</f>
        <v>0</v>
      </c>
      <c r="BX217" s="470">
        <f>IF(AND(DG!$A201=8,DG!$B201=1),IMMO!$G11+IMMO!$I11,0)</f>
        <v>0</v>
      </c>
      <c r="BY217" s="470">
        <f>IF(AND(DG!$A201=8,DG!$B201=2),IMMO!$G11+IMMO!$I11,0)</f>
        <v>0</v>
      </c>
      <c r="BZ217" s="470">
        <f>IF(AND(DG!$A201=8,DG!$B201=3),IMMO!$G11+IMMO!$I11,0)</f>
        <v>0</v>
      </c>
      <c r="CA217" s="470">
        <f>IF(AND(DG!$A201=8,DG!$B201=4),IMMO!$G11+IMMO!$I11,0)</f>
        <v>0</v>
      </c>
      <c r="CB217" s="470">
        <f>IF(AND(DG!$A201=8,DG!$B201=5),IMMO!$G11+IMMO!$I11,0)</f>
        <v>0</v>
      </c>
      <c r="CC217" s="470">
        <f>IF(AND(DG!$A201=8,DG!$B201=6),IMMO!$G11+IMMO!$I11,0)</f>
        <v>0</v>
      </c>
      <c r="CD217" s="470">
        <f>IF(AND(DG!$A201=8,DG!$B201=7),IMMO!$G11+IMMO!$I11,0)</f>
        <v>0</v>
      </c>
      <c r="CE217" s="470">
        <f>IF(AND(DG!$A201=8,DG!$B201=8),IMMO!$G11+IMMO!$I11,0)</f>
        <v>0</v>
      </c>
      <c r="CF217" s="470">
        <f>IF(AND(DG!$A201=8,DG!$B201=9),IMMO!$G11+IMMO!$I11,0)</f>
        <v>0</v>
      </c>
      <c r="CG217" s="470">
        <f>IF(AND(DG!$A201=8,DG!$B201=10),IMMO!$G11+IMMO!$I11,0)</f>
        <v>0</v>
      </c>
      <c r="CH217" s="470">
        <f>IF(AND(DG!$A201=8,DG!$B201=11),IMMO!$G11+IMMO!$I11,0)</f>
        <v>0</v>
      </c>
      <c r="CI217" s="470">
        <f>IF(AND(DG!$A201=8,DG!$B201=12),IMMO!$G11+IMMO!$I11,0)</f>
        <v>0</v>
      </c>
      <c r="CJ217" s="470">
        <f>IF(AND(DG!$A201=9,DG!$B201=1),IMMO!$G11+IMMO!$I11,0)</f>
        <v>15000</v>
      </c>
      <c r="CK217" s="470">
        <f>IF(AND(DG!$A201=9,DG!$B201=2),IMMO!$G11+IMMO!$I11,0)</f>
        <v>0</v>
      </c>
      <c r="CL217" s="470">
        <f>IF(AND(DG!$A201=9,DG!$B201=3),IMMO!$G11+IMMO!$I11,0)</f>
        <v>0</v>
      </c>
      <c r="CM217" s="470">
        <f>IF(AND(DG!$A201=9,DG!$B201=4),IMMO!$G11+IMMO!$I11,0)</f>
        <v>0</v>
      </c>
      <c r="CN217" s="470">
        <f>IF(AND(DG!$A201=9,DG!$B201=5),IMMO!$G11+IMMO!$I11,0)</f>
        <v>0</v>
      </c>
      <c r="CO217" s="470">
        <f>IF(AND(DG!$A201=9,DG!$B201=6),IMMO!$G11+IMMO!$I11,0)</f>
        <v>0</v>
      </c>
      <c r="CP217" s="470">
        <f>IF(AND(DG!$A201=9,DG!$B201=7),IMMO!$G11+IMMO!$I11,0)</f>
        <v>0</v>
      </c>
      <c r="CQ217" s="470">
        <f>IF(AND(DG!$A201=9,DG!$B201=8),IMMO!$G11+IMMO!$I11,0)</f>
        <v>0</v>
      </c>
      <c r="CR217" s="470">
        <f>IF(AND(DG!$A201=9,DG!$B201=9),IMMO!$G11+IMMO!$I11,0)</f>
        <v>0</v>
      </c>
      <c r="CS217" s="470">
        <f>IF(AND(DG!$A201=9,DG!$B201=10),IMMO!$G11+IMMO!$I11,0)</f>
        <v>0</v>
      </c>
      <c r="CT217" s="470">
        <f>IF(AND(DG!$A201=9,DG!$B201=11),IMMO!$G11+IMMO!$I11,0)</f>
        <v>0</v>
      </c>
      <c r="CU217" s="470">
        <f>IF(AND(DG!$A201=9,DG!$B201=12),IMMO!$G11+IMMO!$I11,0)</f>
        <v>0</v>
      </c>
      <c r="CV217" s="470">
        <f>IF(AND(DG!$A201=10,DG!$B201=1),IMMO!$G11+IMMO!$I11,0)</f>
        <v>0</v>
      </c>
      <c r="CW217" s="470">
        <f>IF(AND(DG!$A201=10,DG!$B201=2),IMMO!$G11+IMMO!$I11,0)</f>
        <v>0</v>
      </c>
      <c r="CX217" s="470">
        <f>IF(AND(DG!$A201=10,DG!$B201=3),IMMO!$G11+IMMO!$I11,0)</f>
        <v>0</v>
      </c>
      <c r="CY217" s="470">
        <f>IF(AND(DG!$A201=10,DG!$B201=4),IMMO!$G11+IMMO!$I11,0)</f>
        <v>0</v>
      </c>
      <c r="CZ217" s="470">
        <f>IF(AND(DG!$A201=10,DG!$B201=5),IMMO!$G11+IMMO!$I11,0)</f>
        <v>0</v>
      </c>
      <c r="DA217" s="470">
        <f>IF(AND(DG!$A201=10,DG!$B201=6),IMMO!$G11+IMMO!$I11,0)</f>
        <v>0</v>
      </c>
      <c r="DB217" s="470">
        <f>IF(AND(DG!$A201=10,DG!$B201=7),IMMO!$G11+IMMO!$I11,0)</f>
        <v>0</v>
      </c>
      <c r="DC217" s="470">
        <f>IF(AND(DG!$A201=10,DG!$B201=8),IMMO!$G11+IMMO!$I11,0)</f>
        <v>0</v>
      </c>
      <c r="DD217" s="470">
        <f>IF(AND(DG!$A201=10,DG!$B201=9),IMMO!$G11+IMMO!$I11,0)</f>
        <v>0</v>
      </c>
      <c r="DE217" s="470">
        <f>IF(AND(DG!$A201=10,DG!$B201=10),IMMO!$G11+IMMO!$I11,0)</f>
        <v>0</v>
      </c>
      <c r="DF217" s="470">
        <f>IF(AND(DG!$A201=10,DG!$B201=11),IMMO!$G11+IMMO!$I11,0)</f>
        <v>0</v>
      </c>
      <c r="DG217" s="470">
        <f>IF(AND(DG!$A201=10,DG!$B201=12),IMMO!$G11+IMMO!$I11,0)</f>
        <v>0</v>
      </c>
      <c r="DH217" s="470">
        <f>IF(AND(DG!$A201=11,DG!$B201=1),IMMO!$G11+IMMO!$I11,0)</f>
        <v>0</v>
      </c>
      <c r="DI217" s="470">
        <f>IF(AND(DG!$A201=11,DG!$B201=2),IMMO!$G11+IMMO!$I11,0)</f>
        <v>0</v>
      </c>
      <c r="DJ217" s="470">
        <f>IF(AND(DG!$A201=11,DG!$B201=3),IMMO!$G11+IMMO!$I11,0)</f>
        <v>0</v>
      </c>
      <c r="DK217" s="470">
        <f>IF(AND(DG!$A201=11,DG!$B201=4),IMMO!$G11+IMMO!$I11,0)</f>
        <v>0</v>
      </c>
      <c r="DL217" s="470">
        <f>IF(AND(DG!$A201=11,DG!$B201=5),IMMO!$G11+IMMO!$I11,0)</f>
        <v>0</v>
      </c>
      <c r="DM217" s="470">
        <f>IF(AND(DG!$A201=11,DG!$B201=6),IMMO!$G11+IMMO!$I11,0)</f>
        <v>0</v>
      </c>
      <c r="DN217" s="470">
        <f>IF(AND(DG!$A201=11,DG!$B201=7),IMMO!$G11+IMMO!$I11,0)</f>
        <v>0</v>
      </c>
      <c r="DO217" s="470">
        <f>IF(AND(DG!$A201=11,DG!$B201=8),IMMO!$G11+IMMO!$I11,0)</f>
        <v>0</v>
      </c>
      <c r="DP217" s="470">
        <f>IF(AND(DG!$A201=11,DG!$B201=9),IMMO!$G11+IMMO!$I11,0)</f>
        <v>0</v>
      </c>
      <c r="DQ217" s="470">
        <f>IF(AND(DG!$A201=11,DG!$B201=10),IMMO!$G11+IMMO!$I11,0)</f>
        <v>0</v>
      </c>
      <c r="DR217" s="470">
        <f>IF(AND(DG!$A201=11,DG!$B201=11),IMMO!$G11+IMMO!$I11,0)</f>
        <v>0</v>
      </c>
      <c r="DS217" s="470">
        <f>IF(AND(DG!$A201=11,DG!$B201=12),IMMO!$G11+IMMO!$I11,0)</f>
        <v>0</v>
      </c>
      <c r="DT217" s="470">
        <f>IF(AND(DG!$A201=12,DG!$B201=1),IMMO!$G11+IMMO!$I11,0)</f>
        <v>0</v>
      </c>
      <c r="DU217" s="470">
        <f>IF(AND(DG!$A201=12,DG!$B201=2),IMMO!$G11+IMMO!$I11,0)</f>
        <v>0</v>
      </c>
      <c r="DV217" s="470">
        <f>IF(AND(DG!$A201=12,DG!$B201=3),IMMO!$G11+IMMO!$I11,0)</f>
        <v>0</v>
      </c>
      <c r="DW217" s="470">
        <f>IF(AND(DG!$A201=12,DG!$B201=4),IMMO!$G11+IMMO!$I11,0)</f>
        <v>0</v>
      </c>
      <c r="DX217" s="470">
        <f>IF(AND(DG!$A201=12,DG!$B201=5),IMMO!$G11+IMMO!$I11,0)</f>
        <v>0</v>
      </c>
      <c r="DY217" s="470">
        <f>IF(AND(DG!$A201=12,DG!$B201=6),IMMO!$G11+IMMO!$I11,0)</f>
        <v>0</v>
      </c>
      <c r="DZ217" s="470">
        <f>IF(AND(DG!$A201=12,DG!$B201=7),IMMO!$G11+IMMO!$I11,0)</f>
        <v>0</v>
      </c>
      <c r="EA217" s="470">
        <f>IF(AND(DG!$A201=12,DG!$B201=8),IMMO!$G11+IMMO!$I11,0)</f>
        <v>0</v>
      </c>
      <c r="EB217" s="470">
        <f>IF(AND(DG!$A201=12,DG!$B201=9),IMMO!$G11+IMMO!$I11,0)</f>
        <v>0</v>
      </c>
      <c r="EC217" s="470">
        <f>IF(AND(DG!$A201=12,DG!$B201=10),IMMO!$G11+IMMO!$I11,0)</f>
        <v>0</v>
      </c>
      <c r="ED217" s="470">
        <f>IF(AND(DG!$A201=12,DG!$B201=11),IMMO!$G11+IMMO!$I11,0)</f>
        <v>0</v>
      </c>
      <c r="EE217" s="470">
        <f>IF(AND(DG!$A201=12,DG!$B201=12),IMMO!$G11+IMMO!$I11,0)</f>
        <v>0</v>
      </c>
      <c r="EF217" s="470"/>
      <c r="EG217" s="470"/>
      <c r="EH217" s="470"/>
      <c r="EI217" s="470"/>
      <c r="EJ217" s="470"/>
      <c r="EK217" s="470"/>
      <c r="EL217" s="470"/>
      <c r="EM217" s="470"/>
    </row>
    <row r="218" spans="1:257">
      <c r="D218" s="470"/>
      <c r="E218" s="470"/>
      <c r="F218" s="470"/>
      <c r="G218" s="470"/>
      <c r="H218" s="470"/>
      <c r="I218" s="470"/>
      <c r="J218" s="470"/>
      <c r="K218" s="470"/>
      <c r="L218" s="470"/>
      <c r="M218" s="470"/>
      <c r="N218" s="470"/>
      <c r="O218" s="470"/>
      <c r="P218" s="470"/>
      <c r="Q218" s="470"/>
      <c r="R218" s="470"/>
      <c r="S218" s="470"/>
      <c r="T218" s="470"/>
      <c r="U218" s="470"/>
      <c r="V218" s="470"/>
      <c r="W218" s="470"/>
      <c r="X218" s="470"/>
      <c r="Y218" s="470"/>
      <c r="Z218" s="470"/>
      <c r="AA218" s="470"/>
      <c r="AB218" s="470"/>
      <c r="AC218" s="470"/>
      <c r="AD218" s="470"/>
      <c r="AE218" s="470"/>
      <c r="AF218" s="470"/>
      <c r="AG218" s="470"/>
      <c r="AH218" s="470"/>
      <c r="AI218" s="470"/>
      <c r="AJ218" s="470"/>
      <c r="AK218" s="470"/>
      <c r="AL218" s="470"/>
      <c r="AM218" s="470"/>
      <c r="AN218" s="470"/>
      <c r="AO218" s="470"/>
      <c r="AP218" s="470"/>
      <c r="AQ218" s="470"/>
      <c r="AR218" s="470"/>
      <c r="AS218" s="470"/>
      <c r="AT218" s="470"/>
      <c r="AU218" s="470"/>
      <c r="AV218" s="470"/>
      <c r="AW218" s="470"/>
      <c r="AX218" s="470"/>
      <c r="AY218" s="470"/>
      <c r="AZ218" s="470"/>
      <c r="BA218" s="470"/>
      <c r="BB218" s="470"/>
      <c r="BC218" s="470"/>
      <c r="BD218" s="470"/>
      <c r="BE218" s="470"/>
      <c r="BF218" s="470"/>
      <c r="BG218" s="470"/>
      <c r="BH218" s="470"/>
      <c r="BI218" s="470"/>
      <c r="BJ218" s="470"/>
      <c r="BK218" s="470"/>
      <c r="BL218" s="470"/>
      <c r="BM218" s="470"/>
      <c r="BN218" s="470"/>
      <c r="BO218" s="470"/>
      <c r="BP218" s="470"/>
      <c r="BQ218" s="470"/>
      <c r="BR218" s="470"/>
      <c r="BS218" s="470"/>
      <c r="BT218" s="470"/>
      <c r="BU218" s="470"/>
      <c r="BV218" s="470"/>
      <c r="BW218" s="470"/>
      <c r="BX218" s="470"/>
      <c r="BY218" s="470"/>
      <c r="BZ218" s="470"/>
      <c r="CA218" s="470"/>
      <c r="CB218" s="470"/>
      <c r="CC218" s="470"/>
      <c r="CD218" s="470"/>
      <c r="CE218" s="470"/>
      <c r="CF218" s="470"/>
      <c r="CG218" s="470"/>
      <c r="CH218" s="470"/>
      <c r="CI218" s="470"/>
      <c r="CJ218" s="470"/>
      <c r="CK218" s="470"/>
      <c r="CL218" s="470"/>
      <c r="CM218" s="470"/>
      <c r="CN218" s="470"/>
      <c r="CO218" s="470"/>
      <c r="CP218" s="470"/>
      <c r="CQ218" s="470"/>
      <c r="CR218" s="470"/>
      <c r="CS218" s="470"/>
      <c r="CT218" s="470"/>
      <c r="CU218" s="470"/>
      <c r="CV218" s="470"/>
      <c r="CW218" s="470"/>
      <c r="CX218" s="470"/>
      <c r="CY218" s="470"/>
      <c r="CZ218" s="470"/>
      <c r="DA218" s="470"/>
      <c r="DB218" s="470"/>
      <c r="DC218" s="470"/>
      <c r="DD218" s="470"/>
      <c r="DE218" s="470"/>
      <c r="DF218" s="470"/>
      <c r="DG218" s="470"/>
      <c r="DH218" s="470"/>
      <c r="DI218" s="470"/>
      <c r="DJ218" s="470"/>
      <c r="DK218" s="470"/>
      <c r="DL218" s="470"/>
      <c r="DM218" s="470"/>
      <c r="DN218" s="470"/>
      <c r="DO218" s="470"/>
      <c r="DP218" s="470"/>
      <c r="DQ218" s="470"/>
      <c r="DR218" s="470"/>
      <c r="DS218" s="470"/>
      <c r="DT218" s="470"/>
      <c r="DU218" s="470"/>
      <c r="DV218" s="470"/>
      <c r="DW218" s="470"/>
      <c r="DX218" s="470"/>
      <c r="DY218" s="470"/>
      <c r="DZ218" s="470"/>
      <c r="EA218" s="470"/>
      <c r="EB218" s="470"/>
      <c r="EC218" s="470"/>
      <c r="ED218" s="470"/>
      <c r="EE218" s="470"/>
      <c r="EF218" s="470"/>
      <c r="EG218" s="470"/>
      <c r="EH218" s="470"/>
      <c r="EI218" s="470"/>
      <c r="EJ218" s="470"/>
      <c r="EK218" s="470"/>
      <c r="EL218" s="470"/>
      <c r="EM218" s="470"/>
    </row>
    <row r="219" spans="1:257">
      <c r="D219" s="470">
        <f>IF(AND(DG!$A202=2,DG!$B202=1),IMMO!$G13+IMMO!$I13,0)</f>
        <v>0</v>
      </c>
      <c r="E219" s="470">
        <f>IF(AND(DG!$A202=2,DG!$B202=2),IMMO!$G13+IMMO!$I13,0)</f>
        <v>0</v>
      </c>
      <c r="F219" s="470">
        <f>IF(AND(DG!$A202=2,DG!$B202=3),IMMO!$G13+IMMO!$I13,0)</f>
        <v>0</v>
      </c>
      <c r="G219" s="470">
        <f>IF(AND(DG!$A202=2,DG!$B202=4),IMMO!$G13+IMMO!$I13,0)</f>
        <v>0</v>
      </c>
      <c r="H219" s="470">
        <f>IF(AND(DG!$A202=2,DG!$B202=5),IMMO!$G13+IMMO!$I13,0)</f>
        <v>0</v>
      </c>
      <c r="I219" s="470">
        <f>IF(AND(DG!$A202=2,DG!$B202=6),IMMO!$G13+IMMO!$I13,0)</f>
        <v>0</v>
      </c>
      <c r="J219" s="470">
        <f>IF(AND(DG!$A202=2,DG!$B202=7),IMMO!$G13+IMMO!$I13,0)</f>
        <v>0</v>
      </c>
      <c r="K219" s="470">
        <f>IF(AND(DG!$A202=2,DG!$B202=8),IMMO!$G13+IMMO!$I13,0)</f>
        <v>0</v>
      </c>
      <c r="L219" s="470">
        <f>IF(AND(DG!$A202=2,DG!$B202=9),IMMO!$G13+IMMO!$I13,0)</f>
        <v>0</v>
      </c>
      <c r="M219" s="470">
        <f>IF(AND(DG!$A202=2,DG!$B202=10),IMMO!$G13+IMMO!$I13,0)</f>
        <v>0</v>
      </c>
      <c r="N219" s="470">
        <f>IF(AND(DG!$A202=2,DG!$B202=11),IMMO!$G13+IMMO!$I13,0)</f>
        <v>0</v>
      </c>
      <c r="O219" s="470">
        <f>IF(AND(DG!$A202=2,DG!$B202=12),IMMO!$G13+IMMO!$I13,0)</f>
        <v>0</v>
      </c>
      <c r="P219" s="470">
        <f>IF(AND(DG!$A202=3,DG!$B202=1),IMMO!$G13+IMMO!$I13,0)</f>
        <v>0</v>
      </c>
      <c r="Q219" s="470">
        <f>IF(AND(DG!$A202=3,DG!$B202=2),IMMO!$G13+IMMO!$I13,0)</f>
        <v>0</v>
      </c>
      <c r="R219" s="470">
        <f>IF(AND(DG!$A202=3,DG!$B202=3),IMMO!$G13+IMMO!$I13,0)</f>
        <v>0</v>
      </c>
      <c r="S219" s="470">
        <f>IF(AND(DG!$A202=3,DG!$B202=4),IMMO!$G13+IMMO!$I13,0)</f>
        <v>0</v>
      </c>
      <c r="T219" s="470">
        <f>IF(AND(DG!$A202=3,DG!$B202=5),IMMO!$G13+IMMO!$I13,0)</f>
        <v>0</v>
      </c>
      <c r="U219" s="470">
        <f>IF(AND(DG!$A202=3,DG!$B202=6),IMMO!$G13+IMMO!$I13,0)</f>
        <v>0</v>
      </c>
      <c r="V219" s="470">
        <f>IF(AND(DG!$A202=3,DG!$B202=7),IMMO!$G13+IMMO!$I13,0)</f>
        <v>0</v>
      </c>
      <c r="W219" s="470">
        <f>IF(AND(DG!$A202=3,DG!$B202=8),IMMO!$G13+IMMO!$I13,0)</f>
        <v>0</v>
      </c>
      <c r="X219" s="470">
        <f>IF(AND(DG!$A202=3,DG!$B202=9),IMMO!$G13+IMMO!$I13,0)</f>
        <v>0</v>
      </c>
      <c r="Y219" s="470">
        <f>IF(AND(DG!$A202=3,DG!$B202=10),IMMO!$G13+IMMO!$I13,0)</f>
        <v>0</v>
      </c>
      <c r="Z219" s="470">
        <f>IF(AND(DG!$A202=3,DG!$B202=11),IMMO!$G13+IMMO!$I13,0)</f>
        <v>0</v>
      </c>
      <c r="AA219" s="470">
        <f>IF(AND(DG!$A202=3,DG!$B202=12),IMMO!$G13+IMMO!$I13,0)</f>
        <v>0</v>
      </c>
      <c r="AB219" s="470">
        <f>IF(AND(DG!$A202=4,DG!$B202=1),IMMO!$G13+IMMO!$I13,0)</f>
        <v>0</v>
      </c>
      <c r="AC219" s="470">
        <f>IF(AND(DG!$A202=4,DG!$B202=2),IMMO!$G13+IMMO!$I13,0)</f>
        <v>0</v>
      </c>
      <c r="AD219" s="470">
        <f>IF(AND(DG!$A202=4,DG!$B202=3),IMMO!$G13+IMMO!$I13,0)</f>
        <v>0</v>
      </c>
      <c r="AE219" s="470">
        <f>IF(AND(DG!$A202=4,DG!$B202=4),IMMO!$G13+IMMO!$I13,0)</f>
        <v>0</v>
      </c>
      <c r="AF219" s="470">
        <f>IF(AND(DG!$A202=4,DG!$B202=5),IMMO!$G13+IMMO!$I13,0)</f>
        <v>0</v>
      </c>
      <c r="AG219" s="470">
        <f>IF(AND(DG!$A202=4,DG!$B202=6),IMMO!$G13+IMMO!$I13,0)</f>
        <v>0</v>
      </c>
      <c r="AH219" s="470">
        <f>IF(AND(DG!$A202=4,DG!$B202=7),IMMO!$G13+IMMO!$I13,0)</f>
        <v>0</v>
      </c>
      <c r="AI219" s="470">
        <f>IF(AND(DG!$A202=4,DG!$B202=8),IMMO!$G13+IMMO!$I13,0)</f>
        <v>0</v>
      </c>
      <c r="AJ219" s="470">
        <f>IF(AND(DG!$A202=4,DG!$B202=9),IMMO!$G13+IMMO!$I13,0)</f>
        <v>0</v>
      </c>
      <c r="AK219" s="470">
        <f>IF(AND(DG!$A202=4,DG!$B202=10),IMMO!$G13+IMMO!$I13,0)</f>
        <v>0</v>
      </c>
      <c r="AL219" s="470">
        <f>IF(AND(DG!$A202=4,DG!$B202=11),IMMO!$G13+IMMO!$I13,0)</f>
        <v>0</v>
      </c>
      <c r="AM219" s="470">
        <f>IF(AND(DG!$A202=4,DG!$B202=12),IMMO!$G13+IMMO!$I13,0)</f>
        <v>0</v>
      </c>
      <c r="AN219" s="470">
        <f>IF(AND(DG!$A202=5,DG!$B202=1),IMMO!$G13+IMMO!$I13,0)</f>
        <v>0</v>
      </c>
      <c r="AO219" s="470">
        <f>IF(AND(DG!$A202=5,DG!$B202=2),IMMO!$G13+IMMO!$I13,0)</f>
        <v>0</v>
      </c>
      <c r="AP219" s="470">
        <f>IF(AND(DG!$A202=5,DG!$B202=3),IMMO!$G13+IMMO!$I13,0)</f>
        <v>0</v>
      </c>
      <c r="AQ219" s="470">
        <f>IF(AND(DG!$A202=5,DG!$B202=4),IMMO!$G13+IMMO!$I13,0)</f>
        <v>0</v>
      </c>
      <c r="AR219" s="470">
        <f>IF(AND(DG!$A202=5,DG!$B202=5),IMMO!$G13+IMMO!$I13,0)</f>
        <v>0</v>
      </c>
      <c r="AS219" s="470">
        <f>IF(AND(DG!$A202=5,DG!$B202=6),IMMO!$G13+IMMO!$I13,0)</f>
        <v>0</v>
      </c>
      <c r="AT219" s="470">
        <f>IF(AND(DG!$A202=5,DG!$B202=7),IMMO!$G13+IMMO!$I13,0)</f>
        <v>0</v>
      </c>
      <c r="AU219" s="470">
        <f>IF(AND(DG!$A202=5,DG!$B202=8),IMMO!$G13+IMMO!$I13,0)</f>
        <v>0</v>
      </c>
      <c r="AV219" s="470">
        <f>IF(AND(DG!$A202=5,DG!$B202=9),IMMO!$G13+IMMO!$I13,0)</f>
        <v>0</v>
      </c>
      <c r="AW219" s="470">
        <f>IF(AND(DG!$A202=5,DG!$B202=10),IMMO!$G13+IMMO!$I13,0)</f>
        <v>0</v>
      </c>
      <c r="AX219" s="470">
        <f>IF(AND(DG!$A202=5,DG!$B202=11),IMMO!$G13+IMMO!$I13,0)</f>
        <v>0</v>
      </c>
      <c r="AY219" s="470">
        <f>IF(AND(DG!$A202=5,DG!$B202=12),IMMO!$G13+IMMO!$I13,0)</f>
        <v>0</v>
      </c>
      <c r="AZ219" s="470">
        <f>IF(AND(DG!$A202=6,DG!$B202=1),IMMO!$G13+IMMO!$I13,0)</f>
        <v>0</v>
      </c>
      <c r="BA219" s="470">
        <f>IF(AND(DG!$A202=6,DG!$B202=2),IMMO!$G13+IMMO!$I13,0)</f>
        <v>0</v>
      </c>
      <c r="BB219" s="470">
        <f>IF(AND(DG!$A202=6,DG!$B202=3),IMMO!$G13+IMMO!$I13,0)</f>
        <v>0</v>
      </c>
      <c r="BC219" s="470">
        <f>IF(AND(DG!$A202=6,DG!$B202=4),IMMO!$G13+IMMO!$I13,0)</f>
        <v>0</v>
      </c>
      <c r="BD219" s="470">
        <f>IF(AND(DG!$A202=6,DG!$B202=5),IMMO!$G13+IMMO!$I13,0)</f>
        <v>0</v>
      </c>
      <c r="BE219" s="470">
        <f>IF(AND(DG!$A202=6,DG!$B202=6),IMMO!$G13+IMMO!$I13,0)</f>
        <v>0</v>
      </c>
      <c r="BF219" s="470">
        <f>IF(AND(DG!$A202=6,DG!$B202=7),IMMO!$G13+IMMO!$I13,0)</f>
        <v>0</v>
      </c>
      <c r="BG219" s="470">
        <f>IF(AND(DG!$A202=6,DG!$B202=8),IMMO!$G13+IMMO!$I13,0)</f>
        <v>0</v>
      </c>
      <c r="BH219" s="470">
        <f>IF(AND(DG!$A202=6,DG!$B202=9),IMMO!$G13+IMMO!$I13,0)</f>
        <v>0</v>
      </c>
      <c r="BI219" s="470">
        <f>IF(AND(DG!$A202=6,DG!$B202=10),IMMO!$G13+IMMO!$I13,0)</f>
        <v>0</v>
      </c>
      <c r="BJ219" s="470">
        <f>IF(AND(DG!$A202=6,DG!$B202=11),IMMO!$G13+IMMO!$I13,0)</f>
        <v>0</v>
      </c>
      <c r="BK219" s="470">
        <f>IF(AND(DG!$A202=6,DG!$B202=12),IMMO!$G13+IMMO!$I13,0)</f>
        <v>0</v>
      </c>
      <c r="BL219" s="470">
        <f>IF(AND(DG!$A202=7,DG!$B202=1),IMMO!$G13+IMMO!$I13,0)</f>
        <v>0</v>
      </c>
      <c r="BM219" s="470">
        <f>IF(AND(DG!$A202=7,DG!$B202=2),IMMO!$G13+IMMO!$I13,0)</f>
        <v>0</v>
      </c>
      <c r="BN219" s="470">
        <f>IF(AND(DG!$A202=7,DG!$B202=3),IMMO!$G13+IMMO!$I13,0)</f>
        <v>0</v>
      </c>
      <c r="BO219" s="470">
        <f>IF(AND(DG!$A202=7,DG!$B202=4),IMMO!$G13+IMMO!$I13,0)</f>
        <v>0</v>
      </c>
      <c r="BP219" s="470">
        <f>IF(AND(DG!$A202=7,DG!$B202=5),IMMO!$G13+IMMO!$I13,0)</f>
        <v>0</v>
      </c>
      <c r="BQ219" s="470">
        <f>IF(AND(DG!$A202=7,DG!$B202=6),IMMO!$G13+IMMO!$I13,0)</f>
        <v>0</v>
      </c>
      <c r="BR219" s="470">
        <f>IF(AND(DG!$A202=7,DG!$B202=7),IMMO!$G13+IMMO!$I13,0)</f>
        <v>0</v>
      </c>
      <c r="BS219" s="470">
        <f>IF(AND(DG!$A202=7,DG!$B202=8),IMMO!$G13+IMMO!$I13,0)</f>
        <v>0</v>
      </c>
      <c r="BT219" s="470">
        <f>IF(AND(DG!$A202=7,DG!$B202=9),IMMO!$G13+IMMO!$I13,0)</f>
        <v>0</v>
      </c>
      <c r="BU219" s="470">
        <f>IF(AND(DG!$A202=7,DG!$B202=10),IMMO!$G13+IMMO!$I13,0)</f>
        <v>0</v>
      </c>
      <c r="BV219" s="470">
        <f>IF(AND(DG!$A202=7,DG!$B202=11),IMMO!$G13+IMMO!$I13,0)</f>
        <v>0</v>
      </c>
      <c r="BW219" s="470">
        <f>IF(AND(DG!$A202=7,DG!$B202=12),IMMO!$G13+IMMO!$I13,0)</f>
        <v>0</v>
      </c>
      <c r="BX219" s="470">
        <f>IF(AND(DG!$A202=8,DG!$B202=1),IMMO!$G13+IMMO!$I13,0)</f>
        <v>1000</v>
      </c>
      <c r="BY219" s="470">
        <f>IF(AND(DG!$A202=8,DG!$B202=2),IMMO!$G13+IMMO!$I13,0)</f>
        <v>0</v>
      </c>
      <c r="BZ219" s="470">
        <f>IF(AND(DG!$A202=8,DG!$B202=3),IMMO!$G13+IMMO!$I13,0)</f>
        <v>0</v>
      </c>
      <c r="CA219" s="470">
        <f>IF(AND(DG!$A202=8,DG!$B202=4),IMMO!$G13+IMMO!$I13,0)</f>
        <v>0</v>
      </c>
      <c r="CB219" s="470">
        <f>IF(AND(DG!$A202=8,DG!$B202=5),IMMO!$G13+IMMO!$I13,0)</f>
        <v>0</v>
      </c>
      <c r="CC219" s="470">
        <f>IF(AND(DG!$A202=8,DG!$B202=6),IMMO!$G13+IMMO!$I13,0)</f>
        <v>0</v>
      </c>
      <c r="CD219" s="470">
        <f>IF(AND(DG!$A202=8,DG!$B202=7),IMMO!$G13+IMMO!$I13,0)</f>
        <v>0</v>
      </c>
      <c r="CE219" s="470">
        <f>IF(AND(DG!$A202=8,DG!$B202=8),IMMO!$G13+IMMO!$I13,0)</f>
        <v>0</v>
      </c>
      <c r="CF219" s="470">
        <f>IF(AND(DG!$A202=8,DG!$B202=9),IMMO!$G13+IMMO!$I13,0)</f>
        <v>0</v>
      </c>
      <c r="CG219" s="470">
        <f>IF(AND(DG!$A202=8,DG!$B202=10),IMMO!$G13+IMMO!$I13,0)</f>
        <v>0</v>
      </c>
      <c r="CH219" s="470">
        <f>IF(AND(DG!$A202=8,DG!$B202=11),IMMO!$G13+IMMO!$I13,0)</f>
        <v>0</v>
      </c>
      <c r="CI219" s="470">
        <f>IF(AND(DG!$A202=8,DG!$B202=12),IMMO!$G13+IMMO!$I13,0)</f>
        <v>0</v>
      </c>
      <c r="CJ219" s="470">
        <f>IF(AND(DG!$A202=9,DG!$B202=1),IMMO!$G13+IMMO!$I13,0)</f>
        <v>0</v>
      </c>
      <c r="CK219" s="470">
        <f>IF(AND(DG!$A202=9,DG!$B202=2),IMMO!$G13+IMMO!$I13,0)</f>
        <v>0</v>
      </c>
      <c r="CL219" s="470">
        <f>IF(AND(DG!$A202=9,DG!$B202=3),IMMO!$G13+IMMO!$I13,0)</f>
        <v>0</v>
      </c>
      <c r="CM219" s="470">
        <f>IF(AND(DG!$A202=9,DG!$B202=4),IMMO!$G13+IMMO!$I13,0)</f>
        <v>0</v>
      </c>
      <c r="CN219" s="470">
        <f>IF(AND(DG!$A202=9,DG!$B202=5),IMMO!$G13+IMMO!$I13,0)</f>
        <v>0</v>
      </c>
      <c r="CO219" s="470">
        <f>IF(AND(DG!$A202=9,DG!$B202=6),IMMO!$G13+IMMO!$I13,0)</f>
        <v>0</v>
      </c>
      <c r="CP219" s="470">
        <f>IF(AND(DG!$A202=9,DG!$B202=7),IMMO!$G13+IMMO!$I13,0)</f>
        <v>0</v>
      </c>
      <c r="CQ219" s="470">
        <f>IF(AND(DG!$A202=9,DG!$B202=8),IMMO!$G13+IMMO!$I13,0)</f>
        <v>0</v>
      </c>
      <c r="CR219" s="470">
        <f>IF(AND(DG!$A202=9,DG!$B202=9),IMMO!$G13+IMMO!$I13,0)</f>
        <v>0</v>
      </c>
      <c r="CS219" s="470">
        <f>IF(AND(DG!$A202=9,DG!$B202=10),IMMO!$G13+IMMO!$I13,0)</f>
        <v>0</v>
      </c>
      <c r="CT219" s="470">
        <f>IF(AND(DG!$A202=9,DG!$B202=11),IMMO!$G13+IMMO!$I13,0)</f>
        <v>0</v>
      </c>
      <c r="CU219" s="470">
        <f>IF(AND(DG!$A202=9,DG!$B202=12),IMMO!$G13+IMMO!$I13,0)</f>
        <v>0</v>
      </c>
      <c r="CV219" s="470">
        <f>IF(AND(DG!$A202=10,DG!$B202=1),IMMO!$G13+IMMO!$I13,0)</f>
        <v>0</v>
      </c>
      <c r="CW219" s="470">
        <f>IF(AND(DG!$A202=10,DG!$B202=2),IMMO!$G13+IMMO!$I13,0)</f>
        <v>0</v>
      </c>
      <c r="CX219" s="470">
        <f>IF(AND(DG!$A202=10,DG!$B202=3),IMMO!$G13+IMMO!$I13,0)</f>
        <v>0</v>
      </c>
      <c r="CY219" s="470">
        <f>IF(AND(DG!$A202=10,DG!$B202=4),IMMO!$G13+IMMO!$I13,0)</f>
        <v>0</v>
      </c>
      <c r="CZ219" s="470">
        <f>IF(AND(DG!$A202=10,DG!$B202=5),IMMO!$G13+IMMO!$I13,0)</f>
        <v>0</v>
      </c>
      <c r="DA219" s="470">
        <f>IF(AND(DG!$A202=10,DG!$B202=6),IMMO!$G13+IMMO!$I13,0)</f>
        <v>0</v>
      </c>
      <c r="DB219" s="470">
        <f>IF(AND(DG!$A202=10,DG!$B202=7),IMMO!$G13+IMMO!$I13,0)</f>
        <v>0</v>
      </c>
      <c r="DC219" s="470">
        <f>IF(AND(DG!$A202=10,DG!$B202=8),IMMO!$G13+IMMO!$I13,0)</f>
        <v>0</v>
      </c>
      <c r="DD219" s="470">
        <f>IF(AND(DG!$A202=10,DG!$B202=9),IMMO!$G13+IMMO!$I13,0)</f>
        <v>0</v>
      </c>
      <c r="DE219" s="470">
        <f>IF(AND(DG!$A202=10,DG!$B202=10),IMMO!$G13+IMMO!$I13,0)</f>
        <v>0</v>
      </c>
      <c r="DF219" s="470">
        <f>IF(AND(DG!$A202=10,DG!$B202=11),IMMO!$G13+IMMO!$I13,0)</f>
        <v>0</v>
      </c>
      <c r="DG219" s="470">
        <f>IF(AND(DG!$A202=10,DG!$B202=12),IMMO!$G13+IMMO!$I13,0)</f>
        <v>0</v>
      </c>
      <c r="DH219" s="470">
        <f>IF(AND(DG!$A202=11,DG!$B202=1),IMMO!$G13+IMMO!$I13,0)</f>
        <v>0</v>
      </c>
      <c r="DI219" s="470">
        <f>IF(AND(DG!$A202=11,DG!$B202=2),IMMO!$G13+IMMO!$I13,0)</f>
        <v>0</v>
      </c>
      <c r="DJ219" s="470">
        <f>IF(AND(DG!$A202=11,DG!$B202=3),IMMO!$G13+IMMO!$I13,0)</f>
        <v>0</v>
      </c>
      <c r="DK219" s="470">
        <f>IF(AND(DG!$A202=11,DG!$B202=4),IMMO!$G13+IMMO!$I13,0)</f>
        <v>0</v>
      </c>
      <c r="DL219" s="470">
        <f>IF(AND(DG!$A202=11,DG!$B202=5),IMMO!$G13+IMMO!$I13,0)</f>
        <v>0</v>
      </c>
      <c r="DM219" s="470">
        <f>IF(AND(DG!$A202=11,DG!$B202=6),IMMO!$G13+IMMO!$I13,0)</f>
        <v>0</v>
      </c>
      <c r="DN219" s="470">
        <f>IF(AND(DG!$A202=11,DG!$B202=7),IMMO!$G13+IMMO!$I13,0)</f>
        <v>0</v>
      </c>
      <c r="DO219" s="470">
        <f>IF(AND(DG!$A202=11,DG!$B202=8),IMMO!$G13+IMMO!$I13,0)</f>
        <v>0</v>
      </c>
      <c r="DP219" s="470">
        <f>IF(AND(DG!$A202=11,DG!$B202=9),IMMO!$G13+IMMO!$I13,0)</f>
        <v>0</v>
      </c>
      <c r="DQ219" s="470">
        <f>IF(AND(DG!$A202=11,DG!$B202=10),IMMO!$G13+IMMO!$I13,0)</f>
        <v>0</v>
      </c>
      <c r="DR219" s="470">
        <f>IF(AND(DG!$A202=11,DG!$B202=11),IMMO!$G13+IMMO!$I13,0)</f>
        <v>0</v>
      </c>
      <c r="DS219" s="470">
        <f>IF(AND(DG!$A202=11,DG!$B202=12),IMMO!$G13+IMMO!$I13,0)</f>
        <v>0</v>
      </c>
      <c r="DT219" s="470">
        <f>IF(AND(DG!$A202=12,DG!$B202=1),IMMO!$G13+IMMO!$I13,0)</f>
        <v>0</v>
      </c>
      <c r="DU219" s="470">
        <f>IF(AND(DG!$A202=12,DG!$B202=2),IMMO!$G13+IMMO!$I13,0)</f>
        <v>0</v>
      </c>
      <c r="DV219" s="470">
        <f>IF(AND(DG!$A202=12,DG!$B202=3),IMMO!$G13+IMMO!$I13,0)</f>
        <v>0</v>
      </c>
      <c r="DW219" s="470">
        <f>IF(AND(DG!$A202=12,DG!$B202=4),IMMO!$G13+IMMO!$I13,0)</f>
        <v>0</v>
      </c>
      <c r="DX219" s="470">
        <f>IF(AND(DG!$A202=12,DG!$B202=5),IMMO!$G13+IMMO!$I13,0)</f>
        <v>0</v>
      </c>
      <c r="DY219" s="470">
        <f>IF(AND(DG!$A202=12,DG!$B202=6),IMMO!$G13+IMMO!$I13,0)</f>
        <v>0</v>
      </c>
      <c r="DZ219" s="470">
        <f>IF(AND(DG!$A202=12,DG!$B202=7),IMMO!$G13+IMMO!$I13,0)</f>
        <v>0</v>
      </c>
      <c r="EA219" s="470">
        <f>IF(AND(DG!$A202=12,DG!$B202=8),IMMO!$G13+IMMO!$I13,0)</f>
        <v>0</v>
      </c>
      <c r="EB219" s="470">
        <f>IF(AND(DG!$A202=12,DG!$B202=9),IMMO!$G13+IMMO!$I13,0)</f>
        <v>0</v>
      </c>
      <c r="EC219" s="470">
        <f>IF(AND(DG!$A202=12,DG!$B202=10),IMMO!$G13+IMMO!$I13,0)</f>
        <v>0</v>
      </c>
      <c r="ED219" s="470">
        <f>IF(AND(DG!$A202=12,DG!$B202=11),IMMO!$G13+IMMO!$I13,0)</f>
        <v>0</v>
      </c>
      <c r="EE219" s="470">
        <f>IF(AND(DG!$A202=12,DG!$B202=12),IMMO!$G13+IMMO!$I13,0)</f>
        <v>0</v>
      </c>
      <c r="EF219" s="470"/>
      <c r="EG219" s="470"/>
      <c r="EH219" s="470"/>
      <c r="EI219" s="470"/>
      <c r="EJ219" s="470"/>
      <c r="EK219" s="470"/>
      <c r="EL219" s="470"/>
      <c r="EM219" s="470"/>
    </row>
    <row r="220" spans="1:257">
      <c r="D220" s="470"/>
      <c r="E220" s="470"/>
      <c r="F220" s="470"/>
      <c r="G220" s="470"/>
      <c r="H220" s="470"/>
      <c r="I220" s="470"/>
      <c r="J220" s="470"/>
      <c r="K220" s="470"/>
      <c r="L220" s="470"/>
      <c r="M220" s="470"/>
      <c r="N220" s="470"/>
      <c r="O220" s="470"/>
      <c r="P220" s="470"/>
      <c r="Q220" s="470"/>
      <c r="R220" s="470"/>
      <c r="S220" s="470"/>
      <c r="T220" s="470"/>
      <c r="U220" s="470"/>
      <c r="V220" s="470"/>
      <c r="W220" s="470"/>
      <c r="X220" s="470"/>
      <c r="Y220" s="470"/>
      <c r="Z220" s="470"/>
      <c r="AA220" s="470"/>
      <c r="AB220" s="470"/>
      <c r="AC220" s="470"/>
      <c r="AD220" s="470"/>
      <c r="AE220" s="470"/>
      <c r="AF220" s="470"/>
      <c r="AG220" s="470"/>
      <c r="AH220" s="470"/>
      <c r="AI220" s="470"/>
      <c r="AJ220" s="470"/>
      <c r="AK220" s="470"/>
      <c r="AL220" s="470"/>
      <c r="AM220" s="470"/>
      <c r="AN220" s="470"/>
      <c r="AO220" s="470"/>
      <c r="AP220" s="470"/>
      <c r="AQ220" s="470"/>
      <c r="AR220" s="470"/>
      <c r="AS220" s="470"/>
      <c r="AT220" s="470"/>
      <c r="AU220" s="470"/>
      <c r="AV220" s="470"/>
      <c r="AW220" s="470"/>
      <c r="AX220" s="470"/>
      <c r="AY220" s="470"/>
      <c r="AZ220" s="470"/>
      <c r="BA220" s="470"/>
      <c r="BB220" s="470"/>
      <c r="BC220" s="471"/>
    </row>
    <row r="221" spans="1:257">
      <c r="D221" s="470">
        <f>IF(AND(DG!$A203=2,DG!$B203=1),IMMO!$G15+IMMO!$I15,0)</f>
        <v>0</v>
      </c>
      <c r="E221" s="470">
        <f>IF(AND(DG!$A203=2,DG!$B203=2),IMMO!$G15+IMMO!$I15,0)</f>
        <v>0</v>
      </c>
      <c r="F221" s="470">
        <f>IF(AND(DG!$A203=2,DG!$B203=3),IMMO!$G15+IMMO!$I15,0)</f>
        <v>0</v>
      </c>
      <c r="G221" s="470">
        <f>IF(AND(DG!$A203=2,DG!$B203=4),IMMO!$G15+IMMO!$I15,0)</f>
        <v>0</v>
      </c>
      <c r="H221" s="470">
        <f>IF(AND(DG!$A203=2,DG!$B203=5),IMMO!$G15+IMMO!$I15,0)</f>
        <v>0</v>
      </c>
      <c r="I221" s="470">
        <f>IF(AND(DG!$A203=2,DG!$B203=6),IMMO!$G15+IMMO!$I15,0)</f>
        <v>0</v>
      </c>
      <c r="J221" s="470">
        <f>IF(AND(DG!$A203=2,DG!$B203=7),IMMO!$G15+IMMO!$I15,0)</f>
        <v>0</v>
      </c>
      <c r="K221" s="470">
        <f>IF(AND(DG!$A203=2,DG!$B203=8),IMMO!$G15+IMMO!$I15,0)</f>
        <v>0</v>
      </c>
      <c r="L221" s="470">
        <f>IF(AND(DG!$A203=2,DG!$B203=9),IMMO!$G15+IMMO!$I15,0)</f>
        <v>0</v>
      </c>
      <c r="M221" s="470">
        <f>IF(AND(DG!$A203=2,DG!$B203=10),IMMO!$G15+IMMO!$I15,0)</f>
        <v>0</v>
      </c>
      <c r="N221" s="470">
        <f>IF(AND(DG!$A203=2,DG!$B203=11),IMMO!$G15+IMMO!$I15,0)</f>
        <v>0</v>
      </c>
      <c r="O221" s="470">
        <f>IF(AND(DG!$A203=2,DG!$B203=12),IMMO!$G15+IMMO!$I15,0)</f>
        <v>0</v>
      </c>
      <c r="P221" s="470">
        <f>IF(AND(DG!$A203=3,DG!$B203=1),IMMO!$G15+IMMO!$I15,0)</f>
        <v>0</v>
      </c>
      <c r="Q221" s="470">
        <f>IF(AND(DG!$A203=3,DG!$B203=2),IMMO!$G15+IMMO!$I15,0)</f>
        <v>0</v>
      </c>
      <c r="R221" s="470">
        <f>IF(AND(DG!$A203=3,DG!$B203=3),IMMO!$G15+IMMO!$I15,0)</f>
        <v>0</v>
      </c>
      <c r="S221" s="470">
        <f>IF(AND(DG!$A203=3,DG!$B203=4),IMMO!$G15+IMMO!$I15,0)</f>
        <v>0</v>
      </c>
      <c r="T221" s="470">
        <f>IF(AND(DG!$A203=3,DG!$B203=5),IMMO!$G15+IMMO!$I15,0)</f>
        <v>0</v>
      </c>
      <c r="U221" s="470">
        <f>IF(AND(DG!$A203=3,DG!$B203=6),IMMO!$G15+IMMO!$I15,0)</f>
        <v>0</v>
      </c>
      <c r="V221" s="470">
        <f>IF(AND(DG!$A203=3,DG!$B203=7),IMMO!$G15+IMMO!$I15,0)</f>
        <v>0</v>
      </c>
      <c r="W221" s="470">
        <f>IF(AND(DG!$A203=3,DG!$B203=8),IMMO!$G15+IMMO!$I15,0)</f>
        <v>0</v>
      </c>
      <c r="X221" s="470">
        <f>IF(AND(DG!$A203=3,DG!$B203=9),IMMO!$G15+IMMO!$I15,0)</f>
        <v>0</v>
      </c>
      <c r="Y221" s="470">
        <f>IF(AND(DG!$A203=3,DG!$B203=10),IMMO!$G15+IMMO!$I15,0)</f>
        <v>0</v>
      </c>
      <c r="Z221" s="470">
        <f>IF(AND(DG!$A203=3,DG!$B203=11),IMMO!$G15+IMMO!$I15,0)</f>
        <v>0</v>
      </c>
      <c r="AA221" s="470">
        <f>IF(AND(DG!$A203=3,DG!$B203=12),IMMO!$G15+IMMO!$I15,0)</f>
        <v>0</v>
      </c>
      <c r="AB221" s="470">
        <f>IF(AND(DG!$A203=4,DG!$B203=1),IMMO!$G15+IMMO!$I15,0)</f>
        <v>0</v>
      </c>
      <c r="AC221" s="470">
        <f>IF(AND(DG!$A203=4,DG!$B203=2),IMMO!$G15+IMMO!$I15,0)</f>
        <v>0</v>
      </c>
      <c r="AD221" s="470">
        <f>IF(AND(DG!$A203=4,DG!$B203=3),IMMO!$G15+IMMO!$I15,0)</f>
        <v>0</v>
      </c>
      <c r="AE221" s="470">
        <f>IF(AND(DG!$A203=4,DG!$B203=4),IMMO!$G15+IMMO!$I15,0)</f>
        <v>0</v>
      </c>
      <c r="AF221" s="470">
        <f>IF(AND(DG!$A203=4,DG!$B203=5),IMMO!$G15+IMMO!$I15,0)</f>
        <v>0</v>
      </c>
      <c r="AG221" s="470">
        <f>IF(AND(DG!$A203=4,DG!$B203=6),IMMO!$G15+IMMO!$I15,0)</f>
        <v>0</v>
      </c>
      <c r="AH221" s="470">
        <f>IF(AND(DG!$A203=4,DG!$B203=7),IMMO!$G15+IMMO!$I15,0)</f>
        <v>0</v>
      </c>
      <c r="AI221" s="470">
        <f>IF(AND(DG!$A203=4,DG!$B203=8),IMMO!$G15+IMMO!$I15,0)</f>
        <v>0</v>
      </c>
      <c r="AJ221" s="470">
        <f>IF(AND(DG!$A203=4,DG!$B203=9),IMMO!$G15+IMMO!$I15,0)</f>
        <v>0</v>
      </c>
      <c r="AK221" s="470">
        <f>IF(AND(DG!$A203=4,DG!$B203=10),IMMO!$G15+IMMO!$I15,0)</f>
        <v>0</v>
      </c>
      <c r="AL221" s="470">
        <f>IF(AND(DG!$A203=4,DG!$B203=11),IMMO!$G15+IMMO!$I15,0)</f>
        <v>0</v>
      </c>
      <c r="AM221" s="470">
        <f>IF(AND(DG!$A203=4,DG!$B203=12),IMMO!$G15+IMMO!$I15,0)</f>
        <v>0</v>
      </c>
      <c r="AN221" s="470">
        <f>IF(AND(DG!$A203=5,DG!$B203=1),IMMO!$G15+IMMO!$I15,0)</f>
        <v>0</v>
      </c>
      <c r="AO221" s="470">
        <f>IF(AND(DG!$A203=5,DG!$B203=2),IMMO!$G15+IMMO!$I15,0)</f>
        <v>0</v>
      </c>
      <c r="AP221" s="470">
        <f>IF(AND(DG!$A203=5,DG!$B203=3),IMMO!$G15+IMMO!$I15,0)</f>
        <v>0</v>
      </c>
      <c r="AQ221" s="470">
        <f>IF(AND(DG!$A203=5,DG!$B203=4),IMMO!$G15+IMMO!$I15,0)</f>
        <v>0</v>
      </c>
      <c r="AR221" s="470">
        <f>IF(AND(DG!$A203=5,DG!$B203=5),IMMO!$G15+IMMO!$I15,0)</f>
        <v>0</v>
      </c>
      <c r="AS221" s="470">
        <f>IF(AND(DG!$A203=5,DG!$B203=6),IMMO!$G15+IMMO!$I15,0)</f>
        <v>0</v>
      </c>
      <c r="AT221" s="470">
        <f>IF(AND(DG!$A203=5,DG!$B203=7),IMMO!$G15+IMMO!$I15,0)</f>
        <v>0</v>
      </c>
      <c r="AU221" s="470">
        <f>IF(AND(DG!$A203=5,DG!$B203=8),IMMO!$G15+IMMO!$I15,0)</f>
        <v>0</v>
      </c>
      <c r="AV221" s="470">
        <f>IF(AND(DG!$A203=5,DG!$B203=9),IMMO!$G15+IMMO!$I15,0)</f>
        <v>0</v>
      </c>
      <c r="AW221" s="470">
        <f>IF(AND(DG!$A203=5,DG!$B203=10),IMMO!$G15+IMMO!$I15,0)</f>
        <v>0</v>
      </c>
      <c r="AX221" s="470">
        <f>IF(AND(DG!$A203=5,DG!$B203=11),IMMO!$G15+IMMO!$I15,0)</f>
        <v>0</v>
      </c>
      <c r="AY221" s="470">
        <f>IF(AND(DG!$A203=5,DG!$B203=12),IMMO!$G15+IMMO!$I15,0)</f>
        <v>0</v>
      </c>
      <c r="AZ221" s="470">
        <f>IF(AND(DG!$A203=6,DG!$B203=1),IMMO!$G15+IMMO!$I15,0)</f>
        <v>0</v>
      </c>
      <c r="BA221" s="470">
        <f>IF(AND(DG!$A203=6,DG!$B203=2),IMMO!$G15+IMMO!$I15,0)</f>
        <v>0</v>
      </c>
      <c r="BB221" s="470">
        <f>IF(AND(DG!$A203=6,DG!$B203=3),IMMO!$G15+IMMO!$I15,0)</f>
        <v>0</v>
      </c>
      <c r="BC221" s="470">
        <f>IF(AND(DG!$A203=6,DG!$B203=4),IMMO!$G15+IMMO!$I15,0)</f>
        <v>0</v>
      </c>
      <c r="BD221" s="470">
        <f>IF(AND(DG!$A203=6,DG!$B203=5),IMMO!$G15+IMMO!$I15,0)</f>
        <v>0</v>
      </c>
      <c r="BE221" s="470">
        <f>IF(AND(DG!$A203=6,DG!$B203=6),IMMO!$G15+IMMO!$I15,0)</f>
        <v>0</v>
      </c>
      <c r="BF221" s="470">
        <f>IF(AND(DG!$A203=6,DG!$B203=7),IMMO!$G15+IMMO!$I15,0)</f>
        <v>0</v>
      </c>
      <c r="BG221" s="470">
        <f>IF(AND(DG!$A203=6,DG!$B203=8),IMMO!$G15+IMMO!$I15,0)</f>
        <v>0</v>
      </c>
      <c r="BH221" s="470">
        <f>IF(AND(DG!$A203=6,DG!$B203=9),IMMO!$G15+IMMO!$I15,0)</f>
        <v>0</v>
      </c>
      <c r="BI221" s="470">
        <f>IF(AND(DG!$A203=6,DG!$B203=10),IMMO!$G15+IMMO!$I15,0)</f>
        <v>0</v>
      </c>
      <c r="BJ221" s="470">
        <f>IF(AND(DG!$A203=6,DG!$B203=11),IMMO!$G15+IMMO!$I15,0)</f>
        <v>0</v>
      </c>
      <c r="BK221" s="470">
        <f>IF(AND(DG!$A203=6,DG!$B203=12),IMMO!$G15+IMMO!$I15,0)</f>
        <v>0</v>
      </c>
      <c r="BL221" s="470">
        <f>IF(AND(DG!$A203=7,DG!$B203=1),IMMO!$G15+IMMO!$I15,0)</f>
        <v>0</v>
      </c>
      <c r="BM221" s="470">
        <f>IF(AND(DG!$A203=7,DG!$B203=2),IMMO!$G15+IMMO!$I15,0)</f>
        <v>0</v>
      </c>
      <c r="BN221" s="470">
        <f>IF(AND(DG!$A203=7,DG!$B203=3),IMMO!$G15+IMMO!$I15,0)</f>
        <v>0</v>
      </c>
      <c r="BO221" s="470">
        <f>IF(AND(DG!$A203=7,DG!$B203=4),IMMO!$G15+IMMO!$I15,0)</f>
        <v>0</v>
      </c>
      <c r="BP221" s="470">
        <f>IF(AND(DG!$A203=7,DG!$B203=5),IMMO!$G15+IMMO!$I15,0)</f>
        <v>0</v>
      </c>
      <c r="BQ221" s="470">
        <f>IF(AND(DG!$A203=7,DG!$B203=6),IMMO!$G15+IMMO!$I15,0)</f>
        <v>0</v>
      </c>
      <c r="BR221" s="470">
        <f>IF(AND(DG!$A203=7,DG!$B203=7),IMMO!$G15+IMMO!$I15,0)</f>
        <v>0</v>
      </c>
      <c r="BS221" s="470">
        <f>IF(AND(DG!$A203=7,DG!$B203=8),IMMO!$G15+IMMO!$I15,0)</f>
        <v>0</v>
      </c>
      <c r="BT221" s="470">
        <f>IF(AND(DG!$A203=7,DG!$B203=9),IMMO!$G15+IMMO!$I15,0)</f>
        <v>0</v>
      </c>
      <c r="BU221" s="470">
        <f>IF(AND(DG!$A203=7,DG!$B203=10),IMMO!$G15+IMMO!$I15,0)</f>
        <v>0</v>
      </c>
      <c r="BV221" s="470">
        <f>IF(AND(DG!$A203=7,DG!$B203=11),IMMO!$G15+IMMO!$I15,0)</f>
        <v>0</v>
      </c>
      <c r="BW221" s="470">
        <f>IF(AND(DG!$A203=7,DG!$B203=12),IMMO!$G15+IMMO!$I15,0)</f>
        <v>0</v>
      </c>
      <c r="BX221" s="470">
        <f>IF(AND(DG!$A203=8,DG!$B203=1),IMMO!$G15+IMMO!$I15,0)</f>
        <v>0</v>
      </c>
      <c r="BY221" s="470">
        <f>IF(AND(DG!$A203=8,DG!$B203=2),IMMO!$G15+IMMO!$I15,0)</f>
        <v>0</v>
      </c>
      <c r="BZ221" s="470">
        <f>IF(AND(DG!$A203=8,DG!$B203=3),IMMO!$G15+IMMO!$I15,0)</f>
        <v>0</v>
      </c>
      <c r="CA221" s="470">
        <f>IF(AND(DG!$A203=8,DG!$B203=4),IMMO!$G15+IMMO!$I15,0)</f>
        <v>0</v>
      </c>
      <c r="CB221" s="470">
        <f>IF(AND(DG!$A203=8,DG!$B203=5),IMMO!$G15+IMMO!$I15,0)</f>
        <v>0</v>
      </c>
      <c r="CC221" s="470">
        <f>IF(AND(DG!$A203=8,DG!$B203=6),IMMO!$G15+IMMO!$I15,0)</f>
        <v>0</v>
      </c>
      <c r="CD221" s="470">
        <f>IF(AND(DG!$A203=8,DG!$B203=7),IMMO!$G15+IMMO!$I15,0)</f>
        <v>0</v>
      </c>
      <c r="CE221" s="470">
        <f>IF(AND(DG!$A203=8,DG!$B203=8),IMMO!$G15+IMMO!$I15,0)</f>
        <v>0</v>
      </c>
      <c r="CF221" s="470">
        <f>IF(AND(DG!$A203=8,DG!$B203=9),IMMO!$G15+IMMO!$I15,0)</f>
        <v>0</v>
      </c>
      <c r="CG221" s="470">
        <f>IF(AND(DG!$A203=8,DG!$B203=10),IMMO!$G15+IMMO!$I15,0)</f>
        <v>0</v>
      </c>
      <c r="CH221" s="470">
        <f>IF(AND(DG!$A203=8,DG!$B203=11),IMMO!$G15+IMMO!$I15,0)</f>
        <v>0</v>
      </c>
      <c r="CI221" s="470">
        <f>IF(AND(DG!$A203=8,DG!$B203=12),IMMO!$G15+IMMO!$I15,0)</f>
        <v>0</v>
      </c>
      <c r="CJ221" s="470">
        <f>IF(AND(DG!$A203=9,DG!$B203=1),IMMO!$G15+IMMO!$I15,0)</f>
        <v>0</v>
      </c>
      <c r="CK221" s="470">
        <f>IF(AND(DG!$A203=9,DG!$B203=2),IMMO!$G15+IMMO!$I15,0)</f>
        <v>0</v>
      </c>
      <c r="CL221" s="470">
        <f>IF(AND(DG!$A203=9,DG!$B203=3),IMMO!$G15+IMMO!$I15,0)</f>
        <v>0</v>
      </c>
      <c r="CM221" s="470">
        <f>IF(AND(DG!$A203=9,DG!$B203=4),IMMO!$G15+IMMO!$I15,0)</f>
        <v>0</v>
      </c>
      <c r="CN221" s="470">
        <f>IF(AND(DG!$A203=9,DG!$B203=5),IMMO!$G15+IMMO!$I15,0)</f>
        <v>0</v>
      </c>
      <c r="CO221" s="470">
        <f>IF(AND(DG!$A203=9,DG!$B203=6),IMMO!$G15+IMMO!$I15,0)</f>
        <v>0</v>
      </c>
      <c r="CP221" s="470">
        <f>IF(AND(DG!$A203=9,DG!$B203=7),IMMO!$G15+IMMO!$I15,0)</f>
        <v>0</v>
      </c>
      <c r="CQ221" s="470">
        <f>IF(AND(DG!$A203=9,DG!$B203=8),IMMO!$G15+IMMO!$I15,0)</f>
        <v>0</v>
      </c>
      <c r="CR221" s="470">
        <f>IF(AND(DG!$A203=9,DG!$B203=9),IMMO!$G15+IMMO!$I15,0)</f>
        <v>0</v>
      </c>
      <c r="CS221" s="470">
        <f>IF(AND(DG!$A203=9,DG!$B203=10),IMMO!$G15+IMMO!$I15,0)</f>
        <v>0</v>
      </c>
      <c r="CT221" s="470">
        <f>IF(AND(DG!$A203=9,DG!$B203=11),IMMO!$G15+IMMO!$I15,0)</f>
        <v>0</v>
      </c>
      <c r="CU221" s="470">
        <f>IF(AND(DG!$A203=9,DG!$B203=12),IMMO!$G15+IMMO!$I15,0)</f>
        <v>0</v>
      </c>
      <c r="CV221" s="470">
        <f>IF(AND(DG!$A203=10,DG!$B203=1),IMMO!$G15+IMMO!$I15,0)</f>
        <v>0</v>
      </c>
      <c r="CW221" s="470">
        <f>IF(AND(DG!$A203=10,DG!$B203=2),IMMO!$G15+IMMO!$I15,0)</f>
        <v>0</v>
      </c>
      <c r="CX221" s="470">
        <f>IF(AND(DG!$A203=10,DG!$B203=3),IMMO!$G15+IMMO!$I15,0)</f>
        <v>0</v>
      </c>
      <c r="CY221" s="470">
        <f>IF(AND(DG!$A203=10,DG!$B203=4),IMMO!$G15+IMMO!$I15,0)</f>
        <v>0</v>
      </c>
      <c r="CZ221" s="470">
        <f>IF(AND(DG!$A203=10,DG!$B203=5),IMMO!$G15+IMMO!$I15,0)</f>
        <v>0</v>
      </c>
      <c r="DA221" s="470">
        <f>IF(AND(DG!$A203=10,DG!$B203=6),IMMO!$G15+IMMO!$I15,0)</f>
        <v>0</v>
      </c>
      <c r="DB221" s="470">
        <f>IF(AND(DG!$A203=10,DG!$B203=7),IMMO!$G15+IMMO!$I15,0)</f>
        <v>0</v>
      </c>
      <c r="DC221" s="470">
        <f>IF(AND(DG!$A203=10,DG!$B203=8),IMMO!$G15+IMMO!$I15,0)</f>
        <v>0</v>
      </c>
      <c r="DD221" s="470">
        <f>IF(AND(DG!$A203=10,DG!$B203=9),IMMO!$G15+IMMO!$I15,0)</f>
        <v>0</v>
      </c>
      <c r="DE221" s="470">
        <f>IF(AND(DG!$A203=10,DG!$B203=10),IMMO!$G15+IMMO!$I15,0)</f>
        <v>0</v>
      </c>
      <c r="DF221" s="470">
        <f>IF(AND(DG!$A203=10,DG!$B203=11),IMMO!$G15+IMMO!$I15,0)</f>
        <v>0</v>
      </c>
      <c r="DG221" s="470">
        <f>IF(AND(DG!$A203=10,DG!$B203=12),IMMO!$G15+IMMO!$I15,0)</f>
        <v>0</v>
      </c>
      <c r="DH221" s="470">
        <f>IF(AND(DG!$A203=11,DG!$B203=1),IMMO!$G15+IMMO!$I15,0)</f>
        <v>5000</v>
      </c>
      <c r="DI221" s="470">
        <f>IF(AND(DG!$A203=11,DG!$B203=2),IMMO!$G15+IMMO!$I15,0)</f>
        <v>0</v>
      </c>
      <c r="DJ221" s="470">
        <f>IF(AND(DG!$A203=11,DG!$B203=3),IMMO!$G15+IMMO!$I15,0)</f>
        <v>0</v>
      </c>
      <c r="DK221" s="470">
        <f>IF(AND(DG!$A203=11,DG!$B203=4),IMMO!$G15+IMMO!$I15,0)</f>
        <v>0</v>
      </c>
      <c r="DL221" s="470">
        <f>IF(AND(DG!$A203=11,DG!$B203=5),IMMO!$G15+IMMO!$I15,0)</f>
        <v>0</v>
      </c>
      <c r="DM221" s="470">
        <f>IF(AND(DG!$A203=11,DG!$B203=6),IMMO!$G15+IMMO!$I15,0)</f>
        <v>0</v>
      </c>
      <c r="DN221" s="470">
        <f>IF(AND(DG!$A203=11,DG!$B203=7),IMMO!$G15+IMMO!$I15,0)</f>
        <v>0</v>
      </c>
      <c r="DO221" s="470">
        <f>IF(AND(DG!$A203=11,DG!$B203=8),IMMO!$G15+IMMO!$I15,0)</f>
        <v>0</v>
      </c>
      <c r="DP221" s="470">
        <f>IF(AND(DG!$A203=11,DG!$B203=9),IMMO!$G15+IMMO!$I15,0)</f>
        <v>0</v>
      </c>
      <c r="DQ221" s="470">
        <f>IF(AND(DG!$A203=11,DG!$B203=10),IMMO!$G15+IMMO!$I15,0)</f>
        <v>0</v>
      </c>
      <c r="DR221" s="470">
        <f>IF(AND(DG!$A203=11,DG!$B203=11),IMMO!$G15+IMMO!$I15,0)</f>
        <v>0</v>
      </c>
      <c r="DS221" s="470">
        <f>IF(AND(DG!$A203=11,DG!$B203=12),IMMO!$G15+IMMO!$I15,0)</f>
        <v>0</v>
      </c>
      <c r="DT221" s="470">
        <f>IF(AND(DG!$A203=12,DG!$B203=1),IMMO!$G15+IMMO!$I15,0)</f>
        <v>0</v>
      </c>
      <c r="DU221" s="470">
        <f>IF(AND(DG!$A203=12,DG!$B203=2),IMMO!$G15+IMMO!$I15,0)</f>
        <v>0</v>
      </c>
      <c r="DV221" s="470">
        <f>IF(AND(DG!$A203=12,DG!$B203=3),IMMO!$G15+IMMO!$I15,0)</f>
        <v>0</v>
      </c>
      <c r="DW221" s="470">
        <f>IF(AND(DG!$A203=12,DG!$B203=4),IMMO!$G15+IMMO!$I15,0)</f>
        <v>0</v>
      </c>
      <c r="DX221" s="470">
        <f>IF(AND(DG!$A203=12,DG!$B203=5),IMMO!$G15+IMMO!$I15,0)</f>
        <v>0</v>
      </c>
      <c r="DY221" s="470">
        <f>IF(AND(DG!$A203=12,DG!$B203=6),IMMO!$G15+IMMO!$I15,0)</f>
        <v>0</v>
      </c>
      <c r="DZ221" s="470">
        <f>IF(AND(DG!$A203=12,DG!$B203=7),IMMO!$G15+IMMO!$I15,0)</f>
        <v>0</v>
      </c>
      <c r="EA221" s="470">
        <f>IF(AND(DG!$A203=12,DG!$B203=8),IMMO!$G15+IMMO!$I15,0)</f>
        <v>0</v>
      </c>
      <c r="EB221" s="470">
        <f>IF(AND(DG!$A203=12,DG!$B203=9),IMMO!$G15+IMMO!$I15,0)</f>
        <v>0</v>
      </c>
      <c r="EC221" s="470">
        <f>IF(AND(DG!$A203=12,DG!$B203=10),IMMO!$G15+IMMO!$I15,0)</f>
        <v>0</v>
      </c>
      <c r="ED221" s="470">
        <f>IF(AND(DG!$A203=12,DG!$B203=11),IMMO!$G15+IMMO!$I15,0)</f>
        <v>0</v>
      </c>
      <c r="EE221" s="470">
        <f>IF(AND(DG!$A203=12,DG!$B203=12),IMMO!$G15+IMMO!$I15,0)</f>
        <v>0</v>
      </c>
      <c r="EF221" s="470"/>
      <c r="EG221" s="470"/>
      <c r="EH221" s="470"/>
      <c r="EI221" s="470"/>
      <c r="EJ221" s="470"/>
      <c r="EK221" s="470"/>
      <c r="EL221" s="470"/>
      <c r="EM221" s="470"/>
    </row>
    <row r="222" spans="1:257">
      <c r="D222" s="470"/>
      <c r="E222" s="470"/>
      <c r="F222" s="470"/>
      <c r="G222" s="470"/>
      <c r="H222" s="470"/>
      <c r="I222" s="470"/>
      <c r="J222" s="470"/>
      <c r="K222" s="470"/>
      <c r="L222" s="470"/>
      <c r="M222" s="470"/>
      <c r="N222" s="470"/>
      <c r="O222" s="470"/>
      <c r="P222" s="470"/>
      <c r="Q222" s="470"/>
      <c r="R222" s="470"/>
      <c r="S222" s="470"/>
      <c r="T222" s="470"/>
      <c r="U222" s="470"/>
      <c r="V222" s="470"/>
      <c r="W222" s="470"/>
      <c r="X222" s="470"/>
      <c r="Y222" s="470"/>
      <c r="Z222" s="470"/>
      <c r="AA222" s="470"/>
      <c r="AB222" s="470"/>
      <c r="AC222" s="470"/>
      <c r="AD222" s="470"/>
      <c r="AE222" s="470"/>
      <c r="AF222" s="470"/>
      <c r="AG222" s="470"/>
      <c r="AH222" s="470"/>
      <c r="AI222" s="470"/>
      <c r="AJ222" s="470"/>
      <c r="AK222" s="470"/>
      <c r="AL222" s="470"/>
      <c r="AM222" s="470"/>
      <c r="AN222" s="470"/>
      <c r="AO222" s="470"/>
      <c r="AP222" s="470"/>
      <c r="AQ222" s="470"/>
      <c r="AR222" s="470"/>
      <c r="AS222" s="470"/>
      <c r="AT222" s="470"/>
      <c r="AU222" s="470"/>
      <c r="AV222" s="470"/>
      <c r="AW222" s="470"/>
      <c r="AX222" s="470"/>
      <c r="AY222" s="470"/>
      <c r="AZ222" s="470"/>
      <c r="BA222" s="470"/>
      <c r="BB222" s="470"/>
      <c r="BC222" s="471"/>
    </row>
    <row r="223" spans="1:257">
      <c r="D223" s="470">
        <f>IF(AND(DG!$A204=2,DG!$B204=1),IMMO!$G17+IMMO!$I17,0)</f>
        <v>0</v>
      </c>
      <c r="E223" s="470">
        <f>IF(AND(DG!$A204=2,DG!$B204=2),IMMO!$G17+IMMO!$I17,0)</f>
        <v>0</v>
      </c>
      <c r="F223" s="470">
        <f>IF(AND(DG!$A204=2,DG!$B204=3),IMMO!$G17+IMMO!$I17,0)</f>
        <v>0</v>
      </c>
      <c r="G223" s="470">
        <f>IF(AND(DG!$A204=2,DG!$B204=4),IMMO!$G17+IMMO!$I17,0)</f>
        <v>0</v>
      </c>
      <c r="H223" s="470">
        <f>IF(AND(DG!$A204=2,DG!$B204=5),IMMO!$G17+IMMO!$I17,0)</f>
        <v>0</v>
      </c>
      <c r="I223" s="470">
        <f>IF(AND(DG!$A204=2,DG!$B204=6),IMMO!$G17+IMMO!$I17,0)</f>
        <v>0</v>
      </c>
      <c r="J223" s="470">
        <f>IF(AND(DG!$A204=2,DG!$B204=7),IMMO!$G17+IMMO!$I17,0)</f>
        <v>0</v>
      </c>
      <c r="K223" s="470">
        <f>IF(AND(DG!$A204=2,DG!$B204=8),IMMO!$G17+IMMO!$I17,0)</f>
        <v>0</v>
      </c>
      <c r="L223" s="470">
        <f>IF(AND(DG!$A204=2,DG!$B204=9),IMMO!$G17+IMMO!$I17,0)</f>
        <v>0</v>
      </c>
      <c r="M223" s="470">
        <f>IF(AND(DG!$A204=2,DG!$B204=10),IMMO!$G17+IMMO!$I17,0)</f>
        <v>0</v>
      </c>
      <c r="N223" s="470">
        <f>IF(AND(DG!$A204=2,DG!$B204=11),IMMO!$G17+IMMO!$I17,0)</f>
        <v>0</v>
      </c>
      <c r="O223" s="470">
        <f>IF(AND(DG!$A204=2,DG!$B204=12),IMMO!$G17+IMMO!$I17,0)</f>
        <v>0</v>
      </c>
      <c r="P223" s="470">
        <f>IF(AND(DG!$A204=3,DG!$B204=1),IMMO!$G17+IMMO!$I17,0)</f>
        <v>0</v>
      </c>
      <c r="Q223" s="470">
        <f>IF(AND(DG!$A204=3,DG!$B204=2),IMMO!$G17+IMMO!$I17,0)</f>
        <v>0</v>
      </c>
      <c r="R223" s="470">
        <f>IF(AND(DG!$A204=3,DG!$B204=3),IMMO!$G17+IMMO!$I17,0)</f>
        <v>0</v>
      </c>
      <c r="S223" s="470">
        <f>IF(AND(DG!$A204=3,DG!$B204=4),IMMO!$G17+IMMO!$I17,0)</f>
        <v>0</v>
      </c>
      <c r="T223" s="470">
        <f>IF(AND(DG!$A204=3,DG!$B204=5),IMMO!$G17+IMMO!$I17,0)</f>
        <v>0</v>
      </c>
      <c r="U223" s="470">
        <f>IF(AND(DG!$A204=3,DG!$B204=6),IMMO!$G17+IMMO!$I17,0)</f>
        <v>0</v>
      </c>
      <c r="V223" s="470">
        <f>IF(AND(DG!$A204=3,DG!$B204=7),IMMO!$G17+IMMO!$I17,0)</f>
        <v>0</v>
      </c>
      <c r="W223" s="470">
        <f>IF(AND(DG!$A204=3,DG!$B204=8),IMMO!$G17+IMMO!$I17,0)</f>
        <v>0</v>
      </c>
      <c r="X223" s="470">
        <f>IF(AND(DG!$A204=3,DG!$B204=9),IMMO!$G17+IMMO!$I17,0)</f>
        <v>0</v>
      </c>
      <c r="Y223" s="470">
        <f>IF(AND(DG!$A204=3,DG!$B204=10),IMMO!$G17+IMMO!$I17,0)</f>
        <v>0</v>
      </c>
      <c r="Z223" s="470">
        <f>IF(AND(DG!$A204=3,DG!$B204=11),IMMO!$G17+IMMO!$I17,0)</f>
        <v>0</v>
      </c>
      <c r="AA223" s="470">
        <f>IF(AND(DG!$A204=3,DG!$B204=12),IMMO!$G17+IMMO!$I17,0)</f>
        <v>0</v>
      </c>
      <c r="AB223" s="470">
        <f>IF(AND(DG!$A204=4,DG!$B204=1),IMMO!$G17+IMMO!$I17,0)</f>
        <v>0</v>
      </c>
      <c r="AC223" s="470">
        <f>IF(AND(DG!$A204=4,DG!$B204=2),IMMO!$G17+IMMO!$I17,0)</f>
        <v>0</v>
      </c>
      <c r="AD223" s="470">
        <f>IF(AND(DG!$A204=4,DG!$B204=3),IMMO!$G17+IMMO!$I17,0)</f>
        <v>0</v>
      </c>
      <c r="AE223" s="470">
        <f>IF(AND(DG!$A204=4,DG!$B204=4),IMMO!$G17+IMMO!$I17,0)</f>
        <v>0</v>
      </c>
      <c r="AF223" s="470">
        <f>IF(AND(DG!$A204=4,DG!$B204=5),IMMO!$G17+IMMO!$I17,0)</f>
        <v>0</v>
      </c>
      <c r="AG223" s="470">
        <f>IF(AND(DG!$A204=4,DG!$B204=6),IMMO!$G17+IMMO!$I17,0)</f>
        <v>0</v>
      </c>
      <c r="AH223" s="470">
        <f>IF(AND(DG!$A204=4,DG!$B204=7),IMMO!$G17+IMMO!$I17,0)</f>
        <v>0</v>
      </c>
      <c r="AI223" s="470">
        <f>IF(AND(DG!$A204=4,DG!$B204=8),IMMO!$G17+IMMO!$I17,0)</f>
        <v>0</v>
      </c>
      <c r="AJ223" s="470">
        <f>IF(AND(DG!$A204=4,DG!$B204=9),IMMO!$G17+IMMO!$I17,0)</f>
        <v>0</v>
      </c>
      <c r="AK223" s="470">
        <f>IF(AND(DG!$A204=4,DG!$B204=10),IMMO!$G17+IMMO!$I17,0)</f>
        <v>0</v>
      </c>
      <c r="AL223" s="470">
        <f>IF(AND(DG!$A204=4,DG!$B204=11),IMMO!$G17+IMMO!$I17,0)</f>
        <v>0</v>
      </c>
      <c r="AM223" s="470">
        <f>IF(AND(DG!$A204=4,DG!$B204=12),IMMO!$G17+IMMO!$I17,0)</f>
        <v>0</v>
      </c>
      <c r="AN223" s="470">
        <f>IF(AND(DG!$A204=5,DG!$B204=1),IMMO!$G17+IMMO!$I17,0)</f>
        <v>0</v>
      </c>
      <c r="AO223" s="470">
        <f>IF(AND(DG!$A204=5,DG!$B204=2),IMMO!$G17+IMMO!$I17,0)</f>
        <v>0</v>
      </c>
      <c r="AP223" s="470">
        <f>IF(AND(DG!$A204=5,DG!$B204=3),IMMO!$G17+IMMO!$I17,0)</f>
        <v>0</v>
      </c>
      <c r="AQ223" s="470">
        <f>IF(AND(DG!$A204=5,DG!$B204=4),IMMO!$G17+IMMO!$I17,0)</f>
        <v>0</v>
      </c>
      <c r="AR223" s="470">
        <f>IF(AND(DG!$A204=5,DG!$B204=5),IMMO!$G17+IMMO!$I17,0)</f>
        <v>0</v>
      </c>
      <c r="AS223" s="470">
        <f>IF(AND(DG!$A204=5,DG!$B204=6),IMMO!$G17+IMMO!$I17,0)</f>
        <v>0</v>
      </c>
      <c r="AT223" s="470">
        <f>IF(AND(DG!$A204=5,DG!$B204=7),IMMO!$G17+IMMO!$I17,0)</f>
        <v>0</v>
      </c>
      <c r="AU223" s="470">
        <f>IF(AND(DG!$A204=5,DG!$B204=8),IMMO!$G17+IMMO!$I17,0)</f>
        <v>0</v>
      </c>
      <c r="AV223" s="470">
        <f>IF(AND(DG!$A204=5,DG!$B204=9),IMMO!$G17+IMMO!$I17,0)</f>
        <v>0</v>
      </c>
      <c r="AW223" s="470">
        <f>IF(AND(DG!$A204=5,DG!$B204=10),IMMO!$G17+IMMO!$I17,0)</f>
        <v>0</v>
      </c>
      <c r="AX223" s="470">
        <f>IF(AND(DG!$A204=5,DG!$B204=11),IMMO!$G17+IMMO!$I17,0)</f>
        <v>0</v>
      </c>
      <c r="AY223" s="470">
        <f>IF(AND(DG!$A204=5,DG!$B204=12),IMMO!$G17+IMMO!$I17,0)</f>
        <v>0</v>
      </c>
      <c r="AZ223" s="470">
        <f>IF(AND(DG!$A204=6,DG!$B204=1),IMMO!$G17+IMMO!$I17,0)</f>
        <v>0</v>
      </c>
      <c r="BA223" s="470">
        <f>IF(AND(DG!$A204=6,DG!$B204=2),IMMO!$G17+IMMO!$I17,0)</f>
        <v>0</v>
      </c>
      <c r="BB223" s="470">
        <f>IF(AND(DG!$A204=6,DG!$B204=3),IMMO!$G17+IMMO!$I17,0)</f>
        <v>0</v>
      </c>
      <c r="BC223" s="470">
        <f>IF(AND(DG!$A204=6,DG!$B204=4),IMMO!$G17+IMMO!$I17,0)</f>
        <v>0</v>
      </c>
      <c r="BD223" s="470">
        <f>IF(AND(DG!$A204=6,DG!$B204=5),IMMO!$G17+IMMO!$I17,0)</f>
        <v>0</v>
      </c>
      <c r="BE223" s="470">
        <f>IF(AND(DG!$A204=6,DG!$B204=6),IMMO!$G17+IMMO!$I17,0)</f>
        <v>0</v>
      </c>
      <c r="BF223" s="470">
        <f>IF(AND(DG!$A204=6,DG!$B204=7),IMMO!$G17+IMMO!$I17,0)</f>
        <v>0</v>
      </c>
      <c r="BG223" s="470">
        <f>IF(AND(DG!$A204=6,DG!$B204=8),IMMO!$G17+IMMO!$I17,0)</f>
        <v>0</v>
      </c>
      <c r="BH223" s="470">
        <f>IF(AND(DG!$A204=6,DG!$B204=9),IMMO!$G17+IMMO!$I17,0)</f>
        <v>0</v>
      </c>
      <c r="BI223" s="470">
        <f>IF(AND(DG!$A204=6,DG!$B204=10),IMMO!$G17+IMMO!$I17,0)</f>
        <v>0</v>
      </c>
      <c r="BJ223" s="470">
        <f>IF(AND(DG!$A204=6,DG!$B204=11),IMMO!$G17+IMMO!$I17,0)</f>
        <v>0</v>
      </c>
      <c r="BK223" s="470">
        <f>IF(AND(DG!$A204=6,DG!$B204=12),IMMO!$G17+IMMO!$I17,0)</f>
        <v>0</v>
      </c>
      <c r="BL223" s="470">
        <f>IF(AND(DG!$A204=7,DG!$B204=1),IMMO!$G17+IMMO!$I17,0)</f>
        <v>0</v>
      </c>
      <c r="BM223" s="470">
        <f>IF(AND(DG!$A204=7,DG!$B204=2),IMMO!$G17+IMMO!$I17,0)</f>
        <v>0</v>
      </c>
      <c r="BN223" s="470">
        <f>IF(AND(DG!$A204=7,DG!$B204=3),IMMO!$G17+IMMO!$I17,0)</f>
        <v>0</v>
      </c>
      <c r="BO223" s="470">
        <f>IF(AND(DG!$A204=7,DG!$B204=4),IMMO!$G17+IMMO!$I17,0)</f>
        <v>0</v>
      </c>
      <c r="BP223" s="470">
        <f>IF(AND(DG!$A204=7,DG!$B204=5),IMMO!$G17+IMMO!$I17,0)</f>
        <v>0</v>
      </c>
      <c r="BQ223" s="470">
        <f>IF(AND(DG!$A204=7,DG!$B204=6),IMMO!$G17+IMMO!$I17,0)</f>
        <v>0</v>
      </c>
      <c r="BR223" s="470">
        <f>IF(AND(DG!$A204=7,DG!$B204=7),IMMO!$G17+IMMO!$I17,0)</f>
        <v>0</v>
      </c>
      <c r="BS223" s="470">
        <f>IF(AND(DG!$A204=7,DG!$B204=8),IMMO!$G17+IMMO!$I17,0)</f>
        <v>0</v>
      </c>
      <c r="BT223" s="470">
        <f>IF(AND(DG!$A204=7,DG!$B204=9),IMMO!$G17+IMMO!$I17,0)</f>
        <v>0</v>
      </c>
      <c r="BU223" s="470">
        <f>IF(AND(DG!$A204=7,DG!$B204=10),IMMO!$G17+IMMO!$I17,0)</f>
        <v>0</v>
      </c>
      <c r="BV223" s="470">
        <f>IF(AND(DG!$A204=7,DG!$B204=11),IMMO!$G17+IMMO!$I17,0)</f>
        <v>0</v>
      </c>
      <c r="BW223" s="470">
        <f>IF(AND(DG!$A204=7,DG!$B204=12),IMMO!$G17+IMMO!$I17,0)</f>
        <v>0</v>
      </c>
      <c r="BX223" s="470">
        <f>IF(AND(DG!$A204=8,DG!$B204=1),IMMO!$G17+IMMO!$I17,0)</f>
        <v>0</v>
      </c>
      <c r="BY223" s="470">
        <f>IF(AND(DG!$A204=8,DG!$B204=2),IMMO!$G17+IMMO!$I17,0)</f>
        <v>0</v>
      </c>
      <c r="BZ223" s="470">
        <f>IF(AND(DG!$A204=8,DG!$B204=3),IMMO!$G17+IMMO!$I17,0)</f>
        <v>0</v>
      </c>
      <c r="CA223" s="470">
        <f>IF(AND(DG!$A204=8,DG!$B204=4),IMMO!$G17+IMMO!$I17,0)</f>
        <v>0</v>
      </c>
      <c r="CB223" s="470">
        <f>IF(AND(DG!$A204=8,DG!$B204=5),IMMO!$G17+IMMO!$I17,0)</f>
        <v>0</v>
      </c>
      <c r="CC223" s="470">
        <f>IF(AND(DG!$A204=8,DG!$B204=6),IMMO!$G17+IMMO!$I17,0)</f>
        <v>0</v>
      </c>
      <c r="CD223" s="470">
        <f>IF(AND(DG!$A204=8,DG!$B204=7),IMMO!$G17+IMMO!$I17,0)</f>
        <v>0</v>
      </c>
      <c r="CE223" s="470">
        <f>IF(AND(DG!$A204=8,DG!$B204=8),IMMO!$G17+IMMO!$I17,0)</f>
        <v>0</v>
      </c>
      <c r="CF223" s="470">
        <f>IF(AND(DG!$A204=8,DG!$B204=9),IMMO!$G17+IMMO!$I17,0)</f>
        <v>0</v>
      </c>
      <c r="CG223" s="470">
        <f>IF(AND(DG!$A204=8,DG!$B204=10),IMMO!$G17+IMMO!$I17,0)</f>
        <v>0</v>
      </c>
      <c r="CH223" s="470">
        <f>IF(AND(DG!$A204=8,DG!$B204=11),IMMO!$G17+IMMO!$I17,0)</f>
        <v>0</v>
      </c>
      <c r="CI223" s="470">
        <f>IF(AND(DG!$A204=8,DG!$B204=12),IMMO!$G17+IMMO!$I17,0)</f>
        <v>0</v>
      </c>
      <c r="CJ223" s="470">
        <f>IF(AND(DG!$A204=9,DG!$B204=1),IMMO!$G17+IMMO!$I17,0)</f>
        <v>0</v>
      </c>
      <c r="CK223" s="470">
        <f>IF(AND(DG!$A204=9,DG!$B204=2),IMMO!$G17+IMMO!$I17,0)</f>
        <v>0</v>
      </c>
      <c r="CL223" s="470">
        <f>IF(AND(DG!$A204=9,DG!$B204=3),IMMO!$G17+IMMO!$I17,0)</f>
        <v>0</v>
      </c>
      <c r="CM223" s="470">
        <f>IF(AND(DG!$A204=9,DG!$B204=4),IMMO!$G17+IMMO!$I17,0)</f>
        <v>0</v>
      </c>
      <c r="CN223" s="470">
        <f>IF(AND(DG!$A204=9,DG!$B204=5),IMMO!$G17+IMMO!$I17,0)</f>
        <v>0</v>
      </c>
      <c r="CO223" s="470">
        <f>IF(AND(DG!$A204=9,DG!$B204=6),IMMO!$G17+IMMO!$I17,0)</f>
        <v>0</v>
      </c>
      <c r="CP223" s="470">
        <f>IF(AND(DG!$A204=9,DG!$B204=7),IMMO!$G17+IMMO!$I17,0)</f>
        <v>0</v>
      </c>
      <c r="CQ223" s="470">
        <f>IF(AND(DG!$A204=9,DG!$B204=8),IMMO!$G17+IMMO!$I17,0)</f>
        <v>0</v>
      </c>
      <c r="CR223" s="470">
        <f>IF(AND(DG!$A204=9,DG!$B204=9),IMMO!$G17+IMMO!$I17,0)</f>
        <v>0</v>
      </c>
      <c r="CS223" s="470">
        <f>IF(AND(DG!$A204=9,DG!$B204=10),IMMO!$G17+IMMO!$I17,0)</f>
        <v>0</v>
      </c>
      <c r="CT223" s="470">
        <f>IF(AND(DG!$A204=9,DG!$B204=11),IMMO!$G17+IMMO!$I17,0)</f>
        <v>0</v>
      </c>
      <c r="CU223" s="470">
        <f>IF(AND(DG!$A204=9,DG!$B204=12),IMMO!$G17+IMMO!$I17,0)</f>
        <v>0</v>
      </c>
      <c r="CV223" s="470">
        <f>IF(AND(DG!$A204=10,DG!$B204=1),IMMO!$G17+IMMO!$I17,0)</f>
        <v>0</v>
      </c>
      <c r="CW223" s="470">
        <f>IF(AND(DG!$A204=10,DG!$B204=2),IMMO!$G17+IMMO!$I17,0)</f>
        <v>0</v>
      </c>
      <c r="CX223" s="470">
        <f>IF(AND(DG!$A204=10,DG!$B204=3),IMMO!$G17+IMMO!$I17,0)</f>
        <v>0</v>
      </c>
      <c r="CY223" s="470">
        <f>IF(AND(DG!$A204=10,DG!$B204=4),IMMO!$G17+IMMO!$I17,0)</f>
        <v>0</v>
      </c>
      <c r="CZ223" s="470">
        <f>IF(AND(DG!$A204=10,DG!$B204=5),IMMO!$G17+IMMO!$I17,0)</f>
        <v>0</v>
      </c>
      <c r="DA223" s="470">
        <f>IF(AND(DG!$A204=10,DG!$B204=6),IMMO!$G17+IMMO!$I17,0)</f>
        <v>0</v>
      </c>
      <c r="DB223" s="470">
        <f>IF(AND(DG!$A204=10,DG!$B204=7),IMMO!$G17+IMMO!$I17,0)</f>
        <v>0</v>
      </c>
      <c r="DC223" s="470">
        <f>IF(AND(DG!$A204=10,DG!$B204=8),IMMO!$G17+IMMO!$I17,0)</f>
        <v>0</v>
      </c>
      <c r="DD223" s="470">
        <f>IF(AND(DG!$A204=10,DG!$B204=9),IMMO!$G17+IMMO!$I17,0)</f>
        <v>0</v>
      </c>
      <c r="DE223" s="470">
        <f>IF(AND(DG!$A204=10,DG!$B204=10),IMMO!$G17+IMMO!$I17,0)</f>
        <v>0</v>
      </c>
      <c r="DF223" s="470">
        <f>IF(AND(DG!$A204=10,DG!$B204=11),IMMO!$G17+IMMO!$I17,0)</f>
        <v>0</v>
      </c>
      <c r="DG223" s="470">
        <f>IF(AND(DG!$A204=10,DG!$B204=12),IMMO!$G17+IMMO!$I17,0)</f>
        <v>0</v>
      </c>
      <c r="DH223" s="470">
        <f>IF(AND(DG!$A204=11,DG!$B204=1),IMMO!$G17+IMMO!$I17,0)</f>
        <v>0</v>
      </c>
      <c r="DI223" s="470">
        <f>IF(AND(DG!$A204=11,DG!$B204=2),IMMO!$G17+IMMO!$I17,0)</f>
        <v>0</v>
      </c>
      <c r="DJ223" s="470">
        <f>IF(AND(DG!$A204=11,DG!$B204=3),IMMO!$G17+IMMO!$I17,0)</f>
        <v>0</v>
      </c>
      <c r="DK223" s="470">
        <f>IF(AND(DG!$A204=11,DG!$B204=4),IMMO!$G17+IMMO!$I17,0)</f>
        <v>0</v>
      </c>
      <c r="DL223" s="470">
        <f>IF(AND(DG!$A204=11,DG!$B204=5),IMMO!$G17+IMMO!$I17,0)</f>
        <v>0</v>
      </c>
      <c r="DM223" s="470">
        <f>IF(AND(DG!$A204=11,DG!$B204=6),IMMO!$G17+IMMO!$I17,0)</f>
        <v>0</v>
      </c>
      <c r="DN223" s="470">
        <f>IF(AND(DG!$A204=11,DG!$B204=7),IMMO!$G17+IMMO!$I17,0)</f>
        <v>0</v>
      </c>
      <c r="DO223" s="470">
        <f>IF(AND(DG!$A204=11,DG!$B204=8),IMMO!$G17+IMMO!$I17,0)</f>
        <v>0</v>
      </c>
      <c r="DP223" s="470">
        <f>IF(AND(DG!$A204=11,DG!$B204=9),IMMO!$G17+IMMO!$I17,0)</f>
        <v>0</v>
      </c>
      <c r="DQ223" s="470">
        <f>IF(AND(DG!$A204=11,DG!$B204=10),IMMO!$G17+IMMO!$I17,0)</f>
        <v>0</v>
      </c>
      <c r="DR223" s="470">
        <f>IF(AND(DG!$A204=11,DG!$B204=11),IMMO!$G17+IMMO!$I17,0)</f>
        <v>0</v>
      </c>
      <c r="DS223" s="470">
        <f>IF(AND(DG!$A204=11,DG!$B204=12),IMMO!$G17+IMMO!$I17,0)</f>
        <v>0</v>
      </c>
      <c r="DT223" s="470">
        <f>IF(AND(DG!$A204=12,DG!$B204=1),IMMO!$G17+IMMO!$I17,0)</f>
        <v>2500</v>
      </c>
      <c r="DU223" s="470">
        <f>IF(AND(DG!$A204=12,DG!$B204=2),IMMO!$G17+IMMO!$I17,0)</f>
        <v>0</v>
      </c>
      <c r="DV223" s="470">
        <f>IF(AND(DG!$A204=12,DG!$B204=3),IMMO!$G17+IMMO!$I17,0)</f>
        <v>0</v>
      </c>
      <c r="DW223" s="470">
        <f>IF(AND(DG!$A204=12,DG!$B204=4),IMMO!$G17+IMMO!$I17,0)</f>
        <v>0</v>
      </c>
      <c r="DX223" s="470">
        <f>IF(AND(DG!$A204=12,DG!$B204=5),IMMO!$G17+IMMO!$I17,0)</f>
        <v>0</v>
      </c>
      <c r="DY223" s="470">
        <f>IF(AND(DG!$A204=12,DG!$B204=6),IMMO!$G17+IMMO!$I17,0)</f>
        <v>0</v>
      </c>
      <c r="DZ223" s="470">
        <f>IF(AND(DG!$A204=12,DG!$B204=7),IMMO!$G17+IMMO!$I17,0)</f>
        <v>0</v>
      </c>
      <c r="EA223" s="470">
        <f>IF(AND(DG!$A204=12,DG!$B204=8),IMMO!$G17+IMMO!$I17,0)</f>
        <v>0</v>
      </c>
      <c r="EB223" s="470">
        <f>IF(AND(DG!$A204=12,DG!$B204=9),IMMO!$G17+IMMO!$I17,0)</f>
        <v>0</v>
      </c>
      <c r="EC223" s="470">
        <f>IF(AND(DG!$A204=12,DG!$B204=10),IMMO!$G17+IMMO!$I17,0)</f>
        <v>0</v>
      </c>
      <c r="ED223" s="470">
        <f>IF(AND(DG!$A204=12,DG!$B204=11),IMMO!$G17+IMMO!$I17,0)</f>
        <v>0</v>
      </c>
      <c r="EE223" s="470">
        <f>IF(AND(DG!$A204=12,DG!$B204=12),IMMO!$G17+IMMO!$I17,0)</f>
        <v>0</v>
      </c>
      <c r="EF223" s="470"/>
      <c r="EG223" s="470"/>
      <c r="EH223" s="470"/>
      <c r="EI223" s="470"/>
      <c r="EJ223" s="470"/>
      <c r="EK223" s="470"/>
      <c r="EL223" s="470"/>
      <c r="EM223" s="470"/>
    </row>
    <row r="224" spans="1:257">
      <c r="D224" s="470"/>
      <c r="E224" s="470"/>
      <c r="F224" s="470"/>
      <c r="G224" s="470"/>
      <c r="H224" s="470"/>
      <c r="I224" s="470"/>
      <c r="J224" s="470"/>
      <c r="K224" s="470"/>
      <c r="L224" s="470"/>
      <c r="M224" s="470"/>
      <c r="N224" s="470"/>
      <c r="O224" s="470"/>
      <c r="P224" s="470"/>
      <c r="Q224" s="470"/>
      <c r="R224" s="470"/>
      <c r="S224" s="470"/>
      <c r="T224" s="470"/>
      <c r="U224" s="470"/>
      <c r="V224" s="470"/>
      <c r="W224" s="470"/>
      <c r="X224" s="470"/>
      <c r="Y224" s="470"/>
      <c r="Z224" s="470"/>
      <c r="AA224" s="470"/>
      <c r="AB224" s="470"/>
      <c r="AC224" s="470"/>
      <c r="AD224" s="470"/>
      <c r="AE224" s="470"/>
      <c r="AF224" s="470"/>
      <c r="AG224" s="470"/>
      <c r="AH224" s="470"/>
      <c r="AI224" s="470"/>
      <c r="AJ224" s="470"/>
      <c r="AK224" s="470"/>
      <c r="AL224" s="470"/>
      <c r="AM224" s="470"/>
      <c r="AN224" s="470"/>
      <c r="AO224" s="470"/>
      <c r="AP224" s="470"/>
      <c r="AQ224" s="470"/>
      <c r="AR224" s="470"/>
      <c r="AS224" s="470"/>
      <c r="AT224" s="470"/>
      <c r="AU224" s="470"/>
      <c r="AV224" s="470"/>
      <c r="AW224" s="470"/>
      <c r="AX224" s="470"/>
      <c r="AY224" s="470"/>
      <c r="AZ224" s="470"/>
      <c r="BA224" s="470"/>
      <c r="BB224" s="470"/>
      <c r="BC224" s="471"/>
    </row>
    <row r="225" spans="4:143">
      <c r="D225" s="470">
        <f>IF(AND(DG!$A205=2,DG!$B205=1),IMMO!$G19+IMMO!$I19,0)</f>
        <v>0</v>
      </c>
      <c r="E225" s="470">
        <f>IF(AND(DG!$A205=2,DG!$B205=2),IMMO!$G19+IMMO!$I19,0)</f>
        <v>0</v>
      </c>
      <c r="F225" s="470">
        <f>IF(AND(DG!$A205=2,DG!$B205=3),IMMO!$G19+IMMO!$I19,0)</f>
        <v>0</v>
      </c>
      <c r="G225" s="470">
        <f>IF(AND(DG!$A205=2,DG!$B205=4),IMMO!$G19+IMMO!$I19,0)</f>
        <v>0</v>
      </c>
      <c r="H225" s="470">
        <f>IF(AND(DG!$A205=2,DG!$B205=5),IMMO!$G19+IMMO!$I19,0)</f>
        <v>0</v>
      </c>
      <c r="I225" s="470">
        <f>IF(AND(DG!$A205=2,DG!$B205=6),IMMO!$G19+IMMO!$I19,0)</f>
        <v>0</v>
      </c>
      <c r="J225" s="470">
        <f>IF(AND(DG!$A205=2,DG!$B205=7),IMMO!$G19+IMMO!$I19,0)</f>
        <v>0</v>
      </c>
      <c r="K225" s="470">
        <f>IF(AND(DG!$A205=2,DG!$B205=8),IMMO!$G19+IMMO!$I19,0)</f>
        <v>0</v>
      </c>
      <c r="L225" s="470">
        <f>IF(AND(DG!$A205=2,DG!$B205=9),IMMO!$G19+IMMO!$I19,0)</f>
        <v>0</v>
      </c>
      <c r="M225" s="470">
        <f>IF(AND(DG!$A205=2,DG!$B205=10),IMMO!$G19+IMMO!$I19,0)</f>
        <v>0</v>
      </c>
      <c r="N225" s="470">
        <f>IF(AND(DG!$A205=2,DG!$B205=11),IMMO!$G19+IMMO!$I19,0)</f>
        <v>0</v>
      </c>
      <c r="O225" s="470">
        <f>IF(AND(DG!$A205=2,DG!$B205=12),IMMO!$G19+IMMO!$I19,0)</f>
        <v>0</v>
      </c>
      <c r="P225" s="470">
        <f>IF(AND(DG!$A205=3,DG!$B205=1),IMMO!$G19+IMMO!$I19,0)</f>
        <v>0</v>
      </c>
      <c r="Q225" s="470">
        <f>IF(AND(DG!$A205=3,DG!$B205=2),IMMO!$G19+IMMO!$I19,0)</f>
        <v>0</v>
      </c>
      <c r="R225" s="470">
        <f>IF(AND(DG!$A205=3,DG!$B205=3),IMMO!$G19+IMMO!$I19,0)</f>
        <v>0</v>
      </c>
      <c r="S225" s="470">
        <f>IF(AND(DG!$A205=3,DG!$B205=4),IMMO!$G19+IMMO!$I19,0)</f>
        <v>0</v>
      </c>
      <c r="T225" s="470">
        <f>IF(AND(DG!$A205=3,DG!$B205=5),IMMO!$G19+IMMO!$I19,0)</f>
        <v>0</v>
      </c>
      <c r="U225" s="470">
        <f>IF(AND(DG!$A205=3,DG!$B205=6),IMMO!$G19+IMMO!$I19,0)</f>
        <v>0</v>
      </c>
      <c r="V225" s="470">
        <f>IF(AND(DG!$A205=3,DG!$B205=7),IMMO!$G19+IMMO!$I19,0)</f>
        <v>0</v>
      </c>
      <c r="W225" s="470">
        <f>IF(AND(DG!$A205=3,DG!$B205=8),IMMO!$G19+IMMO!$I19,0)</f>
        <v>0</v>
      </c>
      <c r="X225" s="470">
        <f>IF(AND(DG!$A205=3,DG!$B205=9),IMMO!$G19+IMMO!$I19,0)</f>
        <v>0</v>
      </c>
      <c r="Y225" s="470">
        <f>IF(AND(DG!$A205=3,DG!$B205=10),IMMO!$G19+IMMO!$I19,0)</f>
        <v>0</v>
      </c>
      <c r="Z225" s="470">
        <f>IF(AND(DG!$A205=3,DG!$B205=11),IMMO!$G19+IMMO!$I19,0)</f>
        <v>0</v>
      </c>
      <c r="AA225" s="470">
        <f>IF(AND(DG!$A205=3,DG!$B205=12),IMMO!$G19+IMMO!$I19,0)</f>
        <v>0</v>
      </c>
      <c r="AB225" s="470">
        <f>IF(AND(DG!$A205=4,DG!$B205=1),IMMO!$G19+IMMO!$I19,0)</f>
        <v>0</v>
      </c>
      <c r="AC225" s="470">
        <f>IF(AND(DG!$A205=4,DG!$B205=2),IMMO!$G19+IMMO!$I19,0)</f>
        <v>0</v>
      </c>
      <c r="AD225" s="470">
        <f>IF(AND(DG!$A205=4,DG!$B205=3),IMMO!$G19+IMMO!$I19,0)</f>
        <v>0</v>
      </c>
      <c r="AE225" s="470">
        <f>IF(AND(DG!$A205=4,DG!$B205=4),IMMO!$G19+IMMO!$I19,0)</f>
        <v>0</v>
      </c>
      <c r="AF225" s="470">
        <f>IF(AND(DG!$A205=4,DG!$B205=5),IMMO!$G19+IMMO!$I19,0)</f>
        <v>0</v>
      </c>
      <c r="AG225" s="470">
        <f>IF(AND(DG!$A205=4,DG!$B205=6),IMMO!$G19+IMMO!$I19,0)</f>
        <v>0</v>
      </c>
      <c r="AH225" s="470">
        <f>IF(AND(DG!$A205=4,DG!$B205=7),IMMO!$G19+IMMO!$I19,0)</f>
        <v>0</v>
      </c>
      <c r="AI225" s="470">
        <f>IF(AND(DG!$A205=4,DG!$B205=8),IMMO!$G19+IMMO!$I19,0)</f>
        <v>0</v>
      </c>
      <c r="AJ225" s="470">
        <f>IF(AND(DG!$A205=4,DG!$B205=9),IMMO!$G19+IMMO!$I19,0)</f>
        <v>0</v>
      </c>
      <c r="AK225" s="470">
        <f>IF(AND(DG!$A205=4,DG!$B205=10),IMMO!$G19+IMMO!$I19,0)</f>
        <v>0</v>
      </c>
      <c r="AL225" s="470">
        <f>IF(AND(DG!$A205=4,DG!$B205=11),IMMO!$G19+IMMO!$I19,0)</f>
        <v>0</v>
      </c>
      <c r="AM225" s="470">
        <f>IF(AND(DG!$A205=4,DG!$B205=12),IMMO!$G19+IMMO!$I19,0)</f>
        <v>0</v>
      </c>
      <c r="AN225" s="470">
        <f>IF(AND(DG!$A205=5,DG!$B205=1),IMMO!$G19+IMMO!$I19,0)</f>
        <v>0</v>
      </c>
      <c r="AO225" s="470">
        <f>IF(AND(DG!$A205=5,DG!$B205=2),IMMO!$G19+IMMO!$I19,0)</f>
        <v>0</v>
      </c>
      <c r="AP225" s="470">
        <f>IF(AND(DG!$A205=5,DG!$B205=3),IMMO!$G19+IMMO!$I19,0)</f>
        <v>0</v>
      </c>
      <c r="AQ225" s="470">
        <f>IF(AND(DG!$A205=5,DG!$B205=4),IMMO!$G19+IMMO!$I19,0)</f>
        <v>0</v>
      </c>
      <c r="AR225" s="470">
        <f>IF(AND(DG!$A205=5,DG!$B205=5),IMMO!$G19+IMMO!$I19,0)</f>
        <v>0</v>
      </c>
      <c r="AS225" s="470">
        <f>IF(AND(DG!$A205=5,DG!$B205=6),IMMO!$G19+IMMO!$I19,0)</f>
        <v>0</v>
      </c>
      <c r="AT225" s="470">
        <f>IF(AND(DG!$A205=5,DG!$B205=7),IMMO!$G19+IMMO!$I19,0)</f>
        <v>0</v>
      </c>
      <c r="AU225" s="470">
        <f>IF(AND(DG!$A205=5,DG!$B205=8),IMMO!$G19+IMMO!$I19,0)</f>
        <v>0</v>
      </c>
      <c r="AV225" s="470">
        <f>IF(AND(DG!$A205=5,DG!$B205=9),IMMO!$G19+IMMO!$I19,0)</f>
        <v>0</v>
      </c>
      <c r="AW225" s="470">
        <f>IF(AND(DG!$A205=5,DG!$B205=10),IMMO!$G19+IMMO!$I19,0)</f>
        <v>0</v>
      </c>
      <c r="AX225" s="470">
        <f>IF(AND(DG!$A205=5,DG!$B205=11),IMMO!$G19+IMMO!$I19,0)</f>
        <v>0</v>
      </c>
      <c r="AY225" s="470">
        <f>IF(AND(DG!$A205=5,DG!$B205=12),IMMO!$G19+IMMO!$I19,0)</f>
        <v>0</v>
      </c>
      <c r="AZ225" s="470">
        <f>IF(AND(DG!$A205=6,DG!$B205=1),IMMO!$G19+IMMO!$I19,0)</f>
        <v>0</v>
      </c>
      <c r="BA225" s="470">
        <f>IF(AND(DG!$A205=6,DG!$B205=2),IMMO!$G19+IMMO!$I19,0)</f>
        <v>0</v>
      </c>
      <c r="BB225" s="470">
        <f>IF(AND(DG!$A205=6,DG!$B205=3),IMMO!$G19+IMMO!$I19,0)</f>
        <v>0</v>
      </c>
      <c r="BC225" s="470">
        <f>IF(AND(DG!$A205=6,DG!$B205=4),IMMO!$G19+IMMO!$I19,0)</f>
        <v>0</v>
      </c>
      <c r="BD225" s="470">
        <f>IF(AND(DG!$A205=6,DG!$B205=5),IMMO!$G19+IMMO!$I19,0)</f>
        <v>0</v>
      </c>
      <c r="BE225" s="470">
        <f>IF(AND(DG!$A205=6,DG!$B205=6),IMMO!$G19+IMMO!$I19,0)</f>
        <v>0</v>
      </c>
      <c r="BF225" s="470">
        <f>IF(AND(DG!$A205=6,DG!$B205=7),IMMO!$G19+IMMO!$I19,0)</f>
        <v>0</v>
      </c>
      <c r="BG225" s="470">
        <f>IF(AND(DG!$A205=6,DG!$B205=8),IMMO!$G19+IMMO!$I19,0)</f>
        <v>0</v>
      </c>
      <c r="BH225" s="470">
        <f>IF(AND(DG!$A205=6,DG!$B205=9),IMMO!$G19+IMMO!$I19,0)</f>
        <v>0</v>
      </c>
      <c r="BI225" s="470">
        <f>IF(AND(DG!$A205=6,DG!$B205=10),IMMO!$G19+IMMO!$I19,0)</f>
        <v>0</v>
      </c>
      <c r="BJ225" s="470">
        <f>IF(AND(DG!$A205=6,DG!$B205=11),IMMO!$G19+IMMO!$I19,0)</f>
        <v>0</v>
      </c>
      <c r="BK225" s="470">
        <f>IF(AND(DG!$A205=6,DG!$B205=12),IMMO!$G19+IMMO!$I19,0)</f>
        <v>0</v>
      </c>
      <c r="BL225" s="470">
        <f>IF(AND(DG!$A205=7,DG!$B205=1),IMMO!$G19+IMMO!$I19,0)</f>
        <v>500</v>
      </c>
      <c r="BM225" s="470">
        <f>IF(AND(DG!$A205=7,DG!$B205=2),IMMO!$G19+IMMO!$I19,0)</f>
        <v>0</v>
      </c>
      <c r="BN225" s="470">
        <f>IF(AND(DG!$A205=7,DG!$B205=3),IMMO!$G19+IMMO!$I19,0)</f>
        <v>0</v>
      </c>
      <c r="BO225" s="470">
        <f>IF(AND(DG!$A205=7,DG!$B205=4),IMMO!$G19+IMMO!$I19,0)</f>
        <v>0</v>
      </c>
      <c r="BP225" s="470">
        <f>IF(AND(DG!$A205=7,DG!$B205=5),IMMO!$G19+IMMO!$I19,0)</f>
        <v>0</v>
      </c>
      <c r="BQ225" s="470">
        <f>IF(AND(DG!$A205=7,DG!$B205=6),IMMO!$G19+IMMO!$I19,0)</f>
        <v>0</v>
      </c>
      <c r="BR225" s="470">
        <f>IF(AND(DG!$A205=7,DG!$B205=7),IMMO!$G19+IMMO!$I19,0)</f>
        <v>0</v>
      </c>
      <c r="BS225" s="470">
        <f>IF(AND(DG!$A205=7,DG!$B205=8),IMMO!$G19+IMMO!$I19,0)</f>
        <v>0</v>
      </c>
      <c r="BT225" s="470">
        <f>IF(AND(DG!$A205=7,DG!$B205=9),IMMO!$G19+IMMO!$I19,0)</f>
        <v>0</v>
      </c>
      <c r="BU225" s="470">
        <f>IF(AND(DG!$A205=7,DG!$B205=10),IMMO!$G19+IMMO!$I19,0)</f>
        <v>0</v>
      </c>
      <c r="BV225" s="470">
        <f>IF(AND(DG!$A205=7,DG!$B205=11),IMMO!$G19+IMMO!$I19,0)</f>
        <v>0</v>
      </c>
      <c r="BW225" s="470">
        <f>IF(AND(DG!$A205=7,DG!$B205=12),IMMO!$G19+IMMO!$I19,0)</f>
        <v>0</v>
      </c>
      <c r="BX225" s="470">
        <f>IF(AND(DG!$A205=8,DG!$B205=1),IMMO!$G19+IMMO!$I19,0)</f>
        <v>0</v>
      </c>
      <c r="BY225" s="470">
        <f>IF(AND(DG!$A205=8,DG!$B205=2),IMMO!$G19+IMMO!$I19,0)</f>
        <v>0</v>
      </c>
      <c r="BZ225" s="470">
        <f>IF(AND(DG!$A205=8,DG!$B205=3),IMMO!$G19+IMMO!$I19,0)</f>
        <v>0</v>
      </c>
      <c r="CA225" s="470">
        <f>IF(AND(DG!$A205=8,DG!$B205=4),IMMO!$G19+IMMO!$I19,0)</f>
        <v>0</v>
      </c>
      <c r="CB225" s="470">
        <f>IF(AND(DG!$A205=8,DG!$B205=5),IMMO!$G19+IMMO!$I19,0)</f>
        <v>0</v>
      </c>
      <c r="CC225" s="470">
        <f>IF(AND(DG!$A205=8,DG!$B205=6),IMMO!$G19+IMMO!$I19,0)</f>
        <v>0</v>
      </c>
      <c r="CD225" s="470">
        <f>IF(AND(DG!$A205=8,DG!$B205=7),IMMO!$G19+IMMO!$I19,0)</f>
        <v>0</v>
      </c>
      <c r="CE225" s="470">
        <f>IF(AND(DG!$A205=8,DG!$B205=8),IMMO!$G19+IMMO!$I19,0)</f>
        <v>0</v>
      </c>
      <c r="CF225" s="470">
        <f>IF(AND(DG!$A205=8,DG!$B205=9),IMMO!$G19+IMMO!$I19,0)</f>
        <v>0</v>
      </c>
      <c r="CG225" s="470">
        <f>IF(AND(DG!$A205=8,DG!$B205=10),IMMO!$G19+IMMO!$I19,0)</f>
        <v>0</v>
      </c>
      <c r="CH225" s="470">
        <f>IF(AND(DG!$A205=8,DG!$B205=11),IMMO!$G19+IMMO!$I19,0)</f>
        <v>0</v>
      </c>
      <c r="CI225" s="470">
        <f>IF(AND(DG!$A205=8,DG!$B205=12),IMMO!$G19+IMMO!$I19,0)</f>
        <v>0</v>
      </c>
      <c r="CJ225" s="470">
        <f>IF(AND(DG!$A205=9,DG!$B205=1),IMMO!$G19+IMMO!$I19,0)</f>
        <v>0</v>
      </c>
      <c r="CK225" s="470">
        <f>IF(AND(DG!$A205=9,DG!$B205=2),IMMO!$G19+IMMO!$I19,0)</f>
        <v>0</v>
      </c>
      <c r="CL225" s="470">
        <f>IF(AND(DG!$A205=9,DG!$B205=3),IMMO!$G19+IMMO!$I19,0)</f>
        <v>0</v>
      </c>
      <c r="CM225" s="470">
        <f>IF(AND(DG!$A205=9,DG!$B205=4),IMMO!$G19+IMMO!$I19,0)</f>
        <v>0</v>
      </c>
      <c r="CN225" s="470">
        <f>IF(AND(DG!$A205=9,DG!$B205=5),IMMO!$G19+IMMO!$I19,0)</f>
        <v>0</v>
      </c>
      <c r="CO225" s="470">
        <f>IF(AND(DG!$A205=9,DG!$B205=6),IMMO!$G19+IMMO!$I19,0)</f>
        <v>0</v>
      </c>
      <c r="CP225" s="470">
        <f>IF(AND(DG!$A205=9,DG!$B205=7),IMMO!$G19+IMMO!$I19,0)</f>
        <v>0</v>
      </c>
      <c r="CQ225" s="470">
        <f>IF(AND(DG!$A205=9,DG!$B205=8),IMMO!$G19+IMMO!$I19,0)</f>
        <v>0</v>
      </c>
      <c r="CR225" s="470">
        <f>IF(AND(DG!$A205=9,DG!$B205=9),IMMO!$G19+IMMO!$I19,0)</f>
        <v>0</v>
      </c>
      <c r="CS225" s="470">
        <f>IF(AND(DG!$A205=9,DG!$B205=10),IMMO!$G19+IMMO!$I19,0)</f>
        <v>0</v>
      </c>
      <c r="CT225" s="470">
        <f>IF(AND(DG!$A205=9,DG!$B205=11),IMMO!$G19+IMMO!$I19,0)</f>
        <v>0</v>
      </c>
      <c r="CU225" s="470">
        <f>IF(AND(DG!$A205=9,DG!$B205=12),IMMO!$G19+IMMO!$I19,0)</f>
        <v>0</v>
      </c>
      <c r="CV225" s="470">
        <f>IF(AND(DG!$A205=10,DG!$B205=1),IMMO!$G19+IMMO!$I19,0)</f>
        <v>0</v>
      </c>
      <c r="CW225" s="470">
        <f>IF(AND(DG!$A205=10,DG!$B205=2),IMMO!$G19+IMMO!$I19,0)</f>
        <v>0</v>
      </c>
      <c r="CX225" s="470">
        <f>IF(AND(DG!$A205=10,DG!$B205=3),IMMO!$G19+IMMO!$I19,0)</f>
        <v>0</v>
      </c>
      <c r="CY225" s="470">
        <f>IF(AND(DG!$A205=10,DG!$B205=4),IMMO!$G19+IMMO!$I19,0)</f>
        <v>0</v>
      </c>
      <c r="CZ225" s="470">
        <f>IF(AND(DG!$A205=10,DG!$B205=5),IMMO!$G19+IMMO!$I19,0)</f>
        <v>0</v>
      </c>
      <c r="DA225" s="470">
        <f>IF(AND(DG!$A205=10,DG!$B205=6),IMMO!$G19+IMMO!$I19,0)</f>
        <v>0</v>
      </c>
      <c r="DB225" s="470">
        <f>IF(AND(DG!$A205=10,DG!$B205=7),IMMO!$G19+IMMO!$I19,0)</f>
        <v>0</v>
      </c>
      <c r="DC225" s="470">
        <f>IF(AND(DG!$A205=10,DG!$B205=8),IMMO!$G19+IMMO!$I19,0)</f>
        <v>0</v>
      </c>
      <c r="DD225" s="470">
        <f>IF(AND(DG!$A205=10,DG!$B205=9),IMMO!$G19+IMMO!$I19,0)</f>
        <v>0</v>
      </c>
      <c r="DE225" s="470">
        <f>IF(AND(DG!$A205=10,DG!$B205=10),IMMO!$G19+IMMO!$I19,0)</f>
        <v>0</v>
      </c>
      <c r="DF225" s="470">
        <f>IF(AND(DG!$A205=10,DG!$B205=11),IMMO!$G19+IMMO!$I19,0)</f>
        <v>0</v>
      </c>
      <c r="DG225" s="470">
        <f>IF(AND(DG!$A205=10,DG!$B205=12),IMMO!$G19+IMMO!$I19,0)</f>
        <v>0</v>
      </c>
      <c r="DH225" s="470">
        <f>IF(AND(DG!$A205=11,DG!$B205=1),IMMO!$G19+IMMO!$I19,0)</f>
        <v>0</v>
      </c>
      <c r="DI225" s="470">
        <f>IF(AND(DG!$A205=11,DG!$B205=2),IMMO!$G19+IMMO!$I19,0)</f>
        <v>0</v>
      </c>
      <c r="DJ225" s="470">
        <f>IF(AND(DG!$A205=11,DG!$B205=3),IMMO!$G19+IMMO!$I19,0)</f>
        <v>0</v>
      </c>
      <c r="DK225" s="470">
        <f>IF(AND(DG!$A205=11,DG!$B205=4),IMMO!$G19+IMMO!$I19,0)</f>
        <v>0</v>
      </c>
      <c r="DL225" s="470">
        <f>IF(AND(DG!$A205=11,DG!$B205=5),IMMO!$G19+IMMO!$I19,0)</f>
        <v>0</v>
      </c>
      <c r="DM225" s="470">
        <f>IF(AND(DG!$A205=11,DG!$B205=6),IMMO!$G19+IMMO!$I19,0)</f>
        <v>0</v>
      </c>
      <c r="DN225" s="470">
        <f>IF(AND(DG!$A205=11,DG!$B205=7),IMMO!$G19+IMMO!$I19,0)</f>
        <v>0</v>
      </c>
      <c r="DO225" s="470">
        <f>IF(AND(DG!$A205=11,DG!$B205=8),IMMO!$G19+IMMO!$I19,0)</f>
        <v>0</v>
      </c>
      <c r="DP225" s="470">
        <f>IF(AND(DG!$A205=11,DG!$B205=9),IMMO!$G19+IMMO!$I19,0)</f>
        <v>0</v>
      </c>
      <c r="DQ225" s="470">
        <f>IF(AND(DG!$A205=11,DG!$B205=10),IMMO!$G19+IMMO!$I19,0)</f>
        <v>0</v>
      </c>
      <c r="DR225" s="470">
        <f>IF(AND(DG!$A205=11,DG!$B205=11),IMMO!$G19+IMMO!$I19,0)</f>
        <v>0</v>
      </c>
      <c r="DS225" s="470">
        <f>IF(AND(DG!$A205=11,DG!$B205=12),IMMO!$G19+IMMO!$I19,0)</f>
        <v>0</v>
      </c>
      <c r="DT225" s="470">
        <f>IF(AND(DG!$A205=12,DG!$B205=1),IMMO!$G19+IMMO!$I19,0)</f>
        <v>0</v>
      </c>
      <c r="DU225" s="470">
        <f>IF(AND(DG!$A205=12,DG!$B205=2),IMMO!$G19+IMMO!$I19,0)</f>
        <v>0</v>
      </c>
      <c r="DV225" s="470">
        <f>IF(AND(DG!$A205=12,DG!$B205=3),IMMO!$G19+IMMO!$I19,0)</f>
        <v>0</v>
      </c>
      <c r="DW225" s="470">
        <f>IF(AND(DG!$A205=12,DG!$B205=4),IMMO!$G19+IMMO!$I19,0)</f>
        <v>0</v>
      </c>
      <c r="DX225" s="470">
        <f>IF(AND(DG!$A205=12,DG!$B205=5),IMMO!$G19+IMMO!$I19,0)</f>
        <v>0</v>
      </c>
      <c r="DY225" s="470">
        <f>IF(AND(DG!$A205=12,DG!$B205=6),IMMO!$G19+IMMO!$I19,0)</f>
        <v>0</v>
      </c>
      <c r="DZ225" s="470">
        <f>IF(AND(DG!$A205=12,DG!$B205=7),IMMO!$G19+IMMO!$I19,0)</f>
        <v>0</v>
      </c>
      <c r="EA225" s="470">
        <f>IF(AND(DG!$A205=12,DG!$B205=8),IMMO!$G19+IMMO!$I19,0)</f>
        <v>0</v>
      </c>
      <c r="EB225" s="470">
        <f>IF(AND(DG!$A205=12,DG!$B205=9),IMMO!$G19+IMMO!$I19,0)</f>
        <v>0</v>
      </c>
      <c r="EC225" s="470">
        <f>IF(AND(DG!$A205=12,DG!$B205=10),IMMO!$G19+IMMO!$I19,0)</f>
        <v>0</v>
      </c>
      <c r="ED225" s="470">
        <f>IF(AND(DG!$A205=12,DG!$B205=11),IMMO!$G19+IMMO!$I19,0)</f>
        <v>0</v>
      </c>
      <c r="EE225" s="470">
        <f>IF(AND(DG!$A205=12,DG!$B205=12),IMMO!$G19+IMMO!$I19,0)</f>
        <v>0</v>
      </c>
      <c r="EF225" s="470"/>
      <c r="EG225" s="470"/>
      <c r="EH225" s="470"/>
      <c r="EI225" s="470"/>
      <c r="EJ225" s="470"/>
      <c r="EK225" s="470"/>
      <c r="EL225" s="470"/>
      <c r="EM225" s="470"/>
    </row>
    <row r="226" spans="4:143">
      <c r="D226" s="470"/>
      <c r="E226" s="470"/>
      <c r="F226" s="470"/>
      <c r="G226" s="470"/>
      <c r="H226" s="470"/>
      <c r="I226" s="470"/>
      <c r="J226" s="470"/>
      <c r="K226" s="470"/>
      <c r="L226" s="470"/>
      <c r="M226" s="470"/>
      <c r="N226" s="470"/>
      <c r="O226" s="470"/>
      <c r="P226" s="470"/>
      <c r="Q226" s="470"/>
      <c r="R226" s="470"/>
      <c r="S226" s="470"/>
      <c r="T226" s="470"/>
      <c r="U226" s="470"/>
      <c r="V226" s="470"/>
      <c r="W226" s="470"/>
      <c r="X226" s="470"/>
      <c r="Y226" s="470"/>
      <c r="Z226" s="470"/>
      <c r="AA226" s="470"/>
      <c r="AB226" s="470"/>
      <c r="AC226" s="470"/>
      <c r="AD226" s="470"/>
      <c r="AE226" s="470"/>
      <c r="AF226" s="470"/>
      <c r="AG226" s="470"/>
      <c r="AH226" s="470"/>
      <c r="AI226" s="470"/>
      <c r="AJ226" s="470"/>
      <c r="AK226" s="470"/>
      <c r="AL226" s="470"/>
      <c r="AM226" s="470"/>
      <c r="AN226" s="470"/>
      <c r="AO226" s="470"/>
      <c r="AP226" s="470"/>
      <c r="AQ226" s="470"/>
      <c r="AR226" s="470"/>
      <c r="AS226" s="470"/>
      <c r="AT226" s="470"/>
      <c r="AU226" s="470"/>
      <c r="AV226" s="470"/>
      <c r="AW226" s="470"/>
      <c r="AX226" s="470"/>
      <c r="AY226" s="470"/>
      <c r="AZ226" s="470"/>
      <c r="BA226" s="470"/>
      <c r="BB226" s="470"/>
      <c r="BC226" s="471"/>
    </row>
    <row r="227" spans="4:143">
      <c r="D227" s="470">
        <f>IF(AND(DG!$A206=2,DG!$B206=1),IMMO!$G21+IMMO!$I21,0)</f>
        <v>0</v>
      </c>
      <c r="E227" s="470">
        <f>IF(AND(DG!$A206=2,DG!$B206=2),IMMO!$G21+IMMO!$I21,0)</f>
        <v>0</v>
      </c>
      <c r="F227" s="470">
        <f>IF(AND(DG!$A206=2,DG!$B206=3),IMMO!$G21+IMMO!$I21,0)</f>
        <v>0</v>
      </c>
      <c r="G227" s="470">
        <f>IF(AND(DG!$A206=2,DG!$B206=4),IMMO!$G21+IMMO!$I21,0)</f>
        <v>0</v>
      </c>
      <c r="H227" s="470">
        <f>IF(AND(DG!$A206=2,DG!$B206=5),IMMO!$G21+IMMO!$I21,0)</f>
        <v>0</v>
      </c>
      <c r="I227" s="470">
        <f>IF(AND(DG!$A206=2,DG!$B206=6),IMMO!$G21+IMMO!$I21,0)</f>
        <v>0</v>
      </c>
      <c r="J227" s="470">
        <f>IF(AND(DG!$A206=2,DG!$B206=7),IMMO!$G21+IMMO!$I21,0)</f>
        <v>0</v>
      </c>
      <c r="K227" s="470">
        <f>IF(AND(DG!$A206=2,DG!$B206=8),IMMO!$G21+IMMO!$I21,0)</f>
        <v>0</v>
      </c>
      <c r="L227" s="470">
        <f>IF(AND(DG!$A206=2,DG!$B206=9),IMMO!$G21+IMMO!$I21,0)</f>
        <v>0</v>
      </c>
      <c r="M227" s="470">
        <f>IF(AND(DG!$A206=2,DG!$B206=10),IMMO!$G21+IMMO!$I21,0)</f>
        <v>0</v>
      </c>
      <c r="N227" s="470">
        <f>IF(AND(DG!$A206=2,DG!$B206=11),IMMO!$G21+IMMO!$I21,0)</f>
        <v>0</v>
      </c>
      <c r="O227" s="470">
        <f>IF(AND(DG!$A206=2,DG!$B206=12),IMMO!$G21+IMMO!$I21,0)</f>
        <v>0</v>
      </c>
      <c r="P227" s="470">
        <f>IF(AND(DG!$A206=3,DG!$B206=1),IMMO!$G21+IMMO!$I21,0)</f>
        <v>0</v>
      </c>
      <c r="Q227" s="470">
        <f>IF(AND(DG!$A206=3,DG!$B206=2),IMMO!$G21+IMMO!$I21,0)</f>
        <v>0</v>
      </c>
      <c r="R227" s="470">
        <f>IF(AND(DG!$A206=3,DG!$B206=3),IMMO!$G21+IMMO!$I21,0)</f>
        <v>0</v>
      </c>
      <c r="S227" s="470">
        <f>IF(AND(DG!$A206=3,DG!$B206=4),IMMO!$G21+IMMO!$I21,0)</f>
        <v>0</v>
      </c>
      <c r="T227" s="470">
        <f>IF(AND(DG!$A206=3,DG!$B206=5),IMMO!$G21+IMMO!$I21,0)</f>
        <v>0</v>
      </c>
      <c r="U227" s="470">
        <f>IF(AND(DG!$A206=3,DG!$B206=6),IMMO!$G21+IMMO!$I21,0)</f>
        <v>0</v>
      </c>
      <c r="V227" s="470">
        <f>IF(AND(DG!$A206=3,DG!$B206=7),IMMO!$G21+IMMO!$I21,0)</f>
        <v>0</v>
      </c>
      <c r="W227" s="470">
        <f>IF(AND(DG!$A206=3,DG!$B206=8),IMMO!$G21+IMMO!$I21,0)</f>
        <v>0</v>
      </c>
      <c r="X227" s="470">
        <f>IF(AND(DG!$A206=3,DG!$B206=9),IMMO!$G21+IMMO!$I21,0)</f>
        <v>0</v>
      </c>
      <c r="Y227" s="470">
        <f>IF(AND(DG!$A206=3,DG!$B206=10),IMMO!$G21+IMMO!$I21,0)</f>
        <v>0</v>
      </c>
      <c r="Z227" s="470">
        <f>IF(AND(DG!$A206=3,DG!$B206=11),IMMO!$G21+IMMO!$I21,0)</f>
        <v>0</v>
      </c>
      <c r="AA227" s="470">
        <f>IF(AND(DG!$A206=3,DG!$B206=12),IMMO!$G21+IMMO!$I21,0)</f>
        <v>0</v>
      </c>
      <c r="AB227" s="470">
        <f>IF(AND(DG!$A206=4,DG!$B206=1),IMMO!$G21+IMMO!$I21,0)</f>
        <v>0</v>
      </c>
      <c r="AC227" s="470">
        <f>IF(AND(DG!$A206=4,DG!$B206=2),IMMO!$G21+IMMO!$I21,0)</f>
        <v>0</v>
      </c>
      <c r="AD227" s="470">
        <f>IF(AND(DG!$A206=4,DG!$B206=3),IMMO!$G21+IMMO!$I21,0)</f>
        <v>0</v>
      </c>
      <c r="AE227" s="470">
        <f>IF(AND(DG!$A206=4,DG!$B206=4),IMMO!$G21+IMMO!$I21,0)</f>
        <v>0</v>
      </c>
      <c r="AF227" s="470">
        <f>IF(AND(DG!$A206=4,DG!$B206=5),IMMO!$G21+IMMO!$I21,0)</f>
        <v>0</v>
      </c>
      <c r="AG227" s="470">
        <f>IF(AND(DG!$A206=4,DG!$B206=6),IMMO!$G21+IMMO!$I21,0)</f>
        <v>0</v>
      </c>
      <c r="AH227" s="470">
        <f>IF(AND(DG!$A206=4,DG!$B206=7),IMMO!$G21+IMMO!$I21,0)</f>
        <v>0</v>
      </c>
      <c r="AI227" s="470">
        <f>IF(AND(DG!$A206=4,DG!$B206=8),IMMO!$G21+IMMO!$I21,0)</f>
        <v>0</v>
      </c>
      <c r="AJ227" s="470">
        <f>IF(AND(DG!$A206=4,DG!$B206=9),IMMO!$G21+IMMO!$I21,0)</f>
        <v>0</v>
      </c>
      <c r="AK227" s="470">
        <f>IF(AND(DG!$A206=4,DG!$B206=10),IMMO!$G21+IMMO!$I21,0)</f>
        <v>0</v>
      </c>
      <c r="AL227" s="470">
        <f>IF(AND(DG!$A206=4,DG!$B206=11),IMMO!$G21+IMMO!$I21,0)</f>
        <v>0</v>
      </c>
      <c r="AM227" s="470">
        <f>IF(AND(DG!$A206=4,DG!$B206=12),IMMO!$G21+IMMO!$I21,0)</f>
        <v>0</v>
      </c>
      <c r="AN227" s="470">
        <f>IF(AND(DG!$A206=5,DG!$B206=1),IMMO!$G21+IMMO!$I21,0)</f>
        <v>0</v>
      </c>
      <c r="AO227" s="470">
        <f>IF(AND(DG!$A206=5,DG!$B206=2),IMMO!$G21+IMMO!$I21,0)</f>
        <v>0</v>
      </c>
      <c r="AP227" s="470">
        <f>IF(AND(DG!$A206=5,DG!$B206=3),IMMO!$G21+IMMO!$I21,0)</f>
        <v>0</v>
      </c>
      <c r="AQ227" s="470">
        <f>IF(AND(DG!$A206=5,DG!$B206=4),IMMO!$G21+IMMO!$I21,0)</f>
        <v>0</v>
      </c>
      <c r="AR227" s="470">
        <f>IF(AND(DG!$A206=5,DG!$B206=5),IMMO!$G21+IMMO!$I21,0)</f>
        <v>0</v>
      </c>
      <c r="AS227" s="470">
        <f>IF(AND(DG!$A206=5,DG!$B206=6),IMMO!$G21+IMMO!$I21,0)</f>
        <v>0</v>
      </c>
      <c r="AT227" s="470">
        <f>IF(AND(DG!$A206=5,DG!$B206=7),IMMO!$G21+IMMO!$I21,0)</f>
        <v>0</v>
      </c>
      <c r="AU227" s="470">
        <f>IF(AND(DG!$A206=5,DG!$B206=8),IMMO!$G21+IMMO!$I21,0)</f>
        <v>0</v>
      </c>
      <c r="AV227" s="470">
        <f>IF(AND(DG!$A206=5,DG!$B206=9),IMMO!$G21+IMMO!$I21,0)</f>
        <v>0</v>
      </c>
      <c r="AW227" s="470">
        <f>IF(AND(DG!$A206=5,DG!$B206=10),IMMO!$G21+IMMO!$I21,0)</f>
        <v>0</v>
      </c>
      <c r="AX227" s="470">
        <f>IF(AND(DG!$A206=5,DG!$B206=11),IMMO!$G21+IMMO!$I21,0)</f>
        <v>0</v>
      </c>
      <c r="AY227" s="470">
        <f>IF(AND(DG!$A206=5,DG!$B206=12),IMMO!$G21+IMMO!$I21,0)</f>
        <v>0</v>
      </c>
      <c r="AZ227" s="470">
        <f>IF(AND(DG!$A206=6,DG!$B206=1),IMMO!$G21+IMMO!$I21,0)</f>
        <v>0</v>
      </c>
      <c r="BA227" s="470">
        <f>IF(AND(DG!$A206=6,DG!$B206=2),IMMO!$G21+IMMO!$I21,0)</f>
        <v>0</v>
      </c>
      <c r="BB227" s="470">
        <f>IF(AND(DG!$A206=6,DG!$B206=3),IMMO!$G21+IMMO!$I21,0)</f>
        <v>0</v>
      </c>
      <c r="BC227" s="470">
        <f>IF(AND(DG!$A206=6,DG!$B206=4),IMMO!$G21+IMMO!$I21,0)</f>
        <v>0</v>
      </c>
      <c r="BD227" s="470">
        <f>IF(AND(DG!$A206=6,DG!$B206=5),IMMO!$G21+IMMO!$I21,0)</f>
        <v>0</v>
      </c>
      <c r="BE227" s="470">
        <f>IF(AND(DG!$A206=6,DG!$B206=6),IMMO!$G21+IMMO!$I21,0)</f>
        <v>0</v>
      </c>
      <c r="BF227" s="470">
        <f>IF(AND(DG!$A206=6,DG!$B206=7),IMMO!$G21+IMMO!$I21,0)</f>
        <v>0</v>
      </c>
      <c r="BG227" s="470">
        <f>IF(AND(DG!$A206=6,DG!$B206=8),IMMO!$G21+IMMO!$I21,0)</f>
        <v>0</v>
      </c>
      <c r="BH227" s="470">
        <f>IF(AND(DG!$A206=6,DG!$B206=9),IMMO!$G21+IMMO!$I21,0)</f>
        <v>0</v>
      </c>
      <c r="BI227" s="470">
        <f>IF(AND(DG!$A206=6,DG!$B206=10),IMMO!$G21+IMMO!$I21,0)</f>
        <v>0</v>
      </c>
      <c r="BJ227" s="470">
        <f>IF(AND(DG!$A206=6,DG!$B206=11),IMMO!$G21+IMMO!$I21,0)</f>
        <v>0</v>
      </c>
      <c r="BK227" s="470">
        <f>IF(AND(DG!$A206=6,DG!$B206=12),IMMO!$G21+IMMO!$I21,0)</f>
        <v>0</v>
      </c>
      <c r="BL227" s="470">
        <f>IF(AND(DG!$A206=7,DG!$B206=1),IMMO!$G21+IMMO!$I21,0)</f>
        <v>0</v>
      </c>
      <c r="BM227" s="470">
        <f>IF(AND(DG!$A206=7,DG!$B206=2),IMMO!$G21+IMMO!$I21,0)</f>
        <v>0</v>
      </c>
      <c r="BN227" s="470">
        <f>IF(AND(DG!$A206=7,DG!$B206=3),IMMO!$G21+IMMO!$I21,0)</f>
        <v>0</v>
      </c>
      <c r="BO227" s="470">
        <f>IF(AND(DG!$A206=7,DG!$B206=4),IMMO!$G21+IMMO!$I21,0)</f>
        <v>0</v>
      </c>
      <c r="BP227" s="470">
        <f>IF(AND(DG!$A206=7,DG!$B206=5),IMMO!$G21+IMMO!$I21,0)</f>
        <v>0</v>
      </c>
      <c r="BQ227" s="470">
        <f>IF(AND(DG!$A206=7,DG!$B206=6),IMMO!$G21+IMMO!$I21,0)</f>
        <v>0</v>
      </c>
      <c r="BR227" s="470">
        <f>IF(AND(DG!$A206=7,DG!$B206=7),IMMO!$G21+IMMO!$I21,0)</f>
        <v>0</v>
      </c>
      <c r="BS227" s="470">
        <f>IF(AND(DG!$A206=7,DG!$B206=8),IMMO!$G21+IMMO!$I21,0)</f>
        <v>0</v>
      </c>
      <c r="BT227" s="470">
        <f>IF(AND(DG!$A206=7,DG!$B206=9),IMMO!$G21+IMMO!$I21,0)</f>
        <v>0</v>
      </c>
      <c r="BU227" s="470">
        <f>IF(AND(DG!$A206=7,DG!$B206=10),IMMO!$G21+IMMO!$I21,0)</f>
        <v>0</v>
      </c>
      <c r="BV227" s="470">
        <f>IF(AND(DG!$A206=7,DG!$B206=11),IMMO!$G21+IMMO!$I21,0)</f>
        <v>0</v>
      </c>
      <c r="BW227" s="470">
        <f>IF(AND(DG!$A206=7,DG!$B206=12),IMMO!$G21+IMMO!$I21,0)</f>
        <v>0</v>
      </c>
      <c r="BX227" s="470">
        <f>IF(AND(DG!$A206=8,DG!$B206=1),IMMO!$G21+IMMO!$I21,0)</f>
        <v>0</v>
      </c>
      <c r="BY227" s="470">
        <f>IF(AND(DG!$A206=8,DG!$B206=2),IMMO!$G21+IMMO!$I21,0)</f>
        <v>0</v>
      </c>
      <c r="BZ227" s="470">
        <f>IF(AND(DG!$A206=8,DG!$B206=3),IMMO!$G21+IMMO!$I21,0)</f>
        <v>0</v>
      </c>
      <c r="CA227" s="470">
        <f>IF(AND(DG!$A206=8,DG!$B206=4),IMMO!$G21+IMMO!$I21,0)</f>
        <v>0</v>
      </c>
      <c r="CB227" s="470">
        <f>IF(AND(DG!$A206=8,DG!$B206=5),IMMO!$G21+IMMO!$I21,0)</f>
        <v>0</v>
      </c>
      <c r="CC227" s="470">
        <f>IF(AND(DG!$A206=8,DG!$B206=6),IMMO!$G21+IMMO!$I21,0)</f>
        <v>0</v>
      </c>
      <c r="CD227" s="470">
        <f>IF(AND(DG!$A206=8,DG!$B206=7),IMMO!$G21+IMMO!$I21,0)</f>
        <v>0</v>
      </c>
      <c r="CE227" s="470">
        <f>IF(AND(DG!$A206=8,DG!$B206=8),IMMO!$G21+IMMO!$I21,0)</f>
        <v>0</v>
      </c>
      <c r="CF227" s="470">
        <f>IF(AND(DG!$A206=8,DG!$B206=9),IMMO!$G21+IMMO!$I21,0)</f>
        <v>0</v>
      </c>
      <c r="CG227" s="470">
        <f>IF(AND(DG!$A206=8,DG!$B206=10),IMMO!$G21+IMMO!$I21,0)</f>
        <v>0</v>
      </c>
      <c r="CH227" s="470">
        <f>IF(AND(DG!$A206=8,DG!$B206=11),IMMO!$G21+IMMO!$I21,0)</f>
        <v>0</v>
      </c>
      <c r="CI227" s="470">
        <f>IF(AND(DG!$A206=8,DG!$B206=12),IMMO!$G21+IMMO!$I21,0)</f>
        <v>0</v>
      </c>
      <c r="CJ227" s="470">
        <f>IF(AND(DG!$A206=9,DG!$B206=1),IMMO!$G21+IMMO!$I21,0)</f>
        <v>0</v>
      </c>
      <c r="CK227" s="470">
        <f>IF(AND(DG!$A206=9,DG!$B206=2),IMMO!$G21+IMMO!$I21,0)</f>
        <v>0</v>
      </c>
      <c r="CL227" s="470">
        <f>IF(AND(DG!$A206=9,DG!$B206=3),IMMO!$G21+IMMO!$I21,0)</f>
        <v>0</v>
      </c>
      <c r="CM227" s="470">
        <f>IF(AND(DG!$A206=9,DG!$B206=4),IMMO!$G21+IMMO!$I21,0)</f>
        <v>0</v>
      </c>
      <c r="CN227" s="470">
        <f>IF(AND(DG!$A206=9,DG!$B206=5),IMMO!$G21+IMMO!$I21,0)</f>
        <v>0</v>
      </c>
      <c r="CO227" s="470">
        <f>IF(AND(DG!$A206=9,DG!$B206=6),IMMO!$G21+IMMO!$I21,0)</f>
        <v>0</v>
      </c>
      <c r="CP227" s="470">
        <f>IF(AND(DG!$A206=9,DG!$B206=7),IMMO!$G21+IMMO!$I21,0)</f>
        <v>0</v>
      </c>
      <c r="CQ227" s="470">
        <f>IF(AND(DG!$A206=9,DG!$B206=8),IMMO!$G21+IMMO!$I21,0)</f>
        <v>0</v>
      </c>
      <c r="CR227" s="470">
        <f>IF(AND(DG!$A206=9,DG!$B206=9),IMMO!$G21+IMMO!$I21,0)</f>
        <v>0</v>
      </c>
      <c r="CS227" s="470">
        <f>IF(AND(DG!$A206=9,DG!$B206=10),IMMO!$G21+IMMO!$I21,0)</f>
        <v>0</v>
      </c>
      <c r="CT227" s="470">
        <f>IF(AND(DG!$A206=9,DG!$B206=11),IMMO!$G21+IMMO!$I21,0)</f>
        <v>0</v>
      </c>
      <c r="CU227" s="470">
        <f>IF(AND(DG!$A206=9,DG!$B206=12),IMMO!$G21+IMMO!$I21,0)</f>
        <v>0</v>
      </c>
      <c r="CV227" s="470">
        <f>IF(AND(DG!$A206=10,DG!$B206=1),IMMO!$G21+IMMO!$I21,0)</f>
        <v>0</v>
      </c>
      <c r="CW227" s="470">
        <f>IF(AND(DG!$A206=10,DG!$B206=2),IMMO!$G21+IMMO!$I21,0)</f>
        <v>0</v>
      </c>
      <c r="CX227" s="470">
        <f>IF(AND(DG!$A206=10,DG!$B206=3),IMMO!$G21+IMMO!$I21,0)</f>
        <v>0</v>
      </c>
      <c r="CY227" s="470">
        <f>IF(AND(DG!$A206=10,DG!$B206=4),IMMO!$G21+IMMO!$I21,0)</f>
        <v>0</v>
      </c>
      <c r="CZ227" s="470">
        <f>IF(AND(DG!$A206=10,DG!$B206=5),IMMO!$G21+IMMO!$I21,0)</f>
        <v>0</v>
      </c>
      <c r="DA227" s="470">
        <f>IF(AND(DG!$A206=10,DG!$B206=6),IMMO!$G21+IMMO!$I21,0)</f>
        <v>0</v>
      </c>
      <c r="DB227" s="470">
        <f>IF(AND(DG!$A206=10,DG!$B206=7),IMMO!$G21+IMMO!$I21,0)</f>
        <v>0</v>
      </c>
      <c r="DC227" s="470">
        <f>IF(AND(DG!$A206=10,DG!$B206=8),IMMO!$G21+IMMO!$I21,0)</f>
        <v>0</v>
      </c>
      <c r="DD227" s="470">
        <f>IF(AND(DG!$A206=10,DG!$B206=9),IMMO!$G21+IMMO!$I21,0)</f>
        <v>0</v>
      </c>
      <c r="DE227" s="470">
        <f>IF(AND(DG!$A206=10,DG!$B206=10),IMMO!$G21+IMMO!$I21,0)</f>
        <v>0</v>
      </c>
      <c r="DF227" s="470">
        <f>IF(AND(DG!$A206=10,DG!$B206=11),IMMO!$G21+IMMO!$I21,0)</f>
        <v>0</v>
      </c>
      <c r="DG227" s="470">
        <f>IF(AND(DG!$A206=10,DG!$B206=12),IMMO!$G21+IMMO!$I21,0)</f>
        <v>0</v>
      </c>
      <c r="DH227" s="470">
        <f>IF(AND(DG!$A206=11,DG!$B206=1),IMMO!$G21+IMMO!$I21,0)</f>
        <v>0</v>
      </c>
      <c r="DI227" s="470">
        <f>IF(AND(DG!$A206=11,DG!$B206=2),IMMO!$G21+IMMO!$I21,0)</f>
        <v>0</v>
      </c>
      <c r="DJ227" s="470">
        <f>IF(AND(DG!$A206=11,DG!$B206=3),IMMO!$G21+IMMO!$I21,0)</f>
        <v>0</v>
      </c>
      <c r="DK227" s="470">
        <f>IF(AND(DG!$A206=11,DG!$B206=4),IMMO!$G21+IMMO!$I21,0)</f>
        <v>0</v>
      </c>
      <c r="DL227" s="470">
        <f>IF(AND(DG!$A206=11,DG!$B206=5),IMMO!$G21+IMMO!$I21,0)</f>
        <v>0</v>
      </c>
      <c r="DM227" s="470">
        <f>IF(AND(DG!$A206=11,DG!$B206=6),IMMO!$G21+IMMO!$I21,0)</f>
        <v>0</v>
      </c>
      <c r="DN227" s="470">
        <f>IF(AND(DG!$A206=11,DG!$B206=7),IMMO!$G21+IMMO!$I21,0)</f>
        <v>0</v>
      </c>
      <c r="DO227" s="470">
        <f>IF(AND(DG!$A206=11,DG!$B206=8),IMMO!$G21+IMMO!$I21,0)</f>
        <v>0</v>
      </c>
      <c r="DP227" s="470">
        <f>IF(AND(DG!$A206=11,DG!$B206=9),IMMO!$G21+IMMO!$I21,0)</f>
        <v>0</v>
      </c>
      <c r="DQ227" s="470">
        <f>IF(AND(DG!$A206=11,DG!$B206=10),IMMO!$G21+IMMO!$I21,0)</f>
        <v>0</v>
      </c>
      <c r="DR227" s="470">
        <f>IF(AND(DG!$A206=11,DG!$B206=11),IMMO!$G21+IMMO!$I21,0)</f>
        <v>0</v>
      </c>
      <c r="DS227" s="470">
        <f>IF(AND(DG!$A206=11,DG!$B206=12),IMMO!$G21+IMMO!$I21,0)</f>
        <v>0</v>
      </c>
      <c r="DT227" s="470">
        <f>IF(AND(DG!$A206=12,DG!$B206=1),IMMO!$G21+IMMO!$I21,0)</f>
        <v>0</v>
      </c>
      <c r="DU227" s="470">
        <f>IF(AND(DG!$A206=12,DG!$B206=2),IMMO!$G21+IMMO!$I21,0)</f>
        <v>0</v>
      </c>
      <c r="DV227" s="470">
        <f>IF(AND(DG!$A206=12,DG!$B206=3),IMMO!$G21+IMMO!$I21,0)</f>
        <v>0</v>
      </c>
      <c r="DW227" s="470">
        <f>IF(AND(DG!$A206=12,DG!$B206=4),IMMO!$G21+IMMO!$I21,0)</f>
        <v>0</v>
      </c>
      <c r="DX227" s="470">
        <f>IF(AND(DG!$A206=12,DG!$B206=5),IMMO!$G21+IMMO!$I21,0)</f>
        <v>0</v>
      </c>
      <c r="DY227" s="470">
        <f>IF(AND(DG!$A206=12,DG!$B206=6),IMMO!$G21+IMMO!$I21,0)</f>
        <v>0</v>
      </c>
      <c r="DZ227" s="470">
        <f>IF(AND(DG!$A206=12,DG!$B206=7),IMMO!$G21+IMMO!$I21,0)</f>
        <v>0</v>
      </c>
      <c r="EA227" s="470">
        <f>IF(AND(DG!$A206=12,DG!$B206=8),IMMO!$G21+IMMO!$I21,0)</f>
        <v>0</v>
      </c>
      <c r="EB227" s="470">
        <f>IF(AND(DG!$A206=12,DG!$B206=9),IMMO!$G21+IMMO!$I21,0)</f>
        <v>0</v>
      </c>
      <c r="EC227" s="470">
        <f>IF(AND(DG!$A206=12,DG!$B206=10),IMMO!$G21+IMMO!$I21,0)</f>
        <v>0</v>
      </c>
      <c r="ED227" s="470">
        <f>IF(AND(DG!$A206=12,DG!$B206=11),IMMO!$G21+IMMO!$I21,0)</f>
        <v>0</v>
      </c>
      <c r="EE227" s="470">
        <f>IF(AND(DG!$A206=12,DG!$B206=12),IMMO!$G21+IMMO!$I21,0)</f>
        <v>0</v>
      </c>
      <c r="EF227" s="470"/>
      <c r="EG227" s="470"/>
      <c r="EH227" s="470"/>
      <c r="EI227" s="470"/>
      <c r="EJ227" s="470"/>
      <c r="EK227" s="470"/>
      <c r="EL227" s="470"/>
      <c r="EM227" s="470"/>
    </row>
    <row r="228" spans="4:143">
      <c r="D228" s="470"/>
      <c r="E228" s="470"/>
      <c r="F228" s="470"/>
      <c r="G228" s="470"/>
      <c r="H228" s="470"/>
      <c r="I228" s="470"/>
      <c r="J228" s="470"/>
      <c r="K228" s="470"/>
      <c r="L228" s="470"/>
      <c r="M228" s="470"/>
      <c r="N228" s="470"/>
      <c r="O228" s="470"/>
      <c r="P228" s="470"/>
      <c r="Q228" s="470"/>
      <c r="R228" s="470"/>
      <c r="S228" s="470"/>
      <c r="T228" s="470"/>
      <c r="U228" s="470"/>
      <c r="V228" s="470"/>
      <c r="W228" s="470"/>
      <c r="X228" s="470"/>
      <c r="Y228" s="470"/>
      <c r="Z228" s="470"/>
      <c r="AA228" s="470"/>
      <c r="AB228" s="470"/>
      <c r="AC228" s="470"/>
      <c r="AD228" s="470"/>
      <c r="AE228" s="470"/>
      <c r="AF228" s="470"/>
      <c r="AG228" s="470"/>
      <c r="AH228" s="470"/>
      <c r="AI228" s="470"/>
      <c r="AJ228" s="470"/>
      <c r="AK228" s="470"/>
      <c r="AL228" s="470"/>
      <c r="AM228" s="470"/>
      <c r="AN228" s="470"/>
      <c r="AO228" s="470"/>
      <c r="AP228" s="470"/>
      <c r="AQ228" s="470"/>
      <c r="AR228" s="470"/>
      <c r="AS228" s="470"/>
      <c r="AT228" s="470"/>
      <c r="AU228" s="470"/>
      <c r="AV228" s="470"/>
      <c r="AW228" s="470"/>
      <c r="AX228" s="470"/>
      <c r="AY228" s="470"/>
      <c r="AZ228" s="470"/>
      <c r="BA228" s="470"/>
      <c r="BB228" s="470"/>
      <c r="BC228" s="471"/>
    </row>
    <row r="229" spans="4:143">
      <c r="D229" s="470">
        <f>IF(AND(DG!$A207=2,DG!$B207=1),IMMO!$G23+IMMO!$I23,0)</f>
        <v>0</v>
      </c>
      <c r="E229" s="470">
        <f>IF(AND(DG!$A207=2,DG!$B207=2),IMMO!$G23+IMMO!$I23,0)</f>
        <v>0</v>
      </c>
      <c r="F229" s="470">
        <f>IF(AND(DG!$A207=2,DG!$B207=3),IMMO!$G23+IMMO!$I23,0)</f>
        <v>0</v>
      </c>
      <c r="G229" s="470">
        <f>IF(AND(DG!$A207=2,DG!$B207=4),IMMO!$G23+IMMO!$I23,0)</f>
        <v>0</v>
      </c>
      <c r="H229" s="470">
        <f>IF(AND(DG!$A207=2,DG!$B207=5),IMMO!$G23+IMMO!$I23,0)</f>
        <v>0</v>
      </c>
      <c r="I229" s="470">
        <f>IF(AND(DG!$A207=2,DG!$B207=6),IMMO!$G23+IMMO!$I23,0)</f>
        <v>0</v>
      </c>
      <c r="J229" s="470">
        <f>IF(AND(DG!$A207=2,DG!$B207=7),IMMO!$G23+IMMO!$I23,0)</f>
        <v>0</v>
      </c>
      <c r="K229" s="470">
        <f>IF(AND(DG!$A207=2,DG!$B207=8),IMMO!$G23+IMMO!$I23,0)</f>
        <v>0</v>
      </c>
      <c r="L229" s="470">
        <f>IF(AND(DG!$A207=2,DG!$B207=9),IMMO!$G23+IMMO!$I23,0)</f>
        <v>0</v>
      </c>
      <c r="M229" s="470">
        <f>IF(AND(DG!$A207=2,DG!$B207=10),IMMO!$G23+IMMO!$I23,0)</f>
        <v>0</v>
      </c>
      <c r="N229" s="470">
        <f>IF(AND(DG!$A207=2,DG!$B207=11),IMMO!$G23+IMMO!$I23,0)</f>
        <v>0</v>
      </c>
      <c r="O229" s="470">
        <f>IF(AND(DG!$A207=2,DG!$B207=12),IMMO!$G23+IMMO!$I23,0)</f>
        <v>0</v>
      </c>
      <c r="P229" s="470">
        <f>IF(AND(DG!$A207=3,DG!$B207=1),IMMO!$G23+IMMO!$I23,0)</f>
        <v>0</v>
      </c>
      <c r="Q229" s="470">
        <f>IF(AND(DG!$A207=3,DG!$B207=2),IMMO!$G23+IMMO!$I23,0)</f>
        <v>0</v>
      </c>
      <c r="R229" s="470">
        <f>IF(AND(DG!$A207=3,DG!$B207=3),IMMO!$G23+IMMO!$I23,0)</f>
        <v>0</v>
      </c>
      <c r="S229" s="470">
        <f>IF(AND(DG!$A207=3,DG!$B207=4),IMMO!$G23+IMMO!$I23,0)</f>
        <v>0</v>
      </c>
      <c r="T229" s="470">
        <f>IF(AND(DG!$A207=3,DG!$B207=5),IMMO!$G23+IMMO!$I23,0)</f>
        <v>0</v>
      </c>
      <c r="U229" s="470">
        <f>IF(AND(DG!$A207=3,DG!$B207=6),IMMO!$G23+IMMO!$I23,0)</f>
        <v>0</v>
      </c>
      <c r="V229" s="470">
        <f>IF(AND(DG!$A207=3,DG!$B207=7),IMMO!$G23+IMMO!$I23,0)</f>
        <v>0</v>
      </c>
      <c r="W229" s="470">
        <f>IF(AND(DG!$A207=3,DG!$B207=8),IMMO!$G23+IMMO!$I23,0)</f>
        <v>0</v>
      </c>
      <c r="X229" s="470">
        <f>IF(AND(DG!$A207=3,DG!$B207=9),IMMO!$G23+IMMO!$I23,0)</f>
        <v>0</v>
      </c>
      <c r="Y229" s="470">
        <f>IF(AND(DG!$A207=3,DG!$B207=10),IMMO!$G23+IMMO!$I23,0)</f>
        <v>0</v>
      </c>
      <c r="Z229" s="470">
        <f>IF(AND(DG!$A207=3,DG!$B207=11),IMMO!$G23+IMMO!$I23,0)</f>
        <v>0</v>
      </c>
      <c r="AA229" s="470">
        <f>IF(AND(DG!$A207=3,DG!$B207=12),IMMO!$G23+IMMO!$I23,0)</f>
        <v>0</v>
      </c>
      <c r="AB229" s="470">
        <f>IF(AND(DG!$A207=4,DG!$B207=1),IMMO!$G23+IMMO!$I23,0)</f>
        <v>0</v>
      </c>
      <c r="AC229" s="470">
        <f>IF(AND(DG!$A207=4,DG!$B207=2),IMMO!$G23+IMMO!$I23,0)</f>
        <v>0</v>
      </c>
      <c r="AD229" s="470">
        <f>IF(AND(DG!$A207=4,DG!$B207=3),IMMO!$G23+IMMO!$I23,0)</f>
        <v>0</v>
      </c>
      <c r="AE229" s="470">
        <f>IF(AND(DG!$A207=4,DG!$B207=4),IMMO!$G23+IMMO!$I23,0)</f>
        <v>0</v>
      </c>
      <c r="AF229" s="470">
        <f>IF(AND(DG!$A207=4,DG!$B207=5),IMMO!$G23+IMMO!$I23,0)</f>
        <v>0</v>
      </c>
      <c r="AG229" s="470">
        <f>IF(AND(DG!$A207=4,DG!$B207=6),IMMO!$G23+IMMO!$I23,0)</f>
        <v>0</v>
      </c>
      <c r="AH229" s="470">
        <f>IF(AND(DG!$A207=4,DG!$B207=7),IMMO!$G23+IMMO!$I23,0)</f>
        <v>0</v>
      </c>
      <c r="AI229" s="470">
        <f>IF(AND(DG!$A207=4,DG!$B207=8),IMMO!$G23+IMMO!$I23,0)</f>
        <v>0</v>
      </c>
      <c r="AJ229" s="470">
        <f>IF(AND(DG!$A207=4,DG!$B207=9),IMMO!$G23+IMMO!$I23,0)</f>
        <v>0</v>
      </c>
      <c r="AK229" s="470">
        <f>IF(AND(DG!$A207=4,DG!$B207=10),IMMO!$G23+IMMO!$I23,0)</f>
        <v>0</v>
      </c>
      <c r="AL229" s="470">
        <f>IF(AND(DG!$A207=4,DG!$B207=11),IMMO!$G23+IMMO!$I23,0)</f>
        <v>0</v>
      </c>
      <c r="AM229" s="470">
        <f>IF(AND(DG!$A207=4,DG!$B207=12),IMMO!$G23+IMMO!$I23,0)</f>
        <v>0</v>
      </c>
      <c r="AN229" s="470">
        <f>IF(AND(DG!$A207=5,DG!$B207=1),IMMO!$G23+IMMO!$I23,0)</f>
        <v>0</v>
      </c>
      <c r="AO229" s="470">
        <f>IF(AND(DG!$A207=5,DG!$B207=2),IMMO!$G23+IMMO!$I23,0)</f>
        <v>0</v>
      </c>
      <c r="AP229" s="470">
        <f>IF(AND(DG!$A207=5,DG!$B207=3),IMMO!$G23+IMMO!$I23,0)</f>
        <v>0</v>
      </c>
      <c r="AQ229" s="470">
        <f>IF(AND(DG!$A207=5,DG!$B207=4),IMMO!$G23+IMMO!$I23,0)</f>
        <v>0</v>
      </c>
      <c r="AR229" s="470">
        <f>IF(AND(DG!$A207=5,DG!$B207=5),IMMO!$G23+IMMO!$I23,0)</f>
        <v>0</v>
      </c>
      <c r="AS229" s="470">
        <f>IF(AND(DG!$A207=5,DG!$B207=6),IMMO!$G23+IMMO!$I23,0)</f>
        <v>0</v>
      </c>
      <c r="AT229" s="470">
        <f>IF(AND(DG!$A207=5,DG!$B207=7),IMMO!$G23+IMMO!$I23,0)</f>
        <v>0</v>
      </c>
      <c r="AU229" s="470">
        <f>IF(AND(DG!$A207=5,DG!$B207=8),IMMO!$G23+IMMO!$I23,0)</f>
        <v>0</v>
      </c>
      <c r="AV229" s="470">
        <f>IF(AND(DG!$A207=5,DG!$B207=9),IMMO!$G23+IMMO!$I23,0)</f>
        <v>0</v>
      </c>
      <c r="AW229" s="470">
        <f>IF(AND(DG!$A207=5,DG!$B207=10),IMMO!$G23+IMMO!$I23,0)</f>
        <v>0</v>
      </c>
      <c r="AX229" s="470">
        <f>IF(AND(DG!$A207=5,DG!$B207=11),IMMO!$G23+IMMO!$I23,0)</f>
        <v>0</v>
      </c>
      <c r="AY229" s="470">
        <f>IF(AND(DG!$A207=5,DG!$B207=12),IMMO!$G23+IMMO!$I23,0)</f>
        <v>0</v>
      </c>
      <c r="AZ229" s="470">
        <f>IF(AND(DG!$A207=6,DG!$B207=1),IMMO!$G23+IMMO!$I23,0)</f>
        <v>0</v>
      </c>
      <c r="BA229" s="470">
        <f>IF(AND(DG!$A207=6,DG!$B207=2),IMMO!$G23+IMMO!$I23,0)</f>
        <v>0</v>
      </c>
      <c r="BB229" s="470">
        <f>IF(AND(DG!$A207=6,DG!$B207=3),IMMO!$G23+IMMO!$I23,0)</f>
        <v>0</v>
      </c>
      <c r="BC229" s="470">
        <f>IF(AND(DG!$A207=6,DG!$B207=4),IMMO!$G23+IMMO!$I23,0)</f>
        <v>0</v>
      </c>
      <c r="BD229" s="470">
        <f>IF(AND(DG!$A207=6,DG!$B207=5),IMMO!$G23+IMMO!$I23,0)</f>
        <v>0</v>
      </c>
      <c r="BE229" s="470">
        <f>IF(AND(DG!$A207=6,DG!$B207=6),IMMO!$G23+IMMO!$I23,0)</f>
        <v>0</v>
      </c>
      <c r="BF229" s="470">
        <f>IF(AND(DG!$A207=6,DG!$B207=7),IMMO!$G23+IMMO!$I23,0)</f>
        <v>0</v>
      </c>
      <c r="BG229" s="470">
        <f>IF(AND(DG!$A207=6,DG!$B207=8),IMMO!$G23+IMMO!$I23,0)</f>
        <v>0</v>
      </c>
      <c r="BH229" s="470">
        <f>IF(AND(DG!$A207=6,DG!$B207=9),IMMO!$G23+IMMO!$I23,0)</f>
        <v>0</v>
      </c>
      <c r="BI229" s="470">
        <f>IF(AND(DG!$A207=6,DG!$B207=10),IMMO!$G23+IMMO!$I23,0)</f>
        <v>0</v>
      </c>
      <c r="BJ229" s="470">
        <f>IF(AND(DG!$A207=6,DG!$B207=11),IMMO!$G23+IMMO!$I23,0)</f>
        <v>0</v>
      </c>
      <c r="BK229" s="470">
        <f>IF(AND(DG!$A207=6,DG!$B207=12),IMMO!$G23+IMMO!$I23,0)</f>
        <v>0</v>
      </c>
      <c r="BL229" s="470">
        <f>IF(AND(DG!$A207=7,DG!$B207=1),IMMO!$G23+IMMO!$I23,0)</f>
        <v>0</v>
      </c>
      <c r="BM229" s="470">
        <f>IF(AND(DG!$A207=7,DG!$B207=2),IMMO!$G23+IMMO!$I23,0)</f>
        <v>0</v>
      </c>
      <c r="BN229" s="470">
        <f>IF(AND(DG!$A207=7,DG!$B207=3),IMMO!$G23+IMMO!$I23,0)</f>
        <v>0</v>
      </c>
      <c r="BO229" s="470">
        <f>IF(AND(DG!$A207=7,DG!$B207=4),IMMO!$G23+IMMO!$I23,0)</f>
        <v>0</v>
      </c>
      <c r="BP229" s="470">
        <f>IF(AND(DG!$A207=7,DG!$B207=5),IMMO!$G23+IMMO!$I23,0)</f>
        <v>0</v>
      </c>
      <c r="BQ229" s="470">
        <f>IF(AND(DG!$A207=7,DG!$B207=6),IMMO!$G23+IMMO!$I23,0)</f>
        <v>0</v>
      </c>
      <c r="BR229" s="470">
        <f>IF(AND(DG!$A207=7,DG!$B207=7),IMMO!$G23+IMMO!$I23,0)</f>
        <v>0</v>
      </c>
      <c r="BS229" s="470">
        <f>IF(AND(DG!$A207=7,DG!$B207=8),IMMO!$G23+IMMO!$I23,0)</f>
        <v>0</v>
      </c>
      <c r="BT229" s="470">
        <f>IF(AND(DG!$A207=7,DG!$B207=9),IMMO!$G23+IMMO!$I23,0)</f>
        <v>0</v>
      </c>
      <c r="BU229" s="470">
        <f>IF(AND(DG!$A207=7,DG!$B207=10),IMMO!$G23+IMMO!$I23,0)</f>
        <v>0</v>
      </c>
      <c r="BV229" s="470">
        <f>IF(AND(DG!$A207=7,DG!$B207=11),IMMO!$G23+IMMO!$I23,0)</f>
        <v>0</v>
      </c>
      <c r="BW229" s="470">
        <f>IF(AND(DG!$A207=7,DG!$B207=12),IMMO!$G23+IMMO!$I23,0)</f>
        <v>0</v>
      </c>
      <c r="BX229" s="470">
        <f>IF(AND(DG!$A207=8,DG!$B207=1),IMMO!$G23+IMMO!$I23,0)</f>
        <v>0</v>
      </c>
      <c r="BY229" s="470">
        <f>IF(AND(DG!$A207=8,DG!$B207=2),IMMO!$G23+IMMO!$I23,0)</f>
        <v>0</v>
      </c>
      <c r="BZ229" s="470">
        <f>IF(AND(DG!$A207=8,DG!$B207=3),IMMO!$G23+IMMO!$I23,0)</f>
        <v>0</v>
      </c>
      <c r="CA229" s="470">
        <f>IF(AND(DG!$A207=8,DG!$B207=4),IMMO!$G23+IMMO!$I23,0)</f>
        <v>0</v>
      </c>
      <c r="CB229" s="470">
        <f>IF(AND(DG!$A207=8,DG!$B207=5),IMMO!$G23+IMMO!$I23,0)</f>
        <v>0</v>
      </c>
      <c r="CC229" s="470">
        <f>IF(AND(DG!$A207=8,DG!$B207=6),IMMO!$G23+IMMO!$I23,0)</f>
        <v>0</v>
      </c>
      <c r="CD229" s="470">
        <f>IF(AND(DG!$A207=8,DG!$B207=7),IMMO!$G23+IMMO!$I23,0)</f>
        <v>0</v>
      </c>
      <c r="CE229" s="470">
        <f>IF(AND(DG!$A207=8,DG!$B207=8),IMMO!$G23+IMMO!$I23,0)</f>
        <v>0</v>
      </c>
      <c r="CF229" s="470">
        <f>IF(AND(DG!$A207=8,DG!$B207=9),IMMO!$G23+IMMO!$I23,0)</f>
        <v>0</v>
      </c>
      <c r="CG229" s="470">
        <f>IF(AND(DG!$A207=8,DG!$B207=10),IMMO!$G23+IMMO!$I23,0)</f>
        <v>0</v>
      </c>
      <c r="CH229" s="470">
        <f>IF(AND(DG!$A207=8,DG!$B207=11),IMMO!$G23+IMMO!$I23,0)</f>
        <v>0</v>
      </c>
      <c r="CI229" s="470">
        <f>IF(AND(DG!$A207=8,DG!$B207=12),IMMO!$G23+IMMO!$I23,0)</f>
        <v>0</v>
      </c>
      <c r="CJ229" s="470">
        <f>IF(AND(DG!$A207=9,DG!$B207=1),IMMO!$G23+IMMO!$I23,0)</f>
        <v>0</v>
      </c>
      <c r="CK229" s="470">
        <f>IF(AND(DG!$A207=9,DG!$B207=2),IMMO!$G23+IMMO!$I23,0)</f>
        <v>0</v>
      </c>
      <c r="CL229" s="470">
        <f>IF(AND(DG!$A207=9,DG!$B207=3),IMMO!$G23+IMMO!$I23,0)</f>
        <v>0</v>
      </c>
      <c r="CM229" s="470">
        <f>IF(AND(DG!$A207=9,DG!$B207=4),IMMO!$G23+IMMO!$I23,0)</f>
        <v>0</v>
      </c>
      <c r="CN229" s="470">
        <f>IF(AND(DG!$A207=9,DG!$B207=5),IMMO!$G23+IMMO!$I23,0)</f>
        <v>0</v>
      </c>
      <c r="CO229" s="470">
        <f>IF(AND(DG!$A207=9,DG!$B207=6),IMMO!$G23+IMMO!$I23,0)</f>
        <v>0</v>
      </c>
      <c r="CP229" s="470">
        <f>IF(AND(DG!$A207=9,DG!$B207=7),IMMO!$G23+IMMO!$I23,0)</f>
        <v>0</v>
      </c>
      <c r="CQ229" s="470">
        <f>IF(AND(DG!$A207=9,DG!$B207=8),IMMO!$G23+IMMO!$I23,0)</f>
        <v>0</v>
      </c>
      <c r="CR229" s="470">
        <f>IF(AND(DG!$A207=9,DG!$B207=9),IMMO!$G23+IMMO!$I23,0)</f>
        <v>0</v>
      </c>
      <c r="CS229" s="470">
        <f>IF(AND(DG!$A207=9,DG!$B207=10),IMMO!$G23+IMMO!$I23,0)</f>
        <v>0</v>
      </c>
      <c r="CT229" s="470">
        <f>IF(AND(DG!$A207=9,DG!$B207=11),IMMO!$G23+IMMO!$I23,0)</f>
        <v>0</v>
      </c>
      <c r="CU229" s="470">
        <f>IF(AND(DG!$A207=9,DG!$B207=12),IMMO!$G23+IMMO!$I23,0)</f>
        <v>0</v>
      </c>
      <c r="CV229" s="470">
        <f>IF(AND(DG!$A207=10,DG!$B207=1),IMMO!$G23+IMMO!$I23,0)</f>
        <v>0</v>
      </c>
      <c r="CW229" s="470">
        <f>IF(AND(DG!$A207=10,DG!$B207=2),IMMO!$G23+IMMO!$I23,0)</f>
        <v>0</v>
      </c>
      <c r="CX229" s="470">
        <f>IF(AND(DG!$A207=10,DG!$B207=3),IMMO!$G23+IMMO!$I23,0)</f>
        <v>0</v>
      </c>
      <c r="CY229" s="470">
        <f>IF(AND(DG!$A207=10,DG!$B207=4),IMMO!$G23+IMMO!$I23,0)</f>
        <v>0</v>
      </c>
      <c r="CZ229" s="470">
        <f>IF(AND(DG!$A207=10,DG!$B207=5),IMMO!$G23+IMMO!$I23,0)</f>
        <v>0</v>
      </c>
      <c r="DA229" s="470">
        <f>IF(AND(DG!$A207=10,DG!$B207=6),IMMO!$G23+IMMO!$I23,0)</f>
        <v>0</v>
      </c>
      <c r="DB229" s="470">
        <f>IF(AND(DG!$A207=10,DG!$B207=7),IMMO!$G23+IMMO!$I23,0)</f>
        <v>0</v>
      </c>
      <c r="DC229" s="470">
        <f>IF(AND(DG!$A207=10,DG!$B207=8),IMMO!$G23+IMMO!$I23,0)</f>
        <v>0</v>
      </c>
      <c r="DD229" s="470">
        <f>IF(AND(DG!$A207=10,DG!$B207=9),IMMO!$G23+IMMO!$I23,0)</f>
        <v>0</v>
      </c>
      <c r="DE229" s="470">
        <f>IF(AND(DG!$A207=10,DG!$B207=10),IMMO!$G23+IMMO!$I23,0)</f>
        <v>0</v>
      </c>
      <c r="DF229" s="470">
        <f>IF(AND(DG!$A207=10,DG!$B207=11),IMMO!$G23+IMMO!$I23,0)</f>
        <v>0</v>
      </c>
      <c r="DG229" s="470">
        <f>IF(AND(DG!$A207=10,DG!$B207=12),IMMO!$G23+IMMO!$I23,0)</f>
        <v>0</v>
      </c>
      <c r="DH229" s="470">
        <f>IF(AND(DG!$A207=11,DG!$B207=1),IMMO!$G23+IMMO!$I23,0)</f>
        <v>0</v>
      </c>
      <c r="DI229" s="470">
        <f>IF(AND(DG!$A207=11,DG!$B207=2),IMMO!$G23+IMMO!$I23,0)</f>
        <v>0</v>
      </c>
      <c r="DJ229" s="470">
        <f>IF(AND(DG!$A207=11,DG!$B207=3),IMMO!$G23+IMMO!$I23,0)</f>
        <v>0</v>
      </c>
      <c r="DK229" s="470">
        <f>IF(AND(DG!$A207=11,DG!$B207=4),IMMO!$G23+IMMO!$I23,0)</f>
        <v>0</v>
      </c>
      <c r="DL229" s="470">
        <f>IF(AND(DG!$A207=11,DG!$B207=5),IMMO!$G23+IMMO!$I23,0)</f>
        <v>0</v>
      </c>
      <c r="DM229" s="470">
        <f>IF(AND(DG!$A207=11,DG!$B207=6),IMMO!$G23+IMMO!$I23,0)</f>
        <v>0</v>
      </c>
      <c r="DN229" s="470">
        <f>IF(AND(DG!$A207=11,DG!$B207=7),IMMO!$G23+IMMO!$I23,0)</f>
        <v>0</v>
      </c>
      <c r="DO229" s="470">
        <f>IF(AND(DG!$A207=11,DG!$B207=8),IMMO!$G23+IMMO!$I23,0)</f>
        <v>0</v>
      </c>
      <c r="DP229" s="470">
        <f>IF(AND(DG!$A207=11,DG!$B207=9),IMMO!$G23+IMMO!$I23,0)</f>
        <v>0</v>
      </c>
      <c r="DQ229" s="470">
        <f>IF(AND(DG!$A207=11,DG!$B207=10),IMMO!$G23+IMMO!$I23,0)</f>
        <v>0</v>
      </c>
      <c r="DR229" s="470">
        <f>IF(AND(DG!$A207=11,DG!$B207=11),IMMO!$G23+IMMO!$I23,0)</f>
        <v>0</v>
      </c>
      <c r="DS229" s="470">
        <f>IF(AND(DG!$A207=11,DG!$B207=12),IMMO!$G23+IMMO!$I23,0)</f>
        <v>0</v>
      </c>
      <c r="DT229" s="470">
        <f>IF(AND(DG!$A207=12,DG!$B207=1),IMMO!$G23+IMMO!$I23,0)</f>
        <v>0</v>
      </c>
      <c r="DU229" s="470">
        <f>IF(AND(DG!$A207=12,DG!$B207=2),IMMO!$G23+IMMO!$I23,0)</f>
        <v>0</v>
      </c>
      <c r="DV229" s="470">
        <f>IF(AND(DG!$A207=12,DG!$B207=3),IMMO!$G23+IMMO!$I23,0)</f>
        <v>0</v>
      </c>
      <c r="DW229" s="470">
        <f>IF(AND(DG!$A207=12,DG!$B207=4),IMMO!$G23+IMMO!$I23,0)</f>
        <v>0</v>
      </c>
      <c r="DX229" s="470">
        <f>IF(AND(DG!$A207=12,DG!$B207=5),IMMO!$G23+IMMO!$I23,0)</f>
        <v>0</v>
      </c>
      <c r="DY229" s="470">
        <f>IF(AND(DG!$A207=12,DG!$B207=6),IMMO!$G23+IMMO!$I23,0)</f>
        <v>0</v>
      </c>
      <c r="DZ229" s="470">
        <f>IF(AND(DG!$A207=12,DG!$B207=7),IMMO!$G23+IMMO!$I23,0)</f>
        <v>0</v>
      </c>
      <c r="EA229" s="470">
        <f>IF(AND(DG!$A207=12,DG!$B207=8),IMMO!$G23+IMMO!$I23,0)</f>
        <v>0</v>
      </c>
      <c r="EB229" s="470">
        <f>IF(AND(DG!$A207=12,DG!$B207=9),IMMO!$G23+IMMO!$I23,0)</f>
        <v>0</v>
      </c>
      <c r="EC229" s="470">
        <f>IF(AND(DG!$A207=12,DG!$B207=10),IMMO!$G23+IMMO!$I23,0)</f>
        <v>0</v>
      </c>
      <c r="ED229" s="470">
        <f>IF(AND(DG!$A207=12,DG!$B207=11),IMMO!$G23+IMMO!$I23,0)</f>
        <v>0</v>
      </c>
      <c r="EE229" s="470">
        <f>IF(AND(DG!$A207=12,DG!$B207=12),IMMO!$G23+IMMO!$I23,0)</f>
        <v>0</v>
      </c>
      <c r="EF229" s="470"/>
      <c r="EG229" s="470"/>
      <c r="EH229" s="470"/>
      <c r="EI229" s="470"/>
      <c r="EJ229" s="470"/>
      <c r="EK229" s="470"/>
      <c r="EL229" s="470"/>
      <c r="EM229" s="470"/>
    </row>
    <row r="230" spans="4:143">
      <c r="D230" s="470"/>
      <c r="E230" s="470"/>
      <c r="F230" s="470"/>
      <c r="G230" s="470"/>
      <c r="H230" s="470"/>
      <c r="I230" s="470"/>
      <c r="J230" s="470"/>
      <c r="K230" s="470"/>
      <c r="L230" s="470"/>
      <c r="M230" s="470"/>
      <c r="N230" s="470"/>
      <c r="O230" s="470"/>
      <c r="P230" s="470"/>
      <c r="Q230" s="470"/>
      <c r="R230" s="470"/>
      <c r="S230" s="470"/>
      <c r="T230" s="470"/>
      <c r="U230" s="470"/>
      <c r="V230" s="470"/>
      <c r="W230" s="470"/>
      <c r="X230" s="470"/>
      <c r="Y230" s="470"/>
      <c r="Z230" s="470"/>
      <c r="AA230" s="470"/>
      <c r="AB230" s="470"/>
      <c r="AC230" s="470"/>
      <c r="AD230" s="470"/>
      <c r="AE230" s="470"/>
      <c r="AF230" s="470"/>
      <c r="AG230" s="470"/>
      <c r="AH230" s="470"/>
      <c r="AI230" s="470"/>
      <c r="AJ230" s="470"/>
      <c r="AK230" s="470"/>
      <c r="AL230" s="470"/>
      <c r="AM230" s="470"/>
      <c r="AN230" s="470"/>
      <c r="AO230" s="470"/>
      <c r="AP230" s="470"/>
      <c r="AQ230" s="470"/>
      <c r="AR230" s="470"/>
      <c r="AS230" s="470"/>
      <c r="AT230" s="470"/>
      <c r="AU230" s="470"/>
      <c r="AV230" s="470"/>
      <c r="AW230" s="470"/>
      <c r="AX230" s="470"/>
      <c r="AY230" s="470"/>
      <c r="AZ230" s="470"/>
      <c r="BA230" s="470"/>
      <c r="BB230" s="470"/>
      <c r="BC230" s="471"/>
    </row>
    <row r="231" spans="4:143">
      <c r="D231" s="470">
        <f>IF(AND(DG!$A208=2,DG!$B208=1),IMMO!$G25+IMMO!$I25,0)</f>
        <v>0</v>
      </c>
      <c r="E231" s="470">
        <f>IF(AND(DG!$A208=2,DG!$B208=2),IMMO!$G25+IMMO!$I25,0)</f>
        <v>0</v>
      </c>
      <c r="F231" s="470">
        <f>IF(AND(DG!$A208=2,DG!$B208=3),IMMO!$G25+IMMO!$I25,0)</f>
        <v>0</v>
      </c>
      <c r="G231" s="470">
        <f>IF(AND(DG!$A208=2,DG!$B208=4),IMMO!$G25+IMMO!$I25,0)</f>
        <v>0</v>
      </c>
      <c r="H231" s="470">
        <f>IF(AND(DG!$A208=2,DG!$B208=5),IMMO!$G25+IMMO!$I25,0)</f>
        <v>0</v>
      </c>
      <c r="I231" s="470">
        <f>IF(AND(DG!$A208=2,DG!$B208=6),IMMO!$G25+IMMO!$I25,0)</f>
        <v>0</v>
      </c>
      <c r="J231" s="470">
        <f>IF(AND(DG!$A208=2,DG!$B208=7),IMMO!$G25+IMMO!$I25,0)</f>
        <v>0</v>
      </c>
      <c r="K231" s="470">
        <f>IF(AND(DG!$A208=2,DG!$B208=8),IMMO!$G25+IMMO!$I25,0)</f>
        <v>0</v>
      </c>
      <c r="L231" s="470">
        <f>IF(AND(DG!$A208=2,DG!$B208=9),IMMO!$G25+IMMO!$I25,0)</f>
        <v>0</v>
      </c>
      <c r="M231" s="470">
        <f>IF(AND(DG!$A208=2,DG!$B208=10),IMMO!$G25+IMMO!$I25,0)</f>
        <v>0</v>
      </c>
      <c r="N231" s="470">
        <f>IF(AND(DG!$A208=2,DG!$B208=11),IMMO!$G25+IMMO!$I25,0)</f>
        <v>0</v>
      </c>
      <c r="O231" s="470">
        <f>IF(AND(DG!$A208=2,DG!$B208=12),IMMO!$G25+IMMO!$I25,0)</f>
        <v>0</v>
      </c>
      <c r="P231" s="470">
        <f>IF(AND(DG!$A208=3,DG!$B208=1),IMMO!$G25+IMMO!$I25,0)</f>
        <v>0</v>
      </c>
      <c r="Q231" s="470">
        <f>IF(AND(DG!$A208=3,DG!$B208=2),IMMO!$G25+IMMO!$I25,0)</f>
        <v>0</v>
      </c>
      <c r="R231" s="470">
        <f>IF(AND(DG!$A208=3,DG!$B208=3),IMMO!$G25+IMMO!$I25,0)</f>
        <v>0</v>
      </c>
      <c r="S231" s="470">
        <f>IF(AND(DG!$A208=3,DG!$B208=4),IMMO!$G25+IMMO!$I25,0)</f>
        <v>0</v>
      </c>
      <c r="T231" s="470">
        <f>IF(AND(DG!$A208=3,DG!$B208=5),IMMO!$G25+IMMO!$I25,0)</f>
        <v>0</v>
      </c>
      <c r="U231" s="470">
        <f>IF(AND(DG!$A208=3,DG!$B208=6),IMMO!$G25+IMMO!$I25,0)</f>
        <v>0</v>
      </c>
      <c r="V231" s="470">
        <f>IF(AND(DG!$A208=3,DG!$B208=7),IMMO!$G25+IMMO!$I25,0)</f>
        <v>0</v>
      </c>
      <c r="W231" s="470">
        <f>IF(AND(DG!$A208=3,DG!$B208=8),IMMO!$G25+IMMO!$I25,0)</f>
        <v>0</v>
      </c>
      <c r="X231" s="470">
        <f>IF(AND(DG!$A208=3,DG!$B208=9),IMMO!$G25+IMMO!$I25,0)</f>
        <v>0</v>
      </c>
      <c r="Y231" s="470">
        <f>IF(AND(DG!$A208=3,DG!$B208=10),IMMO!$G25+IMMO!$I25,0)</f>
        <v>0</v>
      </c>
      <c r="Z231" s="470">
        <f>IF(AND(DG!$A208=3,DG!$B208=11),IMMO!$G25+IMMO!$I25,0)</f>
        <v>0</v>
      </c>
      <c r="AA231" s="470">
        <f>IF(AND(DG!$A208=3,DG!$B208=12),IMMO!$G25+IMMO!$I25,0)</f>
        <v>0</v>
      </c>
      <c r="AB231" s="470">
        <f>IF(AND(DG!$A208=4,DG!$B208=1),IMMO!$G25+IMMO!$I25,0)</f>
        <v>0</v>
      </c>
      <c r="AC231" s="470">
        <f>IF(AND(DG!$A208=4,DG!$B208=2),IMMO!$G25+IMMO!$I25,0)</f>
        <v>0</v>
      </c>
      <c r="AD231" s="470">
        <f>IF(AND(DG!$A208=4,DG!$B208=3),IMMO!$G25+IMMO!$I25,0)</f>
        <v>0</v>
      </c>
      <c r="AE231" s="470">
        <f>IF(AND(DG!$A208=4,DG!$B208=4),IMMO!$G25+IMMO!$I25,0)</f>
        <v>0</v>
      </c>
      <c r="AF231" s="470">
        <f>IF(AND(DG!$A208=4,DG!$B208=5),IMMO!$G25+IMMO!$I25,0)</f>
        <v>0</v>
      </c>
      <c r="AG231" s="470">
        <f>IF(AND(DG!$A208=4,DG!$B208=6),IMMO!$G25+IMMO!$I25,0)</f>
        <v>0</v>
      </c>
      <c r="AH231" s="470">
        <f>IF(AND(DG!$A208=4,DG!$B208=7),IMMO!$G25+IMMO!$I25,0)</f>
        <v>0</v>
      </c>
      <c r="AI231" s="470">
        <f>IF(AND(DG!$A208=4,DG!$B208=8),IMMO!$G25+IMMO!$I25,0)</f>
        <v>0</v>
      </c>
      <c r="AJ231" s="470">
        <f>IF(AND(DG!$A208=4,DG!$B208=9),IMMO!$G25+IMMO!$I25,0)</f>
        <v>0</v>
      </c>
      <c r="AK231" s="470">
        <f>IF(AND(DG!$A208=4,DG!$B208=10),IMMO!$G25+IMMO!$I25,0)</f>
        <v>0</v>
      </c>
      <c r="AL231" s="470">
        <f>IF(AND(DG!$A208=4,DG!$B208=11),IMMO!$G25+IMMO!$I25,0)</f>
        <v>0</v>
      </c>
      <c r="AM231" s="470">
        <f>IF(AND(DG!$A208=4,DG!$B208=12),IMMO!$G25+IMMO!$I25,0)</f>
        <v>0</v>
      </c>
      <c r="AN231" s="470">
        <f>IF(AND(DG!$A208=5,DG!$B208=1),IMMO!$G25+IMMO!$I25,0)</f>
        <v>0</v>
      </c>
      <c r="AO231" s="470">
        <f>IF(AND(DG!$A208=5,DG!$B208=2),IMMO!$G25+IMMO!$I25,0)</f>
        <v>0</v>
      </c>
      <c r="AP231" s="470">
        <f>IF(AND(DG!$A208=5,DG!$B208=3),IMMO!$G25+IMMO!$I25,0)</f>
        <v>0</v>
      </c>
      <c r="AQ231" s="470">
        <f>IF(AND(DG!$A208=5,DG!$B208=4),IMMO!$G25+IMMO!$I25,0)</f>
        <v>0</v>
      </c>
      <c r="AR231" s="470">
        <f>IF(AND(DG!$A208=5,DG!$B208=5),IMMO!$G25+IMMO!$I25,0)</f>
        <v>0</v>
      </c>
      <c r="AS231" s="470">
        <f>IF(AND(DG!$A208=5,DG!$B208=6),IMMO!$G25+IMMO!$I25,0)</f>
        <v>0</v>
      </c>
      <c r="AT231" s="470">
        <f>IF(AND(DG!$A208=5,DG!$B208=7),IMMO!$G25+IMMO!$I25,0)</f>
        <v>0</v>
      </c>
      <c r="AU231" s="470">
        <f>IF(AND(DG!$A208=5,DG!$B208=8),IMMO!$G25+IMMO!$I25,0)</f>
        <v>0</v>
      </c>
      <c r="AV231" s="470">
        <f>IF(AND(DG!$A208=5,DG!$B208=9),IMMO!$G25+IMMO!$I25,0)</f>
        <v>0</v>
      </c>
      <c r="AW231" s="470">
        <f>IF(AND(DG!$A208=5,DG!$B208=10),IMMO!$G25+IMMO!$I25,0)</f>
        <v>0</v>
      </c>
      <c r="AX231" s="470">
        <f>IF(AND(DG!$A208=5,DG!$B208=11),IMMO!$G25+IMMO!$I25,0)</f>
        <v>0</v>
      </c>
      <c r="AY231" s="470">
        <f>IF(AND(DG!$A208=5,DG!$B208=12),IMMO!$G25+IMMO!$I25,0)</f>
        <v>0</v>
      </c>
      <c r="AZ231" s="470">
        <f>IF(AND(DG!$A208=6,DG!$B208=1),IMMO!$G25+IMMO!$I25,0)</f>
        <v>0</v>
      </c>
      <c r="BA231" s="470">
        <f>IF(AND(DG!$A208=6,DG!$B208=2),IMMO!$G25+IMMO!$I25,0)</f>
        <v>0</v>
      </c>
      <c r="BB231" s="470">
        <f>IF(AND(DG!$A208=6,DG!$B208=3),IMMO!$G25+IMMO!$I25,0)</f>
        <v>0</v>
      </c>
      <c r="BC231" s="470">
        <f>IF(AND(DG!$A208=6,DG!$B208=4),IMMO!$G25+IMMO!$I25,0)</f>
        <v>0</v>
      </c>
      <c r="BD231" s="470">
        <f>IF(AND(DG!$A208=6,DG!$B208=5),IMMO!$G25+IMMO!$I25,0)</f>
        <v>0</v>
      </c>
      <c r="BE231" s="470">
        <f>IF(AND(DG!$A208=6,DG!$B208=6),IMMO!$G25+IMMO!$I25,0)</f>
        <v>0</v>
      </c>
      <c r="BF231" s="470">
        <f>IF(AND(DG!$A208=6,DG!$B208=7),IMMO!$G25+IMMO!$I25,0)</f>
        <v>0</v>
      </c>
      <c r="BG231" s="470">
        <f>IF(AND(DG!$A208=6,DG!$B208=8),IMMO!$G25+IMMO!$I25,0)</f>
        <v>0</v>
      </c>
      <c r="BH231" s="470">
        <f>IF(AND(DG!$A208=6,DG!$B208=9),IMMO!$G25+IMMO!$I25,0)</f>
        <v>0</v>
      </c>
      <c r="BI231" s="470">
        <f>IF(AND(DG!$A208=6,DG!$B208=10),IMMO!$G25+IMMO!$I25,0)</f>
        <v>0</v>
      </c>
      <c r="BJ231" s="470">
        <f>IF(AND(DG!$A208=6,DG!$B208=11),IMMO!$G25+IMMO!$I25,0)</f>
        <v>0</v>
      </c>
      <c r="BK231" s="470">
        <f>IF(AND(DG!$A208=6,DG!$B208=12),IMMO!$G25+IMMO!$I25,0)</f>
        <v>0</v>
      </c>
      <c r="BL231" s="470">
        <f>IF(AND(DG!$A208=7,DG!$B208=1),IMMO!$G25+IMMO!$I25,0)</f>
        <v>0</v>
      </c>
      <c r="BM231" s="470">
        <f>IF(AND(DG!$A208=7,DG!$B208=2),IMMO!$G25+IMMO!$I25,0)</f>
        <v>0</v>
      </c>
      <c r="BN231" s="470">
        <f>IF(AND(DG!$A208=7,DG!$B208=3),IMMO!$G25+IMMO!$I25,0)</f>
        <v>0</v>
      </c>
      <c r="BO231" s="470">
        <f>IF(AND(DG!$A208=7,DG!$B208=4),IMMO!$G25+IMMO!$I25,0)</f>
        <v>0</v>
      </c>
      <c r="BP231" s="470">
        <f>IF(AND(DG!$A208=7,DG!$B208=5),IMMO!$G25+IMMO!$I25,0)</f>
        <v>0</v>
      </c>
      <c r="BQ231" s="470">
        <f>IF(AND(DG!$A208=7,DG!$B208=6),IMMO!$G25+IMMO!$I25,0)</f>
        <v>0</v>
      </c>
      <c r="BR231" s="470">
        <f>IF(AND(DG!$A208=7,DG!$B208=7),IMMO!$G25+IMMO!$I25,0)</f>
        <v>0</v>
      </c>
      <c r="BS231" s="470">
        <f>IF(AND(DG!$A208=7,DG!$B208=8),IMMO!$G25+IMMO!$I25,0)</f>
        <v>0</v>
      </c>
      <c r="BT231" s="470">
        <f>IF(AND(DG!$A208=7,DG!$B208=9),IMMO!$G25+IMMO!$I25,0)</f>
        <v>0</v>
      </c>
      <c r="BU231" s="470">
        <f>IF(AND(DG!$A208=7,DG!$B208=10),IMMO!$G25+IMMO!$I25,0)</f>
        <v>0</v>
      </c>
      <c r="BV231" s="470">
        <f>IF(AND(DG!$A208=7,DG!$B208=11),IMMO!$G25+IMMO!$I25,0)</f>
        <v>0</v>
      </c>
      <c r="BW231" s="470">
        <f>IF(AND(DG!$A208=7,DG!$B208=12),IMMO!$G25+IMMO!$I25,0)</f>
        <v>0</v>
      </c>
      <c r="BX231" s="470">
        <f>IF(AND(DG!$A208=8,DG!$B208=1),IMMO!$G25+IMMO!$I25,0)</f>
        <v>0</v>
      </c>
      <c r="BY231" s="470">
        <f>IF(AND(DG!$A208=8,DG!$B208=2),IMMO!$G25+IMMO!$I25,0)</f>
        <v>0</v>
      </c>
      <c r="BZ231" s="470">
        <f>IF(AND(DG!$A208=8,DG!$B208=3),IMMO!$G25+IMMO!$I25,0)</f>
        <v>0</v>
      </c>
      <c r="CA231" s="470">
        <f>IF(AND(DG!$A208=8,DG!$B208=4),IMMO!$G25+IMMO!$I25,0)</f>
        <v>0</v>
      </c>
      <c r="CB231" s="470">
        <f>IF(AND(DG!$A208=8,DG!$B208=5),IMMO!$G25+IMMO!$I25,0)</f>
        <v>0</v>
      </c>
      <c r="CC231" s="470">
        <f>IF(AND(DG!$A208=8,DG!$B208=6),IMMO!$G25+IMMO!$I25,0)</f>
        <v>0</v>
      </c>
      <c r="CD231" s="470">
        <f>IF(AND(DG!$A208=8,DG!$B208=7),IMMO!$G25+IMMO!$I25,0)</f>
        <v>0</v>
      </c>
      <c r="CE231" s="470">
        <f>IF(AND(DG!$A208=8,DG!$B208=8),IMMO!$G25+IMMO!$I25,0)</f>
        <v>0</v>
      </c>
      <c r="CF231" s="470">
        <f>IF(AND(DG!$A208=8,DG!$B208=9),IMMO!$G25+IMMO!$I25,0)</f>
        <v>0</v>
      </c>
      <c r="CG231" s="470">
        <f>IF(AND(DG!$A208=8,DG!$B208=10),IMMO!$G25+IMMO!$I25,0)</f>
        <v>0</v>
      </c>
      <c r="CH231" s="470">
        <f>IF(AND(DG!$A208=8,DG!$B208=11),IMMO!$G25+IMMO!$I25,0)</f>
        <v>0</v>
      </c>
      <c r="CI231" s="470">
        <f>IF(AND(DG!$A208=8,DG!$B208=12),IMMO!$G25+IMMO!$I25,0)</f>
        <v>0</v>
      </c>
      <c r="CJ231" s="470">
        <f>IF(AND(DG!$A208=9,DG!$B208=1),IMMO!$G25+IMMO!$I25,0)</f>
        <v>0</v>
      </c>
      <c r="CK231" s="470">
        <f>IF(AND(DG!$A208=9,DG!$B208=2),IMMO!$G25+IMMO!$I25,0)</f>
        <v>0</v>
      </c>
      <c r="CL231" s="470">
        <f>IF(AND(DG!$A208=9,DG!$B208=3),IMMO!$G25+IMMO!$I25,0)</f>
        <v>0</v>
      </c>
      <c r="CM231" s="470">
        <f>IF(AND(DG!$A208=9,DG!$B208=4),IMMO!$G25+IMMO!$I25,0)</f>
        <v>0</v>
      </c>
      <c r="CN231" s="470">
        <f>IF(AND(DG!$A208=9,DG!$B208=5),IMMO!$G25+IMMO!$I25,0)</f>
        <v>0</v>
      </c>
      <c r="CO231" s="470">
        <f>IF(AND(DG!$A208=9,DG!$B208=6),IMMO!$G25+IMMO!$I25,0)</f>
        <v>0</v>
      </c>
      <c r="CP231" s="470">
        <f>IF(AND(DG!$A208=9,DG!$B208=7),IMMO!$G25+IMMO!$I25,0)</f>
        <v>0</v>
      </c>
      <c r="CQ231" s="470">
        <f>IF(AND(DG!$A208=9,DG!$B208=8),IMMO!$G25+IMMO!$I25,0)</f>
        <v>0</v>
      </c>
      <c r="CR231" s="470">
        <f>IF(AND(DG!$A208=9,DG!$B208=9),IMMO!$G25+IMMO!$I25,0)</f>
        <v>0</v>
      </c>
      <c r="CS231" s="470">
        <f>IF(AND(DG!$A208=9,DG!$B208=10),IMMO!$G25+IMMO!$I25,0)</f>
        <v>0</v>
      </c>
      <c r="CT231" s="470">
        <f>IF(AND(DG!$A208=9,DG!$B208=11),IMMO!$G25+IMMO!$I25,0)</f>
        <v>0</v>
      </c>
      <c r="CU231" s="470">
        <f>IF(AND(DG!$A208=9,DG!$B208=12),IMMO!$G25+IMMO!$I25,0)</f>
        <v>0</v>
      </c>
      <c r="CV231" s="470">
        <f>IF(AND(DG!$A208=10,DG!$B208=1),IMMO!$G25+IMMO!$I25,0)</f>
        <v>0</v>
      </c>
      <c r="CW231" s="470">
        <f>IF(AND(DG!$A208=10,DG!$B208=2),IMMO!$G25+IMMO!$I25,0)</f>
        <v>0</v>
      </c>
      <c r="CX231" s="470">
        <f>IF(AND(DG!$A208=10,DG!$B208=3),IMMO!$G25+IMMO!$I25,0)</f>
        <v>0</v>
      </c>
      <c r="CY231" s="470">
        <f>IF(AND(DG!$A208=10,DG!$B208=4),IMMO!$G25+IMMO!$I25,0)</f>
        <v>0</v>
      </c>
      <c r="CZ231" s="470">
        <f>IF(AND(DG!$A208=10,DG!$B208=5),IMMO!$G25+IMMO!$I25,0)</f>
        <v>0</v>
      </c>
      <c r="DA231" s="470">
        <f>IF(AND(DG!$A208=10,DG!$B208=6),IMMO!$G25+IMMO!$I25,0)</f>
        <v>0</v>
      </c>
      <c r="DB231" s="470">
        <f>IF(AND(DG!$A208=10,DG!$B208=7),IMMO!$G25+IMMO!$I25,0)</f>
        <v>0</v>
      </c>
      <c r="DC231" s="470">
        <f>IF(AND(DG!$A208=10,DG!$B208=8),IMMO!$G25+IMMO!$I25,0)</f>
        <v>0</v>
      </c>
      <c r="DD231" s="470">
        <f>IF(AND(DG!$A208=10,DG!$B208=9),IMMO!$G25+IMMO!$I25,0)</f>
        <v>0</v>
      </c>
      <c r="DE231" s="470">
        <f>IF(AND(DG!$A208=10,DG!$B208=10),IMMO!$G25+IMMO!$I25,0)</f>
        <v>0</v>
      </c>
      <c r="DF231" s="470">
        <f>IF(AND(DG!$A208=10,DG!$B208=11),IMMO!$G25+IMMO!$I25,0)</f>
        <v>0</v>
      </c>
      <c r="DG231" s="470">
        <f>IF(AND(DG!$A208=10,DG!$B208=12),IMMO!$G25+IMMO!$I25,0)</f>
        <v>0</v>
      </c>
      <c r="DH231" s="470">
        <f>IF(AND(DG!$A208=11,DG!$B208=1),IMMO!$G25+IMMO!$I25,0)</f>
        <v>0</v>
      </c>
      <c r="DI231" s="470">
        <f>IF(AND(DG!$A208=11,DG!$B208=2),IMMO!$G25+IMMO!$I25,0)</f>
        <v>0</v>
      </c>
      <c r="DJ231" s="470">
        <f>IF(AND(DG!$A208=11,DG!$B208=3),IMMO!$G25+IMMO!$I25,0)</f>
        <v>0</v>
      </c>
      <c r="DK231" s="470">
        <f>IF(AND(DG!$A208=11,DG!$B208=4),IMMO!$G25+IMMO!$I25,0)</f>
        <v>0</v>
      </c>
      <c r="DL231" s="470">
        <f>IF(AND(DG!$A208=11,DG!$B208=5),IMMO!$G25+IMMO!$I25,0)</f>
        <v>0</v>
      </c>
      <c r="DM231" s="470">
        <f>IF(AND(DG!$A208=11,DG!$B208=6),IMMO!$G25+IMMO!$I25,0)</f>
        <v>0</v>
      </c>
      <c r="DN231" s="470">
        <f>IF(AND(DG!$A208=11,DG!$B208=7),IMMO!$G25+IMMO!$I25,0)</f>
        <v>0</v>
      </c>
      <c r="DO231" s="470">
        <f>IF(AND(DG!$A208=11,DG!$B208=8),IMMO!$G25+IMMO!$I25,0)</f>
        <v>0</v>
      </c>
      <c r="DP231" s="470">
        <f>IF(AND(DG!$A208=11,DG!$B208=9),IMMO!$G25+IMMO!$I25,0)</f>
        <v>0</v>
      </c>
      <c r="DQ231" s="470">
        <f>IF(AND(DG!$A208=11,DG!$B208=10),IMMO!$G25+IMMO!$I25,0)</f>
        <v>0</v>
      </c>
      <c r="DR231" s="470">
        <f>IF(AND(DG!$A208=11,DG!$B208=11),IMMO!$G25+IMMO!$I25,0)</f>
        <v>0</v>
      </c>
      <c r="DS231" s="470">
        <f>IF(AND(DG!$A208=11,DG!$B208=12),IMMO!$G25+IMMO!$I25,0)</f>
        <v>0</v>
      </c>
      <c r="DT231" s="470">
        <f>IF(AND(DG!$A208=12,DG!$B208=1),IMMO!$G25+IMMO!$I25,0)</f>
        <v>0</v>
      </c>
      <c r="DU231" s="470">
        <f>IF(AND(DG!$A208=12,DG!$B208=2),IMMO!$G25+IMMO!$I25,0)</f>
        <v>0</v>
      </c>
      <c r="DV231" s="470">
        <f>IF(AND(DG!$A208=12,DG!$B208=3),IMMO!$G25+IMMO!$I25,0)</f>
        <v>0</v>
      </c>
      <c r="DW231" s="470">
        <f>IF(AND(DG!$A208=12,DG!$B208=4),IMMO!$G25+IMMO!$I25,0)</f>
        <v>0</v>
      </c>
      <c r="DX231" s="470">
        <f>IF(AND(DG!$A208=12,DG!$B208=5),IMMO!$G25+IMMO!$I25,0)</f>
        <v>0</v>
      </c>
      <c r="DY231" s="470">
        <f>IF(AND(DG!$A208=12,DG!$B208=6),IMMO!$G25+IMMO!$I25,0)</f>
        <v>0</v>
      </c>
      <c r="DZ231" s="470">
        <f>IF(AND(DG!$A208=12,DG!$B208=7),IMMO!$G25+IMMO!$I25,0)</f>
        <v>0</v>
      </c>
      <c r="EA231" s="470">
        <f>IF(AND(DG!$A208=12,DG!$B208=8),IMMO!$G25+IMMO!$I25,0)</f>
        <v>0</v>
      </c>
      <c r="EB231" s="470">
        <f>IF(AND(DG!$A208=12,DG!$B208=9),IMMO!$G25+IMMO!$I25,0)</f>
        <v>0</v>
      </c>
      <c r="EC231" s="470">
        <f>IF(AND(DG!$A208=12,DG!$B208=10),IMMO!$G25+IMMO!$I25,0)</f>
        <v>0</v>
      </c>
      <c r="ED231" s="470">
        <f>IF(AND(DG!$A208=12,DG!$B208=11),IMMO!$G25+IMMO!$I25,0)</f>
        <v>0</v>
      </c>
      <c r="EE231" s="470">
        <f>IF(AND(DG!$A208=12,DG!$B208=12),IMMO!$G25+IMMO!$I25,0)</f>
        <v>0</v>
      </c>
      <c r="EF231" s="470"/>
      <c r="EG231" s="470"/>
      <c r="EH231" s="470"/>
      <c r="EI231" s="470"/>
      <c r="EJ231" s="470"/>
      <c r="EK231" s="470"/>
      <c r="EL231" s="470"/>
      <c r="EM231" s="470"/>
    </row>
    <row r="232" spans="4:143">
      <c r="D232" s="470"/>
      <c r="E232" s="470"/>
      <c r="F232" s="470"/>
      <c r="G232" s="470"/>
      <c r="H232" s="470"/>
      <c r="I232" s="470"/>
      <c r="J232" s="470"/>
      <c r="K232" s="470"/>
      <c r="L232" s="470"/>
      <c r="M232" s="470"/>
      <c r="N232" s="470"/>
      <c r="O232" s="470"/>
      <c r="P232" s="470"/>
      <c r="Q232" s="470"/>
      <c r="R232" s="470"/>
      <c r="S232" s="470"/>
      <c r="T232" s="470"/>
      <c r="U232" s="470"/>
      <c r="V232" s="470"/>
      <c r="W232" s="470"/>
      <c r="X232" s="470"/>
      <c r="Y232" s="470"/>
      <c r="Z232" s="470"/>
      <c r="AA232" s="470"/>
      <c r="AB232" s="470"/>
      <c r="AC232" s="470"/>
      <c r="AD232" s="470"/>
      <c r="AE232" s="470"/>
      <c r="AF232" s="470"/>
      <c r="AG232" s="470"/>
      <c r="AH232" s="470"/>
      <c r="AI232" s="470"/>
      <c r="AJ232" s="470"/>
      <c r="AK232" s="470"/>
      <c r="AL232" s="470"/>
      <c r="AM232" s="470"/>
      <c r="AN232" s="470"/>
      <c r="AO232" s="470"/>
      <c r="AP232" s="470"/>
      <c r="AQ232" s="470"/>
      <c r="AR232" s="470"/>
      <c r="AS232" s="470"/>
      <c r="AT232" s="470"/>
      <c r="AU232" s="470"/>
      <c r="AV232" s="470"/>
      <c r="AW232" s="470"/>
      <c r="AX232" s="470"/>
      <c r="AY232" s="470"/>
      <c r="AZ232" s="470"/>
      <c r="BA232" s="470"/>
      <c r="BB232" s="470"/>
      <c r="BC232" s="471"/>
    </row>
    <row r="233" spans="4:143">
      <c r="D233" s="470">
        <f>IF(AND(DG!$A209=2,DG!$B209=1),IMMO!$G27+IMMO!$I27,0)</f>
        <v>0</v>
      </c>
      <c r="E233" s="470">
        <f>IF(AND(DG!$A209=2,DG!$B209=2),IMMO!$G27+IMMO!$I27,0)</f>
        <v>0</v>
      </c>
      <c r="F233" s="470">
        <f>IF(AND(DG!$A209=2,DG!$B209=3),IMMO!$G27+IMMO!$I27,0)</f>
        <v>0</v>
      </c>
      <c r="G233" s="470">
        <f>IF(AND(DG!$A209=2,DG!$B209=4),IMMO!$G27+IMMO!$I27,0)</f>
        <v>0</v>
      </c>
      <c r="H233" s="470">
        <f>IF(AND(DG!$A209=2,DG!$B209=5),IMMO!$G27+IMMO!$I27,0)</f>
        <v>0</v>
      </c>
      <c r="I233" s="470">
        <f>IF(AND(DG!$A209=2,DG!$B209=6),IMMO!$G27+IMMO!$I27,0)</f>
        <v>0</v>
      </c>
      <c r="J233" s="470">
        <f>IF(AND(DG!$A209=2,DG!$B209=7),IMMO!$G27+IMMO!$I27,0)</f>
        <v>0</v>
      </c>
      <c r="K233" s="470">
        <f>IF(AND(DG!$A209=2,DG!$B209=8),IMMO!$G27+IMMO!$I27,0)</f>
        <v>0</v>
      </c>
      <c r="L233" s="470">
        <f>IF(AND(DG!$A209=2,DG!$B209=9),IMMO!$G27+IMMO!$I27,0)</f>
        <v>0</v>
      </c>
      <c r="M233" s="470">
        <f>IF(AND(DG!$A209=2,DG!$B209=10),IMMO!$G27+IMMO!$I27,0)</f>
        <v>0</v>
      </c>
      <c r="N233" s="470">
        <f>IF(AND(DG!$A209=2,DG!$B209=11),IMMO!$G27+IMMO!$I27,0)</f>
        <v>0</v>
      </c>
      <c r="O233" s="470">
        <f>IF(AND(DG!$A209=2,DG!$B209=12),IMMO!$G27+IMMO!$I27,0)</f>
        <v>0</v>
      </c>
      <c r="P233" s="470">
        <f>IF(AND(DG!$A209=3,DG!$B209=1),IMMO!$G27+IMMO!$I27,0)</f>
        <v>0</v>
      </c>
      <c r="Q233" s="470">
        <f>IF(AND(DG!$A209=3,DG!$B209=2),IMMO!$G27+IMMO!$I27,0)</f>
        <v>0</v>
      </c>
      <c r="R233" s="470">
        <f>IF(AND(DG!$A209=3,DG!$B209=3),IMMO!$G27+IMMO!$I27,0)</f>
        <v>0</v>
      </c>
      <c r="S233" s="470">
        <f>IF(AND(DG!$A209=3,DG!$B209=4),IMMO!$G27+IMMO!$I27,0)</f>
        <v>0</v>
      </c>
      <c r="T233" s="470">
        <f>IF(AND(DG!$A209=3,DG!$B209=5),IMMO!$G27+IMMO!$I27,0)</f>
        <v>0</v>
      </c>
      <c r="U233" s="470">
        <f>IF(AND(DG!$A209=3,DG!$B209=6),IMMO!$G27+IMMO!$I27,0)</f>
        <v>0</v>
      </c>
      <c r="V233" s="470">
        <f>IF(AND(DG!$A209=3,DG!$B209=7),IMMO!$G27+IMMO!$I27,0)</f>
        <v>0</v>
      </c>
      <c r="W233" s="470">
        <f>IF(AND(DG!$A209=3,DG!$B209=8),IMMO!$G27+IMMO!$I27,0)</f>
        <v>0</v>
      </c>
      <c r="X233" s="470">
        <f>IF(AND(DG!$A209=3,DG!$B209=9),IMMO!$G27+IMMO!$I27,0)</f>
        <v>0</v>
      </c>
      <c r="Y233" s="470">
        <f>IF(AND(DG!$A209=3,DG!$B209=10),IMMO!$G27+IMMO!$I27,0)</f>
        <v>0</v>
      </c>
      <c r="Z233" s="470">
        <f>IF(AND(DG!$A209=3,DG!$B209=11),IMMO!$G27+IMMO!$I27,0)</f>
        <v>0</v>
      </c>
      <c r="AA233" s="470">
        <f>IF(AND(DG!$A209=3,DG!$B209=12),IMMO!$G27+IMMO!$I27,0)</f>
        <v>0</v>
      </c>
      <c r="AB233" s="470">
        <f>IF(AND(DG!$A209=4,DG!$B209=1),IMMO!$G27+IMMO!$I27,0)</f>
        <v>0</v>
      </c>
      <c r="AC233" s="470">
        <f>IF(AND(DG!$A209=4,DG!$B209=2),IMMO!$G27+IMMO!$I27,0)</f>
        <v>0</v>
      </c>
      <c r="AD233" s="470">
        <f>IF(AND(DG!$A209=4,DG!$B209=3),IMMO!$G27+IMMO!$I27,0)</f>
        <v>0</v>
      </c>
      <c r="AE233" s="470">
        <f>IF(AND(DG!$A209=4,DG!$B209=4),IMMO!$G27+IMMO!$I27,0)</f>
        <v>0</v>
      </c>
      <c r="AF233" s="470">
        <f>IF(AND(DG!$A209=4,DG!$B209=5),IMMO!$G27+IMMO!$I27,0)</f>
        <v>0</v>
      </c>
      <c r="AG233" s="470">
        <f>IF(AND(DG!$A209=4,DG!$B209=6),IMMO!$G27+IMMO!$I27,0)</f>
        <v>0</v>
      </c>
      <c r="AH233" s="470">
        <f>IF(AND(DG!$A209=4,DG!$B209=7),IMMO!$G27+IMMO!$I27,0)</f>
        <v>0</v>
      </c>
      <c r="AI233" s="470">
        <f>IF(AND(DG!$A209=4,DG!$B209=8),IMMO!$G27+IMMO!$I27,0)</f>
        <v>0</v>
      </c>
      <c r="AJ233" s="470">
        <f>IF(AND(DG!$A209=4,DG!$B209=9),IMMO!$G27+IMMO!$I27,0)</f>
        <v>0</v>
      </c>
      <c r="AK233" s="470">
        <f>IF(AND(DG!$A209=4,DG!$B209=10),IMMO!$G27+IMMO!$I27,0)</f>
        <v>0</v>
      </c>
      <c r="AL233" s="470">
        <f>IF(AND(DG!$A209=4,DG!$B209=11),IMMO!$G27+IMMO!$I27,0)</f>
        <v>0</v>
      </c>
      <c r="AM233" s="470">
        <f>IF(AND(DG!$A209=4,DG!$B209=12),IMMO!$G27+IMMO!$I27,0)</f>
        <v>0</v>
      </c>
      <c r="AN233" s="470">
        <f>IF(AND(DG!$A209=5,DG!$B209=1),IMMO!$G27+IMMO!$I27,0)</f>
        <v>0</v>
      </c>
      <c r="AO233" s="470">
        <f>IF(AND(DG!$A209=5,DG!$B209=2),IMMO!$G27+IMMO!$I27,0)</f>
        <v>0</v>
      </c>
      <c r="AP233" s="470">
        <f>IF(AND(DG!$A209=5,DG!$B209=3),IMMO!$G27+IMMO!$I27,0)</f>
        <v>0</v>
      </c>
      <c r="AQ233" s="470">
        <f>IF(AND(DG!$A209=5,DG!$B209=4),IMMO!$G27+IMMO!$I27,0)</f>
        <v>0</v>
      </c>
      <c r="AR233" s="470">
        <f>IF(AND(DG!$A209=5,DG!$B209=5),IMMO!$G27+IMMO!$I27,0)</f>
        <v>0</v>
      </c>
      <c r="AS233" s="470">
        <f>IF(AND(DG!$A209=5,DG!$B209=6),IMMO!$G27+IMMO!$I27,0)</f>
        <v>0</v>
      </c>
      <c r="AT233" s="470">
        <f>IF(AND(DG!$A209=5,DG!$B209=7),IMMO!$G27+IMMO!$I27,0)</f>
        <v>0</v>
      </c>
      <c r="AU233" s="470">
        <f>IF(AND(DG!$A209=5,DG!$B209=8),IMMO!$G27+IMMO!$I27,0)</f>
        <v>0</v>
      </c>
      <c r="AV233" s="470">
        <f>IF(AND(DG!$A209=5,DG!$B209=9),IMMO!$G27+IMMO!$I27,0)</f>
        <v>0</v>
      </c>
      <c r="AW233" s="470">
        <f>IF(AND(DG!$A209=5,DG!$B209=10),IMMO!$G27+IMMO!$I27,0)</f>
        <v>0</v>
      </c>
      <c r="AX233" s="470">
        <f>IF(AND(DG!$A209=5,DG!$B209=11),IMMO!$G27+IMMO!$I27,0)</f>
        <v>0</v>
      </c>
      <c r="AY233" s="470">
        <f>IF(AND(DG!$A209=5,DG!$B209=12),IMMO!$G27+IMMO!$I27,0)</f>
        <v>0</v>
      </c>
      <c r="AZ233" s="470">
        <f>IF(AND(DG!$A209=6,DG!$B209=1),IMMO!$G27+IMMO!$I27,0)</f>
        <v>0</v>
      </c>
      <c r="BA233" s="470">
        <f>IF(AND(DG!$A209=6,DG!$B209=2),IMMO!$G27+IMMO!$I27,0)</f>
        <v>0</v>
      </c>
      <c r="BB233" s="470">
        <f>IF(AND(DG!$A209=6,DG!$B209=3),IMMO!$G27+IMMO!$I27,0)</f>
        <v>0</v>
      </c>
      <c r="BC233" s="470">
        <f>IF(AND(DG!$A209=6,DG!$B209=4),IMMO!$G27+IMMO!$I27,0)</f>
        <v>0</v>
      </c>
      <c r="BD233" s="470">
        <f>IF(AND(DG!$A209=6,DG!$B209=5),IMMO!$G27+IMMO!$I27,0)</f>
        <v>0</v>
      </c>
      <c r="BE233" s="470">
        <f>IF(AND(DG!$A209=6,DG!$B209=6),IMMO!$G27+IMMO!$I27,0)</f>
        <v>0</v>
      </c>
      <c r="BF233" s="470">
        <f>IF(AND(DG!$A209=6,DG!$B209=7),IMMO!$G27+IMMO!$I27,0)</f>
        <v>0</v>
      </c>
      <c r="BG233" s="470">
        <f>IF(AND(DG!$A209=6,DG!$B209=8),IMMO!$G27+IMMO!$I27,0)</f>
        <v>0</v>
      </c>
      <c r="BH233" s="470">
        <f>IF(AND(DG!$A209=6,DG!$B209=9),IMMO!$G27+IMMO!$I27,0)</f>
        <v>0</v>
      </c>
      <c r="BI233" s="470">
        <f>IF(AND(DG!$A209=6,DG!$B209=10),IMMO!$G27+IMMO!$I27,0)</f>
        <v>0</v>
      </c>
      <c r="BJ233" s="470">
        <f>IF(AND(DG!$A209=6,DG!$B209=11),IMMO!$G27+IMMO!$I27,0)</f>
        <v>0</v>
      </c>
      <c r="BK233" s="470">
        <f>IF(AND(DG!$A209=6,DG!$B209=12),IMMO!$G27+IMMO!$I27,0)</f>
        <v>0</v>
      </c>
      <c r="BL233" s="470">
        <f>IF(AND(DG!$A209=7,DG!$B209=1),IMMO!$G27+IMMO!$I27,0)</f>
        <v>0</v>
      </c>
      <c r="BM233" s="470">
        <f>IF(AND(DG!$A209=7,DG!$B209=2),IMMO!$G27+IMMO!$I27,0)</f>
        <v>0</v>
      </c>
      <c r="BN233" s="470">
        <f>IF(AND(DG!$A209=7,DG!$B209=3),IMMO!$G27+IMMO!$I27,0)</f>
        <v>0</v>
      </c>
      <c r="BO233" s="470">
        <f>IF(AND(DG!$A209=7,DG!$B209=4),IMMO!$G27+IMMO!$I27,0)</f>
        <v>0</v>
      </c>
      <c r="BP233" s="470">
        <f>IF(AND(DG!$A209=7,DG!$B209=5),IMMO!$G27+IMMO!$I27,0)</f>
        <v>0</v>
      </c>
      <c r="BQ233" s="470">
        <f>IF(AND(DG!$A209=7,DG!$B209=6),IMMO!$G27+IMMO!$I27,0)</f>
        <v>0</v>
      </c>
      <c r="BR233" s="470">
        <f>IF(AND(DG!$A209=7,DG!$B209=7),IMMO!$G27+IMMO!$I27,0)</f>
        <v>0</v>
      </c>
      <c r="BS233" s="470">
        <f>IF(AND(DG!$A209=7,DG!$B209=8),IMMO!$G27+IMMO!$I27,0)</f>
        <v>0</v>
      </c>
      <c r="BT233" s="470">
        <f>IF(AND(DG!$A209=7,DG!$B209=9),IMMO!$G27+IMMO!$I27,0)</f>
        <v>0</v>
      </c>
      <c r="BU233" s="470">
        <f>IF(AND(DG!$A209=7,DG!$B209=10),IMMO!$G27+IMMO!$I27,0)</f>
        <v>0</v>
      </c>
      <c r="BV233" s="470">
        <f>IF(AND(DG!$A209=7,DG!$B209=11),IMMO!$G27+IMMO!$I27,0)</f>
        <v>0</v>
      </c>
      <c r="BW233" s="470">
        <f>IF(AND(DG!$A209=7,DG!$B209=12),IMMO!$G27+IMMO!$I27,0)</f>
        <v>0</v>
      </c>
      <c r="BX233" s="470">
        <f>IF(AND(DG!$A209=8,DG!$B209=1),IMMO!$G27+IMMO!$I27,0)</f>
        <v>0</v>
      </c>
      <c r="BY233" s="470">
        <f>IF(AND(DG!$A209=8,DG!$B209=2),IMMO!$G27+IMMO!$I27,0)</f>
        <v>0</v>
      </c>
      <c r="BZ233" s="470">
        <f>IF(AND(DG!$A209=8,DG!$B209=3),IMMO!$G27+IMMO!$I27,0)</f>
        <v>0</v>
      </c>
      <c r="CA233" s="470">
        <f>IF(AND(DG!$A209=8,DG!$B209=4),IMMO!$G27+IMMO!$I27,0)</f>
        <v>0</v>
      </c>
      <c r="CB233" s="470">
        <f>IF(AND(DG!$A209=8,DG!$B209=5),IMMO!$G27+IMMO!$I27,0)</f>
        <v>0</v>
      </c>
      <c r="CC233" s="470">
        <f>IF(AND(DG!$A209=8,DG!$B209=6),IMMO!$G27+IMMO!$I27,0)</f>
        <v>0</v>
      </c>
      <c r="CD233" s="470">
        <f>IF(AND(DG!$A209=8,DG!$B209=7),IMMO!$G27+IMMO!$I27,0)</f>
        <v>0</v>
      </c>
      <c r="CE233" s="470">
        <f>IF(AND(DG!$A209=8,DG!$B209=8),IMMO!$G27+IMMO!$I27,0)</f>
        <v>0</v>
      </c>
      <c r="CF233" s="470">
        <f>IF(AND(DG!$A209=8,DG!$B209=9),IMMO!$G27+IMMO!$I27,0)</f>
        <v>0</v>
      </c>
      <c r="CG233" s="470">
        <f>IF(AND(DG!$A209=8,DG!$B209=10),IMMO!$G27+IMMO!$I27,0)</f>
        <v>0</v>
      </c>
      <c r="CH233" s="470">
        <f>IF(AND(DG!$A209=8,DG!$B209=11),IMMO!$G27+IMMO!$I27,0)</f>
        <v>0</v>
      </c>
      <c r="CI233" s="470">
        <f>IF(AND(DG!$A209=8,DG!$B209=12),IMMO!$G27+IMMO!$I27,0)</f>
        <v>0</v>
      </c>
      <c r="CJ233" s="470">
        <f>IF(AND(DG!$A209=9,DG!$B209=1),IMMO!$G27+IMMO!$I27,0)</f>
        <v>0</v>
      </c>
      <c r="CK233" s="470">
        <f>IF(AND(DG!$A209=9,DG!$B209=2),IMMO!$G27+IMMO!$I27,0)</f>
        <v>0</v>
      </c>
      <c r="CL233" s="470">
        <f>IF(AND(DG!$A209=9,DG!$B209=3),IMMO!$G27+IMMO!$I27,0)</f>
        <v>0</v>
      </c>
      <c r="CM233" s="470">
        <f>IF(AND(DG!$A209=9,DG!$B209=4),IMMO!$G27+IMMO!$I27,0)</f>
        <v>0</v>
      </c>
      <c r="CN233" s="470">
        <f>IF(AND(DG!$A209=9,DG!$B209=5),IMMO!$G27+IMMO!$I27,0)</f>
        <v>0</v>
      </c>
      <c r="CO233" s="470">
        <f>IF(AND(DG!$A209=9,DG!$B209=6),IMMO!$G27+IMMO!$I27,0)</f>
        <v>0</v>
      </c>
      <c r="CP233" s="470">
        <f>IF(AND(DG!$A209=9,DG!$B209=7),IMMO!$G27+IMMO!$I27,0)</f>
        <v>0</v>
      </c>
      <c r="CQ233" s="470">
        <f>IF(AND(DG!$A209=9,DG!$B209=8),IMMO!$G27+IMMO!$I27,0)</f>
        <v>0</v>
      </c>
      <c r="CR233" s="470">
        <f>IF(AND(DG!$A209=9,DG!$B209=9),IMMO!$G27+IMMO!$I27,0)</f>
        <v>0</v>
      </c>
      <c r="CS233" s="470">
        <f>IF(AND(DG!$A209=9,DG!$B209=10),IMMO!$G27+IMMO!$I27,0)</f>
        <v>0</v>
      </c>
      <c r="CT233" s="470">
        <f>IF(AND(DG!$A209=9,DG!$B209=11),IMMO!$G27+IMMO!$I27,0)</f>
        <v>0</v>
      </c>
      <c r="CU233" s="470">
        <f>IF(AND(DG!$A209=9,DG!$B209=12),IMMO!$G27+IMMO!$I27,0)</f>
        <v>0</v>
      </c>
      <c r="CV233" s="470">
        <f>IF(AND(DG!$A209=10,DG!$B209=1),IMMO!$G27+IMMO!$I27,0)</f>
        <v>0</v>
      </c>
      <c r="CW233" s="470">
        <f>IF(AND(DG!$A209=10,DG!$B209=2),IMMO!$G27+IMMO!$I27,0)</f>
        <v>0</v>
      </c>
      <c r="CX233" s="470">
        <f>IF(AND(DG!$A209=10,DG!$B209=3),IMMO!$G27+IMMO!$I27,0)</f>
        <v>0</v>
      </c>
      <c r="CY233" s="470">
        <f>IF(AND(DG!$A209=10,DG!$B209=4),IMMO!$G27+IMMO!$I27,0)</f>
        <v>0</v>
      </c>
      <c r="CZ233" s="470">
        <f>IF(AND(DG!$A209=10,DG!$B209=5),IMMO!$G27+IMMO!$I27,0)</f>
        <v>0</v>
      </c>
      <c r="DA233" s="470">
        <f>IF(AND(DG!$A209=10,DG!$B209=6),IMMO!$G27+IMMO!$I27,0)</f>
        <v>0</v>
      </c>
      <c r="DB233" s="470">
        <f>IF(AND(DG!$A209=10,DG!$B209=7),IMMO!$G27+IMMO!$I27,0)</f>
        <v>0</v>
      </c>
      <c r="DC233" s="470">
        <f>IF(AND(DG!$A209=10,DG!$B209=8),IMMO!$G27+IMMO!$I27,0)</f>
        <v>0</v>
      </c>
      <c r="DD233" s="470">
        <f>IF(AND(DG!$A209=10,DG!$B209=9),IMMO!$G27+IMMO!$I27,0)</f>
        <v>0</v>
      </c>
      <c r="DE233" s="470">
        <f>IF(AND(DG!$A209=10,DG!$B209=10),IMMO!$G27+IMMO!$I27,0)</f>
        <v>0</v>
      </c>
      <c r="DF233" s="470">
        <f>IF(AND(DG!$A209=10,DG!$B209=11),IMMO!$G27+IMMO!$I27,0)</f>
        <v>0</v>
      </c>
      <c r="DG233" s="470">
        <f>IF(AND(DG!$A209=10,DG!$B209=12),IMMO!$G27+IMMO!$I27,0)</f>
        <v>0</v>
      </c>
      <c r="DH233" s="470">
        <f>IF(AND(DG!$A209=11,DG!$B209=1),IMMO!$G27+IMMO!$I27,0)</f>
        <v>0</v>
      </c>
      <c r="DI233" s="470">
        <f>IF(AND(DG!$A209=11,DG!$B209=2),IMMO!$G27+IMMO!$I27,0)</f>
        <v>0</v>
      </c>
      <c r="DJ233" s="470">
        <f>IF(AND(DG!$A209=11,DG!$B209=3),IMMO!$G27+IMMO!$I27,0)</f>
        <v>0</v>
      </c>
      <c r="DK233" s="470">
        <f>IF(AND(DG!$A209=11,DG!$B209=4),IMMO!$G27+IMMO!$I27,0)</f>
        <v>0</v>
      </c>
      <c r="DL233" s="470">
        <f>IF(AND(DG!$A209=11,DG!$B209=5),IMMO!$G27+IMMO!$I27,0)</f>
        <v>0</v>
      </c>
      <c r="DM233" s="470">
        <f>IF(AND(DG!$A209=11,DG!$B209=6),IMMO!$G27+IMMO!$I27,0)</f>
        <v>0</v>
      </c>
      <c r="DN233" s="470">
        <f>IF(AND(DG!$A209=11,DG!$B209=7),IMMO!$G27+IMMO!$I27,0)</f>
        <v>0</v>
      </c>
      <c r="DO233" s="470">
        <f>IF(AND(DG!$A209=11,DG!$B209=8),IMMO!$G27+IMMO!$I27,0)</f>
        <v>0</v>
      </c>
      <c r="DP233" s="470">
        <f>IF(AND(DG!$A209=11,DG!$B209=9),IMMO!$G27+IMMO!$I27,0)</f>
        <v>0</v>
      </c>
      <c r="DQ233" s="470">
        <f>IF(AND(DG!$A209=11,DG!$B209=10),IMMO!$G27+IMMO!$I27,0)</f>
        <v>0</v>
      </c>
      <c r="DR233" s="470">
        <f>IF(AND(DG!$A209=11,DG!$B209=11),IMMO!$G27+IMMO!$I27,0)</f>
        <v>0</v>
      </c>
      <c r="DS233" s="470">
        <f>IF(AND(DG!$A209=11,DG!$B209=12),IMMO!$G27+IMMO!$I27,0)</f>
        <v>0</v>
      </c>
      <c r="DT233" s="470">
        <f>IF(AND(DG!$A209=12,DG!$B209=1),IMMO!$G27+IMMO!$I27,0)</f>
        <v>0</v>
      </c>
      <c r="DU233" s="470">
        <f>IF(AND(DG!$A209=12,DG!$B209=2),IMMO!$G27+IMMO!$I27,0)</f>
        <v>0</v>
      </c>
      <c r="DV233" s="470">
        <f>IF(AND(DG!$A209=12,DG!$B209=3),IMMO!$G27+IMMO!$I27,0)</f>
        <v>0</v>
      </c>
      <c r="DW233" s="470">
        <f>IF(AND(DG!$A209=12,DG!$B209=4),IMMO!$G27+IMMO!$I27,0)</f>
        <v>0</v>
      </c>
      <c r="DX233" s="470">
        <f>IF(AND(DG!$A209=12,DG!$B209=5),IMMO!$G27+IMMO!$I27,0)</f>
        <v>0</v>
      </c>
      <c r="DY233" s="470">
        <f>IF(AND(DG!$A209=12,DG!$B209=6),IMMO!$G27+IMMO!$I27,0)</f>
        <v>0</v>
      </c>
      <c r="DZ233" s="470">
        <f>IF(AND(DG!$A209=12,DG!$B209=7),IMMO!$G27+IMMO!$I27,0)</f>
        <v>0</v>
      </c>
      <c r="EA233" s="470">
        <f>IF(AND(DG!$A209=12,DG!$B209=8),IMMO!$G27+IMMO!$I27,0)</f>
        <v>0</v>
      </c>
      <c r="EB233" s="470">
        <f>IF(AND(DG!$A209=12,DG!$B209=9),IMMO!$G27+IMMO!$I27,0)</f>
        <v>0</v>
      </c>
      <c r="EC233" s="470">
        <f>IF(AND(DG!$A209=12,DG!$B209=10),IMMO!$G27+IMMO!$I27,0)</f>
        <v>0</v>
      </c>
      <c r="ED233" s="470">
        <f>IF(AND(DG!$A209=12,DG!$B209=11),IMMO!$G27+IMMO!$I27,0)</f>
        <v>0</v>
      </c>
      <c r="EE233" s="470">
        <f>IF(AND(DG!$A209=12,DG!$B209=12),IMMO!$G27+IMMO!$I27,0)</f>
        <v>0</v>
      </c>
      <c r="EF233" s="470"/>
      <c r="EG233" s="470"/>
      <c r="EH233" s="470"/>
      <c r="EI233" s="470"/>
      <c r="EJ233" s="470"/>
      <c r="EK233" s="470"/>
      <c r="EL233" s="470"/>
      <c r="EM233" s="470"/>
    </row>
    <row r="234" spans="4:143">
      <c r="D234" s="470"/>
      <c r="E234" s="470"/>
      <c r="F234" s="470"/>
      <c r="G234" s="470"/>
      <c r="H234" s="470"/>
      <c r="I234" s="470"/>
      <c r="J234" s="470"/>
      <c r="K234" s="470"/>
      <c r="L234" s="470"/>
      <c r="M234" s="470"/>
      <c r="N234" s="470"/>
      <c r="O234" s="470"/>
      <c r="P234" s="470"/>
      <c r="Q234" s="470"/>
      <c r="R234" s="470"/>
      <c r="S234" s="470"/>
      <c r="T234" s="470"/>
      <c r="U234" s="470"/>
      <c r="V234" s="470"/>
      <c r="W234" s="470"/>
      <c r="X234" s="470"/>
      <c r="Y234" s="470"/>
      <c r="Z234" s="470"/>
      <c r="AA234" s="470"/>
      <c r="AB234" s="470"/>
      <c r="AC234" s="470"/>
      <c r="AD234" s="470"/>
      <c r="AE234" s="470"/>
      <c r="AF234" s="470"/>
      <c r="AG234" s="470"/>
      <c r="AH234" s="470"/>
      <c r="AI234" s="470"/>
      <c r="AJ234" s="470"/>
      <c r="AK234" s="470"/>
      <c r="AL234" s="470"/>
      <c r="AM234" s="470"/>
      <c r="AN234" s="470"/>
      <c r="AO234" s="470"/>
      <c r="AP234" s="470"/>
      <c r="AQ234" s="470"/>
      <c r="AR234" s="470"/>
      <c r="AS234" s="470"/>
      <c r="AT234" s="470"/>
      <c r="AU234" s="470"/>
      <c r="AV234" s="470"/>
      <c r="AW234" s="470"/>
      <c r="AX234" s="470"/>
      <c r="AY234" s="470"/>
      <c r="AZ234" s="470"/>
      <c r="BA234" s="470"/>
      <c r="BB234" s="470"/>
      <c r="BC234" s="470"/>
    </row>
    <row r="235" spans="4:143">
      <c r="D235" s="470">
        <f>IF(AND(DG!$A210=2,DG!$B210=1),IMMO!$G29+IMMO!$I29,0)</f>
        <v>0</v>
      </c>
      <c r="E235" s="470">
        <f>IF(AND(DG!$A210=2,DG!$B210=2),IMMO!$G29+IMMO!$I29,0)</f>
        <v>0</v>
      </c>
      <c r="F235" s="470">
        <f>IF(AND(DG!$A210=2,DG!$B210=3),IMMO!$G29+IMMO!$I29,0)</f>
        <v>0</v>
      </c>
      <c r="G235" s="470">
        <f>IF(AND(DG!$A210=2,DG!$B210=4),IMMO!$G29+IMMO!$I29,0)</f>
        <v>0</v>
      </c>
      <c r="H235" s="470">
        <f>IF(AND(DG!$A210=2,DG!$B210=5),IMMO!$G29+IMMO!$I29,0)</f>
        <v>0</v>
      </c>
      <c r="I235" s="470">
        <f>IF(AND(DG!$A210=2,DG!$B210=6),IMMO!$G29+IMMO!$I29,0)</f>
        <v>0</v>
      </c>
      <c r="J235" s="470">
        <f>IF(AND(DG!$A210=2,DG!$B210=7),IMMO!$G29+IMMO!$I29,0)</f>
        <v>0</v>
      </c>
      <c r="K235" s="470">
        <f>IF(AND(DG!$A210=2,DG!$B210=8),IMMO!$G29+IMMO!$I29,0)</f>
        <v>0</v>
      </c>
      <c r="L235" s="470">
        <f>IF(AND(DG!$A210=2,DG!$B210=9),IMMO!$G29+IMMO!$I29,0)</f>
        <v>0</v>
      </c>
      <c r="M235" s="470">
        <f>IF(AND(DG!$A210=2,DG!$B210=10),IMMO!$G29+IMMO!$I29,0)</f>
        <v>0</v>
      </c>
      <c r="N235" s="470">
        <f>IF(AND(DG!$A210=2,DG!$B210=11),IMMO!$G29+IMMO!$I29,0)</f>
        <v>0</v>
      </c>
      <c r="O235" s="470">
        <f>IF(AND(DG!$A210=2,DG!$B210=12),IMMO!$G29+IMMO!$I29,0)</f>
        <v>0</v>
      </c>
      <c r="P235" s="470">
        <f>IF(AND(DG!$A210=3,DG!$B210=1),IMMO!$G29+IMMO!$I29,0)</f>
        <v>0</v>
      </c>
      <c r="Q235" s="470">
        <f>IF(AND(DG!$A210=3,DG!$B210=2),IMMO!$G29+IMMO!$I29,0)</f>
        <v>0</v>
      </c>
      <c r="R235" s="470">
        <f>IF(AND(DG!$A210=3,DG!$B210=3),IMMO!$G29+IMMO!$I29,0)</f>
        <v>0</v>
      </c>
      <c r="S235" s="470">
        <f>IF(AND(DG!$A210=3,DG!$B210=4),IMMO!$G29+IMMO!$I29,0)</f>
        <v>0</v>
      </c>
      <c r="T235" s="470">
        <f>IF(AND(DG!$A210=3,DG!$B210=5),IMMO!$G29+IMMO!$I29,0)</f>
        <v>0</v>
      </c>
      <c r="U235" s="470">
        <f>IF(AND(DG!$A210=3,DG!$B210=6),IMMO!$G29+IMMO!$I29,0)</f>
        <v>0</v>
      </c>
      <c r="V235" s="470">
        <f>IF(AND(DG!$A210=3,DG!$B210=7),IMMO!$G29+IMMO!$I29,0)</f>
        <v>0</v>
      </c>
      <c r="W235" s="470">
        <f>IF(AND(DG!$A210=3,DG!$B210=8),IMMO!$G29+IMMO!$I29,0)</f>
        <v>0</v>
      </c>
      <c r="X235" s="470">
        <f>IF(AND(DG!$A210=3,DG!$B210=9),IMMO!$G29+IMMO!$I29,0)</f>
        <v>0</v>
      </c>
      <c r="Y235" s="470">
        <f>IF(AND(DG!$A210=3,DG!$B210=10),IMMO!$G29+IMMO!$I29,0)</f>
        <v>0</v>
      </c>
      <c r="Z235" s="470">
        <f>IF(AND(DG!$A210=3,DG!$B210=11),IMMO!$G29+IMMO!$I29,0)</f>
        <v>0</v>
      </c>
      <c r="AA235" s="470">
        <f>IF(AND(DG!$A210=3,DG!$B210=12),IMMO!$G29+IMMO!$I29,0)</f>
        <v>0</v>
      </c>
      <c r="AB235" s="470">
        <f>IF(AND(DG!$A210=4,DG!$B210=1),IMMO!$G29+IMMO!$I29,0)</f>
        <v>0</v>
      </c>
      <c r="AC235" s="470">
        <f>IF(AND(DG!$A210=4,DG!$B210=2),IMMO!$G29+IMMO!$I29,0)</f>
        <v>0</v>
      </c>
      <c r="AD235" s="470">
        <f>IF(AND(DG!$A210=4,DG!$B210=3),IMMO!$G29+IMMO!$I29,0)</f>
        <v>0</v>
      </c>
      <c r="AE235" s="470">
        <f>IF(AND(DG!$A210=4,DG!$B210=4),IMMO!$G29+IMMO!$I29,0)</f>
        <v>0</v>
      </c>
      <c r="AF235" s="470">
        <f>IF(AND(DG!$A210=4,DG!$B210=5),IMMO!$G29+IMMO!$I29,0)</f>
        <v>0</v>
      </c>
      <c r="AG235" s="470">
        <f>IF(AND(DG!$A210=4,DG!$B210=6),IMMO!$G29+IMMO!$I29,0)</f>
        <v>0</v>
      </c>
      <c r="AH235" s="470">
        <f>IF(AND(DG!$A210=4,DG!$B210=7),IMMO!$G29+IMMO!$I29,0)</f>
        <v>0</v>
      </c>
      <c r="AI235" s="470">
        <f>IF(AND(DG!$A210=4,DG!$B210=8),IMMO!$G29+IMMO!$I29,0)</f>
        <v>0</v>
      </c>
      <c r="AJ235" s="470">
        <f>IF(AND(DG!$A210=4,DG!$B210=9),IMMO!$G29+IMMO!$I29,0)</f>
        <v>0</v>
      </c>
      <c r="AK235" s="470">
        <f>IF(AND(DG!$A210=4,DG!$B210=10),IMMO!$G29+IMMO!$I29,0)</f>
        <v>0</v>
      </c>
      <c r="AL235" s="470">
        <f>IF(AND(DG!$A210=4,DG!$B210=11),IMMO!$G29+IMMO!$I29,0)</f>
        <v>0</v>
      </c>
      <c r="AM235" s="470">
        <f>IF(AND(DG!$A210=4,DG!$B210=12),IMMO!$G29+IMMO!$I29,0)</f>
        <v>0</v>
      </c>
      <c r="AN235" s="470">
        <f>IF(AND(DG!$A210=5,DG!$B210=1),IMMO!$G29+IMMO!$I29,0)</f>
        <v>0</v>
      </c>
      <c r="AO235" s="470">
        <f>IF(AND(DG!$A210=5,DG!$B210=2),IMMO!$G29+IMMO!$I29,0)</f>
        <v>0</v>
      </c>
      <c r="AP235" s="470">
        <f>IF(AND(DG!$A210=5,DG!$B210=3),IMMO!$G29+IMMO!$I29,0)</f>
        <v>0</v>
      </c>
      <c r="AQ235" s="470">
        <f>IF(AND(DG!$A210=5,DG!$B210=4),IMMO!$G29+IMMO!$I29,0)</f>
        <v>0</v>
      </c>
      <c r="AR235" s="470">
        <f>IF(AND(DG!$A210=5,DG!$B210=5),IMMO!$G29+IMMO!$I29,0)</f>
        <v>0</v>
      </c>
      <c r="AS235" s="470">
        <f>IF(AND(DG!$A210=5,DG!$B210=6),IMMO!$G29+IMMO!$I29,0)</f>
        <v>0</v>
      </c>
      <c r="AT235" s="470">
        <f>IF(AND(DG!$A210=5,DG!$B210=7),IMMO!$G29+IMMO!$I29,0)</f>
        <v>0</v>
      </c>
      <c r="AU235" s="470">
        <f>IF(AND(DG!$A210=5,DG!$B210=8),IMMO!$G29+IMMO!$I29,0)</f>
        <v>0</v>
      </c>
      <c r="AV235" s="470">
        <f>IF(AND(DG!$A210=5,DG!$B210=9),IMMO!$G29+IMMO!$I29,0)</f>
        <v>0</v>
      </c>
      <c r="AW235" s="470">
        <f>IF(AND(DG!$A210=5,DG!$B210=10),IMMO!$G29+IMMO!$I29,0)</f>
        <v>0</v>
      </c>
      <c r="AX235" s="470">
        <f>IF(AND(DG!$A210=5,DG!$B210=11),IMMO!$G29+IMMO!$I29,0)</f>
        <v>0</v>
      </c>
      <c r="AY235" s="470">
        <f>IF(AND(DG!$A210=5,DG!$B210=12),IMMO!$G29+IMMO!$I29,0)</f>
        <v>0</v>
      </c>
      <c r="AZ235" s="470">
        <f>IF(AND(DG!$A210=6,DG!$B210=1),IMMO!$G29+IMMO!$I29,0)</f>
        <v>0</v>
      </c>
      <c r="BA235" s="470">
        <f>IF(AND(DG!$A210=6,DG!$B210=2),IMMO!$G29+IMMO!$I29,0)</f>
        <v>0</v>
      </c>
      <c r="BB235" s="470">
        <f>IF(AND(DG!$A210=6,DG!$B210=3),IMMO!$G29+IMMO!$I29,0)</f>
        <v>0</v>
      </c>
      <c r="BC235" s="470">
        <f>IF(AND(DG!$A210=6,DG!$B210=4),IMMO!$G29+IMMO!$I29,0)</f>
        <v>0</v>
      </c>
      <c r="BD235" s="470">
        <f>IF(AND(DG!$A210=6,DG!$B210=5),IMMO!$G29+IMMO!$I29,0)</f>
        <v>0</v>
      </c>
      <c r="BE235" s="470">
        <f>IF(AND(DG!$A210=6,DG!$B210=6),IMMO!$G29+IMMO!$I29,0)</f>
        <v>0</v>
      </c>
      <c r="BF235" s="470">
        <f>IF(AND(DG!$A210=6,DG!$B210=7),IMMO!$G29+IMMO!$I29,0)</f>
        <v>0</v>
      </c>
      <c r="BG235" s="470">
        <f>IF(AND(DG!$A210=6,DG!$B210=8),IMMO!$G29+IMMO!$I29,0)</f>
        <v>0</v>
      </c>
      <c r="BH235" s="470">
        <f>IF(AND(DG!$A210=6,DG!$B210=9),IMMO!$G29+IMMO!$I29,0)</f>
        <v>0</v>
      </c>
      <c r="BI235" s="470">
        <f>IF(AND(DG!$A210=6,DG!$B210=10),IMMO!$G29+IMMO!$I29,0)</f>
        <v>0</v>
      </c>
      <c r="BJ235" s="470">
        <f>IF(AND(DG!$A210=6,DG!$B210=11),IMMO!$G29+IMMO!$I29,0)</f>
        <v>0</v>
      </c>
      <c r="BK235" s="470">
        <f>IF(AND(DG!$A210=6,DG!$B210=12),IMMO!$G29+IMMO!$I29,0)</f>
        <v>0</v>
      </c>
      <c r="BL235" s="470">
        <f>IF(AND(DG!$A210=7,DG!$B210=1),IMMO!$G29+IMMO!$I29,0)</f>
        <v>0</v>
      </c>
      <c r="BM235" s="470">
        <f>IF(AND(DG!$A210=7,DG!$B210=2),IMMO!$G29+IMMO!$I29,0)</f>
        <v>0</v>
      </c>
      <c r="BN235" s="470">
        <f>IF(AND(DG!$A210=7,DG!$B210=3),IMMO!$G29+IMMO!$I29,0)</f>
        <v>0</v>
      </c>
      <c r="BO235" s="470">
        <f>IF(AND(DG!$A210=7,DG!$B210=4),IMMO!$G29+IMMO!$I29,0)</f>
        <v>0</v>
      </c>
      <c r="BP235" s="470">
        <f>IF(AND(DG!$A210=7,DG!$B210=5),IMMO!$G29+IMMO!$I29,0)</f>
        <v>0</v>
      </c>
      <c r="BQ235" s="470">
        <f>IF(AND(DG!$A210=7,DG!$B210=6),IMMO!$G29+IMMO!$I29,0)</f>
        <v>0</v>
      </c>
      <c r="BR235" s="470">
        <f>IF(AND(DG!$A210=7,DG!$B210=7),IMMO!$G29+IMMO!$I29,0)</f>
        <v>0</v>
      </c>
      <c r="BS235" s="470">
        <f>IF(AND(DG!$A210=7,DG!$B210=8),IMMO!$G29+IMMO!$I29,0)</f>
        <v>0</v>
      </c>
      <c r="BT235" s="470">
        <f>IF(AND(DG!$A210=7,DG!$B210=9),IMMO!$G29+IMMO!$I29,0)</f>
        <v>0</v>
      </c>
      <c r="BU235" s="470">
        <f>IF(AND(DG!$A210=7,DG!$B210=10),IMMO!$G29+IMMO!$I29,0)</f>
        <v>0</v>
      </c>
      <c r="BV235" s="470">
        <f>IF(AND(DG!$A210=7,DG!$B210=11),IMMO!$G29+IMMO!$I29,0)</f>
        <v>0</v>
      </c>
      <c r="BW235" s="470">
        <f>IF(AND(DG!$A210=7,DG!$B210=12),IMMO!$G29+IMMO!$I29,0)</f>
        <v>0</v>
      </c>
      <c r="BX235" s="470">
        <f>IF(AND(DG!$A210=8,DG!$B210=1),IMMO!$G29+IMMO!$I29,0)</f>
        <v>0</v>
      </c>
      <c r="BY235" s="470">
        <f>IF(AND(DG!$A210=8,DG!$B210=2),IMMO!$G29+IMMO!$I29,0)</f>
        <v>0</v>
      </c>
      <c r="BZ235" s="470">
        <f>IF(AND(DG!$A210=8,DG!$B210=3),IMMO!$G29+IMMO!$I29,0)</f>
        <v>0</v>
      </c>
      <c r="CA235" s="470">
        <f>IF(AND(DG!$A210=8,DG!$B210=4),IMMO!$G29+IMMO!$I29,0)</f>
        <v>0</v>
      </c>
      <c r="CB235" s="470">
        <f>IF(AND(DG!$A210=8,DG!$B210=5),IMMO!$G29+IMMO!$I29,0)</f>
        <v>0</v>
      </c>
      <c r="CC235" s="470">
        <f>IF(AND(DG!$A210=8,DG!$B210=6),IMMO!$G29+IMMO!$I29,0)</f>
        <v>0</v>
      </c>
      <c r="CD235" s="470">
        <f>IF(AND(DG!$A210=8,DG!$B210=7),IMMO!$G29+IMMO!$I29,0)</f>
        <v>0</v>
      </c>
      <c r="CE235" s="470">
        <f>IF(AND(DG!$A210=8,DG!$B210=8),IMMO!$G29+IMMO!$I29,0)</f>
        <v>0</v>
      </c>
      <c r="CF235" s="470">
        <f>IF(AND(DG!$A210=8,DG!$B210=9),IMMO!$G29+IMMO!$I29,0)</f>
        <v>0</v>
      </c>
      <c r="CG235" s="470">
        <f>IF(AND(DG!$A210=8,DG!$B210=10),IMMO!$G29+IMMO!$I29,0)</f>
        <v>0</v>
      </c>
      <c r="CH235" s="470">
        <f>IF(AND(DG!$A210=8,DG!$B210=11),IMMO!$G29+IMMO!$I29,0)</f>
        <v>0</v>
      </c>
      <c r="CI235" s="470">
        <f>IF(AND(DG!$A210=8,DG!$B210=12),IMMO!$G29+IMMO!$I29,0)</f>
        <v>0</v>
      </c>
      <c r="CJ235" s="470">
        <f>IF(AND(DG!$A210=9,DG!$B210=1),IMMO!$G29+IMMO!$I29,0)</f>
        <v>0</v>
      </c>
      <c r="CK235" s="470">
        <f>IF(AND(DG!$A210=9,DG!$B210=2),IMMO!$G29+IMMO!$I29,0)</f>
        <v>0</v>
      </c>
      <c r="CL235" s="470">
        <f>IF(AND(DG!$A210=9,DG!$B210=3),IMMO!$G29+IMMO!$I29,0)</f>
        <v>0</v>
      </c>
      <c r="CM235" s="470">
        <f>IF(AND(DG!$A210=9,DG!$B210=4),IMMO!$G29+IMMO!$I29,0)</f>
        <v>0</v>
      </c>
      <c r="CN235" s="470">
        <f>IF(AND(DG!$A210=9,DG!$B210=5),IMMO!$G29+IMMO!$I29,0)</f>
        <v>0</v>
      </c>
      <c r="CO235" s="470">
        <f>IF(AND(DG!$A210=9,DG!$B210=6),IMMO!$G29+IMMO!$I29,0)</f>
        <v>0</v>
      </c>
      <c r="CP235" s="470">
        <f>IF(AND(DG!$A210=9,DG!$B210=7),IMMO!$G29+IMMO!$I29,0)</f>
        <v>0</v>
      </c>
      <c r="CQ235" s="470">
        <f>IF(AND(DG!$A210=9,DG!$B210=8),IMMO!$G29+IMMO!$I29,0)</f>
        <v>0</v>
      </c>
      <c r="CR235" s="470">
        <f>IF(AND(DG!$A210=9,DG!$B210=9),IMMO!$G29+IMMO!$I29,0)</f>
        <v>0</v>
      </c>
      <c r="CS235" s="470">
        <f>IF(AND(DG!$A210=9,DG!$B210=10),IMMO!$G29+IMMO!$I29,0)</f>
        <v>0</v>
      </c>
      <c r="CT235" s="470">
        <f>IF(AND(DG!$A210=9,DG!$B210=11),IMMO!$G29+IMMO!$I29,0)</f>
        <v>0</v>
      </c>
      <c r="CU235" s="470">
        <f>IF(AND(DG!$A210=9,DG!$B210=12),IMMO!$G29+IMMO!$I29,0)</f>
        <v>0</v>
      </c>
      <c r="CV235" s="470">
        <f>IF(AND(DG!$A210=10,DG!$B210=1),IMMO!$G29+IMMO!$I29,0)</f>
        <v>0</v>
      </c>
      <c r="CW235" s="470">
        <f>IF(AND(DG!$A210=10,DG!$B210=2),IMMO!$G29+IMMO!$I29,0)</f>
        <v>0</v>
      </c>
      <c r="CX235" s="470">
        <f>IF(AND(DG!$A210=10,DG!$B210=3),IMMO!$G29+IMMO!$I29,0)</f>
        <v>0</v>
      </c>
      <c r="CY235" s="470">
        <f>IF(AND(DG!$A210=10,DG!$B210=4),IMMO!$G29+IMMO!$I29,0)</f>
        <v>0</v>
      </c>
      <c r="CZ235" s="470">
        <f>IF(AND(DG!$A210=10,DG!$B210=5),IMMO!$G29+IMMO!$I29,0)</f>
        <v>0</v>
      </c>
      <c r="DA235" s="470">
        <f>IF(AND(DG!$A210=10,DG!$B210=6),IMMO!$G29+IMMO!$I29,0)</f>
        <v>0</v>
      </c>
      <c r="DB235" s="470">
        <f>IF(AND(DG!$A210=10,DG!$B210=7),IMMO!$G29+IMMO!$I29,0)</f>
        <v>0</v>
      </c>
      <c r="DC235" s="470">
        <f>IF(AND(DG!$A210=10,DG!$B210=8),IMMO!$G29+IMMO!$I29,0)</f>
        <v>0</v>
      </c>
      <c r="DD235" s="470">
        <f>IF(AND(DG!$A210=10,DG!$B210=9),IMMO!$G29+IMMO!$I29,0)</f>
        <v>0</v>
      </c>
      <c r="DE235" s="470">
        <f>IF(AND(DG!$A210=10,DG!$B210=10),IMMO!$G29+IMMO!$I29,0)</f>
        <v>0</v>
      </c>
      <c r="DF235" s="470">
        <f>IF(AND(DG!$A210=10,DG!$B210=11),IMMO!$G29+IMMO!$I29,0)</f>
        <v>0</v>
      </c>
      <c r="DG235" s="470">
        <f>IF(AND(DG!$A210=10,DG!$B210=12),IMMO!$G29+IMMO!$I29,0)</f>
        <v>0</v>
      </c>
      <c r="DH235" s="470">
        <f>IF(AND(DG!$A210=11,DG!$B210=1),IMMO!$G29+IMMO!$I29,0)</f>
        <v>0</v>
      </c>
      <c r="DI235" s="470">
        <f>IF(AND(DG!$A210=11,DG!$B210=2),IMMO!$G29+IMMO!$I29,0)</f>
        <v>0</v>
      </c>
      <c r="DJ235" s="470">
        <f>IF(AND(DG!$A210=11,DG!$B210=3),IMMO!$G29+IMMO!$I29,0)</f>
        <v>0</v>
      </c>
      <c r="DK235" s="470">
        <f>IF(AND(DG!$A210=11,DG!$B210=4),IMMO!$G29+IMMO!$I29,0)</f>
        <v>0</v>
      </c>
      <c r="DL235" s="470">
        <f>IF(AND(DG!$A210=11,DG!$B210=5),IMMO!$G29+IMMO!$I29,0)</f>
        <v>0</v>
      </c>
      <c r="DM235" s="470">
        <f>IF(AND(DG!$A210=11,DG!$B210=6),IMMO!$G29+IMMO!$I29,0)</f>
        <v>0</v>
      </c>
      <c r="DN235" s="470">
        <f>IF(AND(DG!$A210=11,DG!$B210=7),IMMO!$G29+IMMO!$I29,0)</f>
        <v>0</v>
      </c>
      <c r="DO235" s="470">
        <f>IF(AND(DG!$A210=11,DG!$B210=8),IMMO!$G29+IMMO!$I29,0)</f>
        <v>0</v>
      </c>
      <c r="DP235" s="470">
        <f>IF(AND(DG!$A210=11,DG!$B210=9),IMMO!$G29+IMMO!$I29,0)</f>
        <v>0</v>
      </c>
      <c r="DQ235" s="470">
        <f>IF(AND(DG!$A210=11,DG!$B210=10),IMMO!$G29+IMMO!$I29,0)</f>
        <v>0</v>
      </c>
      <c r="DR235" s="470">
        <f>IF(AND(DG!$A210=11,DG!$B210=11),IMMO!$G29+IMMO!$I29,0)</f>
        <v>0</v>
      </c>
      <c r="DS235" s="470">
        <f>IF(AND(DG!$A210=11,DG!$B210=12),IMMO!$G29+IMMO!$I29,0)</f>
        <v>0</v>
      </c>
      <c r="DT235" s="470">
        <f>IF(AND(DG!$A210=12,DG!$B210=1),IMMO!$G29+IMMO!$I29,0)</f>
        <v>0</v>
      </c>
      <c r="DU235" s="470">
        <f>IF(AND(DG!$A210=12,DG!$B210=2),IMMO!$G29+IMMO!$I29,0)</f>
        <v>0</v>
      </c>
      <c r="DV235" s="470">
        <f>IF(AND(DG!$A210=12,DG!$B210=3),IMMO!$G29+IMMO!$I29,0)</f>
        <v>0</v>
      </c>
      <c r="DW235" s="470">
        <f>IF(AND(DG!$A210=12,DG!$B210=4),IMMO!$G29+IMMO!$I29,0)</f>
        <v>0</v>
      </c>
      <c r="DX235" s="470">
        <f>IF(AND(DG!$A210=12,DG!$B210=5),IMMO!$G29+IMMO!$I29,0)</f>
        <v>0</v>
      </c>
      <c r="DY235" s="470">
        <f>IF(AND(DG!$A210=12,DG!$B210=6),IMMO!$G29+IMMO!$I29,0)</f>
        <v>0</v>
      </c>
      <c r="DZ235" s="470">
        <f>IF(AND(DG!$A210=12,DG!$B210=7),IMMO!$G29+IMMO!$I29,0)</f>
        <v>0</v>
      </c>
      <c r="EA235" s="470">
        <f>IF(AND(DG!$A210=12,DG!$B210=8),IMMO!$G29+IMMO!$I29,0)</f>
        <v>0</v>
      </c>
      <c r="EB235" s="470">
        <f>IF(AND(DG!$A210=12,DG!$B210=9),IMMO!$G29+IMMO!$I29,0)</f>
        <v>0</v>
      </c>
      <c r="EC235" s="470">
        <f>IF(AND(DG!$A210=12,DG!$B210=10),IMMO!$G29+IMMO!$I29,0)</f>
        <v>0</v>
      </c>
      <c r="ED235" s="470">
        <f>IF(AND(DG!$A210=12,DG!$B210=11),IMMO!$G29+IMMO!$I29,0)</f>
        <v>0</v>
      </c>
      <c r="EE235" s="470">
        <f>IF(AND(DG!$A210=12,DG!$B210=12),IMMO!$G29+IMMO!$I29,0)</f>
        <v>0</v>
      </c>
      <c r="EF235" s="470"/>
      <c r="EG235" s="470"/>
      <c r="EH235" s="470"/>
      <c r="EI235" s="470"/>
      <c r="EJ235" s="470"/>
      <c r="EK235" s="470"/>
      <c r="EL235" s="470"/>
      <c r="EM235" s="470"/>
    </row>
    <row r="236" spans="4:143">
      <c r="D236" s="470"/>
      <c r="E236" s="470"/>
      <c r="F236" s="470"/>
      <c r="G236" s="470"/>
      <c r="H236" s="470"/>
      <c r="I236" s="470"/>
      <c r="J236" s="470"/>
      <c r="K236" s="470"/>
      <c r="L236" s="470"/>
      <c r="M236" s="470"/>
      <c r="N236" s="470"/>
      <c r="O236" s="470"/>
      <c r="P236" s="470"/>
      <c r="Q236" s="470"/>
      <c r="R236" s="470"/>
      <c r="S236" s="470"/>
      <c r="T236" s="470"/>
      <c r="U236" s="470"/>
      <c r="V236" s="470"/>
      <c r="W236" s="470"/>
      <c r="X236" s="470"/>
      <c r="Y236" s="470"/>
      <c r="Z236" s="470"/>
      <c r="AA236" s="470"/>
      <c r="AB236" s="470"/>
      <c r="AC236" s="470"/>
      <c r="AD236" s="470"/>
      <c r="AE236" s="470"/>
      <c r="AF236" s="470"/>
      <c r="AG236" s="470"/>
      <c r="AH236" s="470"/>
      <c r="AI236" s="470"/>
      <c r="AJ236" s="470"/>
      <c r="AK236" s="470"/>
      <c r="AL236" s="470"/>
      <c r="AM236" s="470"/>
      <c r="AN236" s="470"/>
      <c r="AO236" s="470"/>
      <c r="AP236" s="470"/>
      <c r="AQ236" s="470"/>
      <c r="AR236" s="470"/>
      <c r="AS236" s="470"/>
      <c r="AT236" s="470"/>
      <c r="AU236" s="470"/>
      <c r="AV236" s="470"/>
      <c r="AW236" s="470"/>
      <c r="AX236" s="470"/>
      <c r="AY236" s="470"/>
      <c r="AZ236" s="470"/>
      <c r="BA236" s="470"/>
      <c r="BB236" s="470"/>
      <c r="BC236" s="470"/>
    </row>
    <row r="237" spans="4:143">
      <c r="D237" s="470">
        <f>IF(AND(DG!$A211=2,DG!$B211=1),IMMO!$G31+IMMO!$I31,0)</f>
        <v>0</v>
      </c>
      <c r="E237" s="470">
        <f>IF(AND(DG!$A211=2,DG!$B211=2),IMMO!$G31+IMMO!$I31,0)</f>
        <v>0</v>
      </c>
      <c r="F237" s="470">
        <f>IF(AND(DG!$A211=2,DG!$B211=3),IMMO!$G31+IMMO!$I31,0)</f>
        <v>0</v>
      </c>
      <c r="G237" s="470">
        <f>IF(AND(DG!$A211=2,DG!$B211=4),IMMO!$G31+IMMO!$I31,0)</f>
        <v>0</v>
      </c>
      <c r="H237" s="470">
        <f>IF(AND(DG!$A211=2,DG!$B211=5),IMMO!$G31+IMMO!$I31,0)</f>
        <v>0</v>
      </c>
      <c r="I237" s="470">
        <f>IF(AND(DG!$A211=2,DG!$B211=6),IMMO!$G31+IMMO!$I31,0)</f>
        <v>0</v>
      </c>
      <c r="J237" s="470">
        <f>IF(AND(DG!$A211=2,DG!$B211=7),IMMO!$G31+IMMO!$I31,0)</f>
        <v>0</v>
      </c>
      <c r="K237" s="470">
        <f>IF(AND(DG!$A211=2,DG!$B211=8),IMMO!$G31+IMMO!$I31,0)</f>
        <v>0</v>
      </c>
      <c r="L237" s="470">
        <f>IF(AND(DG!$A211=2,DG!$B211=9),IMMO!$G31+IMMO!$I31,0)</f>
        <v>0</v>
      </c>
      <c r="M237" s="470">
        <f>IF(AND(DG!$A211=2,DG!$B211=10),IMMO!$G31+IMMO!$I31,0)</f>
        <v>0</v>
      </c>
      <c r="N237" s="470">
        <f>IF(AND(DG!$A211=2,DG!$B211=11),IMMO!$G31+IMMO!$I31,0)</f>
        <v>0</v>
      </c>
      <c r="O237" s="470">
        <f>IF(AND(DG!$A211=2,DG!$B211=12),IMMO!$G31+IMMO!$I31,0)</f>
        <v>0</v>
      </c>
      <c r="P237" s="470">
        <f>IF(AND(DG!$A211=3,DG!$B211=1),IMMO!$G31+IMMO!$I31,0)</f>
        <v>0</v>
      </c>
      <c r="Q237" s="470">
        <f>IF(AND(DG!$A211=3,DG!$B211=2),IMMO!$G31+IMMO!$I31,0)</f>
        <v>0</v>
      </c>
      <c r="R237" s="470">
        <f>IF(AND(DG!$A211=3,DG!$B211=3),IMMO!$G31+IMMO!$I31,0)</f>
        <v>0</v>
      </c>
      <c r="S237" s="470">
        <f>IF(AND(DG!$A211=3,DG!$B211=4),IMMO!$G31+IMMO!$I31,0)</f>
        <v>0</v>
      </c>
      <c r="T237" s="470">
        <f>IF(AND(DG!$A211=3,DG!$B211=5),IMMO!$G31+IMMO!$I31,0)</f>
        <v>0</v>
      </c>
      <c r="U237" s="470">
        <f>IF(AND(DG!$A211=3,DG!$B211=6),IMMO!$G31+IMMO!$I31,0)</f>
        <v>0</v>
      </c>
      <c r="V237" s="470">
        <f>IF(AND(DG!$A211=3,DG!$B211=7),IMMO!$G31+IMMO!$I31,0)</f>
        <v>0</v>
      </c>
      <c r="W237" s="470">
        <f>IF(AND(DG!$A211=3,DG!$B211=8),IMMO!$G31+IMMO!$I31,0)</f>
        <v>0</v>
      </c>
      <c r="X237" s="470">
        <f>IF(AND(DG!$A211=3,DG!$B211=9),IMMO!$G31+IMMO!$I31,0)</f>
        <v>0</v>
      </c>
      <c r="Y237" s="470">
        <f>IF(AND(DG!$A211=3,DG!$B211=10),IMMO!$G31+IMMO!$I31,0)</f>
        <v>0</v>
      </c>
      <c r="Z237" s="470">
        <f>IF(AND(DG!$A211=3,DG!$B211=11),IMMO!$G31+IMMO!$I31,0)</f>
        <v>0</v>
      </c>
      <c r="AA237" s="470">
        <f>IF(AND(DG!$A211=3,DG!$B211=12),IMMO!$G31+IMMO!$I31,0)</f>
        <v>0</v>
      </c>
      <c r="AB237" s="470">
        <f>IF(AND(DG!$A211=4,DG!$B211=1),IMMO!$G31+IMMO!$I31,0)</f>
        <v>0</v>
      </c>
      <c r="AC237" s="470">
        <f>IF(AND(DG!$A211=4,DG!$B211=2),IMMO!$G31+IMMO!$I31,0)</f>
        <v>0</v>
      </c>
      <c r="AD237" s="470">
        <f>IF(AND(DG!$A211=4,DG!$B211=3),IMMO!$G31+IMMO!$I31,0)</f>
        <v>0</v>
      </c>
      <c r="AE237" s="470">
        <f>IF(AND(DG!$A211=4,DG!$B211=4),IMMO!$G31+IMMO!$I31,0)</f>
        <v>0</v>
      </c>
      <c r="AF237" s="470">
        <f>IF(AND(DG!$A211=4,DG!$B211=5),IMMO!$G31+IMMO!$I31,0)</f>
        <v>0</v>
      </c>
      <c r="AG237" s="470">
        <f>IF(AND(DG!$A211=4,DG!$B211=6),IMMO!$G31+IMMO!$I31,0)</f>
        <v>0</v>
      </c>
      <c r="AH237" s="470">
        <f>IF(AND(DG!$A211=4,DG!$B211=7),IMMO!$G31+IMMO!$I31,0)</f>
        <v>0</v>
      </c>
      <c r="AI237" s="470">
        <f>IF(AND(DG!$A211=4,DG!$B211=8),IMMO!$G31+IMMO!$I31,0)</f>
        <v>0</v>
      </c>
      <c r="AJ237" s="470">
        <f>IF(AND(DG!$A211=4,DG!$B211=9),IMMO!$G31+IMMO!$I31,0)</f>
        <v>0</v>
      </c>
      <c r="AK237" s="470">
        <f>IF(AND(DG!$A211=4,DG!$B211=10),IMMO!$G31+IMMO!$I31,0)</f>
        <v>0</v>
      </c>
      <c r="AL237" s="470">
        <f>IF(AND(DG!$A211=4,DG!$B211=11),IMMO!$G31+IMMO!$I31,0)</f>
        <v>0</v>
      </c>
      <c r="AM237" s="470">
        <f>IF(AND(DG!$A211=4,DG!$B211=12),IMMO!$G31+IMMO!$I31,0)</f>
        <v>0</v>
      </c>
      <c r="AN237" s="470">
        <f>IF(AND(DG!$A211=5,DG!$B211=1),IMMO!$G31+IMMO!$I31,0)</f>
        <v>0</v>
      </c>
      <c r="AO237" s="470">
        <f>IF(AND(DG!$A211=5,DG!$B211=2),IMMO!$G31+IMMO!$I31,0)</f>
        <v>0</v>
      </c>
      <c r="AP237" s="470">
        <f>IF(AND(DG!$A211=5,DG!$B211=3),IMMO!$G31+IMMO!$I31,0)</f>
        <v>0</v>
      </c>
      <c r="AQ237" s="470">
        <f>IF(AND(DG!$A211=5,DG!$B211=4),IMMO!$G31+IMMO!$I31,0)</f>
        <v>0</v>
      </c>
      <c r="AR237" s="470">
        <f>IF(AND(DG!$A211=5,DG!$B211=5),IMMO!$G31+IMMO!$I31,0)</f>
        <v>0</v>
      </c>
      <c r="AS237" s="470">
        <f>IF(AND(DG!$A211=5,DG!$B211=6),IMMO!$G31+IMMO!$I31,0)</f>
        <v>0</v>
      </c>
      <c r="AT237" s="470">
        <f>IF(AND(DG!$A211=5,DG!$B211=7),IMMO!$G31+IMMO!$I31,0)</f>
        <v>0</v>
      </c>
      <c r="AU237" s="470">
        <f>IF(AND(DG!$A211=5,DG!$B211=8),IMMO!$G31+IMMO!$I31,0)</f>
        <v>0</v>
      </c>
      <c r="AV237" s="470">
        <f>IF(AND(DG!$A211=5,DG!$B211=9),IMMO!$G31+IMMO!$I31,0)</f>
        <v>0</v>
      </c>
      <c r="AW237" s="470">
        <f>IF(AND(DG!$A211=5,DG!$B211=10),IMMO!$G31+IMMO!$I31,0)</f>
        <v>0</v>
      </c>
      <c r="AX237" s="470">
        <f>IF(AND(DG!$A211=5,DG!$B211=11),IMMO!$G31+IMMO!$I31,0)</f>
        <v>0</v>
      </c>
      <c r="AY237" s="470">
        <f>IF(AND(DG!$A211=5,DG!$B211=12),IMMO!$G31+IMMO!$I31,0)</f>
        <v>0</v>
      </c>
      <c r="AZ237" s="470">
        <f>IF(AND(DG!$A211=6,DG!$B211=1),IMMO!$G31+IMMO!$I31,0)</f>
        <v>0</v>
      </c>
      <c r="BA237" s="470">
        <f>IF(AND(DG!$A211=6,DG!$B211=2),IMMO!$G31+IMMO!$I31,0)</f>
        <v>0</v>
      </c>
      <c r="BB237" s="470">
        <f>IF(AND(DG!$A211=6,DG!$B211=3),IMMO!$G31+IMMO!$I31,0)</f>
        <v>0</v>
      </c>
      <c r="BC237" s="470">
        <f>IF(AND(DG!$A211=6,DG!$B211=4),IMMO!$G31+IMMO!$I31,0)</f>
        <v>0</v>
      </c>
      <c r="BD237" s="470">
        <f>IF(AND(DG!$A211=6,DG!$B211=5),IMMO!$G31+IMMO!$I31,0)</f>
        <v>0</v>
      </c>
      <c r="BE237" s="470">
        <f>IF(AND(DG!$A211=6,DG!$B211=6),IMMO!$G31+IMMO!$I31,0)</f>
        <v>0</v>
      </c>
      <c r="BF237" s="470">
        <f>IF(AND(DG!$A211=6,DG!$B211=7),IMMO!$G31+IMMO!$I31,0)</f>
        <v>0</v>
      </c>
      <c r="BG237" s="470">
        <f>IF(AND(DG!$A211=6,DG!$B211=8),IMMO!$G31+IMMO!$I31,0)</f>
        <v>0</v>
      </c>
      <c r="BH237" s="470">
        <f>IF(AND(DG!$A211=6,DG!$B211=9),IMMO!$G31+IMMO!$I31,0)</f>
        <v>0</v>
      </c>
      <c r="BI237" s="470">
        <f>IF(AND(DG!$A211=6,DG!$B211=10),IMMO!$G31+IMMO!$I31,0)</f>
        <v>0</v>
      </c>
      <c r="BJ237" s="470">
        <f>IF(AND(DG!$A211=6,DG!$B211=11),IMMO!$G31+IMMO!$I31,0)</f>
        <v>0</v>
      </c>
      <c r="BK237" s="470">
        <f>IF(AND(DG!$A211=6,DG!$B211=12),IMMO!$G31+IMMO!$I31,0)</f>
        <v>0</v>
      </c>
      <c r="BL237" s="470">
        <f>IF(AND(DG!$A211=7,DG!$B211=1),IMMO!$G31+IMMO!$I31,0)</f>
        <v>0</v>
      </c>
      <c r="BM237" s="470">
        <f>IF(AND(DG!$A211=7,DG!$B211=2),IMMO!$G31+IMMO!$I31,0)</f>
        <v>0</v>
      </c>
      <c r="BN237" s="470">
        <f>IF(AND(DG!$A211=7,DG!$B211=3),IMMO!$G31+IMMO!$I31,0)</f>
        <v>0</v>
      </c>
      <c r="BO237" s="470">
        <f>IF(AND(DG!$A211=7,DG!$B211=4),IMMO!$G31+IMMO!$I31,0)</f>
        <v>0</v>
      </c>
      <c r="BP237" s="470">
        <f>IF(AND(DG!$A211=7,DG!$B211=5),IMMO!$G31+IMMO!$I31,0)</f>
        <v>0</v>
      </c>
      <c r="BQ237" s="470">
        <f>IF(AND(DG!$A211=7,DG!$B211=6),IMMO!$G31+IMMO!$I31,0)</f>
        <v>0</v>
      </c>
      <c r="BR237" s="470">
        <f>IF(AND(DG!$A211=7,DG!$B211=7),IMMO!$G31+IMMO!$I31,0)</f>
        <v>0</v>
      </c>
      <c r="BS237" s="470">
        <f>IF(AND(DG!$A211=7,DG!$B211=8),IMMO!$G31+IMMO!$I31,0)</f>
        <v>0</v>
      </c>
      <c r="BT237" s="470">
        <f>IF(AND(DG!$A211=7,DG!$B211=9),IMMO!$G31+IMMO!$I31,0)</f>
        <v>0</v>
      </c>
      <c r="BU237" s="470">
        <f>IF(AND(DG!$A211=7,DG!$B211=10),IMMO!$G31+IMMO!$I31,0)</f>
        <v>0</v>
      </c>
      <c r="BV237" s="470">
        <f>IF(AND(DG!$A211=7,DG!$B211=11),IMMO!$G31+IMMO!$I31,0)</f>
        <v>0</v>
      </c>
      <c r="BW237" s="470">
        <f>IF(AND(DG!$A211=7,DG!$B211=12),IMMO!$G31+IMMO!$I31,0)</f>
        <v>0</v>
      </c>
      <c r="BX237" s="470">
        <f>IF(AND(DG!$A211=8,DG!$B211=1),IMMO!$G31+IMMO!$I31,0)</f>
        <v>0</v>
      </c>
      <c r="BY237" s="470">
        <f>IF(AND(DG!$A211=8,DG!$B211=2),IMMO!$G31+IMMO!$I31,0)</f>
        <v>0</v>
      </c>
      <c r="BZ237" s="470">
        <f>IF(AND(DG!$A211=8,DG!$B211=3),IMMO!$G31+IMMO!$I31,0)</f>
        <v>0</v>
      </c>
      <c r="CA237" s="470">
        <f>IF(AND(DG!$A211=8,DG!$B211=4),IMMO!$G31+IMMO!$I31,0)</f>
        <v>0</v>
      </c>
      <c r="CB237" s="470">
        <f>IF(AND(DG!$A211=8,DG!$B211=5),IMMO!$G31+IMMO!$I31,0)</f>
        <v>0</v>
      </c>
      <c r="CC237" s="470">
        <f>IF(AND(DG!$A211=8,DG!$B211=6),IMMO!$G31+IMMO!$I31,0)</f>
        <v>0</v>
      </c>
      <c r="CD237" s="470">
        <f>IF(AND(DG!$A211=8,DG!$B211=7),IMMO!$G31+IMMO!$I31,0)</f>
        <v>0</v>
      </c>
      <c r="CE237" s="470">
        <f>IF(AND(DG!$A211=8,DG!$B211=8),IMMO!$G31+IMMO!$I31,0)</f>
        <v>0</v>
      </c>
      <c r="CF237" s="470">
        <f>IF(AND(DG!$A211=8,DG!$B211=9),IMMO!$G31+IMMO!$I31,0)</f>
        <v>0</v>
      </c>
      <c r="CG237" s="470">
        <f>IF(AND(DG!$A211=8,DG!$B211=10),IMMO!$G31+IMMO!$I31,0)</f>
        <v>0</v>
      </c>
      <c r="CH237" s="470">
        <f>IF(AND(DG!$A211=8,DG!$B211=11),IMMO!$G31+IMMO!$I31,0)</f>
        <v>0</v>
      </c>
      <c r="CI237" s="470">
        <f>IF(AND(DG!$A211=8,DG!$B211=12),IMMO!$G31+IMMO!$I31,0)</f>
        <v>0</v>
      </c>
      <c r="CJ237" s="470">
        <f>IF(AND(DG!$A211=9,DG!$B211=1),IMMO!$G31+IMMO!$I31,0)</f>
        <v>0</v>
      </c>
      <c r="CK237" s="470">
        <f>IF(AND(DG!$A211=9,DG!$B211=2),IMMO!$G31+IMMO!$I31,0)</f>
        <v>0</v>
      </c>
      <c r="CL237" s="470">
        <f>IF(AND(DG!$A211=9,DG!$B211=3),IMMO!$G31+IMMO!$I31,0)</f>
        <v>0</v>
      </c>
      <c r="CM237" s="470">
        <f>IF(AND(DG!$A211=9,DG!$B211=4),IMMO!$G31+IMMO!$I31,0)</f>
        <v>0</v>
      </c>
      <c r="CN237" s="470">
        <f>IF(AND(DG!$A211=9,DG!$B211=5),IMMO!$G31+IMMO!$I31,0)</f>
        <v>0</v>
      </c>
      <c r="CO237" s="470">
        <f>IF(AND(DG!$A211=9,DG!$B211=6),IMMO!$G31+IMMO!$I31,0)</f>
        <v>0</v>
      </c>
      <c r="CP237" s="470">
        <f>IF(AND(DG!$A211=9,DG!$B211=7),IMMO!$G31+IMMO!$I31,0)</f>
        <v>0</v>
      </c>
      <c r="CQ237" s="470">
        <f>IF(AND(DG!$A211=9,DG!$B211=8),IMMO!$G31+IMMO!$I31,0)</f>
        <v>0</v>
      </c>
      <c r="CR237" s="470">
        <f>IF(AND(DG!$A211=9,DG!$B211=9),IMMO!$G31+IMMO!$I31,0)</f>
        <v>0</v>
      </c>
      <c r="CS237" s="470">
        <f>IF(AND(DG!$A211=9,DG!$B211=10),IMMO!$G31+IMMO!$I31,0)</f>
        <v>0</v>
      </c>
      <c r="CT237" s="470">
        <f>IF(AND(DG!$A211=9,DG!$B211=11),IMMO!$G31+IMMO!$I31,0)</f>
        <v>0</v>
      </c>
      <c r="CU237" s="470">
        <f>IF(AND(DG!$A211=9,DG!$B211=12),IMMO!$G31+IMMO!$I31,0)</f>
        <v>0</v>
      </c>
      <c r="CV237" s="470">
        <f>IF(AND(DG!$A211=10,DG!$B211=1),IMMO!$G31+IMMO!$I31,0)</f>
        <v>0</v>
      </c>
      <c r="CW237" s="470">
        <f>IF(AND(DG!$A211=10,DG!$B211=2),IMMO!$G31+IMMO!$I31,0)</f>
        <v>0</v>
      </c>
      <c r="CX237" s="470">
        <f>IF(AND(DG!$A211=10,DG!$B211=3),IMMO!$G31+IMMO!$I31,0)</f>
        <v>0</v>
      </c>
      <c r="CY237" s="470">
        <f>IF(AND(DG!$A211=10,DG!$B211=4),IMMO!$G31+IMMO!$I31,0)</f>
        <v>0</v>
      </c>
      <c r="CZ237" s="470">
        <f>IF(AND(DG!$A211=10,DG!$B211=5),IMMO!$G31+IMMO!$I31,0)</f>
        <v>0</v>
      </c>
      <c r="DA237" s="470">
        <f>IF(AND(DG!$A211=10,DG!$B211=6),IMMO!$G31+IMMO!$I31,0)</f>
        <v>0</v>
      </c>
      <c r="DB237" s="470">
        <f>IF(AND(DG!$A211=10,DG!$B211=7),IMMO!$G31+IMMO!$I31,0)</f>
        <v>0</v>
      </c>
      <c r="DC237" s="470">
        <f>IF(AND(DG!$A211=10,DG!$B211=8),IMMO!$G31+IMMO!$I31,0)</f>
        <v>0</v>
      </c>
      <c r="DD237" s="470">
        <f>IF(AND(DG!$A211=10,DG!$B211=9),IMMO!$G31+IMMO!$I31,0)</f>
        <v>0</v>
      </c>
      <c r="DE237" s="470">
        <f>IF(AND(DG!$A211=10,DG!$B211=10),IMMO!$G31+IMMO!$I31,0)</f>
        <v>0</v>
      </c>
      <c r="DF237" s="470">
        <f>IF(AND(DG!$A211=10,DG!$B211=11),IMMO!$G31+IMMO!$I31,0)</f>
        <v>0</v>
      </c>
      <c r="DG237" s="470">
        <f>IF(AND(DG!$A211=10,DG!$B211=12),IMMO!$G31+IMMO!$I31,0)</f>
        <v>0</v>
      </c>
      <c r="DH237" s="470">
        <f>IF(AND(DG!$A211=11,DG!$B211=1),IMMO!$G31+IMMO!$I31,0)</f>
        <v>0</v>
      </c>
      <c r="DI237" s="470">
        <f>IF(AND(DG!$A211=11,DG!$B211=2),IMMO!$G31+IMMO!$I31,0)</f>
        <v>0</v>
      </c>
      <c r="DJ237" s="470">
        <f>IF(AND(DG!$A211=11,DG!$B211=3),IMMO!$G31+IMMO!$I31,0)</f>
        <v>0</v>
      </c>
      <c r="DK237" s="470">
        <f>IF(AND(DG!$A211=11,DG!$B211=4),IMMO!$G31+IMMO!$I31,0)</f>
        <v>0</v>
      </c>
      <c r="DL237" s="470">
        <f>IF(AND(DG!$A211=11,DG!$B211=5),IMMO!$G31+IMMO!$I31,0)</f>
        <v>0</v>
      </c>
      <c r="DM237" s="470">
        <f>IF(AND(DG!$A211=11,DG!$B211=6),IMMO!$G31+IMMO!$I31,0)</f>
        <v>0</v>
      </c>
      <c r="DN237" s="470">
        <f>IF(AND(DG!$A211=11,DG!$B211=7),IMMO!$G31+IMMO!$I31,0)</f>
        <v>0</v>
      </c>
      <c r="DO237" s="470">
        <f>IF(AND(DG!$A211=11,DG!$B211=8),IMMO!$G31+IMMO!$I31,0)</f>
        <v>0</v>
      </c>
      <c r="DP237" s="470">
        <f>IF(AND(DG!$A211=11,DG!$B211=9),IMMO!$G31+IMMO!$I31,0)</f>
        <v>0</v>
      </c>
      <c r="DQ237" s="470">
        <f>IF(AND(DG!$A211=11,DG!$B211=10),IMMO!$G31+IMMO!$I31,0)</f>
        <v>0</v>
      </c>
      <c r="DR237" s="470">
        <f>IF(AND(DG!$A211=11,DG!$B211=11),IMMO!$G31+IMMO!$I31,0)</f>
        <v>0</v>
      </c>
      <c r="DS237" s="470">
        <f>IF(AND(DG!$A211=11,DG!$B211=12),IMMO!$G31+IMMO!$I31,0)</f>
        <v>0</v>
      </c>
      <c r="DT237" s="470">
        <f>IF(AND(DG!$A211=12,DG!$B211=1),IMMO!$G31+IMMO!$I31,0)</f>
        <v>0</v>
      </c>
      <c r="DU237" s="470">
        <f>IF(AND(DG!$A211=12,DG!$B211=2),IMMO!$G31+IMMO!$I31,0)</f>
        <v>0</v>
      </c>
      <c r="DV237" s="470">
        <f>IF(AND(DG!$A211=12,DG!$B211=3),IMMO!$G31+IMMO!$I31,0)</f>
        <v>0</v>
      </c>
      <c r="DW237" s="470">
        <f>IF(AND(DG!$A211=12,DG!$B211=4),IMMO!$G31+IMMO!$I31,0)</f>
        <v>0</v>
      </c>
      <c r="DX237" s="470">
        <f>IF(AND(DG!$A211=12,DG!$B211=5),IMMO!$G31+IMMO!$I31,0)</f>
        <v>0</v>
      </c>
      <c r="DY237" s="470">
        <f>IF(AND(DG!$A211=12,DG!$B211=6),IMMO!$G31+IMMO!$I31,0)</f>
        <v>0</v>
      </c>
      <c r="DZ237" s="470">
        <f>IF(AND(DG!$A211=12,DG!$B211=7),IMMO!$G31+IMMO!$I31,0)</f>
        <v>0</v>
      </c>
      <c r="EA237" s="470">
        <f>IF(AND(DG!$A211=12,DG!$B211=8),IMMO!$G31+IMMO!$I31,0)</f>
        <v>0</v>
      </c>
      <c r="EB237" s="470">
        <f>IF(AND(DG!$A211=12,DG!$B211=9),IMMO!$G31+IMMO!$I31,0)</f>
        <v>0</v>
      </c>
      <c r="EC237" s="470">
        <f>IF(AND(DG!$A211=12,DG!$B211=10),IMMO!$G31+IMMO!$I31,0)</f>
        <v>0</v>
      </c>
      <c r="ED237" s="470">
        <f>IF(AND(DG!$A211=12,DG!$B211=11),IMMO!$G31+IMMO!$I31,0)</f>
        <v>0</v>
      </c>
      <c r="EE237" s="470">
        <f>IF(AND(DG!$A211=12,DG!$B211=12),IMMO!$G31+IMMO!$I31,0)</f>
        <v>0</v>
      </c>
      <c r="EF237" s="470"/>
      <c r="EG237" s="470"/>
      <c r="EH237" s="470"/>
      <c r="EI237" s="470"/>
      <c r="EJ237" s="470"/>
      <c r="EK237" s="470"/>
      <c r="EL237" s="470"/>
      <c r="EM237" s="470"/>
    </row>
    <row r="238" spans="4:143">
      <c r="D238" s="1161" t="s">
        <v>439</v>
      </c>
      <c r="E238" s="1161"/>
      <c r="F238" s="1161"/>
      <c r="G238" s="1161"/>
      <c r="H238" s="1161"/>
      <c r="I238" s="1161"/>
      <c r="J238" s="1161"/>
      <c r="K238" s="1161"/>
      <c r="L238" s="1161"/>
      <c r="M238" s="1161"/>
      <c r="N238" s="1161"/>
      <c r="O238" s="1161"/>
      <c r="P238" s="1162" t="s">
        <v>440</v>
      </c>
      <c r="Q238" s="1162"/>
      <c r="R238" s="1162"/>
      <c r="S238" s="1162"/>
      <c r="T238" s="1162"/>
      <c r="U238" s="1162"/>
      <c r="V238" s="1162"/>
      <c r="W238" s="1162"/>
      <c r="X238" s="1162"/>
      <c r="Y238" s="1162"/>
      <c r="Z238" s="1162"/>
      <c r="AA238" s="1162"/>
      <c r="AB238" s="1157" t="s">
        <v>296</v>
      </c>
      <c r="AC238" s="1157"/>
      <c r="AD238" s="1157"/>
      <c r="AE238" s="1157"/>
      <c r="AF238" s="1157"/>
      <c r="AG238" s="1157"/>
      <c r="AH238" s="1157"/>
      <c r="AI238" s="1157"/>
      <c r="AJ238" s="1157"/>
      <c r="AK238" s="1157"/>
      <c r="AL238" s="1157"/>
      <c r="AM238" s="1157"/>
      <c r="AN238" s="1165" t="s">
        <v>441</v>
      </c>
      <c r="AO238" s="1165"/>
      <c r="AP238" s="1165"/>
      <c r="AQ238" s="1165"/>
      <c r="AR238" s="1165"/>
      <c r="AS238" s="1165"/>
      <c r="AT238" s="1165"/>
      <c r="AU238" s="1165"/>
      <c r="AV238" s="1165"/>
      <c r="AW238" s="1165"/>
      <c r="AX238" s="1165"/>
      <c r="AY238" s="1165"/>
      <c r="AZ238" s="1171" t="s">
        <v>278</v>
      </c>
      <c r="BA238" s="1171"/>
      <c r="BB238" s="1171"/>
      <c r="BC238" s="1171"/>
      <c r="BD238" s="1171"/>
      <c r="BE238" s="1171"/>
      <c r="BF238" s="1171"/>
      <c r="BG238" s="1171"/>
      <c r="BH238" s="1171"/>
      <c r="BI238" s="1171"/>
      <c r="BJ238" s="1171"/>
      <c r="BK238" s="1171"/>
      <c r="BL238" s="1166" t="s">
        <v>338</v>
      </c>
      <c r="BM238" s="1166"/>
      <c r="BN238" s="1166"/>
      <c r="BO238" s="1166"/>
      <c r="BP238" s="1166"/>
      <c r="BQ238" s="1166"/>
      <c r="BR238" s="1166"/>
      <c r="BS238" s="1166"/>
      <c r="BT238" s="1166"/>
      <c r="BU238" s="1166"/>
      <c r="BV238" s="1166"/>
      <c r="BW238" s="1166"/>
      <c r="BX238" s="1170" t="s">
        <v>442</v>
      </c>
      <c r="BY238" s="1170"/>
      <c r="BZ238" s="1170"/>
      <c r="CA238" s="1170"/>
      <c r="CB238" s="1170"/>
      <c r="CC238" s="1170"/>
      <c r="CD238" s="1170"/>
      <c r="CE238" s="1170"/>
      <c r="CF238" s="1170"/>
      <c r="CG238" s="1170"/>
      <c r="CH238" s="1170"/>
      <c r="CI238" s="1170"/>
      <c r="CJ238" s="1169" t="s">
        <v>339</v>
      </c>
      <c r="CK238" s="1169"/>
      <c r="CL238" s="1169"/>
      <c r="CM238" s="1169"/>
      <c r="CN238" s="1169"/>
      <c r="CO238" s="1169"/>
      <c r="CP238" s="1169"/>
      <c r="CQ238" s="1169"/>
      <c r="CR238" s="1169"/>
      <c r="CS238" s="1169"/>
      <c r="CT238" s="1169"/>
      <c r="CU238" s="1169"/>
      <c r="CV238" s="1165" t="s">
        <v>340</v>
      </c>
      <c r="CW238" s="1165"/>
      <c r="CX238" s="1165"/>
      <c r="CY238" s="1165"/>
      <c r="CZ238" s="1165"/>
      <c r="DA238" s="1165"/>
      <c r="DB238" s="1165"/>
      <c r="DC238" s="1165"/>
      <c r="DD238" s="1165"/>
      <c r="DE238" s="1165"/>
      <c r="DF238" s="1165"/>
      <c r="DG238" s="1165"/>
      <c r="DH238" s="1167" t="s">
        <v>608</v>
      </c>
      <c r="DI238" s="1168"/>
      <c r="DJ238" s="1168"/>
      <c r="DK238" s="1168"/>
      <c r="DL238" s="1168"/>
      <c r="DM238" s="1168"/>
      <c r="DN238" s="1168"/>
      <c r="DO238" s="1168"/>
      <c r="DP238" s="1168"/>
      <c r="DQ238" s="1168"/>
      <c r="DR238" s="1168"/>
      <c r="DS238" s="1168"/>
      <c r="DT238" s="1166" t="s">
        <v>416</v>
      </c>
      <c r="DU238" s="1166"/>
      <c r="DV238" s="1166"/>
      <c r="DW238" s="1166"/>
      <c r="DX238" s="1166"/>
      <c r="DY238" s="1166"/>
      <c r="DZ238" s="1166"/>
      <c r="EA238" s="1166"/>
      <c r="EB238" s="1166"/>
      <c r="EC238" s="1166"/>
      <c r="ED238" s="1166"/>
      <c r="EE238" s="1166"/>
      <c r="EF238" s="738"/>
      <c r="EG238" s="738"/>
      <c r="EH238" s="738"/>
      <c r="EI238" s="738"/>
      <c r="EJ238" s="738"/>
      <c r="EK238" s="738"/>
    </row>
    <row r="239" spans="4:143">
      <c r="E239" s="464">
        <f t="shared" ref="E239:L239" si="5">SUM(E217:E237)</f>
        <v>0</v>
      </c>
      <c r="F239" s="464">
        <f t="shared" si="5"/>
        <v>0</v>
      </c>
      <c r="G239" s="464">
        <f t="shared" si="5"/>
        <v>0</v>
      </c>
      <c r="H239" s="464">
        <f t="shared" si="5"/>
        <v>0</v>
      </c>
      <c r="I239" s="464">
        <f t="shared" si="5"/>
        <v>0</v>
      </c>
      <c r="J239" s="464">
        <f t="shared" si="5"/>
        <v>0</v>
      </c>
      <c r="K239" s="464">
        <f t="shared" si="5"/>
        <v>0</v>
      </c>
      <c r="L239" s="464">
        <f t="shared" si="5"/>
        <v>0</v>
      </c>
      <c r="Q239" s="464">
        <f t="shared" ref="Q239:X239" si="6">SUM(Q217:Q237)</f>
        <v>0</v>
      </c>
      <c r="R239" s="464">
        <f t="shared" si="6"/>
        <v>0</v>
      </c>
      <c r="S239" s="464">
        <f t="shared" si="6"/>
        <v>0</v>
      </c>
      <c r="T239" s="464">
        <f t="shared" si="6"/>
        <v>0</v>
      </c>
      <c r="U239" s="464">
        <f t="shared" si="6"/>
        <v>0</v>
      </c>
      <c r="V239" s="464">
        <f t="shared" si="6"/>
        <v>0</v>
      </c>
      <c r="W239" s="464">
        <f t="shared" si="6"/>
        <v>0</v>
      </c>
      <c r="X239" s="464">
        <f t="shared" si="6"/>
        <v>0</v>
      </c>
      <c r="AC239" s="464">
        <f t="shared" ref="AC239:AJ239" si="7">SUM(AC217:AC237)</f>
        <v>0</v>
      </c>
      <c r="AD239" s="464">
        <f t="shared" si="7"/>
        <v>0</v>
      </c>
      <c r="AE239" s="464">
        <f t="shared" si="7"/>
        <v>0</v>
      </c>
      <c r="AF239" s="464">
        <f t="shared" si="7"/>
        <v>0</v>
      </c>
      <c r="AG239" s="464">
        <f t="shared" si="7"/>
        <v>0</v>
      </c>
      <c r="AH239" s="464">
        <f t="shared" si="7"/>
        <v>0</v>
      </c>
      <c r="AI239" s="464">
        <f t="shared" si="7"/>
        <v>0</v>
      </c>
      <c r="AJ239" s="464">
        <f t="shared" si="7"/>
        <v>0</v>
      </c>
      <c r="AO239" s="464">
        <f t="shared" ref="AO239:AV239" si="8">SUM(AO217:AO237)</f>
        <v>0</v>
      </c>
      <c r="AP239" s="464">
        <f t="shared" si="8"/>
        <v>0</v>
      </c>
      <c r="AQ239" s="464">
        <f t="shared" si="8"/>
        <v>0</v>
      </c>
      <c r="AR239" s="464">
        <f t="shared" si="8"/>
        <v>0</v>
      </c>
      <c r="AS239" s="464">
        <f t="shared" si="8"/>
        <v>0</v>
      </c>
      <c r="AT239" s="464">
        <f t="shared" si="8"/>
        <v>0</v>
      </c>
      <c r="AU239" s="464">
        <f t="shared" si="8"/>
        <v>0</v>
      </c>
      <c r="AV239" s="464">
        <f t="shared" si="8"/>
        <v>0</v>
      </c>
      <c r="BA239" s="464">
        <f t="shared" ref="BA239:BH239" si="9">SUM(BA217:BA237)</f>
        <v>0</v>
      </c>
      <c r="BB239" s="464">
        <f t="shared" si="9"/>
        <v>0</v>
      </c>
      <c r="BC239" s="464">
        <f t="shared" si="9"/>
        <v>0</v>
      </c>
      <c r="BD239" s="464">
        <f t="shared" si="9"/>
        <v>0</v>
      </c>
      <c r="BE239" s="464">
        <f t="shared" si="9"/>
        <v>0</v>
      </c>
      <c r="BF239" s="464">
        <f t="shared" si="9"/>
        <v>0</v>
      </c>
      <c r="BG239" s="464">
        <f t="shared" si="9"/>
        <v>0</v>
      </c>
      <c r="BH239" s="464">
        <f t="shared" si="9"/>
        <v>0</v>
      </c>
      <c r="BM239" s="464">
        <f t="shared" ref="BM239:BT239" si="10">SUM(BM217:BM237)</f>
        <v>0</v>
      </c>
      <c r="BN239" s="464">
        <f t="shared" si="10"/>
        <v>0</v>
      </c>
      <c r="BO239" s="464">
        <f t="shared" si="10"/>
        <v>0</v>
      </c>
      <c r="BP239" s="464">
        <f t="shared" si="10"/>
        <v>0</v>
      </c>
      <c r="BQ239" s="464">
        <f t="shared" si="10"/>
        <v>0</v>
      </c>
      <c r="BR239" s="464">
        <f t="shared" si="10"/>
        <v>0</v>
      </c>
      <c r="BS239" s="464">
        <f t="shared" si="10"/>
        <v>0</v>
      </c>
      <c r="BT239" s="464">
        <f t="shared" si="10"/>
        <v>0</v>
      </c>
      <c r="BY239" s="464">
        <f t="shared" ref="BY239:CF239" si="11">SUM(BY217:BY237)</f>
        <v>0</v>
      </c>
      <c r="BZ239" s="464">
        <f t="shared" si="11"/>
        <v>0</v>
      </c>
      <c r="CA239" s="464">
        <f t="shared" si="11"/>
        <v>0</v>
      </c>
      <c r="CB239" s="464">
        <f t="shared" si="11"/>
        <v>0</v>
      </c>
      <c r="CC239" s="464">
        <f t="shared" si="11"/>
        <v>0</v>
      </c>
      <c r="CD239" s="464">
        <f t="shared" si="11"/>
        <v>0</v>
      </c>
      <c r="CE239" s="464">
        <f t="shared" si="11"/>
        <v>0</v>
      </c>
      <c r="CF239" s="464">
        <f t="shared" si="11"/>
        <v>0</v>
      </c>
      <c r="CK239" s="464">
        <f t="shared" ref="CK239:CR239" si="12">SUM(CK217:CK237)</f>
        <v>0</v>
      </c>
      <c r="CL239" s="464">
        <f t="shared" si="12"/>
        <v>0</v>
      </c>
      <c r="CM239" s="464">
        <f t="shared" si="12"/>
        <v>0</v>
      </c>
      <c r="CN239" s="464">
        <f t="shared" si="12"/>
        <v>0</v>
      </c>
      <c r="CO239" s="464">
        <f t="shared" si="12"/>
        <v>0</v>
      </c>
      <c r="CP239" s="464">
        <f t="shared" si="12"/>
        <v>0</v>
      </c>
      <c r="CQ239" s="464">
        <f t="shared" si="12"/>
        <v>0</v>
      </c>
      <c r="CR239" s="464">
        <f t="shared" si="12"/>
        <v>0</v>
      </c>
      <c r="CW239" s="464">
        <f t="shared" ref="CW239:DD239" si="13">SUM(CW217:CW237)</f>
        <v>0</v>
      </c>
      <c r="CX239" s="464">
        <f t="shared" si="13"/>
        <v>0</v>
      </c>
      <c r="CY239" s="464">
        <f t="shared" si="13"/>
        <v>0</v>
      </c>
      <c r="CZ239" s="464">
        <f t="shared" si="13"/>
        <v>0</v>
      </c>
      <c r="DA239" s="464">
        <f t="shared" si="13"/>
        <v>0</v>
      </c>
      <c r="DB239" s="464">
        <f t="shared" si="13"/>
        <v>0</v>
      </c>
      <c r="DC239" s="464">
        <f t="shared" si="13"/>
        <v>0</v>
      </c>
      <c r="DD239" s="464">
        <f t="shared" si="13"/>
        <v>0</v>
      </c>
      <c r="DI239" s="464">
        <f t="shared" ref="DI239:DP239" si="14">SUM(DI217:DI237)</f>
        <v>0</v>
      </c>
      <c r="DJ239" s="464">
        <f t="shared" si="14"/>
        <v>0</v>
      </c>
      <c r="DK239" s="464">
        <f t="shared" si="14"/>
        <v>0</v>
      </c>
      <c r="DL239" s="464">
        <f t="shared" si="14"/>
        <v>0</v>
      </c>
      <c r="DM239" s="464">
        <f t="shared" si="14"/>
        <v>0</v>
      </c>
      <c r="DN239" s="464">
        <f t="shared" si="14"/>
        <v>0</v>
      </c>
      <c r="DO239" s="464">
        <f t="shared" si="14"/>
        <v>0</v>
      </c>
      <c r="DP239" s="464">
        <f t="shared" si="14"/>
        <v>0</v>
      </c>
      <c r="DU239" s="464">
        <f t="shared" ref="DU239:EB239" si="15">SUM(DU217:DU237)</f>
        <v>0</v>
      </c>
      <c r="DV239" s="464">
        <f t="shared" si="15"/>
        <v>0</v>
      </c>
      <c r="DW239" s="464">
        <f t="shared" si="15"/>
        <v>0</v>
      </c>
      <c r="DX239" s="464">
        <f t="shared" si="15"/>
        <v>0</v>
      </c>
      <c r="DY239" s="464">
        <f t="shared" si="15"/>
        <v>0</v>
      </c>
      <c r="DZ239" s="464">
        <f t="shared" si="15"/>
        <v>0</v>
      </c>
      <c r="EA239" s="464">
        <f t="shared" si="15"/>
        <v>0</v>
      </c>
      <c r="EB239" s="464">
        <f t="shared" si="15"/>
        <v>0</v>
      </c>
      <c r="EF239" s="464"/>
      <c r="EG239" s="464"/>
      <c r="EH239" s="464"/>
      <c r="EI239" s="464"/>
      <c r="EJ239" s="464"/>
      <c r="EK239" s="464"/>
      <c r="EL239" s="464"/>
    </row>
    <row r="241" spans="1:143" ht="13" thickBot="1">
      <c r="C241" s="472">
        <f>SUM(IMMO!I11:I31)</f>
        <v>1000</v>
      </c>
      <c r="D241" s="472">
        <f>SUM(D217:D237)</f>
        <v>0</v>
      </c>
      <c r="E241" s="472">
        <f>SUM(E239:H239)</f>
        <v>0</v>
      </c>
      <c r="I241" s="472">
        <f>SUM(I239:L239)</f>
        <v>0</v>
      </c>
      <c r="J241" s="464"/>
      <c r="M241" s="472">
        <f>SUM(M217:M237)</f>
        <v>0</v>
      </c>
      <c r="N241" s="472">
        <f>SUM(N217:N237)</f>
        <v>0</v>
      </c>
      <c r="O241" s="472">
        <f>SUM(O217:O237)</f>
        <v>0</v>
      </c>
      <c r="P241" s="472">
        <f>SUM(P217:P237)</f>
        <v>0</v>
      </c>
      <c r="Q241" s="472">
        <f>SUM(Q239:T239)</f>
        <v>0</v>
      </c>
      <c r="U241" s="472">
        <f>SUM(U239:X239)</f>
        <v>0</v>
      </c>
      <c r="V241" s="464"/>
      <c r="Y241" s="472">
        <f>SUM(Y217:Y237)</f>
        <v>0</v>
      </c>
      <c r="Z241" s="472">
        <f>SUM(Z217:Z237)</f>
        <v>0</v>
      </c>
      <c r="AA241" s="472">
        <f>SUM(AA217:AA237)</f>
        <v>0</v>
      </c>
      <c r="AB241" s="472">
        <f>SUM(AB217:AB237)</f>
        <v>0</v>
      </c>
      <c r="AC241" s="472">
        <f>SUM(AC239:AF239)</f>
        <v>0</v>
      </c>
      <c r="AG241" s="472">
        <f>SUM(AG239:AJ239)</f>
        <v>0</v>
      </c>
      <c r="AH241" s="464"/>
      <c r="AK241" s="472">
        <f>SUM(AK217:AK237)</f>
        <v>0</v>
      </c>
      <c r="AL241" s="472">
        <f>SUM(AL217:AL237)</f>
        <v>0</v>
      </c>
      <c r="AM241" s="472">
        <f>SUM(AM217:AM237)</f>
        <v>0</v>
      </c>
      <c r="AN241" s="472">
        <f>SUM(AN217:AN237)</f>
        <v>0</v>
      </c>
      <c r="AO241" s="472">
        <f>SUM(AO239:AR239)</f>
        <v>0</v>
      </c>
      <c r="AS241" s="472">
        <f>SUM(AS239:AV239)</f>
        <v>0</v>
      </c>
      <c r="AT241" s="464"/>
      <c r="AW241" s="472">
        <f>SUM(AW217:AW237)</f>
        <v>0</v>
      </c>
      <c r="AX241" s="472">
        <f>SUM(AX217:AX237)</f>
        <v>0</v>
      </c>
      <c r="AY241" s="472">
        <f>SUM(AY217:AY237)</f>
        <v>0</v>
      </c>
      <c r="AZ241" s="472">
        <f>SUM(AZ217:AZ237)</f>
        <v>0</v>
      </c>
      <c r="BA241" s="472">
        <f>SUM(BA239:BD239)</f>
        <v>0</v>
      </c>
      <c r="BE241" s="472">
        <f>SUM(BE239:BH239)</f>
        <v>0</v>
      </c>
      <c r="BF241" s="464"/>
      <c r="BI241" s="472">
        <f>SUM(BI217:BI237)</f>
        <v>0</v>
      </c>
      <c r="BJ241" s="472">
        <f>SUM(BJ217:BJ237)</f>
        <v>0</v>
      </c>
      <c r="BK241" s="472">
        <f>SUM(BK217:BK237)</f>
        <v>0</v>
      </c>
      <c r="BL241" s="472">
        <f>SUM(BL217:BL237)</f>
        <v>500</v>
      </c>
      <c r="BM241" s="472">
        <f>SUM(BM239:BP239)</f>
        <v>0</v>
      </c>
      <c r="BQ241" s="472">
        <f>SUM(BQ239:BT239)</f>
        <v>0</v>
      </c>
      <c r="BR241" s="464"/>
      <c r="BU241" s="472">
        <f>SUM(BU217:BU237)</f>
        <v>0</v>
      </c>
      <c r="BV241" s="472">
        <f>SUM(BV217:BV237)</f>
        <v>0</v>
      </c>
      <c r="BW241" s="472">
        <f>SUM(BW217:BW237)</f>
        <v>0</v>
      </c>
      <c r="BX241" s="472">
        <f>SUM(BX217:BX237)</f>
        <v>1000</v>
      </c>
      <c r="BY241" s="472">
        <f>SUM(BY239:CB239)</f>
        <v>0</v>
      </c>
      <c r="CC241" s="472">
        <f>SUM(CC239:CF239)</f>
        <v>0</v>
      </c>
      <c r="CD241" s="464"/>
      <c r="CG241" s="472">
        <f>SUM(CG217:CG237)</f>
        <v>0</v>
      </c>
      <c r="CH241" s="472">
        <f>SUM(CH217:CH237)</f>
        <v>0</v>
      </c>
      <c r="CI241" s="472">
        <f>SUM(CI217:CI237)</f>
        <v>0</v>
      </c>
      <c r="CJ241" s="472">
        <f>SUM(CJ217:CJ237)</f>
        <v>15000</v>
      </c>
      <c r="CK241" s="472">
        <f>SUM(CK239:CN239)</f>
        <v>0</v>
      </c>
      <c r="CO241" s="472">
        <f>SUM(CO239:CR239)</f>
        <v>0</v>
      </c>
      <c r="CP241" s="464"/>
      <c r="CS241" s="472">
        <f>SUM(CS217:CS237)</f>
        <v>0</v>
      </c>
      <c r="CT241" s="472">
        <f>SUM(CT217:CT237)</f>
        <v>0</v>
      </c>
      <c r="CU241" s="472">
        <f>SUM(CU217:CU237)</f>
        <v>0</v>
      </c>
      <c r="CV241" s="472">
        <f>SUM(CV217:CV237)</f>
        <v>0</v>
      </c>
      <c r="CW241" s="472">
        <f>SUM(CW239:CZ239)</f>
        <v>0</v>
      </c>
      <c r="DA241" s="472">
        <f>SUM(DA239:DD239)</f>
        <v>0</v>
      </c>
      <c r="DB241" s="464"/>
      <c r="DE241" s="472">
        <f>SUM(DE217:DE237)</f>
        <v>0</v>
      </c>
      <c r="DF241" s="472">
        <f>SUM(DF217:DF237)</f>
        <v>0</v>
      </c>
      <c r="DG241" s="472">
        <f>SUM(DG217:DG237)</f>
        <v>0</v>
      </c>
      <c r="DH241" s="472">
        <f>SUM(DH217:DH237)</f>
        <v>5000</v>
      </c>
      <c r="DI241" s="472">
        <f>SUM(DI239:DL239)</f>
        <v>0</v>
      </c>
      <c r="DM241" s="472">
        <f>SUM(DM239:DP239)</f>
        <v>0</v>
      </c>
      <c r="DN241" s="464"/>
      <c r="DQ241" s="472">
        <f>SUM(DQ217:DQ237)</f>
        <v>0</v>
      </c>
      <c r="DR241" s="472">
        <f>SUM(DR217:DR237)</f>
        <v>0</v>
      </c>
      <c r="DS241" s="472">
        <f>SUM(DS217:DS237)</f>
        <v>0</v>
      </c>
      <c r="DT241" s="472">
        <f>SUM(DT217:DT237)</f>
        <v>2500</v>
      </c>
      <c r="DU241" s="472">
        <f>SUM(DU239:DX239)</f>
        <v>0</v>
      </c>
      <c r="DY241" s="472">
        <f>SUM(DY239:EB239)</f>
        <v>0</v>
      </c>
      <c r="DZ241" s="464"/>
      <c r="EC241" s="472">
        <f>SUM(EC217:EC237)</f>
        <v>0</v>
      </c>
      <c r="ED241" s="472">
        <f>SUM(ED217:ED237)</f>
        <v>0</v>
      </c>
      <c r="EE241" s="472">
        <f>SUM(EE217:EE237)</f>
        <v>0</v>
      </c>
      <c r="EI241" s="464"/>
      <c r="EJ241" s="464"/>
      <c r="EM241" s="464"/>
    </row>
    <row r="248" spans="1:143">
      <c r="B248" s="477" t="s">
        <v>108</v>
      </c>
    </row>
    <row r="249" spans="1:143">
      <c r="A249" s="431">
        <v>1</v>
      </c>
      <c r="B249" s="441" t="s">
        <v>115</v>
      </c>
    </row>
    <row r="250" spans="1:143">
      <c r="A250" s="431">
        <v>1</v>
      </c>
      <c r="B250" s="441" t="s">
        <v>109</v>
      </c>
    </row>
    <row r="251" spans="1:143">
      <c r="A251" s="431">
        <v>1</v>
      </c>
      <c r="B251" s="441" t="s">
        <v>110</v>
      </c>
    </row>
    <row r="252" spans="1:143">
      <c r="A252" s="431">
        <v>1</v>
      </c>
      <c r="B252" s="441" t="s">
        <v>111</v>
      </c>
    </row>
    <row r="253" spans="1:143">
      <c r="A253" s="431">
        <v>1</v>
      </c>
      <c r="B253" s="441" t="s">
        <v>112</v>
      </c>
    </row>
    <row r="254" spans="1:143">
      <c r="A254" s="431">
        <v>1</v>
      </c>
      <c r="B254" s="441" t="s">
        <v>113</v>
      </c>
    </row>
    <row r="255" spans="1:143">
      <c r="A255" s="431">
        <v>1</v>
      </c>
      <c r="B255" s="441" t="s">
        <v>114</v>
      </c>
    </row>
    <row r="256" spans="1:143">
      <c r="A256" s="431">
        <v>1</v>
      </c>
      <c r="B256" s="441" t="s">
        <v>269</v>
      </c>
    </row>
    <row r="257" spans="1:13">
      <c r="A257" s="431">
        <v>1</v>
      </c>
      <c r="B257" s="441" t="s">
        <v>116</v>
      </c>
    </row>
    <row r="258" spans="1:13">
      <c r="A258" s="431">
        <v>1</v>
      </c>
      <c r="B258" s="441" t="s">
        <v>117</v>
      </c>
    </row>
    <row r="259" spans="1:13">
      <c r="B259" s="441" t="s">
        <v>118</v>
      </c>
    </row>
    <row r="260" spans="1:13">
      <c r="B260" s="441" t="s">
        <v>119</v>
      </c>
    </row>
    <row r="261" spans="1:13">
      <c r="B261" s="441" t="s">
        <v>120</v>
      </c>
    </row>
    <row r="262" spans="1:13">
      <c r="B262" s="441" t="s">
        <v>121</v>
      </c>
    </row>
    <row r="263" spans="1:13">
      <c r="B263" s="441" t="s">
        <v>122</v>
      </c>
    </row>
    <row r="264" spans="1:13">
      <c r="B264" s="443" t="s">
        <v>123</v>
      </c>
    </row>
    <row r="268" spans="1:13">
      <c r="A268" s="431" t="s">
        <v>96</v>
      </c>
      <c r="B268"/>
      <c r="C268"/>
      <c r="D268"/>
      <c r="E268"/>
      <c r="F268"/>
      <c r="G268"/>
      <c r="H268"/>
      <c r="I268"/>
      <c r="J268"/>
      <c r="K268"/>
      <c r="L268"/>
      <c r="M268"/>
    </row>
    <row r="269" spans="1:13">
      <c r="A269"/>
      <c r="B269"/>
      <c r="C269"/>
      <c r="D269"/>
      <c r="E269"/>
      <c r="F269"/>
      <c r="G269"/>
      <c r="H269"/>
      <c r="I269"/>
      <c r="J269"/>
      <c r="K269"/>
      <c r="L269"/>
      <c r="M269"/>
    </row>
    <row r="270" spans="1:13">
      <c r="A270" s="130">
        <f>'V3'!F97</f>
        <v>3583.125</v>
      </c>
      <c r="B270" s="130">
        <f>'V3'!G97</f>
        <v>3748.5</v>
      </c>
      <c r="C270" s="130">
        <f>'V3'!H97</f>
        <v>3913.875</v>
      </c>
      <c r="D270" s="130">
        <f>'V3'!I97</f>
        <v>4079.25</v>
      </c>
      <c r="E270" s="130">
        <f>'V3'!J97</f>
        <v>4244.625</v>
      </c>
      <c r="F270" s="130">
        <f>'V3'!K97</f>
        <v>4410</v>
      </c>
      <c r="G270" s="130">
        <f>'V3'!L97</f>
        <v>4575.3750000000009</v>
      </c>
      <c r="H270" s="130">
        <f>'V3'!M97</f>
        <v>4740.75</v>
      </c>
      <c r="I270" s="130">
        <f>'V3'!N97</f>
        <v>4906.125</v>
      </c>
      <c r="J270" s="130">
        <f>'V3'!O97</f>
        <v>5071.5</v>
      </c>
      <c r="K270" s="130">
        <f>'V3'!P97</f>
        <v>5236.875</v>
      </c>
      <c r="L270" s="130">
        <f>'V3'!Q97</f>
        <v>5402.2500000000009</v>
      </c>
      <c r="M270" s="714">
        <f>SUM(A270:L270)</f>
        <v>53912.25</v>
      </c>
    </row>
    <row r="271" spans="1:13">
      <c r="A271" s="130">
        <f>'V4'!F97</f>
        <v>3583.125</v>
      </c>
      <c r="B271" s="130">
        <f>'V4'!G97</f>
        <v>3748.5</v>
      </c>
      <c r="C271" s="130">
        <f>'V4'!H97</f>
        <v>3913.875</v>
      </c>
      <c r="D271" s="130">
        <f>'V4'!I97</f>
        <v>4079.25</v>
      </c>
      <c r="E271" s="130">
        <f>'V4'!J97</f>
        <v>4244.625</v>
      </c>
      <c r="F271" s="130">
        <f>'V4'!K97</f>
        <v>4410</v>
      </c>
      <c r="G271" s="130">
        <f>'V4'!L97</f>
        <v>4575.3750000000009</v>
      </c>
      <c r="H271" s="130">
        <f>'V4'!M97</f>
        <v>4740.75</v>
      </c>
      <c r="I271" s="130">
        <f>'V4'!N97</f>
        <v>4906.125</v>
      </c>
      <c r="J271" s="130">
        <f>'V4'!O97</f>
        <v>5071.5</v>
      </c>
      <c r="K271" s="130">
        <f>'V4'!P97</f>
        <v>5236.875</v>
      </c>
      <c r="L271" s="130">
        <f>'V4'!Q97</f>
        <v>5402.2500000000009</v>
      </c>
      <c r="M271" s="714">
        <f>SUM(A271:L271)</f>
        <v>53912.25</v>
      </c>
    </row>
    <row r="272" spans="1:13">
      <c r="A272" s="130">
        <f>'V5'!F97</f>
        <v>3583.125</v>
      </c>
      <c r="B272" s="130">
        <f>'V5'!G97</f>
        <v>3748.5</v>
      </c>
      <c r="C272" s="130">
        <f>'V5'!H97</f>
        <v>3913.875</v>
      </c>
      <c r="D272" s="130">
        <f>'V5'!I97</f>
        <v>4079.25</v>
      </c>
      <c r="E272" s="130">
        <f>'V5'!J97</f>
        <v>4244.625</v>
      </c>
      <c r="F272" s="130">
        <f>'V5'!K97</f>
        <v>4410</v>
      </c>
      <c r="G272" s="130">
        <f>'V5'!L97</f>
        <v>4575.3750000000009</v>
      </c>
      <c r="H272" s="130">
        <f>'V5'!M97</f>
        <v>4740.75</v>
      </c>
      <c r="I272" s="130">
        <f>'V5'!N97</f>
        <v>4906.125</v>
      </c>
      <c r="J272" s="130">
        <f>'V5'!O97</f>
        <v>5071.5</v>
      </c>
      <c r="K272" s="130">
        <f>'V5'!P97</f>
        <v>5236.875</v>
      </c>
      <c r="L272" s="130">
        <f>'V5'!Q97</f>
        <v>5402.2500000000009</v>
      </c>
      <c r="M272" s="714">
        <f>SUM(A272:L272)</f>
        <v>53912.25</v>
      </c>
    </row>
    <row r="273" spans="1:14">
      <c r="A273"/>
      <c r="B273"/>
      <c r="C273"/>
      <c r="D273"/>
      <c r="E273"/>
      <c r="F273"/>
      <c r="G273"/>
      <c r="H273"/>
      <c r="I273"/>
      <c r="J273"/>
      <c r="K273"/>
      <c r="L273"/>
      <c r="M273"/>
    </row>
    <row r="274" spans="1:14">
      <c r="A274"/>
      <c r="B274"/>
      <c r="C274"/>
      <c r="D274"/>
      <c r="E274"/>
      <c r="F274"/>
      <c r="G274"/>
      <c r="H274"/>
      <c r="I274"/>
      <c r="J274"/>
      <c r="K274"/>
      <c r="L274"/>
      <c r="M274"/>
    </row>
    <row r="275" spans="1:14">
      <c r="A275"/>
      <c r="B275"/>
      <c r="C275"/>
      <c r="D275"/>
      <c r="E275"/>
      <c r="F275"/>
      <c r="G275"/>
      <c r="H275"/>
      <c r="I275"/>
      <c r="J275"/>
      <c r="K275"/>
      <c r="L275"/>
      <c r="M275"/>
    </row>
    <row r="276" spans="1:14">
      <c r="A276" s="431" t="s">
        <v>8</v>
      </c>
      <c r="B276"/>
      <c r="C276"/>
      <c r="D276"/>
      <c r="E276"/>
      <c r="F276"/>
      <c r="G276"/>
      <c r="H276"/>
      <c r="I276"/>
      <c r="J276"/>
      <c r="K276"/>
      <c r="L276"/>
      <c r="M276"/>
    </row>
    <row r="277" spans="1:14">
      <c r="A277"/>
      <c r="B277"/>
      <c r="C277"/>
      <c r="D277"/>
      <c r="E277"/>
      <c r="F277"/>
      <c r="G277"/>
      <c r="H277"/>
      <c r="I277"/>
      <c r="J277"/>
      <c r="K277"/>
      <c r="L277"/>
      <c r="M277"/>
    </row>
    <row r="278" spans="1:14">
      <c r="A278" s="140">
        <f>'A3'!E95</f>
        <v>0</v>
      </c>
      <c r="B278" s="140">
        <f>'A3'!F95</f>
        <v>0</v>
      </c>
      <c r="C278" s="140">
        <f>'A3'!G95</f>
        <v>0</v>
      </c>
      <c r="D278" s="140">
        <f>'A3'!H95</f>
        <v>0</v>
      </c>
      <c r="E278" s="140">
        <f>'A3'!I95</f>
        <v>0</v>
      </c>
      <c r="F278" s="140">
        <f>'A3'!J95</f>
        <v>0</v>
      </c>
      <c r="G278" s="140">
        <f>'A3'!K95</f>
        <v>0</v>
      </c>
      <c r="H278" s="140">
        <f>'A3'!L95</f>
        <v>0</v>
      </c>
      <c r="I278" s="140">
        <f>'A3'!M95</f>
        <v>0</v>
      </c>
      <c r="J278" s="140">
        <f>'A3'!N95</f>
        <v>0</v>
      </c>
      <c r="K278" s="140">
        <f>'A3'!O95</f>
        <v>0</v>
      </c>
      <c r="L278" s="140">
        <f>'A3'!P95</f>
        <v>0</v>
      </c>
      <c r="M278" s="714">
        <f>SUM(A278:L278)</f>
        <v>0</v>
      </c>
    </row>
    <row r="279" spans="1:14">
      <c r="A279" s="140">
        <f>'A4'!E95</f>
        <v>0</v>
      </c>
      <c r="B279" s="140">
        <f>'A4'!F95</f>
        <v>0</v>
      </c>
      <c r="C279" s="140">
        <f>'A4'!G95</f>
        <v>0</v>
      </c>
      <c r="D279" s="140">
        <f>'A4'!H95</f>
        <v>0</v>
      </c>
      <c r="E279" s="140">
        <f>'A4'!I95</f>
        <v>0</v>
      </c>
      <c r="F279" s="140">
        <f>'A4'!J95</f>
        <v>0</v>
      </c>
      <c r="G279" s="140">
        <f>'A4'!K95</f>
        <v>0</v>
      </c>
      <c r="H279" s="140">
        <f>'A4'!L95</f>
        <v>0</v>
      </c>
      <c r="I279" s="140">
        <f>'A4'!M95</f>
        <v>0</v>
      </c>
      <c r="J279" s="140">
        <f>'A4'!N95</f>
        <v>0</v>
      </c>
      <c r="K279" s="140">
        <f>'A4'!O95</f>
        <v>0</v>
      </c>
      <c r="L279" s="140">
        <f>'A4'!P95</f>
        <v>0</v>
      </c>
      <c r="M279" s="714">
        <f>SUM(A279:L279)</f>
        <v>0</v>
      </c>
    </row>
    <row r="280" spans="1:14">
      <c r="A280" s="140">
        <f>'A5'!E95</f>
        <v>0</v>
      </c>
      <c r="B280" s="140">
        <f>'A5'!F95</f>
        <v>0</v>
      </c>
      <c r="C280" s="140">
        <f>'A5'!G95</f>
        <v>0</v>
      </c>
      <c r="D280" s="140">
        <f>'A5'!H95</f>
        <v>0</v>
      </c>
      <c r="E280" s="140">
        <f>'A5'!I95</f>
        <v>0</v>
      </c>
      <c r="F280" s="140">
        <f>'A5'!J95</f>
        <v>0</v>
      </c>
      <c r="G280" s="140">
        <f>'A5'!K95</f>
        <v>0</v>
      </c>
      <c r="H280" s="140">
        <f>'A5'!L95</f>
        <v>0</v>
      </c>
      <c r="I280" s="140">
        <f>'A5'!M95</f>
        <v>0</v>
      </c>
      <c r="J280" s="140">
        <f>'A5'!N95</f>
        <v>0</v>
      </c>
      <c r="K280" s="140">
        <f>'A5'!O95</f>
        <v>0</v>
      </c>
      <c r="L280" s="140">
        <f>'A5'!P95</f>
        <v>0</v>
      </c>
      <c r="M280" s="714">
        <f>SUM(A280:L280)</f>
        <v>0</v>
      </c>
    </row>
    <row r="281" spans="1:14">
      <c r="A281"/>
      <c r="B281"/>
      <c r="C281"/>
      <c r="D281"/>
      <c r="E281"/>
      <c r="F281"/>
      <c r="G281"/>
      <c r="H281"/>
      <c r="I281"/>
      <c r="J281"/>
      <c r="K281"/>
      <c r="L281"/>
      <c r="M281"/>
    </row>
    <row r="284" spans="1:14" ht="13">
      <c r="A284" s="445" t="s">
        <v>320</v>
      </c>
      <c r="B284" s="431" t="s">
        <v>318</v>
      </c>
      <c r="C284" s="446">
        <f>IF(AND(RG!$A$90=1,'BC3'!C$137&lt;-0.9),(ROUNDUP(-'BC3'!C$137/500,0)*500),0)</f>
        <v>1500</v>
      </c>
      <c r="D284" s="446">
        <f>IF(AND(RG!$A$90=1,'BC3'!D$137&lt;-0.9),(ROUNDUP(-'BC3'!D$137/500,0)*500),0)</f>
        <v>1500</v>
      </c>
      <c r="E284" s="446">
        <f>IF(AND(RG!$A$90=1,'BC3'!E$137&lt;-0.9),(ROUNDUP(-'BC3'!E$137/500,0)*500),0)</f>
        <v>1000</v>
      </c>
      <c r="F284" s="446">
        <f>IF(AND(RG!$A$90=1,'BC3'!F$137&lt;-0.9),(ROUNDUP(-'BC3'!F$137/500,0)*500),0)</f>
        <v>1000</v>
      </c>
      <c r="G284" s="446">
        <f>IF(AND(RG!$A$90=1,'BC3'!G$137&lt;-0.9),(ROUNDUP(-'BC3'!G$137/500,0)*500),0)</f>
        <v>500</v>
      </c>
      <c r="H284" s="446">
        <f>IF(AND(RG!$A$90=1,'BC3'!H$137&lt;-0.9),(ROUNDUP(-'BC3'!H$137/500,0)*500),0)</f>
        <v>500</v>
      </c>
      <c r="I284" s="446">
        <f>IF(AND(RG!$A$90=1,'BC3'!I$137&lt;-0.9),(ROUNDUP(-'BC3'!I$137/500,0)*500),0)</f>
        <v>500</v>
      </c>
      <c r="J284" s="446">
        <f>IF(AND(RG!$A$90=1,'BC3'!J$137&lt;-0.9),(ROUNDUP(-'BC3'!J$137/500,0)*500),0)</f>
        <v>500</v>
      </c>
      <c r="K284" s="446">
        <f>IF(AND(RG!$A$90=1,'BC3'!K$137&lt;-0.9),(ROUNDUP(-'BC3'!K$137/500,0)*500),0)</f>
        <v>0</v>
      </c>
      <c r="L284" s="446">
        <f>IF(AND(RG!$A$90=1,'BC3'!L$137&lt;-0.9),(ROUNDUP(-'BC3'!L$137/500,0)*500),0)</f>
        <v>0</v>
      </c>
      <c r="M284" s="446">
        <f>IF(AND(RG!$A$90=1,'BC3'!M$137&lt;-0.9),(ROUNDUP(-'BC3'!M$137/500,0)*500),0)</f>
        <v>0</v>
      </c>
      <c r="N284" s="446">
        <f>IF(AND(RG!$A$90=1,'BC3'!N$137&lt;-0.9),(ROUNDUP(-'BC3'!N$137/500,0)*500),0)</f>
        <v>0</v>
      </c>
    </row>
    <row r="285" spans="1:14">
      <c r="C285"/>
      <c r="D285"/>
      <c r="E285"/>
      <c r="F285"/>
      <c r="G285"/>
      <c r="H285"/>
      <c r="I285"/>
      <c r="J285"/>
      <c r="K285"/>
      <c r="L285"/>
      <c r="M285"/>
      <c r="N285"/>
    </row>
    <row r="286" spans="1:14">
      <c r="B286" s="431" t="s">
        <v>319</v>
      </c>
      <c r="C286" s="446">
        <f>-IF('BC3'!C$137/500&gt;=1,MIN((ROUNDDOWN('BC3'!C$137/500,0)*500),'BC3'!C$139),0)</f>
        <v>0</v>
      </c>
      <c r="D286" s="446">
        <f>-IF('BC3'!D$137/500&gt;=1,MIN((ROUNDDOWN('BC3'!D$137/500,0)*500),'BC3'!D$139),0)</f>
        <v>0</v>
      </c>
      <c r="E286" s="446">
        <f>-IF('BC3'!E$137/500&gt;=1,MIN((ROUNDDOWN('BC3'!E$137/500,0)*500),'BC3'!E$139),0)</f>
        <v>0</v>
      </c>
      <c r="F286" s="446">
        <f>-IF('BC3'!F$137/500&gt;=1,MIN((ROUNDDOWN('BC3'!F$137/500,0)*500),'BC3'!F$139),0)</f>
        <v>0</v>
      </c>
      <c r="G286" s="446">
        <f>-IF('BC3'!G$137/500&gt;=1,MIN((ROUNDDOWN('BC3'!G$137/500,0)*500),'BC3'!G$139),0)</f>
        <v>0</v>
      </c>
      <c r="H286" s="446">
        <f>-IF('BC3'!H$137/500&gt;=1,MIN((ROUNDDOWN('BC3'!H$137/500,0)*500),'BC3'!H$139),0)</f>
        <v>0</v>
      </c>
      <c r="I286" s="446">
        <f>-IF('BC3'!I$137/500&gt;=1,MIN((ROUNDDOWN('BC3'!I$137/500,0)*500),'BC3'!I$139),0)</f>
        <v>0</v>
      </c>
      <c r="J286" s="446">
        <f>-IF('BC3'!J$137/500&gt;=1,MIN((ROUNDDOWN('BC3'!J$137/500,0)*500),'BC3'!J$139),0)</f>
        <v>0</v>
      </c>
      <c r="K286" s="446">
        <f>-IF('BC3'!K$137/500&gt;=1,MIN((ROUNDDOWN('BC3'!K$137/500,0)*500),'BC3'!K$139),0)</f>
        <v>0</v>
      </c>
      <c r="L286" s="446">
        <f>-IF('BC3'!L$137/500&gt;=1,MIN((ROUNDDOWN('BC3'!L$137/500,0)*500),'BC3'!L$139),0)</f>
        <v>0</v>
      </c>
      <c r="M286" s="446">
        <f>-IF('BC3'!M$137/500&gt;=1,MIN((ROUNDDOWN('BC3'!M$137/500,0)*500),'BC3'!M$139),0)</f>
        <v>-500</v>
      </c>
      <c r="N286" s="446">
        <f>-IF('BC3'!N$137/500&gt;=1,MIN((ROUNDDOWN('BC3'!N$137/500,0)*500),'BC3'!N$139),0)</f>
        <v>0</v>
      </c>
    </row>
    <row r="287" spans="1:14">
      <c r="C287"/>
      <c r="D287"/>
      <c r="E287"/>
      <c r="F287"/>
      <c r="G287"/>
      <c r="H287"/>
      <c r="I287"/>
      <c r="J287"/>
      <c r="K287"/>
      <c r="L287"/>
      <c r="M287"/>
      <c r="N287"/>
    </row>
    <row r="288" spans="1:14">
      <c r="C288"/>
      <c r="D288"/>
      <c r="E288"/>
      <c r="F288"/>
      <c r="G288"/>
      <c r="H288"/>
      <c r="I288"/>
      <c r="J288"/>
      <c r="K288"/>
      <c r="L288"/>
      <c r="M288"/>
      <c r="N288"/>
    </row>
    <row r="289" spans="1:14" ht="13">
      <c r="A289" s="445" t="s">
        <v>321</v>
      </c>
      <c r="B289" s="431" t="s">
        <v>318</v>
      </c>
      <c r="C289" s="446">
        <f>IF(AND(RG!$A$90=2,'BC3'!C$137&lt;-0.9),(ROUNDUP(-'BC3'!C$137/1000,0)*1000),0)</f>
        <v>0</v>
      </c>
      <c r="D289" s="446">
        <f>IF(AND(RG!$A$90=2,'BC3'!D$137&lt;-0.9),(ROUNDUP(-'BC3'!D$137/1000,0)*1000),0)</f>
        <v>0</v>
      </c>
      <c r="E289" s="446">
        <f>IF(AND(RG!$A$90=2,'BC3'!E$137&lt;-0.9),(ROUNDUP(-'BC3'!E$137/1000,0)*1000),0)</f>
        <v>0</v>
      </c>
      <c r="F289" s="446">
        <f>IF(AND(RG!$A$90=2,'BC3'!F$137&lt;-0.9),(ROUNDUP(-'BC3'!F$137/1000,0)*1000),0)</f>
        <v>0</v>
      </c>
      <c r="G289" s="446">
        <f>IF(AND(RG!$A$90=2,'BC3'!G$137&lt;-0.9),(ROUNDUP(-'BC3'!G$137/1000,0)*1000),0)</f>
        <v>0</v>
      </c>
      <c r="H289" s="446">
        <f>IF(AND(RG!$A$90=2,'BC3'!H$137&lt;-0.9),(ROUNDUP(-'BC3'!H$137/1000,0)*1000),0)</f>
        <v>0</v>
      </c>
      <c r="I289" s="446">
        <f>IF(AND(RG!$A$90=2,'BC3'!I$137&lt;-0.9),(ROUNDUP(-'BC3'!I$137/1000,0)*1000),0)</f>
        <v>0</v>
      </c>
      <c r="J289" s="446">
        <f>IF(AND(RG!$A$90=2,'BC3'!J$137&lt;-0.9),(ROUNDUP(-'BC3'!J$137/1000,0)*1000),0)</f>
        <v>0</v>
      </c>
      <c r="K289" s="446">
        <f>IF(AND(RG!$A$90=2,'BC3'!K$137&lt;-0.9),(ROUNDUP(-'BC3'!K$137/1000,0)*1000),0)</f>
        <v>0</v>
      </c>
      <c r="L289" s="446">
        <f>IF(AND(RG!$A$90=2,'BC3'!L$137&lt;-0.9),(ROUNDUP(-'BC3'!L$137/1000,0)*1000),0)</f>
        <v>0</v>
      </c>
      <c r="M289" s="446">
        <f>IF(AND(RG!$A$90=2,'BC3'!M$137&lt;-0.9),(ROUNDUP(-'BC3'!M$137/1000,0)*1000),0)</f>
        <v>0</v>
      </c>
      <c r="N289" s="446">
        <f>IF(AND(RG!$A$90=2,'BC3'!N$137&lt;-0.9),(ROUNDUP(-'BC3'!N$137/1000,0)*1000),0)</f>
        <v>0</v>
      </c>
    </row>
    <row r="290" spans="1:14">
      <c r="C290"/>
      <c r="D290"/>
      <c r="E290"/>
      <c r="F290"/>
      <c r="G290"/>
      <c r="H290"/>
      <c r="I290"/>
      <c r="J290"/>
      <c r="K290"/>
      <c r="L290"/>
      <c r="M290"/>
      <c r="N290"/>
    </row>
    <row r="291" spans="1:14">
      <c r="B291" s="431" t="s">
        <v>319</v>
      </c>
      <c r="C291" s="446">
        <f>-IF('BC3'!C$137/1000&gt;=1,MIN((ROUNDDOWN('BC3'!C$137/1000,0)*1000),'BC3'!C$139),0)</f>
        <v>0</v>
      </c>
      <c r="D291" s="446">
        <f>-IF('BC3'!D$137/1000&gt;=1,MIN((ROUNDDOWN('BC3'!D$137/1000,0)*1000),'BC3'!D$139),0)</f>
        <v>0</v>
      </c>
      <c r="E291" s="446">
        <f>-IF('BC3'!E$137/1000&gt;=1,MIN((ROUNDDOWN('BC3'!E$137/1000,0)*1000),'BC3'!E$139),0)</f>
        <v>0</v>
      </c>
      <c r="F291" s="446">
        <f>-IF('BC3'!F$137/1000&gt;=1,MIN((ROUNDDOWN('BC3'!F$137/1000,0)*1000),'BC3'!F$139),0)</f>
        <v>0</v>
      </c>
      <c r="G291" s="446">
        <f>-IF('BC3'!G$137/1000&gt;=1,MIN((ROUNDDOWN('BC3'!G$137/1000,0)*1000),'BC3'!G$139),0)</f>
        <v>0</v>
      </c>
      <c r="H291" s="446">
        <f>-IF('BC3'!H$137/1000&gt;=1,MIN((ROUNDDOWN('BC3'!H$137/1000,0)*1000),'BC3'!H$139),0)</f>
        <v>0</v>
      </c>
      <c r="I291" s="446">
        <f>-IF('BC3'!I$137/1000&gt;=1,MIN((ROUNDDOWN('BC3'!I$137/1000,0)*1000),'BC3'!I$139),0)</f>
        <v>0</v>
      </c>
      <c r="J291" s="446">
        <f>-IF('BC3'!J$137/1000&gt;=1,MIN((ROUNDDOWN('BC3'!J$137/1000,0)*1000),'BC3'!J$139),0)</f>
        <v>0</v>
      </c>
      <c r="K291" s="446">
        <f>-IF('BC3'!K$137/1000&gt;=1,MIN((ROUNDDOWN('BC3'!K$137/1000,0)*1000),'BC3'!K$139),0)</f>
        <v>0</v>
      </c>
      <c r="L291" s="446">
        <f>-IF('BC3'!L$137/1000&gt;=1,MIN((ROUNDDOWN('BC3'!L$137/1000,0)*1000),'BC3'!L$139),0)</f>
        <v>0</v>
      </c>
      <c r="M291" s="446">
        <f>-IF('BC3'!M$137/1000&gt;=1,MIN((ROUNDDOWN('BC3'!M$137/1000,0)*1000),'BC3'!M$139),0)</f>
        <v>0</v>
      </c>
      <c r="N291" s="446">
        <f>-IF('BC3'!N$137/1000&gt;=1,MIN((ROUNDDOWN('BC3'!N$137/1000,0)*1000),'BC3'!N$139),0)</f>
        <v>0</v>
      </c>
    </row>
    <row r="292" spans="1:14">
      <c r="C292"/>
      <c r="D292"/>
      <c r="E292"/>
      <c r="F292"/>
      <c r="G292"/>
      <c r="H292"/>
      <c r="I292"/>
      <c r="J292"/>
      <c r="K292"/>
      <c r="L292"/>
      <c r="M292"/>
      <c r="N292"/>
    </row>
    <row r="293" spans="1:14">
      <c r="C293"/>
      <c r="D293"/>
      <c r="E293"/>
      <c r="F293"/>
      <c r="G293"/>
      <c r="H293"/>
      <c r="I293"/>
      <c r="J293"/>
      <c r="K293"/>
      <c r="L293"/>
      <c r="M293"/>
      <c r="N293"/>
    </row>
    <row r="294" spans="1:14" ht="13">
      <c r="A294" s="445" t="s">
        <v>141</v>
      </c>
      <c r="B294" s="431" t="s">
        <v>318</v>
      </c>
      <c r="C294" s="446">
        <f>IF(AND(RG!$A$90=3,'BC3'!C$137&lt;-0.9),(ROUNDUP(-'BC3'!C$137/5000,0)*5000),0)</f>
        <v>0</v>
      </c>
      <c r="D294" s="446">
        <f>IF(AND(RG!$A$90=3,'BC3'!D$137&lt;-0.9),(ROUNDUP(-'BC3'!D$137/5000,0)*5000),0)</f>
        <v>0</v>
      </c>
      <c r="E294" s="446">
        <f>IF(AND(RG!$A$90=3,'BC3'!E$137&lt;-0.9),(ROUNDUP(-'BC3'!E$137/5000,0)*5000),0)</f>
        <v>0</v>
      </c>
      <c r="F294" s="446">
        <f>IF(AND(RG!$A$90=3,'BC3'!F$137&lt;-0.9),(ROUNDUP(-'BC3'!F$137/5000,0)*5000),0)</f>
        <v>0</v>
      </c>
      <c r="G294" s="446">
        <f>IF(AND(RG!$A$90=3,'BC3'!G$137&lt;-0.9),(ROUNDUP(-'BC3'!G$137/5000,0)*5000),0)</f>
        <v>0</v>
      </c>
      <c r="H294" s="446">
        <f>IF(AND(RG!$A$90=3,'BC3'!H$137&lt;-0.9),(ROUNDUP(-'BC3'!H$137/5000,0)*5000),0)</f>
        <v>0</v>
      </c>
      <c r="I294" s="446">
        <f>IF(AND(RG!$A$90=3,'BC3'!I$137&lt;-0.9),(ROUNDUP(-'BC3'!I$137/5000,0)*5000),0)</f>
        <v>0</v>
      </c>
      <c r="J294" s="446">
        <f>IF(AND(RG!$A$90=3,'BC3'!J$137&lt;-0.9),(ROUNDUP(-'BC3'!J$137/5000,0)*5000),0)</f>
        <v>0</v>
      </c>
      <c r="K294" s="446">
        <f>IF(AND(RG!$A$90=3,'BC3'!K$137&lt;-0.9),(ROUNDUP(-'BC3'!K$137/5000,0)*5000),0)</f>
        <v>0</v>
      </c>
      <c r="L294" s="446">
        <f>IF(AND(RG!$A$90=3,'BC3'!L$137&lt;-0.9),(ROUNDUP(-'BC3'!L$137/5000,0)*5000),0)</f>
        <v>0</v>
      </c>
      <c r="M294" s="446">
        <f>IF(AND(RG!$A$90=3,'BC3'!M$137&lt;-0.9),(ROUNDUP(-'BC3'!M$137/5000,0)*5000),0)</f>
        <v>0</v>
      </c>
      <c r="N294" s="446">
        <f>IF(AND(RG!$A$90=3,'BC3'!N$137&lt;-0.9),(ROUNDUP(-'BC3'!N$137/5000,0)*5000),0)</f>
        <v>0</v>
      </c>
    </row>
    <row r="295" spans="1:14">
      <c r="C295"/>
      <c r="D295"/>
      <c r="E295"/>
      <c r="F295"/>
      <c r="G295"/>
      <c r="H295"/>
      <c r="I295"/>
      <c r="J295"/>
      <c r="K295"/>
      <c r="L295"/>
      <c r="M295"/>
      <c r="N295"/>
    </row>
    <row r="296" spans="1:14">
      <c r="B296" s="431" t="s">
        <v>319</v>
      </c>
      <c r="C296" s="446">
        <f>-IF('BC3'!C$137/5000&gt;=1,MIN((ROUNDDOWN('BC3'!C$137/5000,0)*5000),'BC3'!C$139),0)</f>
        <v>0</v>
      </c>
      <c r="D296" s="446">
        <f>-IF('BC3'!D$137/5000&gt;=1,MIN((ROUNDDOWN('BC3'!D$137/5000,0)*5000),'BC3'!D$139),0)</f>
        <v>0</v>
      </c>
      <c r="E296" s="446">
        <f>-IF('BC3'!E$137/5000&gt;=1,MIN((ROUNDDOWN('BC3'!E$137/5000,0)*5000),'BC3'!E$139),0)</f>
        <v>0</v>
      </c>
      <c r="F296" s="446">
        <f>-IF('BC3'!F$137/5000&gt;=1,MIN((ROUNDDOWN('BC3'!F$137/5000,0)*5000),'BC3'!F$139),0)</f>
        <v>0</v>
      </c>
      <c r="G296" s="446">
        <f>-IF('BC3'!G$137/5000&gt;=1,MIN((ROUNDDOWN('BC3'!G$137/5000,0)*5000),'BC3'!G$139),0)</f>
        <v>0</v>
      </c>
      <c r="H296" s="446">
        <f>-IF('BC3'!H$137/5000&gt;=1,MIN((ROUNDDOWN('BC3'!H$137/5000,0)*5000),'BC3'!H$139),0)</f>
        <v>0</v>
      </c>
      <c r="I296" s="446">
        <f>-IF('BC3'!I$137/5000&gt;=1,MIN((ROUNDDOWN('BC3'!I$137/5000,0)*5000),'BC3'!I$139),0)</f>
        <v>0</v>
      </c>
      <c r="J296" s="446">
        <f>-IF('BC3'!J$137/5000&gt;=1,MIN((ROUNDDOWN('BC3'!J$137/5000,0)*5000),'BC3'!J$139),0)</f>
        <v>0</v>
      </c>
      <c r="K296" s="446">
        <f>-IF('BC3'!K$137/5000&gt;=1,MIN((ROUNDDOWN('BC3'!K$137/5000,0)*5000),'BC3'!K$139),0)</f>
        <v>0</v>
      </c>
      <c r="L296" s="446">
        <f>-IF('BC3'!L$137/5000&gt;=1,MIN((ROUNDDOWN('BC3'!L$137/5000,0)*5000),'BC3'!L$139),0)</f>
        <v>0</v>
      </c>
      <c r="M296" s="446">
        <f>-IF('BC3'!M$137/5000&gt;=1,MIN((ROUNDDOWN('BC3'!M$137/5000,0)*5000),'BC3'!M$139),0)</f>
        <v>0</v>
      </c>
      <c r="N296" s="446">
        <f>-IF('BC3'!N$137/5000&gt;=1,MIN((ROUNDDOWN('BC3'!N$137/5000,0)*5000),'BC3'!N$139),0)</f>
        <v>0</v>
      </c>
    </row>
    <row r="301" spans="1:14" ht="13">
      <c r="A301" s="445" t="s">
        <v>320</v>
      </c>
      <c r="B301" s="431" t="s">
        <v>318</v>
      </c>
      <c r="C301" s="446">
        <f>IF(AND(RG!$A$90=1,'BC4'!C$137&lt;-0.9),(ROUNDUP(-'BC4'!C$137/500,0)*500),0)</f>
        <v>1500</v>
      </c>
      <c r="D301" s="446">
        <f>IF(AND(RG!$A$90=1,'BC4'!D$137&lt;-0.9),(ROUNDUP(-'BC4'!D$137/500,0)*500),0)</f>
        <v>1500</v>
      </c>
      <c r="E301" s="446">
        <f>IF(AND(RG!$A$90=1,'BC4'!E$137&lt;-0.9),(ROUNDUP(-'BC4'!E$137/500,0)*500),0)</f>
        <v>1000</v>
      </c>
      <c r="F301" s="446">
        <f>IF(AND(RG!$A$90=1,'BC4'!F$137&lt;-0.9),(ROUNDUP(-'BC4'!F$137/500,0)*500),0)</f>
        <v>1000</v>
      </c>
      <c r="G301" s="446">
        <f>IF(AND(RG!$A$90=1,'BC4'!G$137&lt;-0.9),(ROUNDUP(-'BC4'!G$137/500,0)*500),0)</f>
        <v>1000</v>
      </c>
      <c r="H301" s="446">
        <f>IF(AND(RG!$A$90=1,'BC4'!H$137&lt;-0.9),(ROUNDUP(-'BC4'!H$137/500,0)*500),0)</f>
        <v>500</v>
      </c>
      <c r="I301" s="446">
        <f>IF(AND(RG!$A$90=1,'BC4'!I$137&lt;-0.9),(ROUNDUP(-'BC4'!I$137/500,0)*500),0)</f>
        <v>500</v>
      </c>
      <c r="J301" s="446">
        <f>IF(AND(RG!$A$90=1,'BC4'!J$137&lt;-0.9),(ROUNDUP(-'BC4'!J$137/500,0)*500),0)</f>
        <v>500</v>
      </c>
      <c r="K301" s="446">
        <f>IF(AND(RG!$A$90=1,'BC4'!K$137&lt;-0.9),(ROUNDUP(-'BC4'!K$137/500,0)*500),0)</f>
        <v>0</v>
      </c>
      <c r="L301" s="446">
        <f>IF(AND(RG!$A$90=1,'BC4'!L$137&lt;-0.9),(ROUNDUP(-'BC4'!L$137/500,0)*500),0)</f>
        <v>0</v>
      </c>
      <c r="M301" s="446">
        <f>IF(AND(RG!$A$90=1,'BC4'!M$137&lt;-0.9),(ROUNDUP(-'BC4'!M$137/500,0)*500),0)</f>
        <v>0</v>
      </c>
      <c r="N301" s="446">
        <f>IF(AND(RG!$A$90=1,'BC4'!N$137&lt;-0.9),(ROUNDUP(-'BC4'!N$137/500,0)*500),0)</f>
        <v>0</v>
      </c>
    </row>
    <row r="302" spans="1:14">
      <c r="C302"/>
      <c r="D302"/>
      <c r="E302"/>
      <c r="F302"/>
      <c r="G302"/>
      <c r="H302"/>
      <c r="I302"/>
      <c r="J302"/>
      <c r="K302"/>
      <c r="L302"/>
      <c r="M302"/>
      <c r="N302"/>
    </row>
    <row r="303" spans="1:14">
      <c r="B303" s="431" t="s">
        <v>319</v>
      </c>
      <c r="C303" s="446">
        <f>-IF('BC4'!C$137/500&gt;=1,MIN((ROUNDDOWN('BC4'!C$137/500,0)*500),'BC4'!C$139),0)</f>
        <v>0</v>
      </c>
      <c r="D303" s="446">
        <f>-IF('BC4'!D$137/500&gt;=1,MIN((ROUNDDOWN('BC4'!D$137/500,0)*500),'BC4'!D$139),0)</f>
        <v>0</v>
      </c>
      <c r="E303" s="446">
        <f>-IF('BC4'!E$137/500&gt;=1,MIN((ROUNDDOWN('BC4'!E$137/500,0)*500),'BC4'!E$139),0)</f>
        <v>0</v>
      </c>
      <c r="F303" s="446">
        <f>-IF('BC4'!F$137/500&gt;=1,MIN((ROUNDDOWN('BC4'!F$137/500,0)*500),'BC4'!F$139),0)</f>
        <v>0</v>
      </c>
      <c r="G303" s="446">
        <f>-IF('BC4'!G$137/500&gt;=1,MIN((ROUNDDOWN('BC4'!G$137/500,0)*500),'BC4'!G$139),0)</f>
        <v>0</v>
      </c>
      <c r="H303" s="446">
        <f>-IF('BC4'!H$137/500&gt;=1,MIN((ROUNDDOWN('BC4'!H$137/500,0)*500),'BC4'!H$139),0)</f>
        <v>0</v>
      </c>
      <c r="I303" s="446">
        <f>-IF('BC4'!I$137/500&gt;=1,MIN((ROUNDDOWN('BC4'!I$137/500,0)*500),'BC4'!I$139),0)</f>
        <v>0</v>
      </c>
      <c r="J303" s="446">
        <f>-IF('BC4'!J$137/500&gt;=1,MIN((ROUNDDOWN('BC4'!J$137/500,0)*500),'BC4'!J$139),0)</f>
        <v>0</v>
      </c>
      <c r="K303" s="446">
        <f>-IF('BC4'!K$137/500&gt;=1,MIN((ROUNDDOWN('BC4'!K$137/500,0)*500),'BC4'!K$139),0)</f>
        <v>0</v>
      </c>
      <c r="L303" s="446">
        <f>-IF('BC4'!L$137/500&gt;=1,MIN((ROUNDDOWN('BC4'!L$137/500,0)*500),'BC4'!L$139),0)</f>
        <v>0</v>
      </c>
      <c r="M303" s="446">
        <f>-IF('BC4'!M$137/500&gt;=1,MIN((ROUNDDOWN('BC4'!M$137/500,0)*500),'BC4'!M$139),0)</f>
        <v>0</v>
      </c>
      <c r="N303" s="446">
        <f>-IF('BC4'!N$137/500&gt;=1,MIN((ROUNDDOWN('BC4'!N$137/500,0)*500),'BC4'!N$139),0)</f>
        <v>-500</v>
      </c>
    </row>
    <row r="304" spans="1:14">
      <c r="C304"/>
      <c r="D304"/>
      <c r="E304"/>
      <c r="F304"/>
      <c r="G304"/>
      <c r="H304"/>
      <c r="I304"/>
      <c r="J304"/>
      <c r="K304"/>
      <c r="L304"/>
      <c r="M304"/>
      <c r="N304"/>
    </row>
    <row r="305" spans="1:14">
      <c r="C305"/>
      <c r="D305"/>
      <c r="E305"/>
      <c r="F305"/>
      <c r="G305"/>
      <c r="H305"/>
      <c r="I305"/>
      <c r="J305"/>
      <c r="K305"/>
      <c r="L305"/>
      <c r="M305"/>
      <c r="N305"/>
    </row>
    <row r="306" spans="1:14" ht="13">
      <c r="A306" s="445" t="s">
        <v>321</v>
      </c>
      <c r="B306" s="431" t="s">
        <v>318</v>
      </c>
      <c r="C306" s="446">
        <f>IF(AND(RG!$A$90=2,'BC4'!C$137&lt;-0.9),(ROUNDUP(-'BC4'!C$137/1000,0)*1000),0)</f>
        <v>0</v>
      </c>
      <c r="D306" s="446">
        <f>IF(AND(RG!$A$90=2,'BC4'!D$137&lt;-0.9),(ROUNDUP(-'BC4'!D$137/1000,0)*1000),0)</f>
        <v>0</v>
      </c>
      <c r="E306" s="446">
        <f>IF(AND(RG!$A$90=2,'BC4'!E$137&lt;-0.9),(ROUNDUP(-'BC4'!E$137/1000,0)*1000),0)</f>
        <v>0</v>
      </c>
      <c r="F306" s="446">
        <f>IF(AND(RG!$A$90=2,'BC4'!F$137&lt;-0.9),(ROUNDUP(-'BC4'!F$137/1000,0)*1000),0)</f>
        <v>0</v>
      </c>
      <c r="G306" s="446">
        <f>IF(AND(RG!$A$90=2,'BC4'!G$137&lt;-0.9),(ROUNDUP(-'BC4'!G$137/1000,0)*1000),0)</f>
        <v>0</v>
      </c>
      <c r="H306" s="446">
        <f>IF(AND(RG!$A$90=2,'BC4'!H$137&lt;-0.9),(ROUNDUP(-'BC4'!H$137/1000,0)*1000),0)</f>
        <v>0</v>
      </c>
      <c r="I306" s="446">
        <f>IF(AND(RG!$A$90=2,'BC4'!I$137&lt;-0.9),(ROUNDUP(-'BC4'!I$137/1000,0)*1000),0)</f>
        <v>0</v>
      </c>
      <c r="J306" s="446">
        <f>IF(AND(RG!$A$90=2,'BC4'!J$137&lt;-0.9),(ROUNDUP(-'BC4'!J$137/1000,0)*1000),0)</f>
        <v>0</v>
      </c>
      <c r="K306" s="446">
        <f>IF(AND(RG!$A$90=2,'BC4'!K$137&lt;-0.9),(ROUNDUP(-'BC4'!K$137/1000,0)*1000),0)</f>
        <v>0</v>
      </c>
      <c r="L306" s="446">
        <f>IF(AND(RG!$A$90=2,'BC4'!L$137&lt;-0.9),(ROUNDUP(-'BC4'!L$137/1000,0)*1000),0)</f>
        <v>0</v>
      </c>
      <c r="M306" s="446">
        <f>IF(AND(RG!$A$90=2,'BC4'!M$137&lt;-0.9),(ROUNDUP(-'BC4'!M$137/1000,0)*1000),0)</f>
        <v>0</v>
      </c>
      <c r="N306" s="446">
        <f>IF(AND(RG!$A$90=2,'BC4'!N$137&lt;-0.9),(ROUNDUP(-'BC4'!N$137/1000,0)*1000),0)</f>
        <v>0</v>
      </c>
    </row>
    <row r="307" spans="1:14">
      <c r="C307"/>
      <c r="D307"/>
      <c r="E307"/>
      <c r="F307"/>
      <c r="G307"/>
      <c r="H307"/>
      <c r="I307"/>
      <c r="J307"/>
      <c r="K307"/>
      <c r="L307"/>
      <c r="M307"/>
      <c r="N307"/>
    </row>
    <row r="308" spans="1:14">
      <c r="B308" s="431" t="s">
        <v>319</v>
      </c>
      <c r="C308" s="446">
        <f>-IF('BC4'!C$137/1000&gt;=1,MIN((ROUNDDOWN('BC4'!C$137/1000,0)*1000),'BC4'!C$139),0)</f>
        <v>0</v>
      </c>
      <c r="D308" s="446">
        <f>-IF('BC4'!D$137/1000&gt;=1,MIN((ROUNDDOWN('BC4'!D$137/1000,0)*1000),'BC4'!D$139),0)</f>
        <v>0</v>
      </c>
      <c r="E308" s="446">
        <f>-IF('BC4'!E$137/1000&gt;=1,MIN((ROUNDDOWN('BC4'!E$137/1000,0)*1000),'BC4'!E$139),0)</f>
        <v>0</v>
      </c>
      <c r="F308" s="446">
        <f>-IF('BC4'!F$137/1000&gt;=1,MIN((ROUNDDOWN('BC4'!F$137/1000,0)*1000),'BC4'!F$139),0)</f>
        <v>0</v>
      </c>
      <c r="G308" s="446">
        <f>-IF('BC4'!G$137/1000&gt;=1,MIN((ROUNDDOWN('BC4'!G$137/1000,0)*1000),'BC4'!G$139),0)</f>
        <v>0</v>
      </c>
      <c r="H308" s="446">
        <f>-IF('BC4'!H$137/1000&gt;=1,MIN((ROUNDDOWN('BC4'!H$137/1000,0)*1000),'BC4'!H$139),0)</f>
        <v>0</v>
      </c>
      <c r="I308" s="446">
        <f>-IF('BC4'!I$137/1000&gt;=1,MIN((ROUNDDOWN('BC4'!I$137/1000,0)*1000),'BC4'!I$139),0)</f>
        <v>0</v>
      </c>
      <c r="J308" s="446">
        <f>-IF('BC4'!J$137/1000&gt;=1,MIN((ROUNDDOWN('BC4'!J$137/1000,0)*1000),'BC4'!J$139),0)</f>
        <v>0</v>
      </c>
      <c r="K308" s="446">
        <f>-IF('BC4'!K$137/1000&gt;=1,MIN((ROUNDDOWN('BC4'!K$137/1000,0)*1000),'BC4'!K$139),0)</f>
        <v>0</v>
      </c>
      <c r="L308" s="446">
        <f>-IF('BC4'!L$137/1000&gt;=1,MIN((ROUNDDOWN('BC4'!L$137/1000,0)*1000),'BC4'!L$139),0)</f>
        <v>0</v>
      </c>
      <c r="M308" s="446">
        <f>-IF('BC4'!M$137/1000&gt;=1,MIN((ROUNDDOWN('BC4'!M$137/1000,0)*1000),'BC4'!M$139),0)</f>
        <v>0</v>
      </c>
      <c r="N308" s="446">
        <f>-IF('BC4'!N$137/1000&gt;=1,MIN((ROUNDDOWN('BC4'!N$137/1000,0)*1000),'BC4'!N$139),0)</f>
        <v>0</v>
      </c>
    </row>
    <row r="309" spans="1:14">
      <c r="C309"/>
      <c r="D309"/>
      <c r="E309"/>
      <c r="F309"/>
      <c r="G309"/>
      <c r="H309"/>
      <c r="I309"/>
      <c r="J309"/>
      <c r="K309"/>
      <c r="L309"/>
      <c r="M309"/>
      <c r="N309"/>
    </row>
    <row r="310" spans="1:14">
      <c r="C310"/>
      <c r="D310"/>
      <c r="E310"/>
      <c r="F310"/>
      <c r="G310"/>
      <c r="H310"/>
      <c r="I310"/>
      <c r="J310"/>
      <c r="K310"/>
      <c r="L310"/>
      <c r="M310"/>
      <c r="N310"/>
    </row>
    <row r="311" spans="1:14" ht="13">
      <c r="A311" s="445" t="s">
        <v>141</v>
      </c>
      <c r="B311" s="431" t="s">
        <v>318</v>
      </c>
      <c r="C311" s="446">
        <f>IF(AND(RG!$A$90=3,'BC4'!C$137&lt;-0.9),(ROUNDUP(-'BC4'!C$137/5000,0)*5000),0)</f>
        <v>0</v>
      </c>
      <c r="D311" s="446">
        <f>IF(AND(RG!$A$90=3,'BC4'!D$137&lt;-0.9),(ROUNDUP(-'BC4'!D$137/5000,0)*5000),0)</f>
        <v>0</v>
      </c>
      <c r="E311" s="446">
        <f>IF(AND(RG!$A$90=3,'BC4'!E$137&lt;-0.9),(ROUNDUP(-'BC4'!E$137/5000,0)*5000),0)</f>
        <v>0</v>
      </c>
      <c r="F311" s="446">
        <f>IF(AND(RG!$A$90=3,'BC4'!F$137&lt;-0.9),(ROUNDUP(-'BC4'!F$137/5000,0)*5000),0)</f>
        <v>0</v>
      </c>
      <c r="G311" s="446">
        <f>IF(AND(RG!$A$90=3,'BC4'!G$137&lt;-0.9),(ROUNDUP(-'BC4'!G$137/5000,0)*5000),0)</f>
        <v>0</v>
      </c>
      <c r="H311" s="446">
        <f>IF(AND(RG!$A$90=3,'BC4'!H$137&lt;-0.9),(ROUNDUP(-'BC4'!H$137/5000,0)*5000),0)</f>
        <v>0</v>
      </c>
      <c r="I311" s="446">
        <f>IF(AND(RG!$A$90=3,'BC4'!I$137&lt;-0.9),(ROUNDUP(-'BC4'!I$137/5000,0)*5000),0)</f>
        <v>0</v>
      </c>
      <c r="J311" s="446">
        <f>IF(AND(RG!$A$90=3,'BC4'!J$137&lt;-0.9),(ROUNDUP(-'BC4'!J$137/5000,0)*5000),0)</f>
        <v>0</v>
      </c>
      <c r="K311" s="446">
        <f>IF(AND(RG!$A$90=3,'BC4'!K$137&lt;-0.9),(ROUNDUP(-'BC4'!K$137/5000,0)*5000),0)</f>
        <v>0</v>
      </c>
      <c r="L311" s="446">
        <f>IF(AND(RG!$A$90=3,'BC4'!L$137&lt;-0.9),(ROUNDUP(-'BC4'!L$137/5000,0)*5000),0)</f>
        <v>0</v>
      </c>
      <c r="M311" s="446">
        <f>IF(AND(RG!$A$90=3,'BC4'!M$137&lt;-0.9),(ROUNDUP(-'BC4'!M$137/5000,0)*5000),0)</f>
        <v>0</v>
      </c>
      <c r="N311" s="446">
        <f>IF(AND(RG!$A$90=3,'BC4'!N$137&lt;-0.9),(ROUNDUP(-'BC4'!N$137/5000,0)*5000),0)</f>
        <v>0</v>
      </c>
    </row>
    <row r="312" spans="1:14">
      <c r="C312"/>
      <c r="D312"/>
      <c r="E312"/>
      <c r="F312"/>
      <c r="G312"/>
      <c r="H312"/>
      <c r="I312"/>
      <c r="J312"/>
      <c r="K312"/>
      <c r="L312"/>
      <c r="M312"/>
      <c r="N312"/>
    </row>
    <row r="313" spans="1:14">
      <c r="B313" s="431" t="s">
        <v>319</v>
      </c>
      <c r="C313" s="446">
        <f>-IF('BC4'!C$137/5000&gt;=1,MIN((ROUNDDOWN('BC4'!C$137/5000,0)*5000),'BC4'!C$139),0)</f>
        <v>0</v>
      </c>
      <c r="D313" s="446">
        <f>-IF('BC4'!D$137/5000&gt;=1,MIN((ROUNDDOWN('BC4'!D$137/5000,0)*5000),'BC4'!D$139),0)</f>
        <v>0</v>
      </c>
      <c r="E313" s="446">
        <f>-IF('BC4'!E$137/5000&gt;=1,MIN((ROUNDDOWN('BC4'!E$137/5000,0)*5000),'BC4'!E$139),0)</f>
        <v>0</v>
      </c>
      <c r="F313" s="446">
        <f>-IF('BC4'!F$137/5000&gt;=1,MIN((ROUNDDOWN('BC4'!F$137/5000,0)*5000),'BC4'!F$139),0)</f>
        <v>0</v>
      </c>
      <c r="G313" s="446">
        <f>-IF('BC4'!G$137/5000&gt;=1,MIN((ROUNDDOWN('BC4'!G$137/5000,0)*5000),'BC4'!G$139),0)</f>
        <v>0</v>
      </c>
      <c r="H313" s="446">
        <f>-IF('BC4'!H$137/5000&gt;=1,MIN((ROUNDDOWN('BC4'!H$137/5000,0)*5000),'BC4'!H$139),0)</f>
        <v>0</v>
      </c>
      <c r="I313" s="446">
        <f>-IF('BC4'!I$137/5000&gt;=1,MIN((ROUNDDOWN('BC4'!I$137/5000,0)*5000),'BC4'!I$139),0)</f>
        <v>0</v>
      </c>
      <c r="J313" s="446">
        <f>-IF('BC4'!J$137/5000&gt;=1,MIN((ROUNDDOWN('BC4'!J$137/5000,0)*5000),'BC4'!J$139),0)</f>
        <v>0</v>
      </c>
      <c r="K313" s="446">
        <f>-IF('BC4'!K$137/5000&gt;=1,MIN((ROUNDDOWN('BC4'!K$137/5000,0)*5000),'BC4'!K$139),0)</f>
        <v>0</v>
      </c>
      <c r="L313" s="446">
        <f>-IF('BC4'!L$137/5000&gt;=1,MIN((ROUNDDOWN('BC4'!L$137/5000,0)*5000),'BC4'!L$139),0)</f>
        <v>0</v>
      </c>
      <c r="M313" s="446">
        <f>-IF('BC4'!M$137/5000&gt;=1,MIN((ROUNDDOWN('BC4'!M$137/5000,0)*5000),'BC4'!M$139),0)</f>
        <v>0</v>
      </c>
      <c r="N313" s="446">
        <f>-IF('BC4'!N$137/5000&gt;=1,MIN((ROUNDDOWN('BC4'!N$137/5000,0)*5000),'BC4'!N$139),0)</f>
        <v>0</v>
      </c>
    </row>
    <row r="318" spans="1:14" ht="13">
      <c r="A318" s="445" t="s">
        <v>320</v>
      </c>
      <c r="B318" s="431" t="s">
        <v>318</v>
      </c>
      <c r="C318" s="446">
        <f>IF(AND(RG!$A$90=1,'BC5'!C$137&lt;-0.9),(ROUNDUP(-'BC5'!C$137/500,0)*500),0)</f>
        <v>2000</v>
      </c>
      <c r="D318" s="446">
        <f>IF(AND(RG!$A$90=1,'BC5'!D$137&lt;-0.9),(ROUNDUP(-'BC5'!D$137/500,0)*500),0)</f>
        <v>1500</v>
      </c>
      <c r="E318" s="446">
        <f>IF(AND(RG!$A$90=1,'BC5'!E$137&lt;-0.9),(ROUNDUP(-'BC5'!E$137/500,0)*500),0)</f>
        <v>1000</v>
      </c>
      <c r="F318" s="446">
        <f>IF(AND(RG!$A$90=1,'BC5'!F$137&lt;-0.9),(ROUNDUP(-'BC5'!F$137/500,0)*500),0)</f>
        <v>1500</v>
      </c>
      <c r="G318" s="446">
        <f>IF(AND(RG!$A$90=1,'BC5'!G$137&lt;-0.9),(ROUNDUP(-'BC5'!G$137/500,0)*500),0)</f>
        <v>1000</v>
      </c>
      <c r="H318" s="446">
        <f>IF(AND(RG!$A$90=1,'BC5'!H$137&lt;-0.9),(ROUNDUP(-'BC5'!H$137/500,0)*500),0)</f>
        <v>500</v>
      </c>
      <c r="I318" s="446">
        <f>IF(AND(RG!$A$90=1,'BC5'!I$137&lt;-0.9),(ROUNDUP(-'BC5'!I$137/500,0)*500),0)</f>
        <v>500</v>
      </c>
      <c r="J318" s="446">
        <f>IF(AND(RG!$A$90=1,'BC5'!J$137&lt;-0.9),(ROUNDUP(-'BC5'!J$137/500,0)*500),0)</f>
        <v>500</v>
      </c>
      <c r="K318" s="446">
        <f>IF(AND(RG!$A$90=1,'BC5'!K$137&lt;-0.9),(ROUNDUP(-'BC5'!K$137/500,0)*500),0)</f>
        <v>500</v>
      </c>
      <c r="L318" s="446">
        <f>IF(AND(RG!$A$90=1,'BC5'!L$137&lt;-0.9),(ROUNDUP(-'BC5'!L$137/500,0)*500),0)</f>
        <v>0</v>
      </c>
      <c r="M318" s="446">
        <f>IF(AND(RG!$A$90=1,'BC5'!M$137&lt;-0.9),(ROUNDUP(-'BC5'!M$137/500,0)*500),0)</f>
        <v>0</v>
      </c>
      <c r="N318" s="446">
        <f>IF(AND(RG!$A$90=1,'BC5'!N$137&lt;-0.9),(ROUNDUP(-'BC5'!N$137/500,0)*500),0)</f>
        <v>0</v>
      </c>
    </row>
    <row r="319" spans="1:14">
      <c r="C319"/>
      <c r="D319"/>
      <c r="E319"/>
      <c r="F319"/>
      <c r="G319"/>
      <c r="H319"/>
      <c r="I319"/>
      <c r="J319"/>
      <c r="K319"/>
      <c r="L319"/>
      <c r="M319"/>
      <c r="N319"/>
    </row>
    <row r="320" spans="1:14">
      <c r="B320" s="431" t="s">
        <v>319</v>
      </c>
      <c r="C320" s="446">
        <f>-IF('BC5'!C$137/500&gt;=1,MIN((ROUNDDOWN('BC5'!C$137/500,0)*500),'BC5'!C$139),0)</f>
        <v>0</v>
      </c>
      <c r="D320" s="446">
        <f>-IF('BC5'!D$137/500&gt;=1,MIN((ROUNDDOWN('BC5'!D$137/500,0)*500),'BC5'!D$139),0)</f>
        <v>0</v>
      </c>
      <c r="E320" s="446">
        <f>-IF('BC5'!E$137/500&gt;=1,MIN((ROUNDDOWN('BC5'!E$137/500,0)*500),'BC5'!E$139),0)</f>
        <v>0</v>
      </c>
      <c r="F320" s="446">
        <f>-IF('BC5'!F$137/500&gt;=1,MIN((ROUNDDOWN('BC5'!F$137/500,0)*500),'BC5'!F$139),0)</f>
        <v>0</v>
      </c>
      <c r="G320" s="446">
        <f>-IF('BC5'!G$137/500&gt;=1,MIN((ROUNDDOWN('BC5'!G$137/500,0)*500),'BC5'!G$139),0)</f>
        <v>0</v>
      </c>
      <c r="H320" s="446">
        <f>-IF('BC5'!H$137/500&gt;=1,MIN((ROUNDDOWN('BC5'!H$137/500,0)*500),'BC5'!H$139),0)</f>
        <v>0</v>
      </c>
      <c r="I320" s="446">
        <f>-IF('BC5'!I$137/500&gt;=1,MIN((ROUNDDOWN('BC5'!I$137/500,0)*500),'BC5'!I$139),0)</f>
        <v>0</v>
      </c>
      <c r="J320" s="446">
        <f>-IF('BC5'!J$137/500&gt;=1,MIN((ROUNDDOWN('BC5'!J$137/500,0)*500),'BC5'!J$139),0)</f>
        <v>0</v>
      </c>
      <c r="K320" s="446">
        <f>-IF('BC5'!K$137/500&gt;=1,MIN((ROUNDDOWN('BC5'!K$137/500,0)*500),'BC5'!K$139),0)</f>
        <v>0</v>
      </c>
      <c r="L320" s="446">
        <f>-IF('BC5'!L$137/500&gt;=1,MIN((ROUNDDOWN('BC5'!L$137/500,0)*500),'BC5'!L$139),0)</f>
        <v>0</v>
      </c>
      <c r="M320" s="446">
        <f>-IF('BC5'!M$137/500&gt;=1,MIN((ROUNDDOWN('BC5'!M$137/500,0)*500),'BC5'!M$139),0)</f>
        <v>0</v>
      </c>
      <c r="N320" s="446">
        <f>-IF('BC5'!N$137/500&gt;=1,MIN((ROUNDDOWN('BC5'!N$137/500,0)*500),'BC5'!N$139),0)</f>
        <v>0</v>
      </c>
    </row>
    <row r="321" spans="1:23">
      <c r="C321"/>
      <c r="D321"/>
      <c r="E321"/>
      <c r="F321"/>
      <c r="G321"/>
      <c r="H321"/>
      <c r="I321"/>
      <c r="J321"/>
      <c r="K321"/>
      <c r="L321"/>
      <c r="M321"/>
      <c r="N321"/>
    </row>
    <row r="322" spans="1:23">
      <c r="C322"/>
      <c r="D322"/>
      <c r="E322"/>
      <c r="F322"/>
      <c r="G322"/>
      <c r="H322"/>
      <c r="I322"/>
      <c r="J322"/>
      <c r="K322"/>
      <c r="L322"/>
      <c r="M322"/>
      <c r="N322"/>
    </row>
    <row r="323" spans="1:23" ht="13">
      <c r="A323" s="445" t="s">
        <v>321</v>
      </c>
      <c r="B323" s="431" t="s">
        <v>318</v>
      </c>
      <c r="C323" s="446">
        <f>IF(AND(RG!$A$90=2,'BC5'!C$137&lt;-0.9),(ROUNDUP(-'BC5'!C$137/1000,0)*1000),0)</f>
        <v>0</v>
      </c>
      <c r="D323" s="446">
        <f>IF(AND(RG!$A$90=2,'BC5'!D$137&lt;-0.9),(ROUNDUP(-'BC5'!D$137/1000,0)*1000),0)</f>
        <v>0</v>
      </c>
      <c r="E323" s="446">
        <f>IF(AND(RG!$A$90=2,'BC5'!E$137&lt;-0.9),(ROUNDUP(-'BC5'!E$137/1000,0)*1000),0)</f>
        <v>0</v>
      </c>
      <c r="F323" s="446">
        <f>IF(AND(RG!$A$90=2,'BC5'!F$137&lt;-0.9),(ROUNDUP(-'BC5'!F$137/1000,0)*1000),0)</f>
        <v>0</v>
      </c>
      <c r="G323" s="446">
        <f>IF(AND(RG!$A$90=2,'BC5'!G$137&lt;-0.9),(ROUNDUP(-'BC5'!G$137/1000,0)*1000),0)</f>
        <v>0</v>
      </c>
      <c r="H323" s="446">
        <f>IF(AND(RG!$A$90=2,'BC5'!H$137&lt;-0.9),(ROUNDUP(-'BC5'!H$137/1000,0)*1000),0)</f>
        <v>0</v>
      </c>
      <c r="I323" s="446">
        <f>IF(AND(RG!$A$90=2,'BC5'!I$137&lt;-0.9),(ROUNDUP(-'BC5'!I$137/1000,0)*1000),0)</f>
        <v>0</v>
      </c>
      <c r="J323" s="446">
        <f>IF(AND(RG!$A$90=2,'BC5'!J$137&lt;-0.9),(ROUNDUP(-'BC5'!J$137/1000,0)*1000),0)</f>
        <v>0</v>
      </c>
      <c r="K323" s="446">
        <f>IF(AND(RG!$A$90=2,'BC5'!K$137&lt;-0.9),(ROUNDUP(-'BC5'!K$137/1000,0)*1000),0)</f>
        <v>0</v>
      </c>
      <c r="L323" s="446">
        <f>IF(AND(RG!$A$90=2,'BC5'!L$137&lt;-0.9),(ROUNDUP(-'BC5'!L$137/1000,0)*1000),0)</f>
        <v>0</v>
      </c>
      <c r="M323" s="446">
        <f>IF(AND(RG!$A$90=2,'BC5'!M$137&lt;-0.9),(ROUNDUP(-'BC5'!M$137/1000,0)*1000),0)</f>
        <v>0</v>
      </c>
      <c r="N323" s="446">
        <f>IF(AND(RG!$A$90=2,'BC5'!N$137&lt;-0.9),(ROUNDUP(-'BC5'!N$137/1000,0)*1000),0)</f>
        <v>0</v>
      </c>
    </row>
    <row r="324" spans="1:23">
      <c r="C324"/>
      <c r="D324"/>
      <c r="E324"/>
      <c r="F324"/>
      <c r="G324"/>
      <c r="H324"/>
      <c r="I324"/>
      <c r="J324"/>
      <c r="K324"/>
      <c r="L324"/>
      <c r="M324"/>
      <c r="N324"/>
    </row>
    <row r="325" spans="1:23">
      <c r="B325" s="431" t="s">
        <v>319</v>
      </c>
      <c r="C325" s="446">
        <f>-IF('BC5'!C$137/1000&gt;=1,MIN((ROUNDDOWN('BC5'!C$137/1000,0)*1000),'BC5'!C$139),0)</f>
        <v>0</v>
      </c>
      <c r="D325" s="446">
        <f>-IF('BC5'!D$137/1000&gt;=1,MIN((ROUNDDOWN('BC5'!D$137/1000,0)*1000),'BC5'!D$139),0)</f>
        <v>0</v>
      </c>
      <c r="E325" s="446">
        <f>-IF('BC5'!E$137/1000&gt;=1,MIN((ROUNDDOWN('BC5'!E$137/1000,0)*1000),'BC5'!E$139),0)</f>
        <v>0</v>
      </c>
      <c r="F325" s="446">
        <f>-IF('BC5'!F$137/1000&gt;=1,MIN((ROUNDDOWN('BC5'!F$137/1000,0)*1000),'BC5'!F$139),0)</f>
        <v>0</v>
      </c>
      <c r="G325" s="446">
        <f>-IF('BC5'!G$137/1000&gt;=1,MIN((ROUNDDOWN('BC5'!G$137/1000,0)*1000),'BC5'!G$139),0)</f>
        <v>0</v>
      </c>
      <c r="H325" s="446">
        <f>-IF('BC5'!H$137/1000&gt;=1,MIN((ROUNDDOWN('BC5'!H$137/1000,0)*1000),'BC5'!H$139),0)</f>
        <v>0</v>
      </c>
      <c r="I325" s="446">
        <f>-IF('BC5'!I$137/1000&gt;=1,MIN((ROUNDDOWN('BC5'!I$137/1000,0)*1000),'BC5'!I$139),0)</f>
        <v>0</v>
      </c>
      <c r="J325" s="446">
        <f>-IF('BC5'!J$137/1000&gt;=1,MIN((ROUNDDOWN('BC5'!J$137/1000,0)*1000),'BC5'!J$139),0)</f>
        <v>0</v>
      </c>
      <c r="K325" s="446">
        <f>-IF('BC5'!K$137/1000&gt;=1,MIN((ROUNDDOWN('BC5'!K$137/1000,0)*1000),'BC5'!K$139),0)</f>
        <v>0</v>
      </c>
      <c r="L325" s="446">
        <f>-IF('BC5'!L$137/1000&gt;=1,MIN((ROUNDDOWN('BC5'!L$137/1000,0)*1000),'BC5'!L$139),0)</f>
        <v>0</v>
      </c>
      <c r="M325" s="446">
        <f>-IF('BC5'!M$137/1000&gt;=1,MIN((ROUNDDOWN('BC5'!M$137/1000,0)*1000),'BC5'!M$139),0)</f>
        <v>0</v>
      </c>
      <c r="N325" s="446">
        <f>-IF('BC5'!N$137/1000&gt;=1,MIN((ROUNDDOWN('BC5'!N$137/1000,0)*1000),'BC5'!N$139),0)</f>
        <v>0</v>
      </c>
    </row>
    <row r="326" spans="1:23">
      <c r="C326"/>
      <c r="D326"/>
      <c r="E326"/>
      <c r="F326"/>
      <c r="G326"/>
      <c r="H326"/>
      <c r="I326"/>
      <c r="J326"/>
      <c r="K326"/>
      <c r="L326"/>
      <c r="M326"/>
      <c r="N326"/>
    </row>
    <row r="327" spans="1:23">
      <c r="C327"/>
      <c r="D327"/>
      <c r="E327"/>
      <c r="F327"/>
      <c r="G327"/>
      <c r="H327"/>
      <c r="I327"/>
      <c r="J327"/>
      <c r="K327"/>
      <c r="L327"/>
      <c r="M327"/>
      <c r="N327"/>
    </row>
    <row r="328" spans="1:23" ht="13">
      <c r="A328" s="445" t="s">
        <v>141</v>
      </c>
      <c r="B328" s="431" t="s">
        <v>318</v>
      </c>
      <c r="C328" s="446">
        <f>IF(AND(RG!$A$90=3,'BC5'!C$137&lt;-0.9),(ROUNDUP(-'BC5'!C$137/5000,0)*5000),0)</f>
        <v>0</v>
      </c>
      <c r="D328" s="446">
        <f>IF(AND(RG!$A$90=3,'BC5'!D$137&lt;-0.9),(ROUNDUP(-'BC5'!D$137/5000,0)*5000),0)</f>
        <v>0</v>
      </c>
      <c r="E328" s="446">
        <f>IF(AND(RG!$A$90=3,'BC5'!E$137&lt;-0.9),(ROUNDUP(-'BC5'!E$137/5000,0)*5000),0)</f>
        <v>0</v>
      </c>
      <c r="F328" s="446">
        <f>IF(AND(RG!$A$90=3,'BC5'!F$137&lt;-0.9),(ROUNDUP(-'BC5'!F$137/5000,0)*5000),0)</f>
        <v>0</v>
      </c>
      <c r="G328" s="446">
        <f>IF(AND(RG!$A$90=3,'BC5'!G$137&lt;-0.9),(ROUNDUP(-'BC5'!G$137/5000,0)*5000),0)</f>
        <v>0</v>
      </c>
      <c r="H328" s="446">
        <f>IF(AND(RG!$A$90=3,'BC5'!H$137&lt;-0.9),(ROUNDUP(-'BC5'!H$137/5000,0)*5000),0)</f>
        <v>0</v>
      </c>
      <c r="I328" s="446">
        <f>IF(AND(RG!$A$90=3,'BC5'!I$137&lt;-0.9),(ROUNDUP(-'BC5'!I$137/5000,0)*5000),0)</f>
        <v>0</v>
      </c>
      <c r="J328" s="446">
        <f>IF(AND(RG!$A$90=3,'BC5'!J$137&lt;-0.9),(ROUNDUP(-'BC5'!J$137/5000,0)*5000),0)</f>
        <v>0</v>
      </c>
      <c r="K328" s="446">
        <f>IF(AND(RG!$A$90=3,'BC5'!K$137&lt;-0.9),(ROUNDUP(-'BC5'!K$137/5000,0)*5000),0)</f>
        <v>0</v>
      </c>
      <c r="L328" s="446">
        <f>IF(AND(RG!$A$90=3,'BC5'!L$137&lt;-0.9),(ROUNDUP(-'BC5'!L$137/5000,0)*5000),0)</f>
        <v>0</v>
      </c>
      <c r="M328" s="446">
        <f>IF(AND(RG!$A$90=3,'BC5'!M$137&lt;-0.9),(ROUNDUP(-'BC5'!M$137/5000,0)*5000),0)</f>
        <v>0</v>
      </c>
      <c r="N328" s="446">
        <f>IF(AND(RG!$A$90=3,'BC5'!N$137&lt;-0.9),(ROUNDUP(-'BC5'!N$137/5000,0)*5000),0)</f>
        <v>0</v>
      </c>
    </row>
    <row r="329" spans="1:23">
      <c r="C329"/>
      <c r="D329"/>
      <c r="E329"/>
      <c r="F329"/>
      <c r="G329"/>
      <c r="H329"/>
      <c r="I329"/>
      <c r="J329"/>
      <c r="K329"/>
      <c r="L329"/>
      <c r="M329"/>
      <c r="N329"/>
    </row>
    <row r="330" spans="1:23">
      <c r="B330" s="431" t="s">
        <v>319</v>
      </c>
      <c r="C330" s="446">
        <f>-IF('BC5'!C$137/5000&gt;=1,MIN((ROUNDDOWN('BC5'!C$137/5000,0)*5000),'BC5'!C$139),0)</f>
        <v>0</v>
      </c>
      <c r="D330" s="446">
        <f>-IF('BC5'!D$137/5000&gt;=1,MIN((ROUNDDOWN('BC5'!D$137/5000,0)*5000),'BC5'!D$139),0)</f>
        <v>0</v>
      </c>
      <c r="E330" s="446">
        <f>-IF('BC5'!E$137/5000&gt;=1,MIN((ROUNDDOWN('BC5'!E$137/5000,0)*5000),'BC5'!E$139),0)</f>
        <v>0</v>
      </c>
      <c r="F330" s="446">
        <f>-IF('BC5'!F$137/5000&gt;=1,MIN((ROUNDDOWN('BC5'!F$137/5000,0)*5000),'BC5'!F$139),0)</f>
        <v>0</v>
      </c>
      <c r="G330" s="446">
        <f>-IF('BC5'!G$137/5000&gt;=1,MIN((ROUNDDOWN('BC5'!G$137/5000,0)*5000),'BC5'!G$139),0)</f>
        <v>0</v>
      </c>
      <c r="H330" s="446">
        <f>-IF('BC5'!H$137/5000&gt;=1,MIN((ROUNDDOWN('BC5'!H$137/5000,0)*5000),'BC5'!H$139),0)</f>
        <v>0</v>
      </c>
      <c r="I330" s="446">
        <f>-IF('BC5'!I$137/5000&gt;=1,MIN((ROUNDDOWN('BC5'!I$137/5000,0)*5000),'BC5'!I$139),0)</f>
        <v>0</v>
      </c>
      <c r="J330" s="446">
        <f>-IF('BC5'!J$137/5000&gt;=1,MIN((ROUNDDOWN('BC5'!J$137/5000,0)*5000),'BC5'!J$139),0)</f>
        <v>0</v>
      </c>
      <c r="K330" s="446">
        <f>-IF('BC5'!K$137/5000&gt;=1,MIN((ROUNDDOWN('BC5'!K$137/5000,0)*5000),'BC5'!K$139),0)</f>
        <v>0</v>
      </c>
      <c r="L330" s="446">
        <f>-IF('BC5'!L$137/5000&gt;=1,MIN((ROUNDDOWN('BC5'!L$137/5000,0)*5000),'BC5'!L$139),0)</f>
        <v>0</v>
      </c>
      <c r="M330" s="446">
        <f>-IF('BC5'!M$137/5000&gt;=1,MIN((ROUNDDOWN('BC5'!M$137/5000,0)*5000),'BC5'!M$139),0)</f>
        <v>0</v>
      </c>
      <c r="N330" s="446">
        <f>-IF('BC5'!N$137/5000&gt;=1,MIN((ROUNDDOWN('BC5'!N$137/5000,0)*5000),'BC5'!N$139),0)</f>
        <v>0</v>
      </c>
    </row>
    <row r="334" spans="1:23">
      <c r="A334" s="806" t="s">
        <v>628</v>
      </c>
      <c r="C334" s="806" t="s">
        <v>629</v>
      </c>
      <c r="F334" s="806" t="s">
        <v>630</v>
      </c>
      <c r="J334" s="806" t="s">
        <v>631</v>
      </c>
      <c r="L334" s="806" t="s">
        <v>701</v>
      </c>
      <c r="M334" s="806"/>
      <c r="N334" s="917" t="s">
        <v>671</v>
      </c>
      <c r="Q334" s="806" t="s">
        <v>651</v>
      </c>
      <c r="S334" s="806" t="s">
        <v>652</v>
      </c>
      <c r="U334" s="806" t="s">
        <v>653</v>
      </c>
      <c r="W334" s="806" t="s">
        <v>654</v>
      </c>
    </row>
    <row r="335" spans="1:23" ht="13">
      <c r="N335" s="916" t="s">
        <v>627</v>
      </c>
      <c r="Q335" s="836" t="s">
        <v>627</v>
      </c>
    </row>
    <row r="336" spans="1:23">
      <c r="A336" s="806" t="s">
        <v>49</v>
      </c>
      <c r="C336" s="806" t="s">
        <v>439</v>
      </c>
      <c r="F336" s="806" t="s">
        <v>56</v>
      </c>
      <c r="J336" s="806" t="s">
        <v>649</v>
      </c>
      <c r="L336" s="806" t="s">
        <v>23</v>
      </c>
      <c r="N336" s="917" t="s">
        <v>844</v>
      </c>
      <c r="O336" s="806"/>
      <c r="Q336" s="806" t="s">
        <v>504</v>
      </c>
      <c r="S336" s="806" t="s">
        <v>582</v>
      </c>
      <c r="U336" s="806" t="s">
        <v>191</v>
      </c>
      <c r="W336" s="806" t="s">
        <v>344</v>
      </c>
    </row>
    <row r="337" spans="1:23">
      <c r="A337" s="806" t="s">
        <v>632</v>
      </c>
      <c r="C337" s="806" t="s">
        <v>440</v>
      </c>
      <c r="F337" s="806" t="s">
        <v>642</v>
      </c>
      <c r="J337" s="806" t="s">
        <v>650</v>
      </c>
      <c r="L337" s="806" t="s">
        <v>703</v>
      </c>
      <c r="N337" s="917" t="s">
        <v>845</v>
      </c>
      <c r="O337" s="806"/>
      <c r="P337" s="806"/>
      <c r="Q337" s="806" t="s">
        <v>567</v>
      </c>
      <c r="S337" s="806" t="s">
        <v>735</v>
      </c>
      <c r="U337" s="806" t="s">
        <v>694</v>
      </c>
      <c r="W337" s="806" t="s">
        <v>696</v>
      </c>
    </row>
    <row r="338" spans="1:23">
      <c r="A338" s="806" t="s">
        <v>633</v>
      </c>
      <c r="C338" s="806" t="s">
        <v>296</v>
      </c>
      <c r="F338" s="806" t="s">
        <v>643</v>
      </c>
      <c r="J338" s="806" t="s">
        <v>676</v>
      </c>
      <c r="L338" s="806" t="s">
        <v>702</v>
      </c>
      <c r="N338" s="917" t="s">
        <v>846</v>
      </c>
      <c r="Q338" s="806" t="s">
        <v>589</v>
      </c>
      <c r="S338" s="806" t="s">
        <v>411</v>
      </c>
      <c r="U338" s="806" t="s">
        <v>695</v>
      </c>
      <c r="W338" s="806" t="s">
        <v>697</v>
      </c>
    </row>
    <row r="339" spans="1:23">
      <c r="A339" s="806" t="s">
        <v>586</v>
      </c>
      <c r="C339" s="806" t="s">
        <v>441</v>
      </c>
      <c r="F339" s="806" t="s">
        <v>699</v>
      </c>
      <c r="J339" s="806" t="s">
        <v>677</v>
      </c>
      <c r="L339" s="806" t="s">
        <v>707</v>
      </c>
      <c r="N339" s="917" t="s">
        <v>684</v>
      </c>
      <c r="Q339" s="806" t="s">
        <v>759</v>
      </c>
      <c r="S339" s="806" t="s">
        <v>692</v>
      </c>
      <c r="U339" s="806" t="s">
        <v>726</v>
      </c>
      <c r="W339" s="806" t="s">
        <v>698</v>
      </c>
    </row>
    <row r="340" spans="1:23">
      <c r="A340" s="806" t="s">
        <v>634</v>
      </c>
      <c r="C340" s="806" t="s">
        <v>278</v>
      </c>
      <c r="F340" s="806" t="s">
        <v>644</v>
      </c>
      <c r="J340" s="806" t="s">
        <v>678</v>
      </c>
      <c r="L340" s="806" t="s">
        <v>704</v>
      </c>
      <c r="N340" s="917" t="s">
        <v>847</v>
      </c>
      <c r="Q340" s="806" t="s">
        <v>683</v>
      </c>
      <c r="S340" s="806" t="s">
        <v>693</v>
      </c>
      <c r="U340" s="806" t="s">
        <v>726</v>
      </c>
      <c r="W340" s="806" t="s">
        <v>727</v>
      </c>
    </row>
    <row r="341" spans="1:23">
      <c r="A341" s="806"/>
      <c r="C341" s="806" t="s">
        <v>635</v>
      </c>
      <c r="F341" s="806" t="s">
        <v>645</v>
      </c>
      <c r="J341" s="806" t="s">
        <v>679</v>
      </c>
      <c r="N341" s="917" t="s">
        <v>848</v>
      </c>
      <c r="Q341" s="806" t="s">
        <v>684</v>
      </c>
      <c r="S341" s="806" t="s">
        <v>700</v>
      </c>
      <c r="W341" s="806" t="s">
        <v>727</v>
      </c>
    </row>
    <row r="342" spans="1:23">
      <c r="C342" s="806" t="s">
        <v>636</v>
      </c>
      <c r="F342" s="806" t="s">
        <v>646</v>
      </c>
      <c r="J342" s="806" t="s">
        <v>680</v>
      </c>
      <c r="N342" s="917"/>
      <c r="Q342" s="806" t="s">
        <v>685</v>
      </c>
      <c r="S342" s="806" t="s">
        <v>725</v>
      </c>
    </row>
    <row r="343" spans="1:23">
      <c r="C343" s="806" t="s">
        <v>637</v>
      </c>
      <c r="F343" s="806" t="s">
        <v>295</v>
      </c>
      <c r="J343" s="806" t="s">
        <v>681</v>
      </c>
      <c r="L343" s="806" t="s">
        <v>705</v>
      </c>
      <c r="N343" s="917" t="s">
        <v>11</v>
      </c>
      <c r="Q343" s="806" t="s">
        <v>686</v>
      </c>
      <c r="S343" s="806" t="s">
        <v>725</v>
      </c>
    </row>
    <row r="344" spans="1:23">
      <c r="C344" s="806" t="s">
        <v>138</v>
      </c>
      <c r="F344" s="806" t="s">
        <v>647</v>
      </c>
      <c r="J344" s="806" t="s">
        <v>682</v>
      </c>
      <c r="N344" s="917"/>
      <c r="Q344" s="806" t="s">
        <v>687</v>
      </c>
    </row>
    <row r="345" spans="1:23">
      <c r="C345" s="806" t="s">
        <v>638</v>
      </c>
      <c r="F345" s="806" t="s">
        <v>648</v>
      </c>
      <c r="J345" s="806"/>
      <c r="L345" s="806" t="s">
        <v>23</v>
      </c>
      <c r="N345" s="917"/>
      <c r="Q345" s="806" t="s">
        <v>688</v>
      </c>
    </row>
    <row r="346" spans="1:23">
      <c r="C346" s="806" t="s">
        <v>639</v>
      </c>
      <c r="F346" s="806"/>
      <c r="L346" s="806" t="s">
        <v>706</v>
      </c>
      <c r="N346" s="917"/>
      <c r="Q346" s="806" t="s">
        <v>689</v>
      </c>
    </row>
    <row r="347" spans="1:23">
      <c r="C347" s="806" t="s">
        <v>640</v>
      </c>
      <c r="L347" s="806" t="s">
        <v>702</v>
      </c>
      <c r="N347" s="917"/>
      <c r="Q347" s="806" t="s">
        <v>724</v>
      </c>
    </row>
    <row r="348" spans="1:23">
      <c r="C348" s="806" t="s">
        <v>641</v>
      </c>
      <c r="L348" s="806" t="s">
        <v>707</v>
      </c>
      <c r="N348" s="917"/>
      <c r="Q348" s="806" t="s">
        <v>760</v>
      </c>
    </row>
    <row r="349" spans="1:23">
      <c r="L349" s="806"/>
      <c r="N349" s="917"/>
      <c r="Q349" s="806" t="s">
        <v>715</v>
      </c>
    </row>
    <row r="350" spans="1:23" ht="13">
      <c r="A350" s="836" t="s">
        <v>690</v>
      </c>
      <c r="C350" s="836" t="s">
        <v>690</v>
      </c>
      <c r="F350" s="836" t="s">
        <v>690</v>
      </c>
      <c r="J350" s="836" t="s">
        <v>690</v>
      </c>
      <c r="N350" s="917"/>
      <c r="Q350" s="806" t="s">
        <v>715</v>
      </c>
    </row>
    <row r="351" spans="1:23">
      <c r="C351" s="806" t="s">
        <v>281</v>
      </c>
      <c r="L351" s="806" t="s">
        <v>708</v>
      </c>
      <c r="N351" s="917"/>
    </row>
    <row r="352" spans="1:23" ht="13">
      <c r="A352" s="806" t="s">
        <v>49</v>
      </c>
      <c r="C352" s="806" t="s">
        <v>855</v>
      </c>
      <c r="N352" s="916" t="s">
        <v>690</v>
      </c>
      <c r="Q352" s="916" t="s">
        <v>690</v>
      </c>
    </row>
    <row r="353" spans="1:14">
      <c r="A353" s="806" t="s">
        <v>632</v>
      </c>
      <c r="C353" s="992" t="s">
        <v>296</v>
      </c>
      <c r="L353" s="806" t="s">
        <v>23</v>
      </c>
      <c r="N353" s="917"/>
    </row>
    <row r="354" spans="1:14">
      <c r="A354" s="806" t="s">
        <v>849</v>
      </c>
      <c r="C354" s="806" t="s">
        <v>853</v>
      </c>
      <c r="L354" s="806" t="s">
        <v>709</v>
      </c>
    </row>
    <row r="355" spans="1:14">
      <c r="A355" s="806" t="s">
        <v>851</v>
      </c>
      <c r="C355" s="806" t="s">
        <v>854</v>
      </c>
      <c r="L355" s="806" t="s">
        <v>702</v>
      </c>
    </row>
    <row r="356" spans="1:14">
      <c r="A356" s="806" t="s">
        <v>850</v>
      </c>
      <c r="C356" s="806" t="s">
        <v>636</v>
      </c>
      <c r="L356" s="806" t="s">
        <v>707</v>
      </c>
    </row>
    <row r="357" spans="1:14">
      <c r="A357" s="806" t="s">
        <v>852</v>
      </c>
      <c r="C357" s="806" t="s">
        <v>637</v>
      </c>
      <c r="L357" s="806" t="s">
        <v>704</v>
      </c>
    </row>
    <row r="358" spans="1:14">
      <c r="A358" s="806"/>
      <c r="C358" s="806" t="s">
        <v>138</v>
      </c>
    </row>
    <row r="359" spans="1:14">
      <c r="A359" s="806"/>
      <c r="C359" s="806" t="s">
        <v>639</v>
      </c>
    </row>
    <row r="360" spans="1:14">
      <c r="A360" s="806"/>
      <c r="C360" s="806" t="s">
        <v>640</v>
      </c>
      <c r="L360" s="806" t="s">
        <v>710</v>
      </c>
    </row>
    <row r="361" spans="1:14">
      <c r="A361" s="806"/>
    </row>
    <row r="362" spans="1:14">
      <c r="C362" s="806"/>
      <c r="L362" s="806" t="s">
        <v>23</v>
      </c>
    </row>
    <row r="363" spans="1:14">
      <c r="C363" s="992"/>
      <c r="L363" s="806" t="s">
        <v>711</v>
      </c>
    </row>
    <row r="364" spans="1:14">
      <c r="C364" s="992"/>
      <c r="L364" s="806" t="s">
        <v>702</v>
      </c>
    </row>
    <row r="365" spans="1:14">
      <c r="C365" s="992"/>
      <c r="L365" s="806" t="s">
        <v>712</v>
      </c>
    </row>
    <row r="366" spans="1:14">
      <c r="C366" s="992"/>
      <c r="L366" s="806"/>
    </row>
    <row r="367" spans="1:14">
      <c r="C367" s="992"/>
    </row>
    <row r="368" spans="1:14">
      <c r="C368" s="993"/>
    </row>
    <row r="369" spans="3:12" ht="13">
      <c r="C369" s="992"/>
      <c r="L369" s="916" t="s">
        <v>690</v>
      </c>
    </row>
    <row r="370" spans="3:12">
      <c r="C370" s="992"/>
      <c r="L370" s="917" t="s">
        <v>728</v>
      </c>
    </row>
    <row r="371" spans="3:12">
      <c r="C371" s="993"/>
    </row>
    <row r="372" spans="3:12">
      <c r="C372" s="994"/>
    </row>
  </sheetData>
  <sheetProtection password="E242" sheet="1" objects="1" scenarios="1"/>
  <customSheetViews>
    <customSheetView guid="{30D0538C-360A-4CDF-8D89-584CED1967CC}" topLeftCell="A309">
      <selection activeCell="N320" sqref="N320"/>
      <pageMargins left="0.78740157499999996" right="0.78740157499999996" top="0.984251969" bottom="0.984251969" header="0.4921259845" footer="0.4921259845"/>
      <pageSetup orientation="portrait" horizontalDpi="300" verticalDpi="300" r:id="rId1"/>
      <headerFooter alignWithMargins="0"/>
    </customSheetView>
    <customSheetView guid="{4F3169C3-3348-49DE-A6DC-8AA4D2A9D7A1}" topLeftCell="A309">
      <selection activeCell="N320" sqref="N320"/>
      <pageMargins left="0.78740157499999996" right="0.78740157499999996" top="0.984251969" bottom="0.984251969" header="0.4921259845" footer="0.4921259845"/>
      <pageSetup orientation="portrait" horizontalDpi="300" verticalDpi="300" r:id="rId2"/>
      <headerFooter alignWithMargins="0"/>
    </customSheetView>
  </customSheetViews>
  <mergeCells count="49">
    <mergeCell ref="A187:B187"/>
    <mergeCell ref="A188:B188"/>
    <mergeCell ref="A189:B189"/>
    <mergeCell ref="A190:B190"/>
    <mergeCell ref="A191:B191"/>
    <mergeCell ref="A182:B182"/>
    <mergeCell ref="A183:B183"/>
    <mergeCell ref="A184:B184"/>
    <mergeCell ref="A185:B185"/>
    <mergeCell ref="A186:B186"/>
    <mergeCell ref="A177:B177"/>
    <mergeCell ref="A178:B178"/>
    <mergeCell ref="A179:B179"/>
    <mergeCell ref="A180:B180"/>
    <mergeCell ref="A181:B181"/>
    <mergeCell ref="A172:B172"/>
    <mergeCell ref="A173:B173"/>
    <mergeCell ref="A174:B174"/>
    <mergeCell ref="A175:B175"/>
    <mergeCell ref="A176:B176"/>
    <mergeCell ref="A167:B167"/>
    <mergeCell ref="A168:B168"/>
    <mergeCell ref="A169:B169"/>
    <mergeCell ref="A170:B170"/>
    <mergeCell ref="A171:B171"/>
    <mergeCell ref="AN238:AY238"/>
    <mergeCell ref="DT238:EE238"/>
    <mergeCell ref="DH238:DS238"/>
    <mergeCell ref="CV238:DG238"/>
    <mergeCell ref="CJ238:CU238"/>
    <mergeCell ref="BX238:CI238"/>
    <mergeCell ref="BL238:BW238"/>
    <mergeCell ref="AZ238:BK238"/>
    <mergeCell ref="AB238:AM238"/>
    <mergeCell ref="A2:F2"/>
    <mergeCell ref="A10:E10"/>
    <mergeCell ref="A18:H18"/>
    <mergeCell ref="A158:B158"/>
    <mergeCell ref="D238:O238"/>
    <mergeCell ref="P238:AA238"/>
    <mergeCell ref="C214:C216"/>
    <mergeCell ref="A159:B159"/>
    <mergeCell ref="A160:B160"/>
    <mergeCell ref="A161:B161"/>
    <mergeCell ref="A162:B162"/>
    <mergeCell ref="A163:B163"/>
    <mergeCell ref="A164:B164"/>
    <mergeCell ref="A165:B165"/>
    <mergeCell ref="A166:B166"/>
  </mergeCells>
  <phoneticPr fontId="0" type="noConversion"/>
  <pageMargins left="0.78740157499999996" right="0.78740157499999996" top="0.984251969" bottom="0.984251969" header="0.4921259845" footer="0.4921259845"/>
  <pageSetup orientation="portrait" horizontalDpi="300" verticalDpi="300" r:id="rId3"/>
  <headerFooter alignWithMargins="0"/>
  <drawing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UBV">
    <pageSetUpPr fitToPage="1"/>
  </sheetPr>
  <dimension ref="A1:Z80"/>
  <sheetViews>
    <sheetView showGridLines="0" showRowColHeaders="0" showOutlineSymbols="0" workbookViewId="0">
      <selection activeCell="J9" sqref="J9"/>
    </sheetView>
  </sheetViews>
  <sheetFormatPr baseColWidth="10" defaultColWidth="11.453125" defaultRowHeight="15.5"/>
  <cols>
    <col min="1" max="1" width="33.453125" style="58" customWidth="1"/>
    <col min="2" max="2" width="2.453125" style="58" customWidth="1"/>
    <col min="3" max="3" width="15.453125" style="58" customWidth="1"/>
    <col min="4" max="4" width="18.6328125" style="58" customWidth="1"/>
    <col min="5" max="5" width="1.453125" style="58" customWidth="1"/>
    <col min="6" max="6" width="20.81640625" style="58" customWidth="1"/>
    <col min="7" max="7" width="1.453125" style="58" customWidth="1"/>
    <col min="8" max="8" width="18.6328125" style="58" customWidth="1"/>
    <col min="9" max="9" width="1.453125" style="58" customWidth="1"/>
    <col min="10" max="10" width="18.6328125" style="58" customWidth="1"/>
    <col min="11" max="11" width="1.453125" style="58" customWidth="1"/>
    <col min="12" max="12" width="18.6328125" style="58" customWidth="1"/>
    <col min="13" max="23" width="12.453125" style="58" hidden="1" customWidth="1"/>
    <col min="24" max="24" width="11.453125" style="58" hidden="1" customWidth="1"/>
    <col min="25" max="26" width="0" style="58" hidden="1" customWidth="1"/>
    <col min="27" max="16384" width="11.453125" style="58"/>
  </cols>
  <sheetData>
    <row r="1" spans="1:26" customFormat="1" ht="12.5"/>
    <row r="2" spans="1:26" customFormat="1" ht="12.5"/>
    <row r="3" spans="1:26" customFormat="1" ht="12.5"/>
    <row r="4" spans="1:26" customFormat="1" ht="12.5"/>
    <row r="5" spans="1:26" customFormat="1" ht="12.5"/>
    <row r="6" spans="1:26" customFormat="1" ht="12.5"/>
    <row r="7" spans="1:26" customFormat="1" ht="12.5"/>
    <row r="8" spans="1:26" customFormat="1" ht="5.25" customHeight="1">
      <c r="A8" s="931"/>
      <c r="B8" s="931"/>
      <c r="C8" s="931"/>
      <c r="D8" s="931"/>
      <c r="E8" s="931"/>
      <c r="F8" s="931"/>
      <c r="G8" s="931"/>
      <c r="H8" s="931"/>
      <c r="I8" s="931"/>
    </row>
    <row r="9" spans="1:26" ht="25">
      <c r="A9" s="194" t="str">
        <f>RG!D17</f>
        <v>Jhon Wesly inc.</v>
      </c>
    </row>
    <row r="13" spans="1:26" ht="15.75" customHeight="1"/>
    <row r="14" spans="1:26" ht="15.75" customHeight="1"/>
    <row r="15" spans="1:26" ht="15.75" customHeight="1">
      <c r="A15" s="59" t="s">
        <v>444</v>
      </c>
      <c r="I15" s="675" t="s">
        <v>77</v>
      </c>
    </row>
    <row r="16" spans="1:26" ht="16" thickBot="1">
      <c r="I16" s="675" t="s">
        <v>78</v>
      </c>
      <c r="N16" s="58">
        <f>IF($H$18&gt;4.33333333,4.33333333,H18)</f>
        <v>0</v>
      </c>
      <c r="O16" s="58">
        <f>IF(N16&lt;4.33333333,0,$H$18-N16)</f>
        <v>0</v>
      </c>
      <c r="P16" s="58">
        <f>IF(O16&lt;4.33333333,0,O16-O17)</f>
        <v>0</v>
      </c>
      <c r="Q16" s="58">
        <f>IF(P16&lt;4.33333333,0,P16-P17)</f>
        <v>0</v>
      </c>
      <c r="R16" s="58">
        <f>IF(Q16&lt;4.33333333,0,Q16-Q17)</f>
        <v>0</v>
      </c>
      <c r="S16" s="58">
        <f t="shared" ref="S16:Z16" si="0">IF(R16&lt;4.33333333,0,R16-R17)</f>
        <v>0</v>
      </c>
      <c r="T16" s="58">
        <f t="shared" si="0"/>
        <v>0</v>
      </c>
      <c r="U16" s="58">
        <f t="shared" si="0"/>
        <v>0</v>
      </c>
      <c r="V16" s="58">
        <f t="shared" si="0"/>
        <v>0</v>
      </c>
      <c r="W16" s="58">
        <f t="shared" si="0"/>
        <v>0</v>
      </c>
      <c r="X16" s="58">
        <f t="shared" si="0"/>
        <v>0</v>
      </c>
      <c r="Y16" s="58">
        <f t="shared" si="0"/>
        <v>0</v>
      </c>
      <c r="Z16" s="58">
        <f t="shared" si="0"/>
        <v>0</v>
      </c>
    </row>
    <row r="17" spans="1:26" ht="16" thickBot="1">
      <c r="A17" s="225" t="s">
        <v>445</v>
      </c>
      <c r="C17" s="1149" t="s">
        <v>13</v>
      </c>
      <c r="D17" s="1151"/>
      <c r="F17" s="226" t="s">
        <v>140</v>
      </c>
      <c r="H17" s="938">
        <v>0</v>
      </c>
      <c r="N17" s="58">
        <f>IF($H$21&gt;4.33333333,4.33333333,N16)</f>
        <v>0</v>
      </c>
      <c r="O17" s="58">
        <f t="shared" ref="O17:Z17" si="1">IF(O16&gt;4.33333333,4.33333333,O16)</f>
        <v>0</v>
      </c>
      <c r="P17" s="58">
        <f t="shared" si="1"/>
        <v>0</v>
      </c>
      <c r="Q17" s="58">
        <f t="shared" si="1"/>
        <v>0</v>
      </c>
      <c r="R17" s="58">
        <f t="shared" si="1"/>
        <v>0</v>
      </c>
      <c r="S17" s="58">
        <f t="shared" si="1"/>
        <v>0</v>
      </c>
      <c r="T17" s="58">
        <f t="shared" si="1"/>
        <v>0</v>
      </c>
      <c r="U17" s="58">
        <f t="shared" si="1"/>
        <v>0</v>
      </c>
      <c r="V17" s="58">
        <f t="shared" si="1"/>
        <v>0</v>
      </c>
      <c r="W17" s="58">
        <f t="shared" si="1"/>
        <v>0</v>
      </c>
      <c r="X17" s="58">
        <f t="shared" si="1"/>
        <v>0</v>
      </c>
      <c r="Y17" s="58">
        <f t="shared" si="1"/>
        <v>0</v>
      </c>
      <c r="Z17" s="58">
        <f t="shared" si="1"/>
        <v>0</v>
      </c>
    </row>
    <row r="18" spans="1:26" ht="16" thickBot="1">
      <c r="A18" s="225"/>
      <c r="C18" s="227"/>
      <c r="D18" s="227"/>
      <c r="F18" s="226" t="s">
        <v>327</v>
      </c>
      <c r="H18" s="939">
        <v>0</v>
      </c>
      <c r="N18" s="58">
        <f>IF($H$21&gt;4.33333333,4.33333333,H21)</f>
        <v>0</v>
      </c>
      <c r="O18" s="58">
        <f>IF(N18&lt;4.33333333,0,$H$21-N19)</f>
        <v>0</v>
      </c>
      <c r="P18" s="58">
        <f>IF(O18&lt;4.33333333,0,O18-O19)</f>
        <v>0</v>
      </c>
      <c r="Q18" s="58">
        <f t="shared" ref="Q18:Z18" si="2">IF(P18&lt;4.33333333,0,P18-P19)</f>
        <v>0</v>
      </c>
      <c r="R18" s="58">
        <f t="shared" si="2"/>
        <v>0</v>
      </c>
      <c r="S18" s="58">
        <f t="shared" si="2"/>
        <v>0</v>
      </c>
      <c r="T18" s="58">
        <f t="shared" si="2"/>
        <v>0</v>
      </c>
      <c r="U18" s="58">
        <f t="shared" si="2"/>
        <v>0</v>
      </c>
      <c r="V18" s="58">
        <f t="shared" si="2"/>
        <v>0</v>
      </c>
      <c r="W18" s="58">
        <f t="shared" si="2"/>
        <v>0</v>
      </c>
      <c r="X18" s="58">
        <f t="shared" si="2"/>
        <v>0</v>
      </c>
      <c r="Y18" s="58">
        <f t="shared" si="2"/>
        <v>0</v>
      </c>
      <c r="Z18" s="58">
        <f t="shared" si="2"/>
        <v>0</v>
      </c>
    </row>
    <row r="19" spans="1:26" ht="16" thickBot="1">
      <c r="A19" s="225"/>
      <c r="C19" s="227"/>
      <c r="D19" s="227"/>
      <c r="F19" s="226"/>
      <c r="H19" s="228"/>
      <c r="N19" s="58">
        <f>IF($H$21&gt;4.33333333,4.33333333,N18)</f>
        <v>0</v>
      </c>
      <c r="O19" s="58">
        <f t="shared" ref="O19:Z19" si="3">IF(O18&gt;4.33333333,4.33333333,O18)</f>
        <v>0</v>
      </c>
      <c r="P19" s="58">
        <f t="shared" si="3"/>
        <v>0</v>
      </c>
      <c r="Q19" s="58">
        <f t="shared" si="3"/>
        <v>0</v>
      </c>
      <c r="R19" s="58">
        <f t="shared" si="3"/>
        <v>0</v>
      </c>
      <c r="S19" s="58">
        <f t="shared" si="3"/>
        <v>0</v>
      </c>
      <c r="T19" s="58">
        <f t="shared" si="3"/>
        <v>0</v>
      </c>
      <c r="U19" s="58">
        <f t="shared" si="3"/>
        <v>0</v>
      </c>
      <c r="V19" s="58">
        <f t="shared" si="3"/>
        <v>0</v>
      </c>
      <c r="W19" s="58">
        <f t="shared" si="3"/>
        <v>0</v>
      </c>
      <c r="X19" s="58">
        <f t="shared" si="3"/>
        <v>0</v>
      </c>
      <c r="Y19" s="58">
        <f t="shared" si="3"/>
        <v>0</v>
      </c>
      <c r="Z19" s="58">
        <f t="shared" si="3"/>
        <v>0</v>
      </c>
    </row>
    <row r="20" spans="1:26" ht="16" thickBot="1">
      <c r="A20" s="225" t="s">
        <v>445</v>
      </c>
      <c r="C20" s="1149" t="s">
        <v>13</v>
      </c>
      <c r="D20" s="1151"/>
      <c r="F20" s="226" t="s">
        <v>140</v>
      </c>
      <c r="H20" s="938">
        <v>0</v>
      </c>
    </row>
    <row r="21" spans="1:26" ht="16" thickBot="1">
      <c r="F21" s="226" t="s">
        <v>327</v>
      </c>
      <c r="H21" s="940">
        <v>0</v>
      </c>
      <c r="N21" s="230">
        <f>$H$17*N16</f>
        <v>0</v>
      </c>
      <c r="O21" s="230">
        <f t="shared" ref="O21:Z21" si="4">$H$17*O17</f>
        <v>0</v>
      </c>
      <c r="P21" s="230">
        <f t="shared" si="4"/>
        <v>0</v>
      </c>
      <c r="Q21" s="230">
        <f t="shared" si="4"/>
        <v>0</v>
      </c>
      <c r="R21" s="230">
        <f t="shared" si="4"/>
        <v>0</v>
      </c>
      <c r="S21" s="230">
        <f t="shared" si="4"/>
        <v>0</v>
      </c>
      <c r="T21" s="230">
        <f t="shared" si="4"/>
        <v>0</v>
      </c>
      <c r="U21" s="230">
        <f t="shared" si="4"/>
        <v>0</v>
      </c>
      <c r="V21" s="230">
        <f t="shared" si="4"/>
        <v>0</v>
      </c>
      <c r="W21" s="230">
        <f t="shared" si="4"/>
        <v>0</v>
      </c>
      <c r="X21" s="230">
        <f t="shared" si="4"/>
        <v>0</v>
      </c>
      <c r="Y21" s="230">
        <f t="shared" si="4"/>
        <v>0</v>
      </c>
      <c r="Z21" s="230">
        <f t="shared" si="4"/>
        <v>0</v>
      </c>
    </row>
    <row r="22" spans="1:26">
      <c r="A22" s="1172" t="s">
        <v>324</v>
      </c>
      <c r="B22" s="1172"/>
      <c r="C22" s="1172"/>
      <c r="D22" s="1172"/>
      <c r="E22" s="1172"/>
      <c r="F22" s="1172"/>
      <c r="G22" s="1172"/>
      <c r="H22" s="1172"/>
      <c r="I22" s="1172"/>
      <c r="N22" s="230">
        <f>$H$20*N17</f>
        <v>0</v>
      </c>
      <c r="O22" s="230">
        <f t="shared" ref="O22:Z22" si="5">$H$20*O19</f>
        <v>0</v>
      </c>
      <c r="P22" s="230">
        <f t="shared" si="5"/>
        <v>0</v>
      </c>
      <c r="Q22" s="230">
        <f t="shared" si="5"/>
        <v>0</v>
      </c>
      <c r="R22" s="230">
        <f t="shared" si="5"/>
        <v>0</v>
      </c>
      <c r="S22" s="230">
        <f t="shared" si="5"/>
        <v>0</v>
      </c>
      <c r="T22" s="230">
        <f t="shared" si="5"/>
        <v>0</v>
      </c>
      <c r="U22" s="230">
        <f t="shared" si="5"/>
        <v>0</v>
      </c>
      <c r="V22" s="230">
        <f t="shared" si="5"/>
        <v>0</v>
      </c>
      <c r="W22" s="230">
        <f t="shared" si="5"/>
        <v>0</v>
      </c>
      <c r="X22" s="230">
        <f t="shared" si="5"/>
        <v>0</v>
      </c>
      <c r="Y22" s="230">
        <f t="shared" si="5"/>
        <v>0</v>
      </c>
      <c r="Z22" s="230">
        <f t="shared" si="5"/>
        <v>0</v>
      </c>
    </row>
    <row r="23" spans="1:26" ht="9.75" customHeight="1">
      <c r="A23" s="1172"/>
      <c r="B23" s="1172"/>
      <c r="C23" s="1172"/>
      <c r="D23" s="1172"/>
      <c r="E23" s="1172"/>
      <c r="F23" s="1172"/>
      <c r="G23" s="1172"/>
      <c r="H23" s="1172"/>
      <c r="I23" s="1172"/>
      <c r="N23" s="230">
        <f>N21</f>
        <v>0</v>
      </c>
      <c r="O23" s="230">
        <f t="shared" ref="O23:Z23" si="6">IF(AND(O$16&gt;4.33333333,O$16&gt;0),O21,O16*$H$17)</f>
        <v>0</v>
      </c>
      <c r="P23" s="230">
        <f t="shared" si="6"/>
        <v>0</v>
      </c>
      <c r="Q23" s="230">
        <f t="shared" si="6"/>
        <v>0</v>
      </c>
      <c r="R23" s="230">
        <f t="shared" si="6"/>
        <v>0</v>
      </c>
      <c r="S23" s="230">
        <f t="shared" si="6"/>
        <v>0</v>
      </c>
      <c r="T23" s="230">
        <f t="shared" si="6"/>
        <v>0</v>
      </c>
      <c r="U23" s="230">
        <f t="shared" si="6"/>
        <v>0</v>
      </c>
      <c r="V23" s="230">
        <f t="shared" si="6"/>
        <v>0</v>
      </c>
      <c r="W23" s="230">
        <f t="shared" si="6"/>
        <v>0</v>
      </c>
      <c r="X23" s="230">
        <f t="shared" si="6"/>
        <v>0</v>
      </c>
      <c r="Y23" s="230">
        <f t="shared" si="6"/>
        <v>0</v>
      </c>
      <c r="Z23" s="230">
        <f t="shared" si="6"/>
        <v>0</v>
      </c>
    </row>
    <row r="24" spans="1:26" ht="14.25" customHeight="1" thickBot="1">
      <c r="A24" s="229"/>
      <c r="B24" s="229"/>
      <c r="C24" s="229"/>
      <c r="D24" s="229"/>
      <c r="E24" s="229"/>
      <c r="F24" s="229"/>
      <c r="G24" s="229"/>
      <c r="H24" s="229"/>
      <c r="N24" s="230">
        <f>N22</f>
        <v>0</v>
      </c>
      <c r="O24" s="230">
        <f t="shared" ref="O24:Z24" si="7">IF(AND(O$18&gt;4.33333333,O$18&gt;0),O22,O19*$H$20)</f>
        <v>0</v>
      </c>
      <c r="P24" s="230">
        <f t="shared" si="7"/>
        <v>0</v>
      </c>
      <c r="Q24" s="230">
        <f t="shared" si="7"/>
        <v>0</v>
      </c>
      <c r="R24" s="230">
        <f t="shared" si="7"/>
        <v>0</v>
      </c>
      <c r="S24" s="230">
        <f t="shared" si="7"/>
        <v>0</v>
      </c>
      <c r="T24" s="230">
        <f t="shared" si="7"/>
        <v>0</v>
      </c>
      <c r="U24" s="230">
        <f t="shared" si="7"/>
        <v>0</v>
      </c>
      <c r="V24" s="230">
        <f t="shared" si="7"/>
        <v>0</v>
      </c>
      <c r="W24" s="230">
        <f t="shared" si="7"/>
        <v>0</v>
      </c>
      <c r="X24" s="230">
        <f t="shared" si="7"/>
        <v>0</v>
      </c>
      <c r="Y24" s="230">
        <f t="shared" si="7"/>
        <v>0</v>
      </c>
      <c r="Z24" s="230">
        <f t="shared" si="7"/>
        <v>0</v>
      </c>
    </row>
    <row r="25" spans="1:26" ht="22.5" customHeight="1" thickBot="1">
      <c r="A25" s="59" t="s">
        <v>547</v>
      </c>
      <c r="D25" s="1173" t="s">
        <v>886</v>
      </c>
      <c r="E25" s="1174"/>
      <c r="F25" s="1174"/>
      <c r="G25" s="1174"/>
      <c r="H25" s="1175"/>
    </row>
    <row r="26" spans="1:26" ht="14.25" customHeight="1" thickBot="1">
      <c r="D26" s="196"/>
      <c r="E26" s="196"/>
      <c r="F26" s="196"/>
      <c r="G26" s="196"/>
      <c r="H26" s="196"/>
    </row>
    <row r="27" spans="1:26" ht="22.5" customHeight="1" thickBot="1">
      <c r="A27" s="59" t="s">
        <v>548</v>
      </c>
      <c r="C27" s="941">
        <v>0</v>
      </c>
      <c r="D27" s="231" t="s">
        <v>555</v>
      </c>
      <c r="E27" s="60"/>
      <c r="F27" s="231" t="s">
        <v>557</v>
      </c>
      <c r="G27" s="60"/>
      <c r="H27" s="231" t="s">
        <v>559</v>
      </c>
      <c r="J27" s="231" t="s">
        <v>3</v>
      </c>
      <c r="K27" s="60"/>
      <c r="L27" s="231" t="s">
        <v>4</v>
      </c>
    </row>
    <row r="28" spans="1:26" ht="14.25" customHeight="1" thickBot="1">
      <c r="D28" s="196"/>
      <c r="E28" s="196"/>
      <c r="F28" s="196"/>
      <c r="G28" s="196"/>
      <c r="H28" s="196"/>
      <c r="J28" s="196"/>
      <c r="K28" s="196"/>
      <c r="L28" s="196"/>
    </row>
    <row r="29" spans="1:26" ht="22.5" customHeight="1" thickBot="1">
      <c r="A29" s="59" t="s">
        <v>414</v>
      </c>
      <c r="C29" s="941">
        <v>0</v>
      </c>
    </row>
    <row r="30" spans="1:26" ht="14.25" customHeight="1" thickBot="1">
      <c r="D30" s="232"/>
      <c r="E30" s="232"/>
    </row>
    <row r="31" spans="1:26" ht="22.5" customHeight="1" thickBot="1">
      <c r="A31" s="59" t="s">
        <v>510</v>
      </c>
      <c r="D31" s="938">
        <v>0</v>
      </c>
      <c r="E31" s="233"/>
      <c r="F31" s="938">
        <v>0</v>
      </c>
      <c r="G31" s="233"/>
      <c r="H31" s="938">
        <v>0</v>
      </c>
      <c r="J31" s="938">
        <v>0</v>
      </c>
      <c r="K31" s="233"/>
      <c r="L31" s="938">
        <v>0</v>
      </c>
    </row>
    <row r="32" spans="1:26" ht="22.5" customHeight="1">
      <c r="A32" s="59" t="s">
        <v>323</v>
      </c>
      <c r="D32" s="386">
        <f>C27-C29-D31</f>
        <v>0</v>
      </c>
      <c r="E32" s="233"/>
      <c r="F32" s="386">
        <f>D32-F31</f>
        <v>0</v>
      </c>
      <c r="G32" s="233"/>
      <c r="H32" s="386">
        <f>F32-H31</f>
        <v>0</v>
      </c>
      <c r="J32" s="386">
        <f>H32-J31</f>
        <v>0</v>
      </c>
      <c r="K32" s="233"/>
      <c r="L32" s="386">
        <f>J32-L31</f>
        <v>0</v>
      </c>
    </row>
    <row r="33" spans="1:12" ht="22.5" customHeight="1"/>
    <row r="34" spans="1:12" ht="14.25" customHeight="1"/>
    <row r="35" spans="1:12" ht="15.75" customHeight="1">
      <c r="A35" s="1172" t="s">
        <v>325</v>
      </c>
      <c r="B35" s="1172"/>
      <c r="C35" s="1172"/>
      <c r="D35" s="1172"/>
      <c r="E35" s="1172"/>
      <c r="F35" s="1172"/>
      <c r="G35" s="1172"/>
      <c r="H35" s="1172"/>
      <c r="I35" s="1172"/>
    </row>
    <row r="36" spans="1:12" ht="9" customHeight="1">
      <c r="A36" s="1172"/>
      <c r="B36" s="1172"/>
      <c r="C36" s="1172"/>
      <c r="D36" s="1172"/>
      <c r="E36" s="1172"/>
      <c r="F36" s="1172"/>
      <c r="G36" s="1172"/>
      <c r="H36" s="1172"/>
      <c r="I36" s="1172"/>
    </row>
    <row r="37" spans="1:12" ht="14.25" customHeight="1" thickBot="1">
      <c r="A37" s="229"/>
      <c r="B37" s="229"/>
      <c r="C37" s="229"/>
      <c r="D37" s="229"/>
      <c r="E37" s="229"/>
      <c r="F37" s="229"/>
      <c r="G37" s="229"/>
      <c r="H37" s="229"/>
    </row>
    <row r="38" spans="1:12" ht="22.5" customHeight="1" thickBot="1">
      <c r="A38" s="59" t="s">
        <v>547</v>
      </c>
      <c r="D38" s="1173" t="s">
        <v>885</v>
      </c>
      <c r="E38" s="1174"/>
      <c r="F38" s="1174"/>
      <c r="G38" s="1174"/>
      <c r="H38" s="1175"/>
    </row>
    <row r="39" spans="1:12" ht="14.25" customHeight="1" thickBot="1">
      <c r="D39" s="196"/>
      <c r="E39" s="196"/>
      <c r="F39" s="196"/>
      <c r="G39" s="196"/>
      <c r="H39" s="196"/>
    </row>
    <row r="40" spans="1:12" ht="22.5" customHeight="1" thickBot="1">
      <c r="A40" s="59" t="s">
        <v>548</v>
      </c>
      <c r="C40" s="941">
        <v>0</v>
      </c>
      <c r="D40" s="231" t="s">
        <v>555</v>
      </c>
      <c r="E40" s="60"/>
      <c r="F40" s="231" t="s">
        <v>557</v>
      </c>
      <c r="G40" s="60"/>
      <c r="H40" s="231" t="s">
        <v>559</v>
      </c>
      <c r="J40" s="231" t="s">
        <v>3</v>
      </c>
      <c r="K40" s="60"/>
      <c r="L40" s="231" t="s">
        <v>4</v>
      </c>
    </row>
    <row r="41" spans="1:12" ht="14.25" customHeight="1" thickBot="1">
      <c r="D41" s="196"/>
      <c r="E41" s="196"/>
      <c r="F41" s="196"/>
      <c r="G41" s="196"/>
      <c r="H41" s="196"/>
      <c r="J41" s="196"/>
      <c r="K41" s="196"/>
      <c r="L41" s="196"/>
    </row>
    <row r="42" spans="1:12" ht="22.5" customHeight="1" thickBot="1">
      <c r="A42" s="59" t="s">
        <v>414</v>
      </c>
      <c r="C42" s="941">
        <v>0</v>
      </c>
    </row>
    <row r="43" spans="1:12" ht="22.5" customHeight="1" thickBot="1">
      <c r="D43" s="232"/>
      <c r="E43" s="232"/>
    </row>
    <row r="44" spans="1:12" ht="22.5" customHeight="1" thickBot="1">
      <c r="A44" s="59"/>
      <c r="D44" s="938">
        <v>0</v>
      </c>
      <c r="E44" s="233"/>
      <c r="F44" s="938">
        <v>0</v>
      </c>
      <c r="G44" s="233"/>
      <c r="H44" s="938">
        <v>0</v>
      </c>
      <c r="J44" s="938">
        <v>0</v>
      </c>
      <c r="K44" s="233"/>
      <c r="L44" s="938">
        <v>0</v>
      </c>
    </row>
    <row r="45" spans="1:12" ht="22.5" customHeight="1">
      <c r="A45" s="59" t="s">
        <v>323</v>
      </c>
      <c r="D45" s="386">
        <f>C40-C42-D44</f>
        <v>0</v>
      </c>
      <c r="E45" s="233"/>
      <c r="F45" s="386">
        <f>D45-F44</f>
        <v>0</v>
      </c>
      <c r="G45" s="233"/>
      <c r="H45" s="386">
        <f>F45-H44</f>
        <v>0</v>
      </c>
      <c r="J45" s="386">
        <f>H45-J44</f>
        <v>0</v>
      </c>
      <c r="K45" s="233"/>
      <c r="L45" s="386">
        <f>J45-L44</f>
        <v>0</v>
      </c>
    </row>
    <row r="46" spans="1:12" ht="22.5" customHeight="1">
      <c r="D46" s="233"/>
      <c r="E46" s="233"/>
      <c r="F46" s="233"/>
      <c r="G46" s="233"/>
      <c r="H46" s="233"/>
    </row>
    <row r="47" spans="1:12" ht="22.5" customHeight="1">
      <c r="D47" s="233"/>
      <c r="E47" s="233"/>
      <c r="F47" s="233"/>
      <c r="G47" s="233"/>
      <c r="H47" s="233"/>
    </row>
    <row r="48" spans="1:12" ht="15.75" customHeight="1">
      <c r="A48" s="1172" t="s">
        <v>326</v>
      </c>
      <c r="B48" s="1172"/>
      <c r="C48" s="1172"/>
      <c r="D48" s="1172"/>
      <c r="E48" s="1172"/>
      <c r="F48" s="1172"/>
      <c r="G48" s="1172"/>
      <c r="H48" s="1172"/>
      <c r="I48" s="1172"/>
    </row>
    <row r="49" spans="1:12" ht="9" customHeight="1">
      <c r="A49" s="1172"/>
      <c r="B49" s="1172"/>
      <c r="C49" s="1172"/>
      <c r="D49" s="1172"/>
      <c r="E49" s="1172"/>
      <c r="F49" s="1172"/>
      <c r="G49" s="1172"/>
      <c r="H49" s="1172"/>
      <c r="I49" s="1172"/>
    </row>
    <row r="50" spans="1:12" ht="22.5" customHeight="1" thickBot="1">
      <c r="A50" s="229"/>
      <c r="B50" s="229"/>
      <c r="C50" s="229"/>
      <c r="D50" s="229"/>
      <c r="E50" s="229"/>
      <c r="F50" s="229"/>
      <c r="G50" s="229"/>
      <c r="H50" s="229"/>
    </row>
    <row r="51" spans="1:12" ht="22.5" customHeight="1" thickBot="1">
      <c r="A51" s="59" t="s">
        <v>547</v>
      </c>
      <c r="D51" s="1173"/>
      <c r="E51" s="1174"/>
      <c r="F51" s="1174"/>
      <c r="G51" s="1174"/>
      <c r="H51" s="1175"/>
    </row>
    <row r="52" spans="1:12" ht="22.5" customHeight="1" thickBot="1">
      <c r="D52" s="196"/>
      <c r="E52" s="196"/>
      <c r="F52" s="196"/>
      <c r="G52" s="196"/>
      <c r="H52" s="196"/>
    </row>
    <row r="53" spans="1:12" ht="22.5" customHeight="1" thickBot="1">
      <c r="A53" s="59" t="s">
        <v>548</v>
      </c>
      <c r="C53" s="941">
        <v>0</v>
      </c>
      <c r="D53" s="231" t="s">
        <v>555</v>
      </c>
      <c r="E53" s="60"/>
      <c r="F53" s="231" t="s">
        <v>557</v>
      </c>
      <c r="G53" s="60"/>
      <c r="H53" s="231" t="s">
        <v>559</v>
      </c>
      <c r="J53" s="231" t="s">
        <v>3</v>
      </c>
      <c r="K53" s="60"/>
      <c r="L53" s="231" t="s">
        <v>4</v>
      </c>
    </row>
    <row r="54" spans="1:12" ht="22.5" customHeight="1" thickBot="1">
      <c r="D54" s="196"/>
      <c r="E54" s="196"/>
      <c r="F54" s="196"/>
      <c r="G54" s="196"/>
      <c r="H54" s="196"/>
      <c r="J54" s="196"/>
      <c r="K54" s="196"/>
      <c r="L54" s="196"/>
    </row>
    <row r="55" spans="1:12" ht="22.5" customHeight="1" thickBot="1">
      <c r="A55" s="59" t="s">
        <v>414</v>
      </c>
      <c r="C55" s="941">
        <v>0</v>
      </c>
    </row>
    <row r="56" spans="1:12" ht="22.5" customHeight="1" thickBot="1">
      <c r="D56" s="232"/>
      <c r="E56" s="232"/>
    </row>
    <row r="57" spans="1:12" ht="22.5" customHeight="1" thickBot="1">
      <c r="A57" s="59" t="s">
        <v>510</v>
      </c>
      <c r="D57" s="938">
        <v>0</v>
      </c>
      <c r="E57" s="233"/>
      <c r="F57" s="938">
        <v>0</v>
      </c>
      <c r="G57" s="233"/>
      <c r="H57" s="938">
        <v>0</v>
      </c>
      <c r="J57" s="938">
        <v>0</v>
      </c>
      <c r="K57" s="233"/>
      <c r="L57" s="938">
        <v>0</v>
      </c>
    </row>
    <row r="58" spans="1:12" ht="22.5" customHeight="1">
      <c r="A58" s="59" t="s">
        <v>323</v>
      </c>
      <c r="D58" s="386">
        <f>C53-C55-D57</f>
        <v>0</v>
      </c>
      <c r="E58" s="233"/>
      <c r="F58" s="386">
        <f>D58-F57</f>
        <v>0</v>
      </c>
      <c r="G58" s="233"/>
      <c r="H58" s="386">
        <f>F58-H57</f>
        <v>0</v>
      </c>
      <c r="J58" s="386">
        <f>H58-J57</f>
        <v>0</v>
      </c>
      <c r="K58" s="233"/>
      <c r="L58" s="386">
        <f>J58-L57</f>
        <v>0</v>
      </c>
    </row>
    <row r="59" spans="1:12" ht="22.5" customHeight="1"/>
    <row r="60" spans="1:12" ht="22.5" customHeight="1"/>
    <row r="61" spans="1:12" ht="15.75" customHeight="1">
      <c r="A61" s="1172" t="s">
        <v>132</v>
      </c>
      <c r="B61" s="1172"/>
      <c r="C61" s="1172"/>
      <c r="D61" s="1172"/>
      <c r="E61" s="1172"/>
      <c r="F61" s="1172"/>
      <c r="G61" s="1172"/>
      <c r="H61" s="1172"/>
      <c r="I61" s="1172"/>
    </row>
    <row r="62" spans="1:12" ht="9" customHeight="1">
      <c r="A62" s="1172"/>
      <c r="B62" s="1172"/>
      <c r="C62" s="1172"/>
      <c r="D62" s="1172"/>
      <c r="E62" s="1172"/>
      <c r="F62" s="1172"/>
      <c r="G62" s="1172"/>
      <c r="H62" s="1172"/>
      <c r="I62" s="1172"/>
    </row>
    <row r="63" spans="1:12" ht="22.5" customHeight="1" thickBot="1">
      <c r="A63" s="229"/>
      <c r="B63" s="229"/>
      <c r="C63" s="229"/>
      <c r="D63" s="229"/>
      <c r="E63" s="229"/>
      <c r="F63" s="229"/>
      <c r="G63" s="229"/>
      <c r="H63" s="229"/>
    </row>
    <row r="64" spans="1:12" ht="22.5" customHeight="1" thickBot="1">
      <c r="A64" s="59" t="s">
        <v>547</v>
      </c>
      <c r="D64" s="1173"/>
      <c r="E64" s="1174"/>
      <c r="F64" s="1174"/>
      <c r="G64" s="1174"/>
      <c r="H64" s="1175"/>
    </row>
    <row r="65" spans="1:12" ht="22.5" customHeight="1" thickBot="1">
      <c r="D65" s="196"/>
      <c r="E65" s="196"/>
      <c r="F65" s="196"/>
      <c r="G65" s="196"/>
      <c r="H65" s="196"/>
    </row>
    <row r="66" spans="1:12" ht="22.5" customHeight="1" thickBot="1">
      <c r="A66" s="59" t="s">
        <v>548</v>
      </c>
      <c r="C66" s="941">
        <v>0</v>
      </c>
      <c r="D66" s="231" t="s">
        <v>555</v>
      </c>
      <c r="E66" s="60"/>
      <c r="F66" s="231" t="s">
        <v>557</v>
      </c>
      <c r="G66" s="60"/>
      <c r="H66" s="231" t="s">
        <v>559</v>
      </c>
      <c r="J66" s="231" t="s">
        <v>3</v>
      </c>
      <c r="K66" s="60"/>
      <c r="L66" s="231" t="s">
        <v>4</v>
      </c>
    </row>
    <row r="67" spans="1:12" ht="22.5" customHeight="1" thickBot="1">
      <c r="D67" s="196"/>
      <c r="E67" s="196"/>
      <c r="F67" s="196"/>
      <c r="G67" s="196"/>
      <c r="H67" s="196"/>
      <c r="J67" s="196"/>
      <c r="K67" s="196"/>
      <c r="L67" s="196"/>
    </row>
    <row r="68" spans="1:12" ht="22.5" customHeight="1" thickBot="1">
      <c r="A68" s="59" t="s">
        <v>414</v>
      </c>
      <c r="C68" s="941">
        <v>0</v>
      </c>
    </row>
    <row r="69" spans="1:12" ht="22.5" customHeight="1" thickBot="1">
      <c r="D69" s="232"/>
      <c r="E69" s="232"/>
    </row>
    <row r="70" spans="1:12" ht="22.5" customHeight="1" thickBot="1">
      <c r="A70" s="59" t="s">
        <v>510</v>
      </c>
      <c r="D70" s="938">
        <v>0</v>
      </c>
      <c r="E70" s="233"/>
      <c r="F70" s="938">
        <v>0</v>
      </c>
      <c r="G70" s="233"/>
      <c r="H70" s="938">
        <v>0</v>
      </c>
      <c r="J70" s="938">
        <v>0</v>
      </c>
      <c r="K70" s="233"/>
      <c r="L70" s="938">
        <v>0</v>
      </c>
    </row>
    <row r="71" spans="1:12" ht="22.5" customHeight="1">
      <c r="D71" s="386">
        <f>C66-C68-D70</f>
        <v>0</v>
      </c>
      <c r="E71" s="233"/>
      <c r="F71" s="386">
        <f>D71-F70</f>
        <v>0</v>
      </c>
      <c r="G71" s="233"/>
      <c r="H71" s="386">
        <f>F71-H70</f>
        <v>0</v>
      </c>
      <c r="J71" s="386">
        <f>H71-J70</f>
        <v>0</v>
      </c>
      <c r="K71" s="233"/>
      <c r="L71" s="386">
        <f>J71-L70</f>
        <v>0</v>
      </c>
    </row>
    <row r="80" spans="1:12" hidden="1">
      <c r="A80" s="1048">
        <v>1</v>
      </c>
    </row>
  </sheetData>
  <sheetProtection password="E242" sheet="1" objects="1" scenarios="1"/>
  <customSheetViews>
    <customSheetView guid="{30D0538C-360A-4CDF-8D89-584CED1967CC}"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 guid="{4F3169C3-3348-49DE-A6DC-8AA4D2A9D7A1}"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s>
  <mergeCells count="10">
    <mergeCell ref="A61:I62"/>
    <mergeCell ref="D64:H64"/>
    <mergeCell ref="A22:I23"/>
    <mergeCell ref="C17:D17"/>
    <mergeCell ref="C20:D20"/>
    <mergeCell ref="D51:H51"/>
    <mergeCell ref="D25:H25"/>
    <mergeCell ref="D38:H38"/>
    <mergeCell ref="A35:I36"/>
    <mergeCell ref="A48:I49"/>
  </mergeCells>
  <phoneticPr fontId="0" type="noConversion"/>
  <pageMargins left="1.29" right="0.78740157499999996" top="0.984251969" bottom="0.984251969" header="0.4921259845" footer="0.4921259845"/>
  <pageSetup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4" r:id="rId4" name="Drop Down 52">
              <controlPr defaultSize="0" autoFill="0" autoLine="0" autoPict="0">
                <anchor moveWithCells="1">
                  <from>
                    <xdr:col>6</xdr:col>
                    <xdr:colOff>63500</xdr:colOff>
                    <xdr:row>14</xdr:row>
                    <xdr:rowOff>0</xdr:rowOff>
                  </from>
                  <to>
                    <xdr:col>8</xdr:col>
                    <xdr:colOff>25400</xdr:colOff>
                    <xdr:row>15</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F">
    <pageSetUpPr fitToPage="1"/>
  </sheetPr>
  <dimension ref="B1:Q115"/>
  <sheetViews>
    <sheetView showGridLines="0" showOutlineSymbols="0" zoomScale="120" zoomScaleNormal="120" workbookViewId="0">
      <selection activeCell="B5" sqref="B5"/>
    </sheetView>
  </sheetViews>
  <sheetFormatPr baseColWidth="10" defaultColWidth="11.453125" defaultRowHeight="13"/>
  <cols>
    <col min="1" max="1" width="1.08984375" style="43" customWidth="1"/>
    <col min="2" max="2" width="26.6328125" style="43" customWidth="1"/>
    <col min="3" max="4" width="13.6328125" style="43" customWidth="1"/>
    <col min="5" max="5" width="5" style="43" customWidth="1"/>
    <col min="6" max="6" width="21.08984375" style="43" customWidth="1"/>
    <col min="7" max="7" width="9.36328125" style="43" customWidth="1"/>
    <col min="8" max="8" width="6.08984375" style="68" customWidth="1"/>
    <col min="9" max="9" width="5.453125" style="65" customWidth="1"/>
    <col min="10" max="10" width="13.6328125" style="43" customWidth="1"/>
    <col min="11" max="11" width="11.453125" style="43"/>
    <col min="12" max="12" width="11.6328125" style="43" bestFit="1" customWidth="1"/>
    <col min="13" max="13" width="11.453125" style="43" bestFit="1"/>
    <col min="14" max="16384" width="11.453125" style="43"/>
  </cols>
  <sheetData>
    <row r="1" spans="2:17" customFormat="1" ht="12.5"/>
    <row r="2" spans="2:17" customFormat="1" ht="12.5"/>
    <row r="3" spans="2:17" customFormat="1" ht="12.5"/>
    <row r="4" spans="2:17" customFormat="1" ht="12.5"/>
    <row r="5" spans="2:17" customFormat="1" ht="12.5"/>
    <row r="6" spans="2:17" customFormat="1" ht="12.5"/>
    <row r="7" spans="2:17" customFormat="1" ht="12.5"/>
    <row r="8" spans="2:17" customFormat="1" ht="6" customHeight="1"/>
    <row r="9" spans="2:17" ht="25.5">
      <c r="B9" s="42" t="str">
        <f>RG!D17</f>
        <v>Jhon Wesly inc.</v>
      </c>
      <c r="C9" s="44"/>
      <c r="D9" s="44"/>
      <c r="E9" s="44"/>
      <c r="H9" s="43"/>
      <c r="I9" s="44"/>
      <c r="J9" s="61"/>
      <c r="K9" s="62"/>
      <c r="M9" s="62"/>
      <c r="N9" s="62"/>
      <c r="P9" s="62"/>
      <c r="Q9" s="62"/>
    </row>
    <row r="10" spans="2:17" hidden="1">
      <c r="B10" s="44"/>
      <c r="C10" s="44"/>
      <c r="D10" s="44"/>
      <c r="E10" s="44"/>
      <c r="H10" s="43"/>
      <c r="I10" s="44"/>
      <c r="J10" s="61"/>
      <c r="K10" s="62"/>
      <c r="M10" s="62"/>
      <c r="N10" s="62"/>
      <c r="P10" s="62"/>
      <c r="Q10" s="62"/>
    </row>
    <row r="11" spans="2:17" ht="15">
      <c r="B11" s="45" t="s">
        <v>322</v>
      </c>
      <c r="C11" s="44"/>
      <c r="D11" s="44"/>
      <c r="E11" s="44"/>
      <c r="G11" s="63"/>
      <c r="H11" s="43"/>
      <c r="I11" s="44"/>
      <c r="J11" s="61"/>
      <c r="K11" s="62"/>
      <c r="M11" s="62"/>
      <c r="N11" s="62"/>
      <c r="P11" s="62"/>
      <c r="Q11" s="62"/>
    </row>
    <row r="12" spans="2:17">
      <c r="B12" s="46"/>
      <c r="C12" s="44"/>
      <c r="D12" s="44"/>
      <c r="E12" s="44"/>
      <c r="H12" s="43"/>
      <c r="I12" s="44"/>
      <c r="J12" s="61"/>
      <c r="K12" s="62"/>
      <c r="M12" s="62"/>
      <c r="N12" s="62"/>
      <c r="P12" s="62"/>
      <c r="Q12" s="62"/>
    </row>
    <row r="13" spans="2:17">
      <c r="B13" s="46"/>
      <c r="C13" s="44"/>
      <c r="D13" s="44"/>
      <c r="E13" s="44"/>
      <c r="H13" s="43"/>
      <c r="I13" s="44"/>
      <c r="J13" s="61"/>
      <c r="K13" s="62"/>
      <c r="M13" s="652"/>
      <c r="N13" s="62"/>
      <c r="P13" s="62"/>
      <c r="Q13" s="62"/>
    </row>
    <row r="14" spans="2:17">
      <c r="C14" s="47"/>
      <c r="D14" s="47"/>
      <c r="E14" s="47"/>
      <c r="H14" s="64"/>
    </row>
    <row r="15" spans="2:17">
      <c r="C15" s="47"/>
      <c r="D15" s="47"/>
      <c r="E15" s="47"/>
      <c r="H15" s="64"/>
    </row>
    <row r="16" spans="2:17">
      <c r="B16" s="48" t="s">
        <v>396</v>
      </c>
      <c r="C16" s="47"/>
      <c r="D16" s="47"/>
      <c r="E16" s="47"/>
      <c r="F16" s="48" t="s">
        <v>397</v>
      </c>
      <c r="H16" s="64"/>
      <c r="J16" s="47"/>
    </row>
    <row r="17" spans="2:12">
      <c r="B17" s="43" t="s">
        <v>611</v>
      </c>
      <c r="D17" s="54">
        <f>J57-D54-D21-D20-D18-D19+RG!J36</f>
        <v>3399.1014999999998</v>
      </c>
      <c r="E17" s="50"/>
      <c r="F17" s="51" t="str">
        <f>IF(RG!A74=3,"Émission d'actions","Mise de fonds ($)")</f>
        <v>Émission d'actions</v>
      </c>
      <c r="H17" s="64"/>
      <c r="J17" s="54">
        <f>RG!J22</f>
        <v>10000</v>
      </c>
    </row>
    <row r="18" spans="2:12">
      <c r="B18" s="43" t="s">
        <v>476</v>
      </c>
      <c r="D18" s="54">
        <f>RG!J21</f>
        <v>0</v>
      </c>
      <c r="E18" s="50"/>
      <c r="F18" s="43" t="s">
        <v>55</v>
      </c>
      <c r="J18" s="54">
        <f>RG!J36</f>
        <v>0</v>
      </c>
    </row>
    <row r="19" spans="2:12">
      <c r="B19" s="43" t="s">
        <v>415</v>
      </c>
      <c r="D19" s="54">
        <f>SUBV!C27-SUBV!C29+SUBV!C40-SUBV!C42+SUBV!C53-SUBV!C55</f>
        <v>0</v>
      </c>
      <c r="E19" s="50"/>
      <c r="F19" s="43" t="s">
        <v>477</v>
      </c>
      <c r="H19" s="64"/>
      <c r="J19" s="49">
        <f>DG!C241+RG!J33</f>
        <v>1000</v>
      </c>
    </row>
    <row r="20" spans="2:12">
      <c r="B20" s="43" t="s">
        <v>884</v>
      </c>
      <c r="D20" s="54">
        <f>FDD!H46</f>
        <v>6</v>
      </c>
      <c r="E20" s="50"/>
      <c r="H20" s="64"/>
      <c r="J20" s="50"/>
    </row>
    <row r="21" spans="2:12">
      <c r="B21" s="43" t="s">
        <v>478</v>
      </c>
      <c r="D21" s="525">
        <f>IF(RG!$A$82=2,0,((DG!AR198+DG!D241+DG!P241+DG!AB241+DG!AN241+DG!AZ241+DG!BL241+DG!BX241+DG!CJ241+DG!CV241+DG!DH241+DG!DT241-CF!J20)*TI!J18)+((DG!AR198+DG!D241+DG!P241+DG!AB241+DG!AN241+DG!AZ241+DG!BL241+DG!BX241+DG!CJ241+DG!CV241+DG!DH241+DG!DT241-CF!J20)*TI!J19))</f>
        <v>3594.8985000000002</v>
      </c>
      <c r="E21" s="50"/>
      <c r="H21" s="64"/>
      <c r="J21" s="50"/>
    </row>
    <row r="22" spans="2:12">
      <c r="H22" s="64"/>
      <c r="J22" s="50"/>
    </row>
    <row r="23" spans="2:12">
      <c r="H23" s="64"/>
      <c r="J23" s="50"/>
    </row>
    <row r="24" spans="2:12">
      <c r="H24" s="43"/>
      <c r="I24" s="43"/>
    </row>
    <row r="25" spans="2:12">
      <c r="C25" s="50"/>
      <c r="D25" s="50"/>
      <c r="E25" s="50"/>
      <c r="H25" s="64"/>
      <c r="J25" s="50"/>
      <c r="L25" s="47"/>
    </row>
    <row r="26" spans="2:12">
      <c r="B26" s="48" t="s">
        <v>480</v>
      </c>
      <c r="C26" s="223">
        <f>SUM(D17:D21)</f>
        <v>7000</v>
      </c>
      <c r="D26" s="52"/>
      <c r="E26" s="52"/>
      <c r="F26" s="48" t="s">
        <v>479</v>
      </c>
      <c r="H26" s="64"/>
      <c r="J26" s="223">
        <f>SUM(J17:J19)</f>
        <v>11000</v>
      </c>
      <c r="L26" s="47"/>
    </row>
    <row r="27" spans="2:12">
      <c r="C27" s="50"/>
      <c r="D27" s="50"/>
      <c r="E27" s="50"/>
      <c r="H27" s="43"/>
      <c r="I27" s="43"/>
    </row>
    <row r="28" spans="2:12">
      <c r="C28" s="50"/>
      <c r="D28" s="50"/>
      <c r="E28" s="50"/>
      <c r="H28" s="43"/>
      <c r="I28" s="43"/>
    </row>
    <row r="29" spans="2:12">
      <c r="C29" s="50"/>
      <c r="D29" s="50"/>
      <c r="E29" s="50"/>
      <c r="F29" s="48" t="s">
        <v>481</v>
      </c>
      <c r="H29" s="43"/>
      <c r="I29" s="43"/>
    </row>
    <row r="30" spans="2:12">
      <c r="B30" s="48" t="s">
        <v>483</v>
      </c>
      <c r="C30" s="647" t="s">
        <v>57</v>
      </c>
      <c r="D30" s="647" t="s">
        <v>58</v>
      </c>
      <c r="E30" s="644"/>
      <c r="H30" s="66"/>
      <c r="I30" s="67"/>
      <c r="J30" s="50"/>
    </row>
    <row r="31" spans="2:12">
      <c r="B31" s="53" t="str">
        <f>DG!C202</f>
        <v>Terrain</v>
      </c>
      <c r="C31" s="54">
        <f>DG!D241</f>
        <v>0</v>
      </c>
      <c r="D31" s="645">
        <f>+DG!E241+DG!I241+DG!M241+DG!N241+DG!O241</f>
        <v>0</v>
      </c>
      <c r="E31" s="645"/>
      <c r="F31" s="48" t="s">
        <v>482</v>
      </c>
      <c r="J31" s="50"/>
    </row>
    <row r="32" spans="2:12">
      <c r="B32" s="53" t="str">
        <f>DG!C203</f>
        <v>Aménagement de terrain</v>
      </c>
      <c r="C32" s="54">
        <f>DG!P241</f>
        <v>0</v>
      </c>
      <c r="D32" s="645">
        <f>+DG!Q241+DG!U241+DG!Y241+DG!Z241+DG!AA241</f>
        <v>0</v>
      </c>
      <c r="E32" s="645"/>
      <c r="F32" s="43" t="s">
        <v>125</v>
      </c>
      <c r="J32" s="50">
        <f>RG!J38</f>
        <v>0</v>
      </c>
    </row>
    <row r="33" spans="2:10">
      <c r="B33" s="53" t="str">
        <f>DG!C204</f>
        <v>Bâtiment</v>
      </c>
      <c r="C33" s="54">
        <f>DG!AB241</f>
        <v>0</v>
      </c>
      <c r="D33" s="645">
        <f>+DG!AC241+DG!AG241+DG!AK241+DG!AL241+DG!AM241</f>
        <v>0</v>
      </c>
      <c r="E33" s="645"/>
      <c r="F33" s="43" t="s">
        <v>126</v>
      </c>
      <c r="I33" s="69"/>
      <c r="J33" s="515"/>
    </row>
    <row r="34" spans="2:10">
      <c r="B34" s="53" t="str">
        <f>DG!C205</f>
        <v>Améliorations locatives</v>
      </c>
      <c r="C34" s="54">
        <f>DG!AN241</f>
        <v>0</v>
      </c>
      <c r="D34" s="645">
        <f>+DG!AO241+DG!AS241+DG!AW241+DG!AX241+DG!AY241</f>
        <v>0</v>
      </c>
      <c r="E34" s="645"/>
      <c r="F34" s="43" t="s">
        <v>572</v>
      </c>
      <c r="H34" s="70"/>
      <c r="J34" s="54">
        <f>RG!J23</f>
        <v>0</v>
      </c>
    </row>
    <row r="35" spans="2:10">
      <c r="B35" s="53" t="str">
        <f>DG!C206</f>
        <v>Matériel roulant</v>
      </c>
      <c r="C35" s="54">
        <f>DG!AZ241</f>
        <v>0</v>
      </c>
      <c r="D35" s="645">
        <f>+DG!BA241+DG!BE241+DG!BI241+DG!BJ241+DG!BK241</f>
        <v>0</v>
      </c>
      <c r="E35" s="645"/>
      <c r="F35" s="53" t="str">
        <f>BP!I11</f>
        <v>Billet à payer</v>
      </c>
      <c r="H35" s="64"/>
      <c r="J35" s="54">
        <f>BP!H15</f>
        <v>0</v>
      </c>
    </row>
    <row r="36" spans="2:10">
      <c r="B36" s="53" t="str">
        <f>DG!C207</f>
        <v>Équipement</v>
      </c>
      <c r="C36" s="54">
        <f>DG!BL241</f>
        <v>500</v>
      </c>
      <c r="D36" s="645">
        <f>DG!BQ241+DG!BU241+DG!BV241+DG!BW241+DG!BM241</f>
        <v>0</v>
      </c>
      <c r="E36" s="645"/>
      <c r="F36" s="55" t="str">
        <f>IF('ECT1'!$M$13="","Emprunt à court terme 1",'ECT1'!$M$13)</f>
        <v>Emprunt à court terme 1</v>
      </c>
      <c r="H36" s="70"/>
      <c r="J36" s="54">
        <f>IF('ECT1'!$M$23=0,'ECT1'!$M$17,0)</f>
        <v>0</v>
      </c>
    </row>
    <row r="37" spans="2:10">
      <c r="B37" s="53" t="str">
        <f>DG!C208</f>
        <v>Système informatique</v>
      </c>
      <c r="C37" s="54">
        <f>DG!BX241</f>
        <v>1000</v>
      </c>
      <c r="D37" s="645">
        <f>+DG!BY241+DG!CC241+DG!CG241+DG!CH241+DG!CI241</f>
        <v>0</v>
      </c>
      <c r="E37" s="645"/>
      <c r="F37" s="55" t="str">
        <f>IF('ECT2'!$M$13="","Emprunt à court terme 2",'ECT2'!$M$13)</f>
        <v>Emprunt à court terme 2</v>
      </c>
      <c r="H37" s="70"/>
      <c r="J37" s="54">
        <f>IF('ECT2'!$M$23=0,'ECT2'!$M$17,0)</f>
        <v>0</v>
      </c>
    </row>
    <row r="38" spans="2:10">
      <c r="B38" s="53" t="str">
        <f>DG!C209</f>
        <v>Logiciel</v>
      </c>
      <c r="C38" s="54">
        <f>DG!CJ241</f>
        <v>15000</v>
      </c>
      <c r="D38" s="645">
        <f>+DG!CK241+DG!CO241+DG!CS241+DG!CT241+DG!CU241</f>
        <v>0</v>
      </c>
      <c r="E38" s="645"/>
      <c r="H38" s="64"/>
      <c r="J38" s="50"/>
    </row>
    <row r="39" spans="2:10">
      <c r="B39" s="53" t="str">
        <f>DG!C210</f>
        <v>Mobilier de bureau</v>
      </c>
      <c r="C39" s="54">
        <f>DG!CV241</f>
        <v>0</v>
      </c>
      <c r="D39" s="645">
        <f>+DG!CW241+DG!DA241+DG!DE241+DG!DF241+DG!DG241</f>
        <v>0</v>
      </c>
      <c r="E39" s="645"/>
      <c r="F39" s="48" t="s">
        <v>484</v>
      </c>
      <c r="H39" s="64"/>
      <c r="J39" s="50"/>
    </row>
    <row r="40" spans="2:10">
      <c r="D40" s="645"/>
      <c r="E40" s="645"/>
      <c r="F40" s="51" t="str">
        <f>IF(EH!M13="","Emprunt hypothécaire",EH!M13)</f>
        <v>Emprunt hypothécaire</v>
      </c>
      <c r="H40" s="70"/>
      <c r="J40" s="54">
        <f>IF(EH!$M$23=0,EH!$M$17,0)</f>
        <v>0</v>
      </c>
    </row>
    <row r="41" spans="2:10">
      <c r="B41" s="48" t="s">
        <v>417</v>
      </c>
      <c r="D41" s="645"/>
      <c r="E41" s="645"/>
      <c r="F41" s="55" t="str">
        <f>IF('ELT1'!$M$13="","Emprunt à long terme 1",'ELT1'!$M$13)</f>
        <v>Emprunt bancaire - Logiciel &amp; Site Web</v>
      </c>
      <c r="H41" s="70"/>
      <c r="J41" s="54">
        <f>IF('ELT1'!$M$23=0,'ELT1'!$M$17,0)</f>
        <v>20000</v>
      </c>
    </row>
    <row r="42" spans="2:10">
      <c r="B42" s="53" t="str">
        <f>DG!C211</f>
        <v>Site internet</v>
      </c>
      <c r="C42" s="54">
        <f>DG!DH241</f>
        <v>5000</v>
      </c>
      <c r="D42" s="645">
        <f>+DG!DI241+DG!DM241+DG!DQ241+DG!DR241+DG!DS241</f>
        <v>0</v>
      </c>
      <c r="E42" s="645"/>
      <c r="F42" s="55" t="str">
        <f>IF('ELT2'!$M$13="","Emprunt à long terme 2",'ELT2'!$M$13)</f>
        <v>Emprunt à long terme 2</v>
      </c>
      <c r="H42" s="70"/>
      <c r="J42" s="54">
        <f>IF('ELT2'!$M$23=0,'ELT2'!$M$17,0)</f>
        <v>0</v>
      </c>
    </row>
    <row r="43" spans="2:10">
      <c r="B43" s="53" t="str">
        <f>DG!C212</f>
        <v>Autres actifs intangibles</v>
      </c>
      <c r="C43" s="49">
        <f>DG!DT241</f>
        <v>2500</v>
      </c>
      <c r="D43" s="646">
        <f>+DG!DU241+DG!DY241+DG!EC241+DG!ED241+DG!EE241</f>
        <v>0</v>
      </c>
      <c r="E43" s="645"/>
      <c r="F43" s="55" t="str">
        <f>IF('ELT3'!$M$13="","Emprunt à long terme 3",'ELT3'!$M$13)</f>
        <v>Emprunt à long terme 3</v>
      </c>
      <c r="H43" s="70"/>
      <c r="J43" s="54">
        <f>IF('ELT3'!$M$23=0,'ELT3'!$M$17,0)</f>
        <v>0</v>
      </c>
    </row>
    <row r="44" spans="2:10">
      <c r="B44" s="1176" t="str">
        <f>DG!C214</f>
        <v>(Achalandage, brevets, droits de franchise, etc...)</v>
      </c>
      <c r="C44" s="50"/>
      <c r="D44" s="50"/>
      <c r="E44" s="50"/>
      <c r="F44" s="55" t="str">
        <f>IF('ELT4'!$M$13="","Emprunt à long terme 4",'ELT4'!$M$13)</f>
        <v>Emprunt à long terme 4</v>
      </c>
      <c r="H44" s="70"/>
      <c r="J44" s="54">
        <f>IF('ELT4'!$M$23=0,'ELT4'!$M$17,0)</f>
        <v>0</v>
      </c>
    </row>
    <row r="45" spans="2:10">
      <c r="B45" s="1176"/>
      <c r="C45" s="50"/>
      <c r="D45" s="50"/>
      <c r="E45" s="50"/>
      <c r="F45" s="55" t="str">
        <f>IF('ELT5'!$M$13="","Emprunt à long terme 5",'ELT5'!$M$13)</f>
        <v>Emprunt à long terme 5</v>
      </c>
      <c r="H45" s="70"/>
      <c r="J45" s="54">
        <f>IF('ELT5'!$M$23=0,'ELT5'!$M$17,0)</f>
        <v>0</v>
      </c>
    </row>
    <row r="46" spans="2:10">
      <c r="B46" s="1176"/>
      <c r="C46" s="50"/>
      <c r="D46" s="50"/>
      <c r="E46" s="50"/>
      <c r="F46" s="55" t="str">
        <f>IF('ELT6'!$M$13="","Emprunt à long terme 6",'ELT6'!$M$13)</f>
        <v>Emprunt à long terme 6</v>
      </c>
      <c r="H46" s="70"/>
      <c r="J46" s="54">
        <f>IF('ELT6'!$M$23=0,'ELT6'!$M$17,0)</f>
        <v>0</v>
      </c>
    </row>
    <row r="47" spans="2:10">
      <c r="C47" s="50"/>
      <c r="D47" s="50"/>
      <c r="E47" s="50"/>
      <c r="F47" s="55" t="str">
        <f>IF('ELT7'!$M$13="","Emprunt à long terme 7",'ELT7'!$M$13)</f>
        <v>Emprunt à long terme 7</v>
      </c>
      <c r="H47" s="70"/>
      <c r="J47" s="54">
        <f>IF('ELT7'!$M$23=0,'ELT7'!$M$17,0)</f>
        <v>0</v>
      </c>
    </row>
    <row r="48" spans="2:10">
      <c r="D48" s="50"/>
      <c r="E48" s="50"/>
      <c r="H48" s="64"/>
      <c r="J48" s="50"/>
    </row>
    <row r="49" spans="2:10">
      <c r="D49" s="50"/>
      <c r="E49" s="50"/>
      <c r="F49" s="48" t="s">
        <v>343</v>
      </c>
      <c r="H49" s="64"/>
      <c r="J49" s="50"/>
    </row>
    <row r="50" spans="2:10">
      <c r="D50" s="50"/>
      <c r="E50" s="50"/>
      <c r="F50" s="43" t="str">
        <f>IF(SUBV!D25=0,SUBV!A22,SUBV!D25)</f>
        <v>Exemple: Programme d'appui financier à la relève agricole</v>
      </c>
      <c r="H50" s="64"/>
      <c r="J50" s="54">
        <f>SUBV!C27</f>
        <v>0</v>
      </c>
    </row>
    <row r="51" spans="2:10">
      <c r="D51" s="50"/>
      <c r="E51" s="50"/>
      <c r="F51" s="43" t="str">
        <f>IF(SUBV!D38=0,SUBV!A35,SUBV!D38)</f>
        <v xml:space="preserve">Exemple: Jeunes promoteurs </v>
      </c>
      <c r="H51" s="64"/>
      <c r="J51" s="54">
        <f>SUBV!C40</f>
        <v>0</v>
      </c>
    </row>
    <row r="52" spans="2:10">
      <c r="C52" s="50"/>
      <c r="D52" s="50"/>
      <c r="E52" s="50"/>
      <c r="F52" s="43" t="str">
        <f>IF(SUBV!D51=0,SUBV!A48,SUBV!D51)</f>
        <v>SUBVENTION #3</v>
      </c>
      <c r="H52" s="64"/>
      <c r="J52" s="49">
        <f>SUBV!C53</f>
        <v>0</v>
      </c>
    </row>
    <row r="53" spans="2:10">
      <c r="D53" s="50"/>
      <c r="E53" s="50"/>
      <c r="H53" s="64"/>
      <c r="J53" s="50"/>
    </row>
    <row r="54" spans="2:10">
      <c r="B54" s="48" t="s">
        <v>485</v>
      </c>
      <c r="C54" s="223"/>
      <c r="D54" s="223">
        <f>SUM(C31:D43)</f>
        <v>24000</v>
      </c>
      <c r="E54" s="52"/>
      <c r="F54" s="48" t="s">
        <v>486</v>
      </c>
      <c r="H54" s="64"/>
      <c r="J54" s="223">
        <f>SUM(J32:J52)</f>
        <v>20000</v>
      </c>
    </row>
    <row r="55" spans="2:10">
      <c r="C55" s="52"/>
      <c r="D55" s="52"/>
      <c r="E55" s="52"/>
      <c r="H55" s="64"/>
      <c r="J55" s="50"/>
    </row>
    <row r="56" spans="2:10">
      <c r="C56" s="52"/>
      <c r="D56" s="52"/>
      <c r="E56" s="52"/>
      <c r="H56" s="64"/>
      <c r="J56" s="50"/>
    </row>
    <row r="57" spans="2:10">
      <c r="C57" s="47"/>
      <c r="D57" s="47"/>
      <c r="E57" s="47"/>
      <c r="H57" s="64"/>
      <c r="J57" s="516">
        <f>J58-J18</f>
        <v>31000</v>
      </c>
    </row>
    <row r="58" spans="2:10" ht="13.5" thickBot="1">
      <c r="B58" s="48" t="s">
        <v>487</v>
      </c>
      <c r="C58" s="56">
        <f>D54+C26</f>
        <v>31000</v>
      </c>
      <c r="D58" s="52"/>
      <c r="E58" s="52"/>
      <c r="F58" s="48" t="s">
        <v>488</v>
      </c>
      <c r="H58" s="64"/>
      <c r="J58" s="56">
        <f>J26+J54</f>
        <v>31000</v>
      </c>
    </row>
    <row r="59" spans="2:10" ht="13.5" thickTop="1">
      <c r="D59" s="57"/>
      <c r="E59" s="57"/>
      <c r="H59" s="64"/>
    </row>
    <row r="60" spans="2:10">
      <c r="C60" s="47"/>
      <c r="D60" s="47"/>
      <c r="E60" s="47"/>
      <c r="H60" s="64"/>
      <c r="J60" s="47"/>
    </row>
    <row r="61" spans="2:10">
      <c r="C61" s="47"/>
      <c r="D61" s="47"/>
      <c r="E61" s="47"/>
      <c r="J61" s="47"/>
    </row>
    <row r="64" spans="2:10" hidden="1"/>
    <row r="65" spans="2:6" hidden="1">
      <c r="B65" s="50">
        <f>MAX('BC1'!C143:O143)</f>
        <v>1000</v>
      </c>
      <c r="C65" s="50">
        <f>MAX(B65:B67)</f>
        <v>15500</v>
      </c>
      <c r="D65" s="43">
        <f>IF(AND($C$66&gt;0,$C$66&lt;1001),1000,0)</f>
        <v>0</v>
      </c>
      <c r="F65" s="43">
        <f>IF(AND($C$65&gt;0,$C$65&lt;1001),1000,0)</f>
        <v>0</v>
      </c>
    </row>
    <row r="66" spans="2:6" hidden="1">
      <c r="B66" s="50">
        <f>MAX('BC2'!C139:N139)</f>
        <v>9000</v>
      </c>
      <c r="C66" s="50">
        <f>MAX(B65:B69)</f>
        <v>31000</v>
      </c>
      <c r="D66" s="43">
        <f>IF(AND($C$66&gt;1000,$C$66&lt;2001),2000,0)</f>
        <v>0</v>
      </c>
      <c r="F66" s="43">
        <f>IF(AND($C$65&gt;1000,$C$65&lt;2001),2000,0)</f>
        <v>0</v>
      </c>
    </row>
    <row r="67" spans="2:6" hidden="1">
      <c r="B67" s="50">
        <f>MAX('BC3'!C139:N139)</f>
        <v>15500</v>
      </c>
      <c r="D67" s="43">
        <f>IF(AND($C$66&gt;2000,$C$66&lt;5001),5000,0)</f>
        <v>0</v>
      </c>
      <c r="F67" s="43">
        <f>IF(AND($C$65&gt;2000,$C$65&lt;5001),5000,0)</f>
        <v>0</v>
      </c>
    </row>
    <row r="68" spans="2:6" hidden="1">
      <c r="B68" s="50">
        <f>MAX('BC4'!C139:N139)</f>
        <v>22500</v>
      </c>
      <c r="D68" s="43">
        <f>IF(AND($C$66&gt;5000,$C$66&lt;10001),10000,0)</f>
        <v>0</v>
      </c>
      <c r="F68" s="43">
        <f>IF(AND($C$65&gt;5000,$C$65&lt;10001),10000,0)</f>
        <v>0</v>
      </c>
    </row>
    <row r="69" spans="2:6" hidden="1">
      <c r="B69" s="50">
        <f>MAX('BC5'!C139:N139)</f>
        <v>31000</v>
      </c>
      <c r="D69" s="43">
        <f>IF(AND($C$66&gt;10000,$C$66&lt;15001),15000,0)</f>
        <v>0</v>
      </c>
      <c r="F69" s="43">
        <f>IF(AND($C$65&gt;10000,$C$65&lt;15001),15000,0)</f>
        <v>0</v>
      </c>
    </row>
    <row r="70" spans="2:6" hidden="1">
      <c r="D70" s="43">
        <f>IF(AND($C$66&gt;15000,$C$66&lt;20001),20000,0)</f>
        <v>0</v>
      </c>
      <c r="F70" s="43">
        <f>IF(AND($C$65&gt;15000,$C$65&lt;20001),20000,0)</f>
        <v>20000</v>
      </c>
    </row>
    <row r="71" spans="2:6" hidden="1">
      <c r="D71" s="43">
        <f>IF(AND($C$66&gt;20000,$C$66&lt;25001),25000,0)</f>
        <v>0</v>
      </c>
      <c r="F71" s="43">
        <f>IF(AND($C$65&gt;20000,$C$65&lt;25001),25000,0)</f>
        <v>0</v>
      </c>
    </row>
    <row r="72" spans="2:6" hidden="1">
      <c r="D72" s="43">
        <f>IF(AND($C$66&gt;25000,$C$66&lt;30001),30000,0)</f>
        <v>0</v>
      </c>
      <c r="F72" s="43">
        <f>IF(AND($C$65&gt;25000,$C$65&lt;30001),30000,0)</f>
        <v>0</v>
      </c>
    </row>
    <row r="73" spans="2:6" hidden="1">
      <c r="D73" s="43">
        <f>IF(AND($C$66&gt;30000,$C$66&lt;35001),35000,0)</f>
        <v>35000</v>
      </c>
      <c r="F73" s="43">
        <f>IF(AND($C$65&gt;30000,$C$65&lt;35001),35000,0)</f>
        <v>0</v>
      </c>
    </row>
    <row r="74" spans="2:6" hidden="1">
      <c r="D74" s="43">
        <f>IF(AND($C$66&gt;35000,$C$66&lt;40001),40000,0)</f>
        <v>0</v>
      </c>
      <c r="F74" s="43">
        <f>IF(AND($C$65&gt;35000,$C$65&lt;40001),40000,0)</f>
        <v>0</v>
      </c>
    </row>
    <row r="75" spans="2:6" hidden="1">
      <c r="D75" s="43">
        <f>IF(AND($C$66&gt;40000,$C$66&lt;45001),45000,0)</f>
        <v>0</v>
      </c>
      <c r="F75" s="43">
        <f>IF(AND($C$65&gt;40000,$C$65&lt;45001),45000,0)</f>
        <v>0</v>
      </c>
    </row>
    <row r="76" spans="2:6" hidden="1">
      <c r="D76" s="43">
        <f>IF(AND($C$66&gt;45000,$C$66&lt;50001),50000,0)</f>
        <v>0</v>
      </c>
      <c r="F76" s="43">
        <f>IF(AND($C$65&gt;45000,$C$65&lt;50001),50000,0)</f>
        <v>0</v>
      </c>
    </row>
    <row r="77" spans="2:6" hidden="1">
      <c r="D77" s="43">
        <f>IF(AND($C$66&gt;50000,$C$66&lt;60001),60000,0)</f>
        <v>0</v>
      </c>
      <c r="F77" s="43">
        <f>IF(AND($C$65&gt;50000,$C$65&lt;60001),60000,0)</f>
        <v>0</v>
      </c>
    </row>
    <row r="78" spans="2:6" hidden="1">
      <c r="D78" s="43">
        <f>IF(AND($C$66&gt;60000,$C$66&lt;70001),70000,0)</f>
        <v>0</v>
      </c>
      <c r="F78" s="43">
        <f>IF(AND($C$65&gt;60000,$C$65&lt;70001),70000,0)</f>
        <v>0</v>
      </c>
    </row>
    <row r="79" spans="2:6" hidden="1">
      <c r="D79" s="43">
        <f>IF(AND($C$66&gt;70000,$C$66&lt;80001),80000,0)</f>
        <v>0</v>
      </c>
      <c r="F79" s="43">
        <f>IF(AND($C$65&gt;70000,$C$65&lt;80001),80000,0)</f>
        <v>0</v>
      </c>
    </row>
    <row r="80" spans="2:6" hidden="1">
      <c r="D80" s="43">
        <f>IF(AND($C$66&gt;80000,$C$66&lt;90001),90000,0)</f>
        <v>0</v>
      </c>
      <c r="F80" s="43">
        <f>IF(AND($C$65&gt;80000,$C$65&lt;90001),90000,0)</f>
        <v>0</v>
      </c>
    </row>
    <row r="81" spans="4:6" hidden="1">
      <c r="D81" s="43">
        <f>IF(AND($C$66&gt;90000,$C$66&lt;100001),100000,0)</f>
        <v>0</v>
      </c>
      <c r="F81" s="43">
        <f>IF(AND($C$65&gt;90000,$C$65&lt;100001),100000,0)</f>
        <v>0</v>
      </c>
    </row>
    <row r="82" spans="4:6" hidden="1">
      <c r="D82" s="43">
        <f>IF(AND($C$66&gt;100000,$C$66&lt;125001),125000,0)</f>
        <v>0</v>
      </c>
      <c r="F82" s="43">
        <f>IF(AND($C$65&gt;100000,$C$65&lt;125001),125000,0)</f>
        <v>0</v>
      </c>
    </row>
    <row r="83" spans="4:6" hidden="1">
      <c r="D83" s="43">
        <f>IF(AND($C$66&gt;125000,$C$66&lt;150001),150000,0)</f>
        <v>0</v>
      </c>
      <c r="F83" s="43">
        <f>IF(AND($C$65&gt;125000,$C$65&lt;150001),150000,0)</f>
        <v>0</v>
      </c>
    </row>
    <row r="84" spans="4:6" hidden="1">
      <c r="D84" s="43">
        <f>IF(AND($C$66&gt;150000,$C$66&lt;175001),175000,0)</f>
        <v>0</v>
      </c>
      <c r="F84" s="43">
        <f>IF(AND($C$65&gt;150000,$C$65&lt;175001),175000,0)</f>
        <v>0</v>
      </c>
    </row>
    <row r="85" spans="4:6" hidden="1">
      <c r="D85" s="43">
        <f>IF(AND($C$66&gt;175000,$C$66&lt;200001),200000,0)</f>
        <v>0</v>
      </c>
      <c r="F85" s="43">
        <f>IF(AND($C$65&gt;175000,$C$65&lt;200001),200000,0)</f>
        <v>0</v>
      </c>
    </row>
    <row r="86" spans="4:6" hidden="1">
      <c r="D86" s="43">
        <f>IF(AND($C$66&gt;200000,$C$66&lt;225001),225000,0)</f>
        <v>0</v>
      </c>
      <c r="F86" s="43">
        <f>IF(AND($C$65&gt;200000,$C$65&lt;225001),225000,0)</f>
        <v>0</v>
      </c>
    </row>
    <row r="87" spans="4:6" hidden="1">
      <c r="D87" s="43">
        <f>IF(AND($C$66&gt;225000,$C$66&lt;250001),250000,0)</f>
        <v>0</v>
      </c>
      <c r="F87" s="43">
        <f>IF(AND($C$65&gt;225000,$C$65&lt;250001),250000,0)</f>
        <v>0</v>
      </c>
    </row>
    <row r="88" spans="4:6" hidden="1">
      <c r="D88" s="43">
        <f>IF(AND($C$66&gt;250000,$C$66&lt;275001),275000,0)</f>
        <v>0</v>
      </c>
      <c r="F88" s="43">
        <f>IF(AND($C$65&gt;250000,$C$65&lt;275001),275000,0)</f>
        <v>0</v>
      </c>
    </row>
    <row r="89" spans="4:6" hidden="1">
      <c r="D89" s="43">
        <f>IF(AND($C$66&gt;275000,$C$66&lt;300001),300000,0)</f>
        <v>0</v>
      </c>
      <c r="F89" s="43">
        <f>IF(AND($C$65&gt;275000,$C$65&lt;300001),300000,0)</f>
        <v>0</v>
      </c>
    </row>
    <row r="90" spans="4:6" hidden="1">
      <c r="D90" s="43">
        <f>IF(AND($C$66&gt;300000,$C$66&lt;400001),400000,0)</f>
        <v>0</v>
      </c>
      <c r="F90" s="43">
        <f>IF(AND($C$65&gt;300000,$C$65&lt;400001),400000,0)</f>
        <v>0</v>
      </c>
    </row>
    <row r="91" spans="4:6" hidden="1">
      <c r="D91" s="43">
        <f>IF(AND($C$66&gt;400000,$C$66&lt;500001),500000,0)</f>
        <v>0</v>
      </c>
      <c r="F91" s="43">
        <f>IF(AND($C$65&gt;400000,$C$65&lt;500001),500000,0)</f>
        <v>0</v>
      </c>
    </row>
    <row r="92" spans="4:6" hidden="1">
      <c r="D92" s="43">
        <f>IF(AND($C$66&gt;500000,$C$66&lt;600001),600000,0)</f>
        <v>0</v>
      </c>
      <c r="F92" s="43">
        <f>IF(AND($C$65&gt;500000,$C$65&lt;600001),600000,0)</f>
        <v>0</v>
      </c>
    </row>
    <row r="93" spans="4:6" hidden="1">
      <c r="D93" s="43">
        <f>IF(AND($C$66&gt;600000,$C$66&lt;700001),700000,0)</f>
        <v>0</v>
      </c>
      <c r="F93" s="43">
        <f>IF(AND($C$65&gt;600000,$C$65&lt;700001),700000,0)</f>
        <v>0</v>
      </c>
    </row>
    <row r="94" spans="4:6" hidden="1">
      <c r="D94" s="43">
        <f>IF(AND($C$66&gt;700000,$C$66&lt;800001),800000,0)</f>
        <v>0</v>
      </c>
      <c r="F94" s="43">
        <f>IF(AND($C$65&gt;700000,$C$65&lt;800001),800000,0)</f>
        <v>0</v>
      </c>
    </row>
    <row r="95" spans="4:6" hidden="1">
      <c r="D95" s="43">
        <f>IF(AND($C$66&gt;800000,$C$66&lt;900001),900000,0)</f>
        <v>0</v>
      </c>
      <c r="F95" s="43">
        <f>IF(AND($C$65&gt;800000,$C$65&lt;900001),900000,0)</f>
        <v>0</v>
      </c>
    </row>
    <row r="96" spans="4:6" hidden="1">
      <c r="D96" s="43">
        <f>IF(AND($C$66&gt;900000,$C$66&lt;1000001),1000000,0)</f>
        <v>0</v>
      </c>
      <c r="F96" s="43">
        <f>IF(AND($C$65&gt;900000,$C$65&lt;1000001),1000000,0)</f>
        <v>0</v>
      </c>
    </row>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sheetData>
  <sheetProtection password="E242" sheet="1" objects="1" scenarios="1"/>
  <customSheetViews>
    <customSheetView guid="{30D0538C-360A-4CDF-8D89-584CED1967CC}" showGridLines="0" outlineSymbols="0" fitToPage="1" hiddenRows="1">
      <selection activeCell="L9" sqref="L9"/>
      <pageMargins left="0.78740157499999996" right="0.78740157499999996" top="0.984251969" bottom="0.984251969" header="0.4921259845" footer="0.4921259845"/>
      <pageSetup scale="70" orientation="portrait" horizontalDpi="360" r:id="rId1"/>
      <headerFooter alignWithMargins="0">
        <oddHeader xml:space="preserve">&amp;RPRF - 1 </oddHeader>
      </headerFooter>
    </customSheetView>
    <customSheetView guid="{4F3169C3-3348-49DE-A6DC-8AA4D2A9D7A1}" showGridLines="0" outlineSymbols="0" fitToPage="1" hiddenRows="1">
      <selection activeCell="L9" sqref="L9"/>
      <pageMargins left="0.78740157499999996" right="0.78740157499999996" top="0.984251969" bottom="0.984251969" header="0.4921259845" footer="0.4921259845"/>
      <pageSetup scale="70" orientation="portrait" horizontalDpi="360" r:id="rId2"/>
      <headerFooter alignWithMargins="0">
        <oddHeader xml:space="preserve">&amp;RPRF - 1 </oddHeader>
      </headerFooter>
    </customSheetView>
  </customSheetViews>
  <mergeCells count="1">
    <mergeCell ref="B44:B46"/>
  </mergeCells>
  <phoneticPr fontId="0" type="noConversion"/>
  <pageMargins left="0.78740157499999996" right="0.78740157499999996" top="0.984251969" bottom="0.984251969" header="0.4921259845" footer="0.4921259845"/>
  <pageSetup scale="70" orientation="portrait" r:id="rId3"/>
  <headerFooter alignWithMargins="0">
    <oddHeader xml:space="preserve">&amp;RPRF - 1 </oddHeader>
  </headerFooter>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V1">
    <pageSetUpPr fitToPage="1"/>
  </sheetPr>
  <dimension ref="A1:V95"/>
  <sheetViews>
    <sheetView showGridLines="0" showRowColHeaders="0" showOutlineSymbols="0" zoomScale="110" zoomScaleNormal="110" workbookViewId="0">
      <pane ySplit="12" topLeftCell="A22" activePane="bottomLeft" state="frozen"/>
      <selection activeCell="G24" sqref="G24"/>
      <selection pane="bottomLeft" activeCell="A5" sqref="A5"/>
    </sheetView>
  </sheetViews>
  <sheetFormatPr baseColWidth="10" defaultColWidth="11.453125" defaultRowHeight="12.5"/>
  <cols>
    <col min="1" max="1" width="38.36328125" style="251" customWidth="1"/>
    <col min="2" max="2" width="3.453125" style="251" customWidth="1"/>
    <col min="3" max="3" width="11.453125" style="251"/>
    <col min="4" max="6" width="10.36328125" style="251" customWidth="1"/>
    <col min="7" max="16384" width="11.453125" style="251"/>
  </cols>
  <sheetData>
    <row r="1" spans="1:19" customFormat="1"/>
    <row r="2" spans="1:19" customFormat="1"/>
    <row r="3" spans="1:19" customFormat="1"/>
    <row r="4" spans="1:19" customFormat="1"/>
    <row r="5" spans="1:19" customFormat="1"/>
    <row r="6" spans="1:19" customFormat="1"/>
    <row r="7" spans="1:19" customFormat="1"/>
    <row r="8" spans="1:19" s="43" customFormat="1" ht="25.5" customHeight="1">
      <c r="A8" s="235" t="str">
        <f>RG!D17</f>
        <v>Jhon Wesly inc.</v>
      </c>
      <c r="B8" s="235"/>
      <c r="E8" s="236"/>
      <c r="F8" s="236"/>
      <c r="G8" s="236"/>
      <c r="H8" s="236"/>
      <c r="I8" s="236"/>
      <c r="J8" s="236"/>
      <c r="K8" s="236"/>
      <c r="L8" s="236"/>
      <c r="M8" s="236"/>
      <c r="N8" s="236"/>
      <c r="O8" s="236"/>
      <c r="P8" s="236"/>
      <c r="Q8" s="236"/>
      <c r="R8" s="236"/>
      <c r="S8" s="236"/>
    </row>
    <row r="9" spans="1:19" s="43" customFormat="1" ht="12.75" customHeight="1">
      <c r="D9" s="42"/>
      <c r="E9" s="236"/>
      <c r="F9" s="236"/>
      <c r="G9" s="236"/>
      <c r="H9" s="236"/>
      <c r="I9" s="236"/>
      <c r="J9" s="236"/>
      <c r="K9" s="236"/>
      <c r="L9" s="236"/>
      <c r="M9" s="236"/>
      <c r="N9" s="236"/>
      <c r="O9" s="236"/>
      <c r="P9" s="236"/>
      <c r="Q9" s="236"/>
      <c r="R9" s="236"/>
      <c r="S9" s="236"/>
    </row>
    <row r="10" spans="1:19" s="43" customFormat="1" ht="15" customHeight="1">
      <c r="C10" s="746"/>
      <c r="D10" s="746"/>
      <c r="E10" s="746"/>
      <c r="H10" s="72"/>
      <c r="I10" s="65"/>
      <c r="J10" s="65"/>
      <c r="K10" s="65"/>
      <c r="L10" s="65"/>
      <c r="M10" s="65"/>
      <c r="N10" s="65"/>
      <c r="O10" s="65"/>
      <c r="P10" s="65"/>
      <c r="Q10" s="65"/>
      <c r="R10" s="65"/>
      <c r="S10" s="65"/>
    </row>
    <row r="11" spans="1:19" s="43" customFormat="1" ht="15.75" customHeight="1" thickBot="1">
      <c r="D11" s="72"/>
      <c r="E11" s="237"/>
      <c r="F11" s="237"/>
      <c r="G11" s="65"/>
      <c r="H11" s="72"/>
      <c r="I11" s="65"/>
      <c r="J11" s="65"/>
      <c r="K11" s="65"/>
      <c r="L11" s="65"/>
      <c r="M11" s="65"/>
      <c r="N11" s="65"/>
      <c r="O11" s="65"/>
      <c r="P11" s="65"/>
      <c r="Q11" s="65"/>
      <c r="R11" s="65"/>
      <c r="S11" s="65"/>
    </row>
    <row r="12" spans="1:19" s="43" customFormat="1" ht="15.5" thickBot="1">
      <c r="A12" s="1177" t="s">
        <v>210</v>
      </c>
      <c r="B12" s="1178"/>
      <c r="C12" s="1178"/>
      <c r="D12" s="1178"/>
      <c r="E12" s="1178"/>
      <c r="F12" s="1179"/>
      <c r="G12" s="837">
        <f>RG!D27</f>
        <v>45292</v>
      </c>
      <c r="H12" s="837">
        <f t="shared" ref="H12:R12" si="0">G12+31</f>
        <v>45323</v>
      </c>
      <c r="I12" s="837">
        <f t="shared" si="0"/>
        <v>45354</v>
      </c>
      <c r="J12" s="837">
        <f t="shared" si="0"/>
        <v>45385</v>
      </c>
      <c r="K12" s="837">
        <f t="shared" si="0"/>
        <v>45416</v>
      </c>
      <c r="L12" s="837">
        <f t="shared" si="0"/>
        <v>45447</v>
      </c>
      <c r="M12" s="837">
        <f t="shared" si="0"/>
        <v>45478</v>
      </c>
      <c r="N12" s="837">
        <f t="shared" si="0"/>
        <v>45509</v>
      </c>
      <c r="O12" s="837">
        <f t="shared" si="0"/>
        <v>45540</v>
      </c>
      <c r="P12" s="837">
        <f t="shared" si="0"/>
        <v>45571</v>
      </c>
      <c r="Q12" s="837">
        <f t="shared" si="0"/>
        <v>45602</v>
      </c>
      <c r="R12" s="837">
        <f t="shared" si="0"/>
        <v>45633</v>
      </c>
      <c r="S12" s="838" t="s">
        <v>489</v>
      </c>
    </row>
    <row r="13" spans="1:19" s="43" customFormat="1" ht="15" customHeight="1">
      <c r="C13" s="746"/>
      <c r="D13" s="746"/>
      <c r="E13" s="746"/>
      <c r="H13" s="72"/>
      <c r="I13" s="65"/>
      <c r="J13" s="65"/>
      <c r="K13" s="65"/>
      <c r="L13" s="65"/>
      <c r="M13" s="65"/>
      <c r="N13" s="65"/>
      <c r="O13" s="65"/>
      <c r="P13" s="65"/>
      <c r="Q13" s="65"/>
      <c r="R13" s="65"/>
      <c r="S13" s="65"/>
    </row>
    <row r="14" spans="1:19" s="43" customFormat="1" ht="13.5" thickBot="1">
      <c r="A14" s="898"/>
      <c r="B14" s="898"/>
      <c r="C14" s="899" t="s">
        <v>328</v>
      </c>
      <c r="D14" s="899" t="s">
        <v>329</v>
      </c>
      <c r="E14" s="899" t="s">
        <v>448</v>
      </c>
      <c r="F14" s="899" t="s">
        <v>330</v>
      </c>
      <c r="G14" s="1180" t="str">
        <f>A15</f>
        <v>Produit/service 1</v>
      </c>
      <c r="H14" s="1180"/>
      <c r="I14" s="1180"/>
      <c r="J14" s="1180"/>
      <c r="K14" s="1180"/>
      <c r="L14" s="1180"/>
      <c r="M14" s="1180"/>
      <c r="N14" s="1180"/>
      <c r="O14" s="1180"/>
      <c r="P14" s="1180"/>
      <c r="Q14" s="1180"/>
      <c r="R14" s="1180"/>
      <c r="S14" s="1180"/>
    </row>
    <row r="15" spans="1:19" s="43" customFormat="1" ht="15.75" customHeight="1" thickBot="1">
      <c r="A15" s="904" t="str">
        <f>IF(RG!$A$78=5,"Lait","Produit/service 1")</f>
        <v>Produit/service 1</v>
      </c>
      <c r="B15" s="241"/>
      <c r="C15" s="844">
        <v>1</v>
      </c>
      <c r="D15" s="844">
        <v>0</v>
      </c>
      <c r="E15" s="844">
        <v>0</v>
      </c>
      <c r="F15" s="844">
        <v>0</v>
      </c>
      <c r="G15" s="740" t="str">
        <f>IF(SUM(C15:F15)=100%,"","&gt; 100 % &lt;")</f>
        <v/>
      </c>
    </row>
    <row r="16" spans="1:19" s="43" customFormat="1" ht="16.5" hidden="1" customHeight="1">
      <c r="D16" s="239"/>
      <c r="F16" s="239"/>
      <c r="G16" s="237">
        <f t="shared" ref="G16:R16" si="1">G25*$C$15</f>
        <v>750</v>
      </c>
      <c r="H16" s="237">
        <f t="shared" si="1"/>
        <v>775</v>
      </c>
      <c r="I16" s="237">
        <f t="shared" si="1"/>
        <v>800</v>
      </c>
      <c r="J16" s="237">
        <f t="shared" si="1"/>
        <v>825</v>
      </c>
      <c r="K16" s="237">
        <f t="shared" si="1"/>
        <v>850</v>
      </c>
      <c r="L16" s="237">
        <f t="shared" si="1"/>
        <v>875</v>
      </c>
      <c r="M16" s="237">
        <f t="shared" si="1"/>
        <v>900</v>
      </c>
      <c r="N16" s="237">
        <f t="shared" si="1"/>
        <v>925</v>
      </c>
      <c r="O16" s="237">
        <f t="shared" si="1"/>
        <v>950</v>
      </c>
      <c r="P16" s="237">
        <f t="shared" si="1"/>
        <v>975</v>
      </c>
      <c r="Q16" s="237">
        <f t="shared" si="1"/>
        <v>1000</v>
      </c>
      <c r="R16" s="237">
        <f t="shared" si="1"/>
        <v>1025</v>
      </c>
      <c r="S16"/>
    </row>
    <row r="17" spans="1:22" s="43" customFormat="1" ht="16.5" hidden="1" customHeight="1">
      <c r="A17" s="241"/>
      <c r="B17" s="241"/>
      <c r="D17" s="239"/>
      <c r="F17" s="239"/>
      <c r="G17" s="242"/>
      <c r="H17" s="237">
        <f t="shared" ref="H17:R17" si="2">G25*$D$15</f>
        <v>0</v>
      </c>
      <c r="I17" s="237">
        <f t="shared" si="2"/>
        <v>0</v>
      </c>
      <c r="J17" s="237">
        <f t="shared" si="2"/>
        <v>0</v>
      </c>
      <c r="K17" s="237">
        <f t="shared" si="2"/>
        <v>0</v>
      </c>
      <c r="L17" s="237">
        <f t="shared" si="2"/>
        <v>0</v>
      </c>
      <c r="M17" s="237">
        <f t="shared" si="2"/>
        <v>0</v>
      </c>
      <c r="N17" s="237">
        <f t="shared" si="2"/>
        <v>0</v>
      </c>
      <c r="O17" s="237">
        <f t="shared" si="2"/>
        <v>0</v>
      </c>
      <c r="P17" s="237">
        <f t="shared" si="2"/>
        <v>0</v>
      </c>
      <c r="Q17" s="237">
        <f t="shared" si="2"/>
        <v>0</v>
      </c>
      <c r="R17" s="237">
        <f t="shared" si="2"/>
        <v>0</v>
      </c>
      <c r="S17"/>
    </row>
    <row r="18" spans="1:22" s="43" customFormat="1" ht="13" hidden="1">
      <c r="A18" s="241"/>
      <c r="B18" s="241"/>
      <c r="D18" s="239"/>
      <c r="F18" s="239"/>
      <c r="G18" s="242"/>
      <c r="H18" s="240"/>
      <c r="I18" s="237">
        <f t="shared" ref="I18:R18" si="3">G25*$E$15</f>
        <v>0</v>
      </c>
      <c r="J18" s="237">
        <f t="shared" si="3"/>
        <v>0</v>
      </c>
      <c r="K18" s="237">
        <f t="shared" si="3"/>
        <v>0</v>
      </c>
      <c r="L18" s="237">
        <f t="shared" si="3"/>
        <v>0</v>
      </c>
      <c r="M18" s="237">
        <f t="shared" si="3"/>
        <v>0</v>
      </c>
      <c r="N18" s="237">
        <f t="shared" si="3"/>
        <v>0</v>
      </c>
      <c r="O18" s="237">
        <f t="shared" si="3"/>
        <v>0</v>
      </c>
      <c r="P18" s="237">
        <f t="shared" si="3"/>
        <v>0</v>
      </c>
      <c r="Q18" s="237">
        <f t="shared" si="3"/>
        <v>0</v>
      </c>
      <c r="R18" s="237">
        <f t="shared" si="3"/>
        <v>0</v>
      </c>
      <c r="S18"/>
    </row>
    <row r="19" spans="1:22" s="43" customFormat="1" ht="13" hidden="1">
      <c r="A19" s="241"/>
      <c r="B19" s="241"/>
      <c r="D19" s="239"/>
      <c r="F19" s="239"/>
      <c r="G19" s="242"/>
      <c r="H19" s="240"/>
      <c r="I19" s="240"/>
      <c r="J19" s="237">
        <f t="shared" ref="J19:R19" si="4">G25*$F$15</f>
        <v>0</v>
      </c>
      <c r="K19" s="237">
        <f t="shared" si="4"/>
        <v>0</v>
      </c>
      <c r="L19" s="237">
        <f t="shared" si="4"/>
        <v>0</v>
      </c>
      <c r="M19" s="237">
        <f t="shared" si="4"/>
        <v>0</v>
      </c>
      <c r="N19" s="237">
        <f t="shared" si="4"/>
        <v>0</v>
      </c>
      <c r="O19" s="237">
        <f t="shared" si="4"/>
        <v>0</v>
      </c>
      <c r="P19" s="237">
        <f t="shared" si="4"/>
        <v>0</v>
      </c>
      <c r="Q19" s="237">
        <f t="shared" si="4"/>
        <v>0</v>
      </c>
      <c r="R19" s="237">
        <f t="shared" si="4"/>
        <v>0</v>
      </c>
      <c r="S19"/>
    </row>
    <row r="20" spans="1:22" s="43" customFormat="1" ht="13" hidden="1">
      <c r="A20" s="241"/>
      <c r="B20" s="241"/>
      <c r="E20" s="65"/>
      <c r="S20"/>
    </row>
    <row r="21" spans="1:22" s="43" customFormat="1" ht="13" hidden="1">
      <c r="A21" s="241"/>
      <c r="B21" s="241"/>
      <c r="G21" s="244">
        <f t="shared" ref="G21:R21" si="5">SUM(G16:G19)</f>
        <v>750</v>
      </c>
      <c r="H21" s="244">
        <f t="shared" si="5"/>
        <v>775</v>
      </c>
      <c r="I21" s="244">
        <f t="shared" si="5"/>
        <v>800</v>
      </c>
      <c r="J21" s="244">
        <f t="shared" si="5"/>
        <v>825</v>
      </c>
      <c r="K21" s="244">
        <f t="shared" si="5"/>
        <v>850</v>
      </c>
      <c r="L21" s="244">
        <f t="shared" si="5"/>
        <v>875</v>
      </c>
      <c r="M21" s="244">
        <f t="shared" si="5"/>
        <v>900</v>
      </c>
      <c r="N21" s="244">
        <f t="shared" si="5"/>
        <v>925</v>
      </c>
      <c r="O21" s="244">
        <f t="shared" si="5"/>
        <v>950</v>
      </c>
      <c r="P21" s="244">
        <f t="shared" si="5"/>
        <v>975</v>
      </c>
      <c r="Q21" s="244">
        <f t="shared" si="5"/>
        <v>1000</v>
      </c>
      <c r="R21" s="244">
        <f t="shared" si="5"/>
        <v>1025</v>
      </c>
      <c r="S21"/>
    </row>
    <row r="22" spans="1:22" s="43" customFormat="1" ht="13.5" thickBot="1">
      <c r="A22" s="243"/>
      <c r="B22" s="243"/>
      <c r="C22" s="240"/>
      <c r="D22" s="241"/>
      <c r="E22"/>
      <c r="F22"/>
      <c r="G22" s="244"/>
      <c r="H22" s="244"/>
      <c r="I22" s="244"/>
      <c r="J22" s="244"/>
      <c r="K22" s="244"/>
      <c r="L22" s="244"/>
      <c r="M22" s="244"/>
      <c r="N22" s="244"/>
      <c r="O22" s="244"/>
      <c r="P22" s="244"/>
      <c r="Q22" s="244"/>
      <c r="R22" s="244"/>
      <c r="S22"/>
    </row>
    <row r="23" spans="1:22" s="43" customFormat="1" ht="13.5" thickBot="1">
      <c r="A23"/>
      <c r="B23"/>
      <c r="C23"/>
      <c r="D23" s="48" t="s">
        <v>490</v>
      </c>
      <c r="E23" s="845">
        <v>5</v>
      </c>
      <c r="F23" s="245"/>
      <c r="G23"/>
      <c r="H23"/>
      <c r="I23"/>
      <c r="J23"/>
      <c r="K23"/>
      <c r="L23"/>
      <c r="M23"/>
      <c r="N23"/>
      <c r="O23"/>
      <c r="P23"/>
      <c r="Q23"/>
      <c r="R23"/>
      <c r="S23" s="238"/>
    </row>
    <row r="24" spans="1:22" s="43" customFormat="1" ht="13.5" thickBot="1">
      <c r="A24"/>
      <c r="B24"/>
      <c r="C24"/>
      <c r="D24" s="48" t="s">
        <v>389</v>
      </c>
      <c r="E24" s="246"/>
      <c r="F24" s="246"/>
      <c r="G24" s="846">
        <v>150</v>
      </c>
      <c r="H24" s="846">
        <v>155</v>
      </c>
      <c r="I24" s="846">
        <v>160</v>
      </c>
      <c r="J24" s="846">
        <v>165</v>
      </c>
      <c r="K24" s="846">
        <v>170</v>
      </c>
      <c r="L24" s="846">
        <v>175</v>
      </c>
      <c r="M24" s="846">
        <v>180</v>
      </c>
      <c r="N24" s="846">
        <v>185</v>
      </c>
      <c r="O24" s="846">
        <v>190</v>
      </c>
      <c r="P24" s="846">
        <v>195</v>
      </c>
      <c r="Q24" s="846">
        <v>200</v>
      </c>
      <c r="R24" s="846">
        <v>205</v>
      </c>
      <c r="S24" s="387">
        <f>SUM(G24:R24)</f>
        <v>2130</v>
      </c>
    </row>
    <row r="25" spans="1:22" s="43" customFormat="1" ht="13.5" thickBot="1">
      <c r="A25"/>
      <c r="B25"/>
      <c r="C25"/>
      <c r="D25" s="48" t="s">
        <v>491</v>
      </c>
      <c r="E25" s="246"/>
      <c r="F25" s="246"/>
      <c r="G25" s="247">
        <f t="shared" ref="G25:R25" si="6">G24*$E$23</f>
        <v>750</v>
      </c>
      <c r="H25" s="247">
        <f t="shared" si="6"/>
        <v>775</v>
      </c>
      <c r="I25" s="247">
        <f t="shared" si="6"/>
        <v>800</v>
      </c>
      <c r="J25" s="247">
        <f t="shared" si="6"/>
        <v>825</v>
      </c>
      <c r="K25" s="247">
        <f t="shared" si="6"/>
        <v>850</v>
      </c>
      <c r="L25" s="247">
        <f t="shared" si="6"/>
        <v>875</v>
      </c>
      <c r="M25" s="247">
        <f t="shared" si="6"/>
        <v>900</v>
      </c>
      <c r="N25" s="247">
        <f t="shared" si="6"/>
        <v>925</v>
      </c>
      <c r="O25" s="247">
        <f t="shared" si="6"/>
        <v>950</v>
      </c>
      <c r="P25" s="247">
        <f t="shared" si="6"/>
        <v>975</v>
      </c>
      <c r="Q25" s="247">
        <f t="shared" si="6"/>
        <v>1000</v>
      </c>
      <c r="R25" s="248">
        <f t="shared" si="6"/>
        <v>1025</v>
      </c>
      <c r="S25" s="76">
        <f>SUM(G25:R25)</f>
        <v>10650</v>
      </c>
      <c r="V25" s="1002"/>
    </row>
    <row r="26" spans="1:22" s="43" customFormat="1" ht="13">
      <c r="A26"/>
      <c r="B26"/>
      <c r="C26"/>
      <c r="D26"/>
      <c r="E26" s="246"/>
      <c r="F26" s="246"/>
      <c r="G26" s="249"/>
      <c r="H26" s="249"/>
      <c r="I26" s="249"/>
      <c r="J26" s="249"/>
      <c r="K26" s="249"/>
      <c r="L26" s="249"/>
      <c r="M26" s="249"/>
      <c r="N26" s="249"/>
      <c r="O26" s="249"/>
      <c r="P26" s="249"/>
      <c r="Q26" s="249"/>
      <c r="R26" s="249"/>
      <c r="S26" s="249"/>
      <c r="V26" s="1002"/>
    </row>
    <row r="27" spans="1:22" s="43" customFormat="1" ht="13.5" thickBot="1">
      <c r="A27" s="898"/>
      <c r="B27" s="898"/>
      <c r="C27" s="899" t="s">
        <v>328</v>
      </c>
      <c r="D27" s="899" t="s">
        <v>329</v>
      </c>
      <c r="E27" s="899" t="s">
        <v>448</v>
      </c>
      <c r="F27" s="899" t="s">
        <v>330</v>
      </c>
      <c r="G27" s="1180" t="str">
        <f>A28</f>
        <v>Produit/service 2</v>
      </c>
      <c r="H27" s="1180"/>
      <c r="I27" s="1180"/>
      <c r="J27" s="1180"/>
      <c r="K27" s="1180"/>
      <c r="L27" s="1180"/>
      <c r="M27" s="1180"/>
      <c r="N27" s="1180"/>
      <c r="O27" s="1180"/>
      <c r="P27" s="1180"/>
      <c r="Q27" s="1180"/>
      <c r="R27" s="1180"/>
      <c r="S27" s="1180"/>
      <c r="V27" s="1002"/>
    </row>
    <row r="28" spans="1:22" s="43" customFormat="1" ht="13.5" thickBot="1">
      <c r="A28" s="904" t="str">
        <f>IF(RG!$A$78=5,"Vaches de réforme","Produit/service 2")</f>
        <v>Produit/service 2</v>
      </c>
      <c r="B28" s="241"/>
      <c r="C28" s="844">
        <v>1</v>
      </c>
      <c r="D28" s="844">
        <v>0</v>
      </c>
      <c r="E28" s="844">
        <v>0</v>
      </c>
      <c r="F28" s="844">
        <v>0</v>
      </c>
      <c r="G28" s="740" t="str">
        <f>IF(SUM(C28:F28)=100%,"","&gt; 100 % &lt;")</f>
        <v/>
      </c>
      <c r="V28" s="1002"/>
    </row>
    <row r="29" spans="1:22" s="43" customFormat="1" ht="16.5" hidden="1" customHeight="1">
      <c r="G29" s="237">
        <f t="shared" ref="G29:R29" si="7">G38*$C$28</f>
        <v>1000</v>
      </c>
      <c r="H29" s="237">
        <f t="shared" si="7"/>
        <v>1050</v>
      </c>
      <c r="I29" s="237">
        <f t="shared" si="7"/>
        <v>1100</v>
      </c>
      <c r="J29" s="237">
        <f t="shared" si="7"/>
        <v>1150</v>
      </c>
      <c r="K29" s="237">
        <f t="shared" si="7"/>
        <v>1200</v>
      </c>
      <c r="L29" s="237">
        <f t="shared" si="7"/>
        <v>1250</v>
      </c>
      <c r="M29" s="237">
        <f t="shared" si="7"/>
        <v>1300</v>
      </c>
      <c r="N29" s="237">
        <f t="shared" si="7"/>
        <v>1350</v>
      </c>
      <c r="O29" s="237">
        <f t="shared" si="7"/>
        <v>1400</v>
      </c>
      <c r="P29" s="237">
        <f t="shared" si="7"/>
        <v>1450</v>
      </c>
      <c r="Q29" s="237">
        <f t="shared" si="7"/>
        <v>1500</v>
      </c>
      <c r="R29" s="237">
        <f t="shared" si="7"/>
        <v>1550</v>
      </c>
      <c r="S29"/>
      <c r="V29" s="1002"/>
    </row>
    <row r="30" spans="1:22" s="43" customFormat="1" ht="16.5" hidden="1" customHeight="1">
      <c r="A30" s="241"/>
      <c r="B30" s="241"/>
      <c r="D30" s="239"/>
      <c r="F30" s="239"/>
      <c r="G30" s="242"/>
      <c r="H30" s="237">
        <f t="shared" ref="H30:R30" si="8">G38*$D$28</f>
        <v>0</v>
      </c>
      <c r="I30" s="237">
        <f t="shared" si="8"/>
        <v>0</v>
      </c>
      <c r="J30" s="237">
        <f t="shared" si="8"/>
        <v>0</v>
      </c>
      <c r="K30" s="237">
        <f t="shared" si="8"/>
        <v>0</v>
      </c>
      <c r="L30" s="237">
        <f t="shared" si="8"/>
        <v>0</v>
      </c>
      <c r="M30" s="237">
        <f t="shared" si="8"/>
        <v>0</v>
      </c>
      <c r="N30" s="237">
        <f t="shared" si="8"/>
        <v>0</v>
      </c>
      <c r="O30" s="237">
        <f t="shared" si="8"/>
        <v>0</v>
      </c>
      <c r="P30" s="237">
        <f t="shared" si="8"/>
        <v>0</v>
      </c>
      <c r="Q30" s="237">
        <f t="shared" si="8"/>
        <v>0</v>
      </c>
      <c r="R30" s="237">
        <f t="shared" si="8"/>
        <v>0</v>
      </c>
      <c r="S30"/>
      <c r="V30" s="1002"/>
    </row>
    <row r="31" spans="1:22" s="43" customFormat="1" ht="13" hidden="1">
      <c r="A31" s="241"/>
      <c r="B31" s="241"/>
      <c r="D31" s="239"/>
      <c r="F31" s="239"/>
      <c r="G31" s="242"/>
      <c r="H31" s="240"/>
      <c r="I31" s="237">
        <f t="shared" ref="I31:R31" si="9">G38*$E$28</f>
        <v>0</v>
      </c>
      <c r="J31" s="237">
        <f t="shared" si="9"/>
        <v>0</v>
      </c>
      <c r="K31" s="237">
        <f t="shared" si="9"/>
        <v>0</v>
      </c>
      <c r="L31" s="237">
        <f t="shared" si="9"/>
        <v>0</v>
      </c>
      <c r="M31" s="237">
        <f t="shared" si="9"/>
        <v>0</v>
      </c>
      <c r="N31" s="237">
        <f t="shared" si="9"/>
        <v>0</v>
      </c>
      <c r="O31" s="237">
        <f t="shared" si="9"/>
        <v>0</v>
      </c>
      <c r="P31" s="237">
        <f t="shared" si="9"/>
        <v>0</v>
      </c>
      <c r="Q31" s="237">
        <f t="shared" si="9"/>
        <v>0</v>
      </c>
      <c r="R31" s="237">
        <f t="shared" si="9"/>
        <v>0</v>
      </c>
      <c r="S31"/>
    </row>
    <row r="32" spans="1:22" s="43" customFormat="1" ht="13" hidden="1">
      <c r="A32" s="241"/>
      <c r="B32" s="241"/>
      <c r="D32" s="239"/>
      <c r="F32" s="239"/>
      <c r="G32" s="242"/>
      <c r="H32" s="240"/>
      <c r="I32" s="240"/>
      <c r="J32" s="237">
        <f t="shared" ref="J32:R32" si="10">G38*$F$28</f>
        <v>0</v>
      </c>
      <c r="K32" s="237">
        <f t="shared" si="10"/>
        <v>0</v>
      </c>
      <c r="L32" s="237">
        <f t="shared" si="10"/>
        <v>0</v>
      </c>
      <c r="M32" s="237">
        <f t="shared" si="10"/>
        <v>0</v>
      </c>
      <c r="N32" s="237">
        <f t="shared" si="10"/>
        <v>0</v>
      </c>
      <c r="O32" s="237">
        <f t="shared" si="10"/>
        <v>0</v>
      </c>
      <c r="P32" s="237">
        <f t="shared" si="10"/>
        <v>0</v>
      </c>
      <c r="Q32" s="237">
        <f t="shared" si="10"/>
        <v>0</v>
      </c>
      <c r="R32" s="237">
        <f t="shared" si="10"/>
        <v>0</v>
      </c>
      <c r="S32"/>
    </row>
    <row r="33" spans="1:19" s="43" customFormat="1" ht="13" hidden="1">
      <c r="A33" s="241"/>
      <c r="B33" s="241"/>
      <c r="E33" s="65"/>
      <c r="S33"/>
    </row>
    <row r="34" spans="1:19" s="43" customFormat="1" ht="13" hidden="1">
      <c r="A34" s="241"/>
      <c r="B34" s="241"/>
      <c r="G34" s="244">
        <f t="shared" ref="G34:R34" si="11">SUM(G29:G32)</f>
        <v>1000</v>
      </c>
      <c r="H34" s="244">
        <f t="shared" si="11"/>
        <v>1050</v>
      </c>
      <c r="I34" s="244">
        <f t="shared" si="11"/>
        <v>1100</v>
      </c>
      <c r="J34" s="244">
        <f t="shared" si="11"/>
        <v>1150</v>
      </c>
      <c r="K34" s="244">
        <f t="shared" si="11"/>
        <v>1200</v>
      </c>
      <c r="L34" s="244">
        <f t="shared" si="11"/>
        <v>1250</v>
      </c>
      <c r="M34" s="244">
        <f t="shared" si="11"/>
        <v>1300</v>
      </c>
      <c r="N34" s="244">
        <f t="shared" si="11"/>
        <v>1350</v>
      </c>
      <c r="O34" s="244">
        <f t="shared" si="11"/>
        <v>1400</v>
      </c>
      <c r="P34" s="244">
        <f t="shared" si="11"/>
        <v>1450</v>
      </c>
      <c r="Q34" s="244">
        <f t="shared" si="11"/>
        <v>1500</v>
      </c>
      <c r="R34" s="244">
        <f t="shared" si="11"/>
        <v>1550</v>
      </c>
      <c r="S34"/>
    </row>
    <row r="35" spans="1:19" s="43" customFormat="1" ht="13.5" thickBot="1">
      <c r="A35" s="243"/>
      <c r="B35" s="243"/>
      <c r="C35" s="240"/>
      <c r="D35" s="241"/>
      <c r="E35"/>
      <c r="F35"/>
      <c r="G35" s="244"/>
      <c r="H35" s="244"/>
      <c r="I35" s="244"/>
      <c r="J35" s="244"/>
      <c r="K35" s="244"/>
      <c r="L35" s="244"/>
      <c r="M35" s="244"/>
      <c r="N35" s="244"/>
      <c r="O35" s="244"/>
      <c r="P35" s="244"/>
      <c r="Q35" s="244"/>
      <c r="R35" s="244"/>
      <c r="S35"/>
    </row>
    <row r="36" spans="1:19" s="43" customFormat="1" ht="12.75" customHeight="1" thickBot="1">
      <c r="A36"/>
      <c r="B36"/>
      <c r="C36"/>
      <c r="D36" s="48" t="s">
        <v>490</v>
      </c>
      <c r="E36" s="845">
        <v>10</v>
      </c>
      <c r="F36" s="245"/>
      <c r="G36"/>
      <c r="H36"/>
      <c r="I36"/>
      <c r="J36"/>
      <c r="K36"/>
      <c r="L36"/>
      <c r="M36"/>
      <c r="N36"/>
      <c r="O36"/>
      <c r="P36"/>
      <c r="Q36"/>
      <c r="R36"/>
      <c r="S36" s="249"/>
    </row>
    <row r="37" spans="1:19" s="43" customFormat="1" ht="13.5" thickBot="1">
      <c r="A37"/>
      <c r="B37"/>
      <c r="C37"/>
      <c r="D37" s="48" t="s">
        <v>389</v>
      </c>
      <c r="E37" s="246"/>
      <c r="F37" s="246"/>
      <c r="G37" s="846">
        <v>100</v>
      </c>
      <c r="H37" s="846">
        <v>105</v>
      </c>
      <c r="I37" s="846">
        <v>110</v>
      </c>
      <c r="J37" s="846">
        <v>115</v>
      </c>
      <c r="K37" s="846">
        <v>120</v>
      </c>
      <c r="L37" s="846">
        <v>125</v>
      </c>
      <c r="M37" s="846">
        <v>130</v>
      </c>
      <c r="N37" s="846">
        <v>135</v>
      </c>
      <c r="O37" s="846">
        <v>140</v>
      </c>
      <c r="P37" s="846">
        <v>145</v>
      </c>
      <c r="Q37" s="846">
        <v>150</v>
      </c>
      <c r="R37" s="846">
        <v>155</v>
      </c>
      <c r="S37" s="76">
        <f>SUM(G37:R37)</f>
        <v>1530</v>
      </c>
    </row>
    <row r="38" spans="1:19" s="43" customFormat="1" ht="13.5" thickBot="1">
      <c r="A38"/>
      <c r="B38"/>
      <c r="C38"/>
      <c r="D38" s="48" t="s">
        <v>491</v>
      </c>
      <c r="E38" s="246"/>
      <c r="F38" s="246"/>
      <c r="G38" s="250">
        <f t="shared" ref="G38:R38" si="12">G37*$E$36</f>
        <v>1000</v>
      </c>
      <c r="H38" s="250">
        <f t="shared" si="12"/>
        <v>1050</v>
      </c>
      <c r="I38" s="250">
        <f t="shared" si="12"/>
        <v>1100</v>
      </c>
      <c r="J38" s="250">
        <f t="shared" si="12"/>
        <v>1150</v>
      </c>
      <c r="K38" s="250">
        <f t="shared" si="12"/>
        <v>1200</v>
      </c>
      <c r="L38" s="250">
        <f t="shared" si="12"/>
        <v>1250</v>
      </c>
      <c r="M38" s="250">
        <f t="shared" si="12"/>
        <v>1300</v>
      </c>
      <c r="N38" s="250">
        <f t="shared" si="12"/>
        <v>1350</v>
      </c>
      <c r="O38" s="250">
        <f t="shared" si="12"/>
        <v>1400</v>
      </c>
      <c r="P38" s="250">
        <f t="shared" si="12"/>
        <v>1450</v>
      </c>
      <c r="Q38" s="250">
        <f t="shared" si="12"/>
        <v>1500</v>
      </c>
      <c r="R38" s="250">
        <f t="shared" si="12"/>
        <v>1550</v>
      </c>
      <c r="S38" s="76">
        <f>SUM(G38:R38)</f>
        <v>15300</v>
      </c>
    </row>
    <row r="39" spans="1:19" s="43" customFormat="1" ht="13">
      <c r="A39"/>
      <c r="B39"/>
      <c r="C39"/>
      <c r="D39" s="48"/>
      <c r="E39" s="246"/>
      <c r="F39" s="246"/>
      <c r="G39" s="249"/>
      <c r="H39" s="249"/>
      <c r="I39" s="249"/>
      <c r="J39" s="249"/>
      <c r="K39" s="249"/>
      <c r="L39" s="249"/>
      <c r="M39" s="249"/>
      <c r="N39" s="249"/>
      <c r="O39" s="249"/>
      <c r="P39" s="249"/>
      <c r="Q39" s="249"/>
      <c r="R39" s="249"/>
      <c r="S39" s="77"/>
    </row>
    <row r="40" spans="1:19" s="43" customFormat="1" ht="13.5" thickBot="1">
      <c r="A40" s="898"/>
      <c r="B40" s="898"/>
      <c r="C40" s="899" t="s">
        <v>328</v>
      </c>
      <c r="D40" s="899" t="s">
        <v>329</v>
      </c>
      <c r="E40" s="899" t="s">
        <v>448</v>
      </c>
      <c r="F40" s="899" t="s">
        <v>330</v>
      </c>
      <c r="G40" s="1180" t="str">
        <f>A41</f>
        <v>Produit/service 3</v>
      </c>
      <c r="H40" s="1180"/>
      <c r="I40" s="1180"/>
      <c r="J40" s="1180"/>
      <c r="K40" s="1180"/>
      <c r="L40" s="1180"/>
      <c r="M40" s="1180"/>
      <c r="N40" s="1180"/>
      <c r="O40" s="1180"/>
      <c r="P40" s="1180"/>
      <c r="Q40" s="1180"/>
      <c r="R40" s="1180"/>
      <c r="S40" s="1180"/>
    </row>
    <row r="41" spans="1:19" s="43" customFormat="1" ht="13.5" thickBot="1">
      <c r="A41" s="904" t="str">
        <f>IF(RG!$A$78=5,"Vaches de reproduction","Produit/service 3")</f>
        <v>Produit/service 3</v>
      </c>
      <c r="B41" s="241"/>
      <c r="C41" s="844">
        <v>1</v>
      </c>
      <c r="D41" s="844">
        <v>0</v>
      </c>
      <c r="E41" s="844">
        <v>0</v>
      </c>
      <c r="F41" s="844">
        <v>0</v>
      </c>
      <c r="G41" s="740" t="str">
        <f>IF(SUM(C41:F41)=100%,"","&gt; 100 % &lt;")</f>
        <v/>
      </c>
    </row>
    <row r="42" spans="1:19" s="43" customFormat="1" ht="16.5" hidden="1" customHeight="1">
      <c r="B42" s="241"/>
      <c r="D42" s="239"/>
      <c r="F42" s="239"/>
      <c r="G42" s="237">
        <f t="shared" ref="G42:R42" si="13">G51*$C$41</f>
        <v>1500</v>
      </c>
      <c r="H42" s="237">
        <f t="shared" si="13"/>
        <v>1575</v>
      </c>
      <c r="I42" s="237">
        <f t="shared" si="13"/>
        <v>1650</v>
      </c>
      <c r="J42" s="237">
        <f t="shared" si="13"/>
        <v>1725</v>
      </c>
      <c r="K42" s="237">
        <f t="shared" si="13"/>
        <v>1800</v>
      </c>
      <c r="L42" s="237">
        <f t="shared" si="13"/>
        <v>1875</v>
      </c>
      <c r="M42" s="237">
        <f t="shared" si="13"/>
        <v>1950</v>
      </c>
      <c r="N42" s="237">
        <f t="shared" si="13"/>
        <v>2025</v>
      </c>
      <c r="O42" s="237">
        <f t="shared" si="13"/>
        <v>2100</v>
      </c>
      <c r="P42" s="237">
        <f t="shared" si="13"/>
        <v>2175</v>
      </c>
      <c r="Q42" s="237">
        <f t="shared" si="13"/>
        <v>2250</v>
      </c>
      <c r="R42" s="237">
        <f t="shared" si="13"/>
        <v>2325</v>
      </c>
      <c r="S42" s="77"/>
    </row>
    <row r="43" spans="1:19" s="43" customFormat="1" ht="16.5" hidden="1" customHeight="1">
      <c r="A43" s="241"/>
      <c r="B43" s="241"/>
      <c r="D43" s="239"/>
      <c r="F43" s="239"/>
      <c r="G43" s="242"/>
      <c r="H43" s="237">
        <f t="shared" ref="H43:R43" si="14">G51*$D$41</f>
        <v>0</v>
      </c>
      <c r="I43" s="237">
        <f t="shared" si="14"/>
        <v>0</v>
      </c>
      <c r="J43" s="237">
        <f t="shared" si="14"/>
        <v>0</v>
      </c>
      <c r="K43" s="237">
        <f t="shared" si="14"/>
        <v>0</v>
      </c>
      <c r="L43" s="237">
        <f t="shared" si="14"/>
        <v>0</v>
      </c>
      <c r="M43" s="237">
        <f t="shared" si="14"/>
        <v>0</v>
      </c>
      <c r="N43" s="237">
        <f t="shared" si="14"/>
        <v>0</v>
      </c>
      <c r="O43" s="237">
        <f t="shared" si="14"/>
        <v>0</v>
      </c>
      <c r="P43" s="237">
        <f t="shared" si="14"/>
        <v>0</v>
      </c>
      <c r="Q43" s="237">
        <f t="shared" si="14"/>
        <v>0</v>
      </c>
      <c r="R43" s="237">
        <f t="shared" si="14"/>
        <v>0</v>
      </c>
    </row>
    <row r="44" spans="1:19" s="43" customFormat="1" ht="13" hidden="1">
      <c r="A44" s="241"/>
      <c r="B44" s="241"/>
      <c r="D44" s="239"/>
      <c r="F44" s="239"/>
      <c r="G44" s="242"/>
      <c r="H44" s="240"/>
      <c r="I44" s="237">
        <f t="shared" ref="I44:R44" si="15">G51*$E$41</f>
        <v>0</v>
      </c>
      <c r="J44" s="237">
        <f t="shared" si="15"/>
        <v>0</v>
      </c>
      <c r="K44" s="237">
        <f t="shared" si="15"/>
        <v>0</v>
      </c>
      <c r="L44" s="237">
        <f t="shared" si="15"/>
        <v>0</v>
      </c>
      <c r="M44" s="237">
        <f t="shared" si="15"/>
        <v>0</v>
      </c>
      <c r="N44" s="237">
        <f t="shared" si="15"/>
        <v>0</v>
      </c>
      <c r="O44" s="237">
        <f t="shared" si="15"/>
        <v>0</v>
      </c>
      <c r="P44" s="237">
        <f t="shared" si="15"/>
        <v>0</v>
      </c>
      <c r="Q44" s="237">
        <f t="shared" si="15"/>
        <v>0</v>
      </c>
      <c r="R44" s="237">
        <f t="shared" si="15"/>
        <v>0</v>
      </c>
    </row>
    <row r="45" spans="1:19" s="43" customFormat="1" ht="13" hidden="1">
      <c r="A45" s="241"/>
      <c r="B45" s="241"/>
      <c r="D45" s="239"/>
      <c r="F45" s="239"/>
      <c r="G45" s="242"/>
      <c r="H45" s="240"/>
      <c r="I45" s="240"/>
      <c r="J45" s="237">
        <f t="shared" ref="J45:R45" si="16">G51*$F$41</f>
        <v>0</v>
      </c>
      <c r="K45" s="237">
        <f t="shared" si="16"/>
        <v>0</v>
      </c>
      <c r="L45" s="237">
        <f t="shared" si="16"/>
        <v>0</v>
      </c>
      <c r="M45" s="237">
        <f t="shared" si="16"/>
        <v>0</v>
      </c>
      <c r="N45" s="237">
        <f t="shared" si="16"/>
        <v>0</v>
      </c>
      <c r="O45" s="237">
        <f t="shared" si="16"/>
        <v>0</v>
      </c>
      <c r="P45" s="237">
        <f t="shared" si="16"/>
        <v>0</v>
      </c>
      <c r="Q45" s="237">
        <f t="shared" si="16"/>
        <v>0</v>
      </c>
      <c r="R45" s="237">
        <f t="shared" si="16"/>
        <v>0</v>
      </c>
    </row>
    <row r="46" spans="1:19" s="43" customFormat="1" ht="13" hidden="1">
      <c r="A46" s="241"/>
      <c r="B46" s="241"/>
      <c r="E46" s="65"/>
    </row>
    <row r="47" spans="1:19" s="43" customFormat="1" ht="13" hidden="1">
      <c r="A47" s="241"/>
      <c r="B47" s="241"/>
      <c r="G47" s="244">
        <f t="shared" ref="G47:R47" si="17">SUM(G42:G45)</f>
        <v>1500</v>
      </c>
      <c r="H47" s="244">
        <f t="shared" si="17"/>
        <v>1575</v>
      </c>
      <c r="I47" s="244">
        <f t="shared" si="17"/>
        <v>1650</v>
      </c>
      <c r="J47" s="244">
        <f t="shared" si="17"/>
        <v>1725</v>
      </c>
      <c r="K47" s="244">
        <f t="shared" si="17"/>
        <v>1800</v>
      </c>
      <c r="L47" s="244">
        <f t="shared" si="17"/>
        <v>1875</v>
      </c>
      <c r="M47" s="244">
        <f t="shared" si="17"/>
        <v>1950</v>
      </c>
      <c r="N47" s="244">
        <f t="shared" si="17"/>
        <v>2025</v>
      </c>
      <c r="O47" s="244">
        <f t="shared" si="17"/>
        <v>2100</v>
      </c>
      <c r="P47" s="244">
        <f t="shared" si="17"/>
        <v>2175</v>
      </c>
      <c r="Q47" s="244">
        <f t="shared" si="17"/>
        <v>2250</v>
      </c>
      <c r="R47" s="244">
        <f t="shared" si="17"/>
        <v>2325</v>
      </c>
    </row>
    <row r="48" spans="1:19" s="43" customFormat="1" ht="13.5" thickBot="1">
      <c r="A48" s="243"/>
      <c r="B48" s="243"/>
      <c r="C48" s="240"/>
      <c r="D48" s="241"/>
      <c r="E48"/>
      <c r="F48"/>
      <c r="G48" s="244"/>
      <c r="H48" s="244"/>
      <c r="I48" s="244"/>
      <c r="J48" s="244"/>
      <c r="K48" s="244"/>
      <c r="L48" s="244"/>
      <c r="M48" s="244"/>
      <c r="N48" s="244"/>
      <c r="O48" s="244"/>
      <c r="P48" s="244"/>
      <c r="Q48" s="244"/>
      <c r="R48" s="244"/>
      <c r="S48" s="77"/>
    </row>
    <row r="49" spans="1:19" s="43" customFormat="1" ht="13.5" thickBot="1">
      <c r="A49"/>
      <c r="B49"/>
      <c r="C49"/>
      <c r="D49" s="48" t="s">
        <v>490</v>
      </c>
      <c r="E49" s="845">
        <v>15</v>
      </c>
      <c r="F49" s="245"/>
      <c r="G49"/>
      <c r="H49"/>
      <c r="I49"/>
      <c r="J49"/>
      <c r="K49"/>
      <c r="L49"/>
      <c r="M49"/>
      <c r="N49"/>
      <c r="O49"/>
      <c r="P49"/>
      <c r="Q49"/>
      <c r="R49"/>
      <c r="S49" s="77"/>
    </row>
    <row r="50" spans="1:19" s="43" customFormat="1" ht="13.5" thickBot="1">
      <c r="A50"/>
      <c r="B50"/>
      <c r="C50"/>
      <c r="D50" s="48" t="s">
        <v>389</v>
      </c>
      <c r="E50" s="237"/>
      <c r="F50" s="237"/>
      <c r="G50" s="846">
        <v>100</v>
      </c>
      <c r="H50" s="846">
        <v>105</v>
      </c>
      <c r="I50" s="846">
        <v>110</v>
      </c>
      <c r="J50" s="846">
        <v>115</v>
      </c>
      <c r="K50" s="846">
        <v>120</v>
      </c>
      <c r="L50" s="846">
        <v>125</v>
      </c>
      <c r="M50" s="846">
        <v>130</v>
      </c>
      <c r="N50" s="846">
        <v>135</v>
      </c>
      <c r="O50" s="846">
        <v>140</v>
      </c>
      <c r="P50" s="846">
        <v>145</v>
      </c>
      <c r="Q50" s="846">
        <v>150</v>
      </c>
      <c r="R50" s="846">
        <v>155</v>
      </c>
      <c r="S50" s="76">
        <f>SUM(G50:R50)</f>
        <v>1530</v>
      </c>
    </row>
    <row r="51" spans="1:19" s="43" customFormat="1" ht="13.5" thickBot="1">
      <c r="A51"/>
      <c r="B51"/>
      <c r="C51"/>
      <c r="D51" s="48" t="s">
        <v>491</v>
      </c>
      <c r="E51" s="237"/>
      <c r="F51" s="237"/>
      <c r="G51" s="250">
        <f t="shared" ref="G51:R51" si="18">G50*$E$49</f>
        <v>1500</v>
      </c>
      <c r="H51" s="250">
        <f t="shared" si="18"/>
        <v>1575</v>
      </c>
      <c r="I51" s="250">
        <f t="shared" si="18"/>
        <v>1650</v>
      </c>
      <c r="J51" s="250">
        <f t="shared" si="18"/>
        <v>1725</v>
      </c>
      <c r="K51" s="250">
        <f t="shared" si="18"/>
        <v>1800</v>
      </c>
      <c r="L51" s="250">
        <f t="shared" si="18"/>
        <v>1875</v>
      </c>
      <c r="M51" s="250">
        <f t="shared" si="18"/>
        <v>1950</v>
      </c>
      <c r="N51" s="250">
        <f t="shared" si="18"/>
        <v>2025</v>
      </c>
      <c r="O51" s="250">
        <f t="shared" si="18"/>
        <v>2100</v>
      </c>
      <c r="P51" s="250">
        <f t="shared" si="18"/>
        <v>2175</v>
      </c>
      <c r="Q51" s="250">
        <f t="shared" si="18"/>
        <v>2250</v>
      </c>
      <c r="R51" s="250">
        <f t="shared" si="18"/>
        <v>2325</v>
      </c>
      <c r="S51" s="76">
        <f>SUM(G51:R51)</f>
        <v>22950</v>
      </c>
    </row>
    <row r="52" spans="1:19" s="43" customFormat="1" ht="13">
      <c r="A52"/>
      <c r="B52"/>
      <c r="C52"/>
      <c r="D52"/>
      <c r="E52" s="237"/>
      <c r="F52" s="237"/>
      <c r="G52" s="249"/>
      <c r="H52" s="249"/>
      <c r="I52" s="249"/>
      <c r="J52" s="249"/>
      <c r="K52" s="249"/>
      <c r="L52" s="249"/>
      <c r="M52" s="249"/>
      <c r="N52" s="249"/>
      <c r="O52" s="249"/>
      <c r="P52" s="249"/>
      <c r="Q52" s="249"/>
      <c r="R52" s="249"/>
      <c r="S52" s="77"/>
    </row>
    <row r="53" spans="1:19" s="43" customFormat="1" ht="13.5" thickBot="1">
      <c r="A53" s="898"/>
      <c r="B53" s="898"/>
      <c r="C53" s="899" t="s">
        <v>328</v>
      </c>
      <c r="D53" s="899" t="s">
        <v>329</v>
      </c>
      <c r="E53" s="899" t="s">
        <v>448</v>
      </c>
      <c r="F53" s="899" t="s">
        <v>330</v>
      </c>
      <c r="G53" s="1180" t="str">
        <f>A54</f>
        <v>Produit/service 4</v>
      </c>
      <c r="H53" s="1180"/>
      <c r="I53" s="1180"/>
      <c r="J53" s="1180"/>
      <c r="K53" s="1180"/>
      <c r="L53" s="1180"/>
      <c r="M53" s="1180"/>
      <c r="N53" s="1180"/>
      <c r="O53" s="1180"/>
      <c r="P53" s="1180"/>
      <c r="Q53" s="1180"/>
      <c r="R53" s="1180"/>
      <c r="S53" s="1180"/>
    </row>
    <row r="54" spans="1:19" s="43" customFormat="1" ht="13.5" thickBot="1">
      <c r="A54" s="904" t="str">
        <f>IF(RG!$A$78=5,"Taures de réforme","Produit/service 4")</f>
        <v>Produit/service 4</v>
      </c>
      <c r="B54" s="241"/>
      <c r="C54" s="844">
        <v>1</v>
      </c>
      <c r="D54" s="844">
        <v>0</v>
      </c>
      <c r="E54" s="844">
        <v>0</v>
      </c>
      <c r="F54" s="844">
        <v>0</v>
      </c>
      <c r="G54" s="740" t="str">
        <f>IF(SUM(C54:F54)=100%,"","&gt; 100 % &lt;")</f>
        <v/>
      </c>
    </row>
    <row r="55" spans="1:19" s="43" customFormat="1" ht="16.5" hidden="1" customHeight="1">
      <c r="B55" s="241"/>
      <c r="D55" s="239"/>
      <c r="F55" s="239"/>
      <c r="G55" s="237">
        <f t="shared" ref="G55:R55" si="19">G64*$C$54</f>
        <v>0</v>
      </c>
      <c r="H55" s="237">
        <f t="shared" si="19"/>
        <v>0</v>
      </c>
      <c r="I55" s="237">
        <f t="shared" si="19"/>
        <v>0</v>
      </c>
      <c r="J55" s="237">
        <f t="shared" si="19"/>
        <v>0</v>
      </c>
      <c r="K55" s="237">
        <f t="shared" si="19"/>
        <v>0</v>
      </c>
      <c r="L55" s="237">
        <f t="shared" si="19"/>
        <v>0</v>
      </c>
      <c r="M55" s="237">
        <f t="shared" si="19"/>
        <v>0</v>
      </c>
      <c r="N55" s="237">
        <f t="shared" si="19"/>
        <v>0</v>
      </c>
      <c r="O55" s="237">
        <f t="shared" si="19"/>
        <v>0</v>
      </c>
      <c r="P55" s="237">
        <f t="shared" si="19"/>
        <v>0</v>
      </c>
      <c r="Q55" s="237">
        <f t="shared" si="19"/>
        <v>0</v>
      </c>
      <c r="R55" s="237">
        <f t="shared" si="19"/>
        <v>0</v>
      </c>
      <c r="S55" s="77"/>
    </row>
    <row r="56" spans="1:19" s="43" customFormat="1" ht="16.5" hidden="1" customHeight="1">
      <c r="A56" s="241"/>
      <c r="B56" s="241"/>
      <c r="D56" s="239"/>
      <c r="F56" s="239"/>
      <c r="G56" s="242"/>
      <c r="H56" s="237">
        <f t="shared" ref="H56:R56" si="20">G64*$D$54</f>
        <v>0</v>
      </c>
      <c r="I56" s="237">
        <f t="shared" si="20"/>
        <v>0</v>
      </c>
      <c r="J56" s="237">
        <f t="shared" si="20"/>
        <v>0</v>
      </c>
      <c r="K56" s="237">
        <f t="shared" si="20"/>
        <v>0</v>
      </c>
      <c r="L56" s="237">
        <f t="shared" si="20"/>
        <v>0</v>
      </c>
      <c r="M56" s="237">
        <f t="shared" si="20"/>
        <v>0</v>
      </c>
      <c r="N56" s="237">
        <f t="shared" si="20"/>
        <v>0</v>
      </c>
      <c r="O56" s="237">
        <f t="shared" si="20"/>
        <v>0</v>
      </c>
      <c r="P56" s="237">
        <f t="shared" si="20"/>
        <v>0</v>
      </c>
      <c r="Q56" s="237">
        <f t="shared" si="20"/>
        <v>0</v>
      </c>
      <c r="R56" s="237">
        <f t="shared" si="20"/>
        <v>0</v>
      </c>
    </row>
    <row r="57" spans="1:19" s="43" customFormat="1" ht="13" hidden="1">
      <c r="A57" s="241"/>
      <c r="B57" s="241"/>
      <c r="D57" s="239"/>
      <c r="F57" s="239"/>
      <c r="G57" s="242"/>
      <c r="H57" s="240"/>
      <c r="I57" s="237">
        <f t="shared" ref="I57:R57" si="21">G64*$E$54</f>
        <v>0</v>
      </c>
      <c r="J57" s="237">
        <f t="shared" si="21"/>
        <v>0</v>
      </c>
      <c r="K57" s="237">
        <f t="shared" si="21"/>
        <v>0</v>
      </c>
      <c r="L57" s="237">
        <f t="shared" si="21"/>
        <v>0</v>
      </c>
      <c r="M57" s="237">
        <f t="shared" si="21"/>
        <v>0</v>
      </c>
      <c r="N57" s="237">
        <f t="shared" si="21"/>
        <v>0</v>
      </c>
      <c r="O57" s="237">
        <f t="shared" si="21"/>
        <v>0</v>
      </c>
      <c r="P57" s="237">
        <f t="shared" si="21"/>
        <v>0</v>
      </c>
      <c r="Q57" s="237">
        <f t="shared" si="21"/>
        <v>0</v>
      </c>
      <c r="R57" s="237">
        <f t="shared" si="21"/>
        <v>0</v>
      </c>
    </row>
    <row r="58" spans="1:19" s="43" customFormat="1" ht="13" hidden="1">
      <c r="A58" s="241"/>
      <c r="B58" s="241"/>
      <c r="D58" s="239"/>
      <c r="F58" s="239"/>
      <c r="G58" s="242"/>
      <c r="H58" s="240"/>
      <c r="I58" s="240"/>
      <c r="J58" s="237">
        <f t="shared" ref="J58:R58" si="22">G64*$F$54</f>
        <v>0</v>
      </c>
      <c r="K58" s="237">
        <f t="shared" si="22"/>
        <v>0</v>
      </c>
      <c r="L58" s="237">
        <f t="shared" si="22"/>
        <v>0</v>
      </c>
      <c r="M58" s="237">
        <f t="shared" si="22"/>
        <v>0</v>
      </c>
      <c r="N58" s="237">
        <f t="shared" si="22"/>
        <v>0</v>
      </c>
      <c r="O58" s="237">
        <f t="shared" si="22"/>
        <v>0</v>
      </c>
      <c r="P58" s="237">
        <f t="shared" si="22"/>
        <v>0</v>
      </c>
      <c r="Q58" s="237">
        <f t="shared" si="22"/>
        <v>0</v>
      </c>
      <c r="R58" s="237">
        <f t="shared" si="22"/>
        <v>0</v>
      </c>
    </row>
    <row r="59" spans="1:19" s="43" customFormat="1" ht="13" hidden="1">
      <c r="A59" s="241"/>
      <c r="B59" s="241"/>
      <c r="E59" s="65"/>
    </row>
    <row r="60" spans="1:19" s="43" customFormat="1" ht="13" hidden="1">
      <c r="A60" s="241"/>
      <c r="B60" s="241"/>
      <c r="G60" s="244">
        <f t="shared" ref="G60:R60" si="23">SUM(G55:G58)</f>
        <v>0</v>
      </c>
      <c r="H60" s="244">
        <f t="shared" si="23"/>
        <v>0</v>
      </c>
      <c r="I60" s="244">
        <f t="shared" si="23"/>
        <v>0</v>
      </c>
      <c r="J60" s="244">
        <f t="shared" si="23"/>
        <v>0</v>
      </c>
      <c r="K60" s="244">
        <f t="shared" si="23"/>
        <v>0</v>
      </c>
      <c r="L60" s="244">
        <f t="shared" si="23"/>
        <v>0</v>
      </c>
      <c r="M60" s="244">
        <f t="shared" si="23"/>
        <v>0</v>
      </c>
      <c r="N60" s="244">
        <f t="shared" si="23"/>
        <v>0</v>
      </c>
      <c r="O60" s="244">
        <f t="shared" si="23"/>
        <v>0</v>
      </c>
      <c r="P60" s="244">
        <f t="shared" si="23"/>
        <v>0</v>
      </c>
      <c r="Q60" s="244">
        <f t="shared" si="23"/>
        <v>0</v>
      </c>
      <c r="R60" s="244">
        <f t="shared" si="23"/>
        <v>0</v>
      </c>
    </row>
    <row r="61" spans="1:19" s="43" customFormat="1" ht="13.5" thickBot="1">
      <c r="A61" s="243"/>
      <c r="B61" s="243"/>
      <c r="C61" s="240"/>
      <c r="D61" s="241"/>
      <c r="E61"/>
      <c r="F61"/>
      <c r="G61" s="244"/>
      <c r="H61" s="244"/>
      <c r="I61" s="244"/>
      <c r="J61" s="244"/>
      <c r="K61" s="244"/>
      <c r="L61" s="244"/>
      <c r="M61" s="244"/>
      <c r="N61" s="244"/>
      <c r="O61" s="244"/>
      <c r="P61" s="244"/>
      <c r="Q61" s="244"/>
      <c r="R61" s="244"/>
      <c r="S61" s="77"/>
    </row>
    <row r="62" spans="1:19" s="43" customFormat="1" ht="13.5" thickBot="1">
      <c r="A62"/>
      <c r="B62"/>
      <c r="C62"/>
      <c r="D62" s="48" t="s">
        <v>490</v>
      </c>
      <c r="E62" s="845">
        <v>1</v>
      </c>
      <c r="F62" s="245"/>
      <c r="G62"/>
      <c r="H62"/>
      <c r="I62"/>
      <c r="J62"/>
      <c r="K62"/>
      <c r="L62"/>
      <c r="M62"/>
      <c r="N62"/>
      <c r="O62"/>
      <c r="P62"/>
      <c r="Q62"/>
      <c r="R62"/>
      <c r="S62" s="238"/>
    </row>
    <row r="63" spans="1:19" s="43" customFormat="1" ht="13.5" thickBot="1">
      <c r="A63"/>
      <c r="B63"/>
      <c r="C63"/>
      <c r="D63" s="48" t="s">
        <v>389</v>
      </c>
      <c r="E63" s="246"/>
      <c r="F63" s="246"/>
      <c r="G63" s="846"/>
      <c r="H63" s="846"/>
      <c r="I63" s="846"/>
      <c r="J63" s="846"/>
      <c r="K63" s="846"/>
      <c r="L63" s="846"/>
      <c r="M63" s="846"/>
      <c r="N63" s="846"/>
      <c r="O63" s="846"/>
      <c r="P63" s="846"/>
      <c r="Q63" s="846"/>
      <c r="R63" s="846"/>
      <c r="S63" s="76">
        <f>SUM(G63:R63)</f>
        <v>0</v>
      </c>
    </row>
    <row r="64" spans="1:19" s="43" customFormat="1" ht="13.5" thickBot="1">
      <c r="A64"/>
      <c r="B64"/>
      <c r="C64"/>
      <c r="D64" s="48" t="s">
        <v>491</v>
      </c>
      <c r="E64" s="246"/>
      <c r="F64" s="246"/>
      <c r="G64" s="250">
        <f t="shared" ref="G64:R64" si="24">G63*$E$62</f>
        <v>0</v>
      </c>
      <c r="H64" s="250">
        <f t="shared" si="24"/>
        <v>0</v>
      </c>
      <c r="I64" s="250">
        <f t="shared" si="24"/>
        <v>0</v>
      </c>
      <c r="J64" s="250">
        <f t="shared" si="24"/>
        <v>0</v>
      </c>
      <c r="K64" s="250">
        <f t="shared" si="24"/>
        <v>0</v>
      </c>
      <c r="L64" s="250">
        <f t="shared" si="24"/>
        <v>0</v>
      </c>
      <c r="M64" s="250">
        <f t="shared" si="24"/>
        <v>0</v>
      </c>
      <c r="N64" s="250">
        <f t="shared" si="24"/>
        <v>0</v>
      </c>
      <c r="O64" s="250">
        <f t="shared" si="24"/>
        <v>0</v>
      </c>
      <c r="P64" s="250">
        <f t="shared" si="24"/>
        <v>0</v>
      </c>
      <c r="Q64" s="250">
        <f t="shared" si="24"/>
        <v>0</v>
      </c>
      <c r="R64" s="250">
        <f t="shared" si="24"/>
        <v>0</v>
      </c>
      <c r="S64" s="76">
        <f>SUM(G64:R64)</f>
        <v>0</v>
      </c>
    </row>
    <row r="65" spans="1:19" s="43" customFormat="1" ht="13">
      <c r="A65"/>
      <c r="B65"/>
      <c r="C65"/>
      <c r="D65"/>
      <c r="E65" s="246"/>
      <c r="F65" s="246"/>
      <c r="G65" s="249"/>
      <c r="H65" s="249"/>
      <c r="I65" s="249"/>
      <c r="J65" s="249"/>
      <c r="K65" s="249"/>
      <c r="L65" s="249"/>
      <c r="M65" s="249"/>
      <c r="N65" s="249"/>
      <c r="O65" s="249"/>
      <c r="P65" s="249"/>
      <c r="Q65" s="249"/>
      <c r="R65" s="249"/>
      <c r="S65" s="249"/>
    </row>
    <row r="66" spans="1:19" s="43" customFormat="1" ht="13.5" thickBot="1">
      <c r="A66" s="898"/>
      <c r="B66" s="898"/>
      <c r="C66" s="899" t="s">
        <v>328</v>
      </c>
      <c r="D66" s="899" t="s">
        <v>329</v>
      </c>
      <c r="E66" s="899" t="s">
        <v>448</v>
      </c>
      <c r="F66" s="899" t="s">
        <v>330</v>
      </c>
      <c r="G66" s="1180" t="str">
        <f>A67</f>
        <v>Produit/service 5</v>
      </c>
      <c r="H66" s="1180"/>
      <c r="I66" s="1180"/>
      <c r="J66" s="1180"/>
      <c r="K66" s="1180"/>
      <c r="L66" s="1180"/>
      <c r="M66" s="1180"/>
      <c r="N66" s="1180"/>
      <c r="O66" s="1180"/>
      <c r="P66" s="1180"/>
      <c r="Q66" s="1180"/>
      <c r="R66" s="1180"/>
      <c r="S66" s="1180"/>
    </row>
    <row r="67" spans="1:19" s="43" customFormat="1" ht="13.5" thickBot="1">
      <c r="A67" s="904" t="str">
        <f>IF(RG!$A$78=5,"Taures de reproduction","Produit/service 5")</f>
        <v>Produit/service 5</v>
      </c>
      <c r="B67" s="241"/>
      <c r="C67" s="844">
        <v>1</v>
      </c>
      <c r="D67" s="844">
        <v>0</v>
      </c>
      <c r="E67" s="844">
        <v>0</v>
      </c>
      <c r="F67" s="844">
        <v>0</v>
      </c>
      <c r="G67" s="740" t="str">
        <f>IF(SUM(C67:F67)=100%,"","&gt; 100 % &lt;")</f>
        <v/>
      </c>
    </row>
    <row r="68" spans="1:19" s="43" customFormat="1" ht="16.5" hidden="1" customHeight="1">
      <c r="B68" s="241"/>
      <c r="D68" s="239"/>
      <c r="F68" s="239"/>
      <c r="G68" s="237">
        <f t="shared" ref="G68:R68" si="25">G77*$C$67</f>
        <v>0</v>
      </c>
      <c r="H68" s="237">
        <f t="shared" si="25"/>
        <v>0</v>
      </c>
      <c r="I68" s="237">
        <f t="shared" si="25"/>
        <v>0</v>
      </c>
      <c r="J68" s="237">
        <f t="shared" si="25"/>
        <v>0</v>
      </c>
      <c r="K68" s="237">
        <f t="shared" si="25"/>
        <v>0</v>
      </c>
      <c r="L68" s="237">
        <f t="shared" si="25"/>
        <v>0</v>
      </c>
      <c r="M68" s="237">
        <f t="shared" si="25"/>
        <v>0</v>
      </c>
      <c r="N68" s="237">
        <f t="shared" si="25"/>
        <v>0</v>
      </c>
      <c r="O68" s="237">
        <f t="shared" si="25"/>
        <v>0</v>
      </c>
      <c r="P68" s="237">
        <f t="shared" si="25"/>
        <v>0</v>
      </c>
      <c r="Q68" s="237">
        <f t="shared" si="25"/>
        <v>0</v>
      </c>
      <c r="R68" s="237">
        <f t="shared" si="25"/>
        <v>0</v>
      </c>
      <c r="S68"/>
    </row>
    <row r="69" spans="1:19" s="43" customFormat="1" ht="16.5" hidden="1" customHeight="1">
      <c r="A69" s="241"/>
      <c r="B69" s="241"/>
      <c r="D69" s="239"/>
      <c r="F69" s="239"/>
      <c r="G69" s="242"/>
      <c r="H69" s="237">
        <f t="shared" ref="H69:R69" si="26">G77*$D$67</f>
        <v>0</v>
      </c>
      <c r="I69" s="237">
        <f t="shared" si="26"/>
        <v>0</v>
      </c>
      <c r="J69" s="237">
        <f t="shared" si="26"/>
        <v>0</v>
      </c>
      <c r="K69" s="237">
        <f t="shared" si="26"/>
        <v>0</v>
      </c>
      <c r="L69" s="237">
        <f t="shared" si="26"/>
        <v>0</v>
      </c>
      <c r="M69" s="237">
        <f t="shared" si="26"/>
        <v>0</v>
      </c>
      <c r="N69" s="237">
        <f t="shared" si="26"/>
        <v>0</v>
      </c>
      <c r="O69" s="237">
        <f t="shared" si="26"/>
        <v>0</v>
      </c>
      <c r="P69" s="237">
        <f t="shared" si="26"/>
        <v>0</v>
      </c>
      <c r="Q69" s="237">
        <f t="shared" si="26"/>
        <v>0</v>
      </c>
      <c r="R69" s="237">
        <f t="shared" si="26"/>
        <v>0</v>
      </c>
      <c r="S69"/>
    </row>
    <row r="70" spans="1:19" s="43" customFormat="1" ht="13" hidden="1">
      <c r="A70" s="241"/>
      <c r="B70" s="241"/>
      <c r="D70" s="239"/>
      <c r="F70" s="239"/>
      <c r="G70" s="242"/>
      <c r="H70" s="240"/>
      <c r="I70" s="237">
        <f t="shared" ref="I70:R70" si="27">G77*$E$67</f>
        <v>0</v>
      </c>
      <c r="J70" s="237">
        <f t="shared" si="27"/>
        <v>0</v>
      </c>
      <c r="K70" s="237">
        <f t="shared" si="27"/>
        <v>0</v>
      </c>
      <c r="L70" s="237">
        <f t="shared" si="27"/>
        <v>0</v>
      </c>
      <c r="M70" s="237">
        <f t="shared" si="27"/>
        <v>0</v>
      </c>
      <c r="N70" s="237">
        <f t="shared" si="27"/>
        <v>0</v>
      </c>
      <c r="O70" s="237">
        <f t="shared" si="27"/>
        <v>0</v>
      </c>
      <c r="P70" s="237">
        <f t="shared" si="27"/>
        <v>0</v>
      </c>
      <c r="Q70" s="237">
        <f t="shared" si="27"/>
        <v>0</v>
      </c>
      <c r="R70" s="237">
        <f t="shared" si="27"/>
        <v>0</v>
      </c>
      <c r="S70"/>
    </row>
    <row r="71" spans="1:19" s="43" customFormat="1" ht="13" hidden="1">
      <c r="A71" s="241"/>
      <c r="B71" s="241"/>
      <c r="D71" s="239"/>
      <c r="F71" s="239"/>
      <c r="G71" s="242"/>
      <c r="H71" s="240"/>
      <c r="I71" s="240"/>
      <c r="J71" s="237">
        <f t="shared" ref="J71:R71" si="28">G77*$F$67</f>
        <v>0</v>
      </c>
      <c r="K71" s="237">
        <f t="shared" si="28"/>
        <v>0</v>
      </c>
      <c r="L71" s="237">
        <f t="shared" si="28"/>
        <v>0</v>
      </c>
      <c r="M71" s="237">
        <f t="shared" si="28"/>
        <v>0</v>
      </c>
      <c r="N71" s="237">
        <f t="shared" si="28"/>
        <v>0</v>
      </c>
      <c r="O71" s="237">
        <f t="shared" si="28"/>
        <v>0</v>
      </c>
      <c r="P71" s="237">
        <f t="shared" si="28"/>
        <v>0</v>
      </c>
      <c r="Q71" s="237">
        <f t="shared" si="28"/>
        <v>0</v>
      </c>
      <c r="R71" s="237">
        <f t="shared" si="28"/>
        <v>0</v>
      </c>
      <c r="S71"/>
    </row>
    <row r="72" spans="1:19" s="43" customFormat="1" ht="13" hidden="1">
      <c r="A72" s="241"/>
      <c r="B72" s="241"/>
      <c r="E72" s="65"/>
      <c r="S72"/>
    </row>
    <row r="73" spans="1:19" s="43" customFormat="1" ht="13" hidden="1">
      <c r="A73" s="241"/>
      <c r="B73" s="241"/>
      <c r="G73" s="244">
        <f t="shared" ref="G73:R73" si="29">SUM(G68:G71)</f>
        <v>0</v>
      </c>
      <c r="H73" s="244">
        <f t="shared" si="29"/>
        <v>0</v>
      </c>
      <c r="I73" s="244">
        <f t="shared" si="29"/>
        <v>0</v>
      </c>
      <c r="J73" s="244">
        <f t="shared" si="29"/>
        <v>0</v>
      </c>
      <c r="K73" s="244">
        <f t="shared" si="29"/>
        <v>0</v>
      </c>
      <c r="L73" s="244">
        <f t="shared" si="29"/>
        <v>0</v>
      </c>
      <c r="M73" s="244">
        <f t="shared" si="29"/>
        <v>0</v>
      </c>
      <c r="N73" s="244">
        <f t="shared" si="29"/>
        <v>0</v>
      </c>
      <c r="O73" s="244">
        <f t="shared" si="29"/>
        <v>0</v>
      </c>
      <c r="P73" s="244">
        <f t="shared" si="29"/>
        <v>0</v>
      </c>
      <c r="Q73" s="244">
        <f t="shared" si="29"/>
        <v>0</v>
      </c>
      <c r="R73" s="244">
        <f t="shared" si="29"/>
        <v>0</v>
      </c>
      <c r="S73"/>
    </row>
    <row r="74" spans="1:19" s="43" customFormat="1" ht="13.5" thickBot="1">
      <c r="A74" s="243"/>
      <c r="B74" s="243"/>
      <c r="C74" s="240"/>
      <c r="D74" s="241"/>
      <c r="E74"/>
      <c r="F74"/>
      <c r="G74" s="244"/>
      <c r="H74" s="244"/>
      <c r="I74" s="244"/>
      <c r="J74" s="244"/>
      <c r="K74" s="244"/>
      <c r="L74" s="244"/>
      <c r="M74" s="244"/>
      <c r="N74" s="244"/>
      <c r="O74" s="244"/>
      <c r="P74" s="244"/>
      <c r="Q74" s="244"/>
      <c r="R74" s="244"/>
      <c r="S74"/>
    </row>
    <row r="75" spans="1:19" s="43" customFormat="1" ht="13.5" thickBot="1">
      <c r="A75"/>
      <c r="B75"/>
      <c r="C75"/>
      <c r="D75" s="48" t="s">
        <v>490</v>
      </c>
      <c r="E75" s="845">
        <v>1</v>
      </c>
      <c r="F75" s="245"/>
      <c r="G75"/>
      <c r="H75"/>
      <c r="I75"/>
      <c r="J75"/>
      <c r="K75"/>
      <c r="L75"/>
      <c r="M75"/>
      <c r="N75"/>
      <c r="O75"/>
      <c r="P75"/>
      <c r="Q75"/>
      <c r="R75"/>
      <c r="S75" s="249"/>
    </row>
    <row r="76" spans="1:19" s="43" customFormat="1" ht="13.5" thickBot="1">
      <c r="A76"/>
      <c r="B76"/>
      <c r="C76"/>
      <c r="D76" s="48" t="s">
        <v>389</v>
      </c>
      <c r="E76" s="246"/>
      <c r="F76" s="246"/>
      <c r="G76" s="846"/>
      <c r="H76" s="846"/>
      <c r="I76" s="846"/>
      <c r="J76" s="846"/>
      <c r="K76" s="846"/>
      <c r="L76" s="846"/>
      <c r="M76" s="846"/>
      <c r="N76" s="846"/>
      <c r="O76" s="846"/>
      <c r="P76" s="846"/>
      <c r="Q76" s="846"/>
      <c r="R76" s="846"/>
      <c r="S76" s="76">
        <f>SUM(G76:R76)</f>
        <v>0</v>
      </c>
    </row>
    <row r="77" spans="1:19" s="43" customFormat="1" ht="13.5" thickBot="1">
      <c r="A77"/>
      <c r="B77"/>
      <c r="C77"/>
      <c r="D77" s="48" t="s">
        <v>491</v>
      </c>
      <c r="E77" s="246"/>
      <c r="F77" s="246"/>
      <c r="G77" s="250">
        <f t="shared" ref="G77:R77" si="30">G76*$E$75</f>
        <v>0</v>
      </c>
      <c r="H77" s="250">
        <f t="shared" si="30"/>
        <v>0</v>
      </c>
      <c r="I77" s="250">
        <f t="shared" si="30"/>
        <v>0</v>
      </c>
      <c r="J77" s="250">
        <f t="shared" si="30"/>
        <v>0</v>
      </c>
      <c r="K77" s="250">
        <f t="shared" si="30"/>
        <v>0</v>
      </c>
      <c r="L77" s="250">
        <f t="shared" si="30"/>
        <v>0</v>
      </c>
      <c r="M77" s="250">
        <f t="shared" si="30"/>
        <v>0</v>
      </c>
      <c r="N77" s="250">
        <f t="shared" si="30"/>
        <v>0</v>
      </c>
      <c r="O77" s="250">
        <f t="shared" si="30"/>
        <v>0</v>
      </c>
      <c r="P77" s="250">
        <f t="shared" si="30"/>
        <v>0</v>
      </c>
      <c r="Q77" s="250">
        <f t="shared" si="30"/>
        <v>0</v>
      </c>
      <c r="R77" s="250">
        <f t="shared" si="30"/>
        <v>0</v>
      </c>
      <c r="S77" s="76">
        <f>SUM(G77:R77)</f>
        <v>0</v>
      </c>
    </row>
    <row r="78" spans="1:19" s="43" customFormat="1" ht="13">
      <c r="A78"/>
      <c r="B78"/>
      <c r="C78"/>
      <c r="D78"/>
      <c r="E78" s="246"/>
      <c r="F78" s="246"/>
      <c r="G78" s="249"/>
      <c r="H78" s="249"/>
      <c r="I78" s="249"/>
      <c r="J78" s="249"/>
      <c r="K78" s="249"/>
      <c r="L78" s="249"/>
      <c r="M78" s="249"/>
      <c r="N78" s="249"/>
      <c r="O78" s="249"/>
      <c r="P78" s="249"/>
      <c r="Q78" s="249"/>
      <c r="R78" s="249"/>
      <c r="S78" s="249"/>
    </row>
    <row r="79" spans="1:19" s="43" customFormat="1" ht="13.5" thickBot="1">
      <c r="A79" s="898"/>
      <c r="B79" s="898"/>
      <c r="C79" s="899" t="s">
        <v>328</v>
      </c>
      <c r="D79" s="899" t="s">
        <v>329</v>
      </c>
      <c r="E79" s="899" t="s">
        <v>448</v>
      </c>
      <c r="F79" s="899" t="s">
        <v>330</v>
      </c>
      <c r="G79" s="1180" t="str">
        <f>A80</f>
        <v>Produit/service 6</v>
      </c>
      <c r="H79" s="1180"/>
      <c r="I79" s="1180"/>
      <c r="J79" s="1180"/>
      <c r="K79" s="1180"/>
      <c r="L79" s="1180"/>
      <c r="M79" s="1180"/>
      <c r="N79" s="1180"/>
      <c r="O79" s="1180"/>
      <c r="P79" s="1180"/>
      <c r="Q79" s="1180"/>
      <c r="R79" s="1180"/>
      <c r="S79" s="1180"/>
    </row>
    <row r="80" spans="1:19" s="43" customFormat="1" ht="13.5" thickBot="1">
      <c r="A80" s="904" t="str">
        <f>IF(RG!$A$78=5,"Veaux","Produit/service 6")</f>
        <v>Produit/service 6</v>
      </c>
      <c r="B80" s="241"/>
      <c r="C80" s="844">
        <v>1</v>
      </c>
      <c r="D80" s="844">
        <v>0</v>
      </c>
      <c r="E80" s="844">
        <v>0</v>
      </c>
      <c r="F80" s="844">
        <v>0</v>
      </c>
      <c r="G80" s="740" t="str">
        <f>IF(SUM(C80:F80)=100%,"","&gt; 100 % &lt;")</f>
        <v/>
      </c>
    </row>
    <row r="81" spans="1:19" s="43" customFormat="1" ht="16.5" hidden="1" customHeight="1">
      <c r="B81" s="241"/>
      <c r="D81" s="239"/>
      <c r="F81" s="239"/>
      <c r="G81" s="237">
        <f t="shared" ref="G81:R81" si="31">G90*$C$80</f>
        <v>0</v>
      </c>
      <c r="H81" s="237">
        <f t="shared" si="31"/>
        <v>0</v>
      </c>
      <c r="I81" s="237">
        <f t="shared" si="31"/>
        <v>0</v>
      </c>
      <c r="J81" s="237">
        <f t="shared" si="31"/>
        <v>0</v>
      </c>
      <c r="K81" s="237">
        <f t="shared" si="31"/>
        <v>0</v>
      </c>
      <c r="L81" s="237">
        <f t="shared" si="31"/>
        <v>0</v>
      </c>
      <c r="M81" s="237">
        <f t="shared" si="31"/>
        <v>0</v>
      </c>
      <c r="N81" s="237">
        <f t="shared" si="31"/>
        <v>0</v>
      </c>
      <c r="O81" s="237">
        <f t="shared" si="31"/>
        <v>0</v>
      </c>
      <c r="P81" s="237">
        <f t="shared" si="31"/>
        <v>0</v>
      </c>
      <c r="Q81" s="237">
        <f t="shared" si="31"/>
        <v>0</v>
      </c>
      <c r="R81" s="237">
        <f t="shared" si="31"/>
        <v>0</v>
      </c>
      <c r="S81"/>
    </row>
    <row r="82" spans="1:19" s="43" customFormat="1" ht="16.5" hidden="1" customHeight="1">
      <c r="A82" s="241"/>
      <c r="B82" s="241"/>
      <c r="D82" s="239"/>
      <c r="F82" s="239"/>
      <c r="G82" s="242"/>
      <c r="H82" s="237">
        <f t="shared" ref="H82:R82" si="32">G90*$D$80</f>
        <v>0</v>
      </c>
      <c r="I82" s="237">
        <f t="shared" si="32"/>
        <v>0</v>
      </c>
      <c r="J82" s="237">
        <f t="shared" si="32"/>
        <v>0</v>
      </c>
      <c r="K82" s="237">
        <f t="shared" si="32"/>
        <v>0</v>
      </c>
      <c r="L82" s="237">
        <f t="shared" si="32"/>
        <v>0</v>
      </c>
      <c r="M82" s="237">
        <f t="shared" si="32"/>
        <v>0</v>
      </c>
      <c r="N82" s="237">
        <f t="shared" si="32"/>
        <v>0</v>
      </c>
      <c r="O82" s="237">
        <f t="shared" si="32"/>
        <v>0</v>
      </c>
      <c r="P82" s="237">
        <f t="shared" si="32"/>
        <v>0</v>
      </c>
      <c r="Q82" s="237">
        <f t="shared" si="32"/>
        <v>0</v>
      </c>
      <c r="R82" s="237">
        <f t="shared" si="32"/>
        <v>0</v>
      </c>
      <c r="S82"/>
    </row>
    <row r="83" spans="1:19" s="43" customFormat="1" ht="13" hidden="1">
      <c r="A83" s="241"/>
      <c r="B83" s="241"/>
      <c r="D83" s="239"/>
      <c r="F83" s="239"/>
      <c r="G83" s="242"/>
      <c r="H83" s="240"/>
      <c r="I83" s="237">
        <f t="shared" ref="I83:R83" si="33">G90*$E$80</f>
        <v>0</v>
      </c>
      <c r="J83" s="237">
        <f t="shared" si="33"/>
        <v>0</v>
      </c>
      <c r="K83" s="237">
        <f t="shared" si="33"/>
        <v>0</v>
      </c>
      <c r="L83" s="237">
        <f t="shared" si="33"/>
        <v>0</v>
      </c>
      <c r="M83" s="237">
        <f t="shared" si="33"/>
        <v>0</v>
      </c>
      <c r="N83" s="237">
        <f t="shared" si="33"/>
        <v>0</v>
      </c>
      <c r="O83" s="237">
        <f t="shared" si="33"/>
        <v>0</v>
      </c>
      <c r="P83" s="237">
        <f t="shared" si="33"/>
        <v>0</v>
      </c>
      <c r="Q83" s="237">
        <f t="shared" si="33"/>
        <v>0</v>
      </c>
      <c r="R83" s="237">
        <f t="shared" si="33"/>
        <v>0</v>
      </c>
      <c r="S83"/>
    </row>
    <row r="84" spans="1:19" s="43" customFormat="1" ht="13" hidden="1">
      <c r="A84" s="241"/>
      <c r="B84" s="241"/>
      <c r="D84" s="239"/>
      <c r="F84" s="239"/>
      <c r="G84" s="242"/>
      <c r="H84" s="240"/>
      <c r="I84" s="240"/>
      <c r="J84" s="237">
        <f t="shared" ref="J84:R84" si="34">G90*$F$80</f>
        <v>0</v>
      </c>
      <c r="K84" s="237">
        <f t="shared" si="34"/>
        <v>0</v>
      </c>
      <c r="L84" s="237">
        <f t="shared" si="34"/>
        <v>0</v>
      </c>
      <c r="M84" s="237">
        <f t="shared" si="34"/>
        <v>0</v>
      </c>
      <c r="N84" s="237">
        <f t="shared" si="34"/>
        <v>0</v>
      </c>
      <c r="O84" s="237">
        <f t="shared" si="34"/>
        <v>0</v>
      </c>
      <c r="P84" s="237">
        <f t="shared" si="34"/>
        <v>0</v>
      </c>
      <c r="Q84" s="237">
        <f t="shared" si="34"/>
        <v>0</v>
      </c>
      <c r="R84" s="237">
        <f t="shared" si="34"/>
        <v>0</v>
      </c>
      <c r="S84"/>
    </row>
    <row r="85" spans="1:19" s="43" customFormat="1" ht="13" hidden="1">
      <c r="A85" s="241"/>
      <c r="B85" s="241"/>
      <c r="E85" s="65"/>
      <c r="S85"/>
    </row>
    <row r="86" spans="1:19" s="43" customFormat="1" ht="13" hidden="1">
      <c r="A86" s="241"/>
      <c r="B86" s="241"/>
      <c r="G86" s="244">
        <f t="shared" ref="G86:R86" si="35">SUM(G81:G84)</f>
        <v>0</v>
      </c>
      <c r="H86" s="244">
        <f t="shared" si="35"/>
        <v>0</v>
      </c>
      <c r="I86" s="244">
        <f t="shared" si="35"/>
        <v>0</v>
      </c>
      <c r="J86" s="244">
        <f t="shared" si="35"/>
        <v>0</v>
      </c>
      <c r="K86" s="244">
        <f t="shared" si="35"/>
        <v>0</v>
      </c>
      <c r="L86" s="244">
        <f t="shared" si="35"/>
        <v>0</v>
      </c>
      <c r="M86" s="244">
        <f t="shared" si="35"/>
        <v>0</v>
      </c>
      <c r="N86" s="244">
        <f t="shared" si="35"/>
        <v>0</v>
      </c>
      <c r="O86" s="244">
        <f t="shared" si="35"/>
        <v>0</v>
      </c>
      <c r="P86" s="244">
        <f t="shared" si="35"/>
        <v>0</v>
      </c>
      <c r="Q86" s="244">
        <f t="shared" si="35"/>
        <v>0</v>
      </c>
      <c r="R86" s="244">
        <f t="shared" si="35"/>
        <v>0</v>
      </c>
      <c r="S86"/>
    </row>
    <row r="87" spans="1:19" s="43" customFormat="1" ht="13.5" thickBot="1">
      <c r="A87" s="243"/>
      <c r="B87" s="243"/>
      <c r="C87" s="240"/>
      <c r="D87" s="241"/>
      <c r="E87"/>
      <c r="F87"/>
      <c r="G87" s="244"/>
      <c r="H87" s="244"/>
      <c r="I87" s="244"/>
      <c r="J87" s="244"/>
      <c r="K87" s="244"/>
      <c r="L87" s="244"/>
      <c r="M87" s="244"/>
      <c r="N87" s="244"/>
      <c r="O87" s="244"/>
      <c r="P87" s="244"/>
      <c r="Q87" s="244"/>
      <c r="R87" s="244"/>
      <c r="S87"/>
    </row>
    <row r="88" spans="1:19" s="43" customFormat="1" ht="13.5" thickBot="1">
      <c r="A88"/>
      <c r="B88"/>
      <c r="C88"/>
      <c r="D88" s="48" t="s">
        <v>490</v>
      </c>
      <c r="E88" s="845">
        <v>1</v>
      </c>
      <c r="F88" s="245"/>
      <c r="G88"/>
      <c r="H88"/>
      <c r="I88"/>
      <c r="J88"/>
      <c r="K88"/>
      <c r="L88"/>
      <c r="M88"/>
      <c r="N88"/>
      <c r="O88"/>
      <c r="P88"/>
      <c r="Q88"/>
      <c r="R88"/>
      <c r="S88" s="249"/>
    </row>
    <row r="89" spans="1:19" s="43" customFormat="1" ht="13.5" thickBot="1">
      <c r="A89"/>
      <c r="B89"/>
      <c r="C89"/>
      <c r="D89" s="48" t="s">
        <v>389</v>
      </c>
      <c r="E89" s="237"/>
      <c r="F89" s="237"/>
      <c r="G89" s="846"/>
      <c r="H89" s="846"/>
      <c r="I89" s="846"/>
      <c r="J89" s="846"/>
      <c r="K89" s="846"/>
      <c r="L89" s="846"/>
      <c r="M89" s="846"/>
      <c r="N89" s="846"/>
      <c r="O89" s="846"/>
      <c r="P89" s="846"/>
      <c r="Q89" s="846"/>
      <c r="R89" s="846"/>
      <c r="S89" s="76">
        <f>SUM(G89:R89)</f>
        <v>0</v>
      </c>
    </row>
    <row r="90" spans="1:19" s="43" customFormat="1" ht="13.5" thickBot="1">
      <c r="A90"/>
      <c r="B90"/>
      <c r="C90"/>
      <c r="D90" s="48" t="s">
        <v>491</v>
      </c>
      <c r="E90" s="237"/>
      <c r="F90" s="237"/>
      <c r="G90" s="250">
        <f t="shared" ref="G90:R90" si="36">G89*$E$88</f>
        <v>0</v>
      </c>
      <c r="H90" s="250">
        <f t="shared" si="36"/>
        <v>0</v>
      </c>
      <c r="I90" s="250">
        <f t="shared" si="36"/>
        <v>0</v>
      </c>
      <c r="J90" s="250">
        <f t="shared" si="36"/>
        <v>0</v>
      </c>
      <c r="K90" s="250">
        <f t="shared" si="36"/>
        <v>0</v>
      </c>
      <c r="L90" s="250">
        <f t="shared" si="36"/>
        <v>0</v>
      </c>
      <c r="M90" s="250">
        <f t="shared" si="36"/>
        <v>0</v>
      </c>
      <c r="N90" s="250">
        <f t="shared" si="36"/>
        <v>0</v>
      </c>
      <c r="O90" s="250">
        <f t="shared" si="36"/>
        <v>0</v>
      </c>
      <c r="P90" s="250">
        <f t="shared" si="36"/>
        <v>0</v>
      </c>
      <c r="Q90" s="250">
        <f t="shared" si="36"/>
        <v>0</v>
      </c>
      <c r="R90" s="250">
        <f t="shared" si="36"/>
        <v>0</v>
      </c>
      <c r="S90" s="76">
        <f>SUM(G90:R90)</f>
        <v>0</v>
      </c>
    </row>
    <row r="91" spans="1:19" s="43" customFormat="1" ht="13">
      <c r="A91"/>
      <c r="B91"/>
      <c r="C91"/>
      <c r="D91" s="116"/>
      <c r="E91" s="237"/>
      <c r="F91" s="237"/>
      <c r="G91" s="787">
        <f t="shared" ref="G91:R91" si="37">G86+G73+G60+G47+G34+G21</f>
        <v>3250</v>
      </c>
      <c r="H91" s="787">
        <f t="shared" si="37"/>
        <v>3400</v>
      </c>
      <c r="I91" s="787">
        <f t="shared" si="37"/>
        <v>3550</v>
      </c>
      <c r="J91" s="787">
        <f t="shared" si="37"/>
        <v>3700</v>
      </c>
      <c r="K91" s="787">
        <f t="shared" si="37"/>
        <v>3850</v>
      </c>
      <c r="L91" s="787">
        <f t="shared" si="37"/>
        <v>4000</v>
      </c>
      <c r="M91" s="787">
        <f t="shared" si="37"/>
        <v>4150</v>
      </c>
      <c r="N91" s="787">
        <f t="shared" si="37"/>
        <v>4300</v>
      </c>
      <c r="O91" s="787">
        <f t="shared" si="37"/>
        <v>4450</v>
      </c>
      <c r="P91" s="787">
        <f t="shared" si="37"/>
        <v>4600</v>
      </c>
      <c r="Q91" s="787">
        <f t="shared" si="37"/>
        <v>4750</v>
      </c>
      <c r="R91" s="787">
        <f t="shared" si="37"/>
        <v>4900</v>
      </c>
      <c r="S91" s="788">
        <f>SUM(G91:R91)</f>
        <v>48900</v>
      </c>
    </row>
    <row r="92" spans="1:19" ht="13" thickBot="1">
      <c r="A92"/>
      <c r="B92"/>
      <c r="C92"/>
      <c r="D92"/>
      <c r="E92"/>
      <c r="F92"/>
      <c r="G92"/>
      <c r="H92"/>
      <c r="I92"/>
      <c r="J92"/>
      <c r="K92"/>
      <c r="L92"/>
      <c r="M92"/>
      <c r="N92"/>
      <c r="O92"/>
      <c r="P92"/>
      <c r="Q92"/>
      <c r="R92"/>
      <c r="S92"/>
    </row>
    <row r="93" spans="1:19" ht="15.5" thickBot="1">
      <c r="A93"/>
      <c r="B93"/>
      <c r="C93"/>
      <c r="D93" s="59" t="s">
        <v>713</v>
      </c>
      <c r="E93"/>
      <c r="F93"/>
      <c r="G93" s="847">
        <f>G25+G38+G51+G64+G77+G90</f>
        <v>3250</v>
      </c>
      <c r="H93" s="847">
        <f t="shared" ref="H93:S93" si="38">H25+H38+H51+H64+H77+H90</f>
        <v>3400</v>
      </c>
      <c r="I93" s="847">
        <f t="shared" si="38"/>
        <v>3550</v>
      </c>
      <c r="J93" s="847">
        <f t="shared" si="38"/>
        <v>3700</v>
      </c>
      <c r="K93" s="847">
        <f t="shared" si="38"/>
        <v>3850</v>
      </c>
      <c r="L93" s="847">
        <f t="shared" si="38"/>
        <v>4000</v>
      </c>
      <c r="M93" s="847">
        <f t="shared" si="38"/>
        <v>4150</v>
      </c>
      <c r="N93" s="847">
        <f t="shared" si="38"/>
        <v>4300</v>
      </c>
      <c r="O93" s="847">
        <f t="shared" si="38"/>
        <v>4450</v>
      </c>
      <c r="P93" s="847">
        <f t="shared" si="38"/>
        <v>4600</v>
      </c>
      <c r="Q93" s="847">
        <f t="shared" si="38"/>
        <v>4750</v>
      </c>
      <c r="R93" s="847">
        <f t="shared" si="38"/>
        <v>4900</v>
      </c>
      <c r="S93" s="847">
        <f t="shared" si="38"/>
        <v>48900</v>
      </c>
    </row>
    <row r="94" spans="1:19">
      <c r="A94"/>
      <c r="B94"/>
      <c r="C94"/>
      <c r="D94"/>
      <c r="E94"/>
      <c r="F94"/>
      <c r="G94"/>
      <c r="H94"/>
      <c r="I94"/>
      <c r="J94"/>
      <c r="K94"/>
      <c r="L94"/>
      <c r="M94"/>
      <c r="N94"/>
      <c r="O94"/>
      <c r="P94"/>
      <c r="Q94"/>
      <c r="R94"/>
      <c r="S94"/>
    </row>
    <row r="95" spans="1:19">
      <c r="A95"/>
      <c r="B95"/>
      <c r="C95"/>
      <c r="D95"/>
      <c r="E95"/>
      <c r="F95"/>
      <c r="G95"/>
      <c r="H95"/>
      <c r="I95"/>
      <c r="J95"/>
      <c r="K95"/>
      <c r="L95"/>
      <c r="M95"/>
      <c r="N95"/>
      <c r="O95"/>
      <c r="P95"/>
      <c r="Q95"/>
      <c r="R95"/>
      <c r="S95"/>
    </row>
  </sheetData>
  <sheetProtection password="E242" sheet="1" objects="1" scenarios="1"/>
  <customSheetViews>
    <customSheetView guid="{30D0538C-360A-4CDF-8D89-584CED1967CC}"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4F3169C3-3348-49DE-A6DC-8AA4D2A9D7A1}"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7">
    <mergeCell ref="A12:F12"/>
    <mergeCell ref="G40:S40"/>
    <mergeCell ref="G27:S27"/>
    <mergeCell ref="G14:S14"/>
    <mergeCell ref="G79:S79"/>
    <mergeCell ref="G66:S66"/>
    <mergeCell ref="G53:S53"/>
  </mergeCells>
  <phoneticPr fontId="0" type="noConversion"/>
  <pageMargins left="0.78740157480314965" right="0.78740157480314965" top="0.98425196850393704" bottom="0.98425196850393704" header="0.51181102362204722" footer="0.51181102362204722"/>
  <pageSetup scale="52" orientation="landscape" horizontalDpi="300" verticalDpi="300" r:id="rId3"/>
  <headerFooter alignWithMargins="0"/>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V2">
    <pageSetUpPr fitToPage="1"/>
  </sheetPr>
  <dimension ref="A1:R99"/>
  <sheetViews>
    <sheetView showGridLines="0" showRowColHeaders="0" showOutlineSymbols="0" zoomScale="110" zoomScaleNormal="110" workbookViewId="0">
      <pane ySplit="12" topLeftCell="A13" activePane="bottomLeft" state="frozen"/>
      <selection activeCell="G24" sqref="G24"/>
      <selection pane="bottomLeft" activeCell="E24" sqref="E24"/>
    </sheetView>
  </sheetViews>
  <sheetFormatPr baseColWidth="10" defaultColWidth="11.453125" defaultRowHeight="13"/>
  <cols>
    <col min="1" max="1" width="38.36328125" style="251" customWidth="1"/>
    <col min="2" max="2" width="11.453125" style="251"/>
    <col min="3" max="3" width="10.36328125" style="255" customWidth="1"/>
    <col min="4" max="5" width="10.36328125" style="251" customWidth="1"/>
    <col min="6" max="16384" width="11.453125" style="251"/>
  </cols>
  <sheetData>
    <row r="1" spans="1:18" customFormat="1" ht="12.5"/>
    <row r="2" spans="1:18" customFormat="1" ht="12.5"/>
    <row r="3" spans="1:18" customFormat="1" ht="12.5"/>
    <row r="4" spans="1:18" customFormat="1" ht="12.5"/>
    <row r="5" spans="1:18" customFormat="1" ht="12.5"/>
    <row r="6" spans="1:18" customFormat="1" ht="12.5"/>
    <row r="7" spans="1:18" customFormat="1" ht="12.5"/>
    <row r="8" spans="1:18" ht="25">
      <c r="A8" s="235" t="str">
        <f>RG!D17</f>
        <v>Jhon Wesly inc.</v>
      </c>
      <c r="B8" s="234"/>
    </row>
    <row r="10" spans="1:18" s="43" customFormat="1" ht="15">
      <c r="D10" s="237"/>
      <c r="E10" s="237"/>
      <c r="F10" s="65"/>
      <c r="G10" s="72"/>
      <c r="H10" s="65"/>
      <c r="I10" s="65"/>
      <c r="J10" s="65"/>
      <c r="K10" s="65"/>
      <c r="L10" s="65"/>
      <c r="M10" s="65"/>
      <c r="N10" s="65"/>
      <c r="O10" s="65"/>
      <c r="P10" s="65"/>
      <c r="Q10" s="65"/>
      <c r="R10" s="65"/>
    </row>
    <row r="11" spans="1:18" s="43" customFormat="1" ht="13.5" thickBot="1">
      <c r="D11" s="237"/>
      <c r="E11" s="237"/>
      <c r="F11" s="65"/>
      <c r="G11" s="65"/>
      <c r="H11" s="65"/>
      <c r="I11" s="65"/>
      <c r="J11" s="65"/>
      <c r="K11" s="65"/>
      <c r="L11" s="65"/>
      <c r="M11" s="65"/>
      <c r="N11" s="65"/>
      <c r="O11" s="65"/>
      <c r="P11" s="65"/>
      <c r="Q11" s="65"/>
      <c r="R11" s="65"/>
    </row>
    <row r="12" spans="1:18" s="43" customFormat="1" ht="15.5" thickBot="1">
      <c r="A12" s="839" t="s">
        <v>211</v>
      </c>
      <c r="B12" s="840"/>
      <c r="C12" s="841"/>
      <c r="D12" s="842"/>
      <c r="E12" s="843"/>
      <c r="F12" s="837">
        <f>'V1'!G12+366</f>
        <v>45658</v>
      </c>
      <c r="G12" s="837">
        <f t="shared" ref="G12:Q12" si="0">F12+31</f>
        <v>45689</v>
      </c>
      <c r="H12" s="837">
        <f t="shared" si="0"/>
        <v>45720</v>
      </c>
      <c r="I12" s="837">
        <f t="shared" si="0"/>
        <v>45751</v>
      </c>
      <c r="J12" s="837">
        <f t="shared" si="0"/>
        <v>45782</v>
      </c>
      <c r="K12" s="837">
        <f t="shared" si="0"/>
        <v>45813</v>
      </c>
      <c r="L12" s="837">
        <f t="shared" si="0"/>
        <v>45844</v>
      </c>
      <c r="M12" s="837">
        <f t="shared" si="0"/>
        <v>45875</v>
      </c>
      <c r="N12" s="837">
        <f t="shared" si="0"/>
        <v>45906</v>
      </c>
      <c r="O12" s="837">
        <f t="shared" si="0"/>
        <v>45937</v>
      </c>
      <c r="P12" s="837">
        <f t="shared" si="0"/>
        <v>45968</v>
      </c>
      <c r="Q12" s="837">
        <f t="shared" si="0"/>
        <v>45999</v>
      </c>
      <c r="R12" s="838" t="s">
        <v>489</v>
      </c>
    </row>
    <row r="13" spans="1:18" s="43" customFormat="1" ht="13.5" thickBot="1">
      <c r="D13" s="252"/>
      <c r="F13" s="253"/>
      <c r="G13" s="253"/>
      <c r="H13" s="253"/>
      <c r="I13" s="253"/>
      <c r="J13" s="253"/>
      <c r="K13" s="253"/>
      <c r="L13" s="253"/>
      <c r="M13" s="253"/>
      <c r="N13" s="253"/>
      <c r="O13" s="253"/>
      <c r="P13" s="253"/>
      <c r="Q13" s="253"/>
      <c r="R13" s="107"/>
    </row>
    <row r="14" spans="1:18" s="43" customFormat="1" ht="13.5" thickBot="1">
      <c r="A14" s="900" t="s">
        <v>315</v>
      </c>
      <c r="B14" s="901"/>
      <c r="C14" s="898"/>
      <c r="D14" s="902"/>
      <c r="E14" s="903"/>
      <c r="F14" s="848">
        <v>0.05</v>
      </c>
      <c r="G14" s="1181" t="str">
        <f>A16</f>
        <v>Produit/service 1</v>
      </c>
      <c r="H14" s="1182"/>
      <c r="I14" s="1182"/>
      <c r="J14" s="1182"/>
      <c r="K14" s="1182"/>
      <c r="L14" s="1182"/>
      <c r="M14" s="1182"/>
      <c r="N14" s="1182"/>
      <c r="O14" s="1182"/>
      <c r="P14" s="1182"/>
      <c r="Q14" s="1182"/>
      <c r="R14" s="1182"/>
    </row>
    <row r="15" spans="1:18" s="43" customFormat="1">
      <c r="B15" s="739" t="s">
        <v>328</v>
      </c>
      <c r="C15" s="739" t="s">
        <v>329</v>
      </c>
      <c r="D15" s="739" t="s">
        <v>448</v>
      </c>
      <c r="E15" s="739" t="s">
        <v>330</v>
      </c>
      <c r="F15" s="741"/>
    </row>
    <row r="16" spans="1:18" s="43" customFormat="1">
      <c r="A16" s="906" t="str">
        <f>'V1'!A15</f>
        <v>Produit/service 1</v>
      </c>
      <c r="B16" s="742">
        <f>'V1'!C15</f>
        <v>1</v>
      </c>
      <c r="C16" s="742">
        <f>'V1'!D15</f>
        <v>0</v>
      </c>
      <c r="D16" s="742">
        <f>'V1'!E15</f>
        <v>0</v>
      </c>
      <c r="E16" s="742">
        <f>'V1'!F15</f>
        <v>0</v>
      </c>
      <c r="F16" s="740" t="str">
        <f>IF(SUM(B16:E16)=100%,"","&gt; 100 % &lt;")</f>
        <v/>
      </c>
    </row>
    <row r="17" spans="1:18" s="43" customFormat="1" ht="16.5" hidden="1" customHeight="1">
      <c r="C17" s="239"/>
      <c r="E17" s="239"/>
      <c r="F17" s="743">
        <f t="shared" ref="F17:Q17" si="1">F26*$B$16</f>
        <v>787.5</v>
      </c>
      <c r="G17" s="743">
        <f t="shared" si="1"/>
        <v>813.75</v>
      </c>
      <c r="H17" s="743">
        <f t="shared" si="1"/>
        <v>840</v>
      </c>
      <c r="I17" s="743">
        <f t="shared" si="1"/>
        <v>866.25</v>
      </c>
      <c r="J17" s="743">
        <f t="shared" si="1"/>
        <v>892.5</v>
      </c>
      <c r="K17" s="743">
        <f t="shared" si="1"/>
        <v>918.75</v>
      </c>
      <c r="L17" s="743">
        <f t="shared" si="1"/>
        <v>945</v>
      </c>
      <c r="M17" s="743">
        <f t="shared" si="1"/>
        <v>971.25</v>
      </c>
      <c r="N17" s="743">
        <f t="shared" si="1"/>
        <v>997.5</v>
      </c>
      <c r="O17" s="743">
        <f t="shared" si="1"/>
        <v>1023.75</v>
      </c>
      <c r="P17" s="743">
        <f t="shared" si="1"/>
        <v>1050</v>
      </c>
      <c r="Q17" s="743">
        <f t="shared" si="1"/>
        <v>1076.25</v>
      </c>
    </row>
    <row r="18" spans="1:18" s="43" customFormat="1" ht="16.5" hidden="1" customHeight="1">
      <c r="A18" s="241"/>
      <c r="C18" s="239"/>
      <c r="E18" s="239"/>
      <c r="F18" s="744">
        <f>'V1'!R25*'V1'!$D$15</f>
        <v>0</v>
      </c>
      <c r="G18" s="743">
        <f t="shared" ref="G18:Q18" si="2">F26*$C$16</f>
        <v>0</v>
      </c>
      <c r="H18" s="743">
        <f t="shared" si="2"/>
        <v>0</v>
      </c>
      <c r="I18" s="743">
        <f t="shared" si="2"/>
        <v>0</v>
      </c>
      <c r="J18" s="743">
        <f t="shared" si="2"/>
        <v>0</v>
      </c>
      <c r="K18" s="743">
        <f t="shared" si="2"/>
        <v>0</v>
      </c>
      <c r="L18" s="743">
        <f t="shared" si="2"/>
        <v>0</v>
      </c>
      <c r="M18" s="743">
        <f t="shared" si="2"/>
        <v>0</v>
      </c>
      <c r="N18" s="743">
        <f t="shared" si="2"/>
        <v>0</v>
      </c>
      <c r="O18" s="743">
        <f t="shared" si="2"/>
        <v>0</v>
      </c>
      <c r="P18" s="743">
        <f t="shared" si="2"/>
        <v>0</v>
      </c>
      <c r="Q18" s="743">
        <f t="shared" si="2"/>
        <v>0</v>
      </c>
    </row>
    <row r="19" spans="1:18" s="43" customFormat="1" ht="13.5" hidden="1" customHeight="1">
      <c r="A19" s="241"/>
      <c r="C19" s="239"/>
      <c r="E19" s="239"/>
      <c r="F19" s="744">
        <f>'V1'!Q25*'V1'!$E$15</f>
        <v>0</v>
      </c>
      <c r="G19" s="744">
        <f>'V1'!R25*'V1'!$E$15</f>
        <v>0</v>
      </c>
      <c r="H19" s="743">
        <f t="shared" ref="H19:Q19" si="3">F26*$D$16</f>
        <v>0</v>
      </c>
      <c r="I19" s="743">
        <f t="shared" si="3"/>
        <v>0</v>
      </c>
      <c r="J19" s="743">
        <f t="shared" si="3"/>
        <v>0</v>
      </c>
      <c r="K19" s="743">
        <f t="shared" si="3"/>
        <v>0</v>
      </c>
      <c r="L19" s="743">
        <f t="shared" si="3"/>
        <v>0</v>
      </c>
      <c r="M19" s="743">
        <f t="shared" si="3"/>
        <v>0</v>
      </c>
      <c r="N19" s="743">
        <f t="shared" si="3"/>
        <v>0</v>
      </c>
      <c r="O19" s="743">
        <f t="shared" si="3"/>
        <v>0</v>
      </c>
      <c r="P19" s="743">
        <f t="shared" si="3"/>
        <v>0</v>
      </c>
      <c r="Q19" s="743">
        <f t="shared" si="3"/>
        <v>0</v>
      </c>
    </row>
    <row r="20" spans="1:18" s="43" customFormat="1" ht="13.5" hidden="1" customHeight="1">
      <c r="A20" s="241"/>
      <c r="C20" s="239"/>
      <c r="E20" s="239"/>
      <c r="F20" s="744">
        <f>'V1'!P25*'V1'!$F$15</f>
        <v>0</v>
      </c>
      <c r="G20" s="744">
        <f>'V1'!Q25*'V1'!$F$15</f>
        <v>0</v>
      </c>
      <c r="H20" s="744">
        <f>'V1'!R25*'V1'!$F$15</f>
        <v>0</v>
      </c>
      <c r="I20" s="743">
        <f t="shared" ref="I20:Q20" si="4">F26*$E$16</f>
        <v>0</v>
      </c>
      <c r="J20" s="743">
        <f t="shared" si="4"/>
        <v>0</v>
      </c>
      <c r="K20" s="743">
        <f t="shared" si="4"/>
        <v>0</v>
      </c>
      <c r="L20" s="743">
        <f t="shared" si="4"/>
        <v>0</v>
      </c>
      <c r="M20" s="743">
        <f t="shared" si="4"/>
        <v>0</v>
      </c>
      <c r="N20" s="743">
        <f t="shared" si="4"/>
        <v>0</v>
      </c>
      <c r="O20" s="743">
        <f t="shared" si="4"/>
        <v>0</v>
      </c>
      <c r="P20" s="743">
        <f t="shared" si="4"/>
        <v>0</v>
      </c>
      <c r="Q20" s="743">
        <f t="shared" si="4"/>
        <v>0</v>
      </c>
    </row>
    <row r="21" spans="1:18" s="43" customFormat="1" ht="13.5" hidden="1" customHeight="1">
      <c r="A21" s="241"/>
      <c r="D21" s="65"/>
      <c r="F21" s="483"/>
      <c r="G21" s="483"/>
      <c r="H21" s="483"/>
      <c r="I21" s="483"/>
      <c r="J21" s="483"/>
      <c r="K21" s="483"/>
      <c r="L21" s="483"/>
      <c r="M21" s="483"/>
      <c r="N21" s="483"/>
      <c r="O21" s="483"/>
      <c r="P21" s="483"/>
      <c r="Q21" s="483"/>
    </row>
    <row r="22" spans="1:18" s="43" customFormat="1" ht="13.5" hidden="1" customHeight="1">
      <c r="A22" s="241"/>
      <c r="F22" s="745">
        <f t="shared" ref="F22:Q22" si="5">SUM(F17:F20)</f>
        <v>787.5</v>
      </c>
      <c r="G22" s="745">
        <f t="shared" si="5"/>
        <v>813.75</v>
      </c>
      <c r="H22" s="745">
        <f t="shared" si="5"/>
        <v>840</v>
      </c>
      <c r="I22" s="745">
        <f t="shared" si="5"/>
        <v>866.25</v>
      </c>
      <c r="J22" s="745">
        <f t="shared" si="5"/>
        <v>892.5</v>
      </c>
      <c r="K22" s="745">
        <f t="shared" si="5"/>
        <v>918.75</v>
      </c>
      <c r="L22" s="745">
        <f t="shared" si="5"/>
        <v>945</v>
      </c>
      <c r="M22" s="745">
        <f t="shared" si="5"/>
        <v>971.25</v>
      </c>
      <c r="N22" s="745">
        <f t="shared" si="5"/>
        <v>997.5</v>
      </c>
      <c r="O22" s="745">
        <f t="shared" si="5"/>
        <v>1023.75</v>
      </c>
      <c r="P22" s="745">
        <f t="shared" si="5"/>
        <v>1050</v>
      </c>
      <c r="Q22" s="745">
        <f t="shared" si="5"/>
        <v>1076.25</v>
      </c>
      <c r="R22" s="240"/>
    </row>
    <row r="23" spans="1:18" s="43" customFormat="1">
      <c r="C23" s="241"/>
      <c r="D23" s="243"/>
      <c r="E23" s="243"/>
      <c r="F23" s="237"/>
      <c r="G23" s="237"/>
      <c r="H23" s="237"/>
      <c r="I23" s="237"/>
      <c r="J23" s="237"/>
      <c r="K23" s="237"/>
      <c r="L23" s="237"/>
      <c r="M23" s="237"/>
      <c r="N23" s="237"/>
      <c r="O23" s="237"/>
      <c r="P23" s="237"/>
      <c r="Q23" s="237"/>
      <c r="R23" s="240"/>
    </row>
    <row r="24" spans="1:18" s="43" customFormat="1" ht="13.5" thickBot="1">
      <c r="C24" s="48" t="s">
        <v>490</v>
      </c>
      <c r="D24" s="407">
        <f>'V1'!E23</f>
        <v>5</v>
      </c>
      <c r="E24" s="245"/>
      <c r="R24" s="238"/>
    </row>
    <row r="25" spans="1:18" s="43" customFormat="1" ht="13.5" thickBot="1">
      <c r="C25" s="48" t="s">
        <v>389</v>
      </c>
      <c r="D25" s="254"/>
      <c r="E25" s="254"/>
      <c r="F25" s="408">
        <f>(1+$F14)*'V1'!G24</f>
        <v>157.5</v>
      </c>
      <c r="G25" s="408">
        <f>(1+$F14)*'V1'!H24</f>
        <v>162.75</v>
      </c>
      <c r="H25" s="408">
        <f>(1+$F14)*'V1'!I24</f>
        <v>168</v>
      </c>
      <c r="I25" s="408">
        <f>(1+$F14)*'V1'!J24</f>
        <v>173.25</v>
      </c>
      <c r="J25" s="408">
        <f>(1+$F14)*'V1'!K24</f>
        <v>178.5</v>
      </c>
      <c r="K25" s="408">
        <f>(1+$F14)*'V1'!L24</f>
        <v>183.75</v>
      </c>
      <c r="L25" s="408">
        <f>(1+$F14)*'V1'!M24</f>
        <v>189</v>
      </c>
      <c r="M25" s="408">
        <f>(1+$F14)*'V1'!N24</f>
        <v>194.25</v>
      </c>
      <c r="N25" s="408">
        <f>(1+$F14)*'V1'!O24</f>
        <v>199.5</v>
      </c>
      <c r="O25" s="408">
        <f>(1+$F14)*'V1'!P24</f>
        <v>204.75</v>
      </c>
      <c r="P25" s="408">
        <f>(1+$F14)*'V1'!Q24</f>
        <v>210</v>
      </c>
      <c r="Q25" s="408">
        <f>(1+$F14)*'V1'!R24</f>
        <v>215.25</v>
      </c>
      <c r="R25" s="73">
        <f>SUM(F25:Q25)</f>
        <v>2236.5</v>
      </c>
    </row>
    <row r="26" spans="1:18" s="43" customFormat="1" ht="13.5" thickBot="1">
      <c r="C26" s="48" t="s">
        <v>491</v>
      </c>
      <c r="D26" s="246"/>
      <c r="E26" s="246"/>
      <c r="F26" s="247">
        <f t="shared" ref="F26:Q26" si="6">F25*$D24</f>
        <v>787.5</v>
      </c>
      <c r="G26" s="247">
        <f t="shared" si="6"/>
        <v>813.75</v>
      </c>
      <c r="H26" s="247">
        <f t="shared" si="6"/>
        <v>840</v>
      </c>
      <c r="I26" s="247">
        <f t="shared" si="6"/>
        <v>866.25</v>
      </c>
      <c r="J26" s="247">
        <f t="shared" si="6"/>
        <v>892.5</v>
      </c>
      <c r="K26" s="247">
        <f t="shared" si="6"/>
        <v>918.75</v>
      </c>
      <c r="L26" s="247">
        <f t="shared" si="6"/>
        <v>945</v>
      </c>
      <c r="M26" s="247">
        <f t="shared" si="6"/>
        <v>971.25</v>
      </c>
      <c r="N26" s="247">
        <f t="shared" si="6"/>
        <v>997.5</v>
      </c>
      <c r="O26" s="247">
        <f t="shared" si="6"/>
        <v>1023.75</v>
      </c>
      <c r="P26" s="247">
        <f t="shared" si="6"/>
        <v>1050</v>
      </c>
      <c r="Q26" s="248">
        <f t="shared" si="6"/>
        <v>1076.25</v>
      </c>
      <c r="R26" s="73">
        <f>SUM(F26:Q26)</f>
        <v>11182.5</v>
      </c>
    </row>
    <row r="27" spans="1:18" s="43" customFormat="1" ht="13.5" thickBot="1">
      <c r="C27" s="48"/>
      <c r="D27" s="246"/>
      <c r="E27" s="246"/>
      <c r="F27" s="249"/>
      <c r="G27" s="249"/>
      <c r="H27" s="249"/>
      <c r="I27" s="249"/>
      <c r="J27" s="249"/>
      <c r="K27" s="249"/>
      <c r="L27" s="249"/>
      <c r="M27" s="249"/>
      <c r="N27" s="249"/>
      <c r="O27" s="249"/>
      <c r="P27" s="249"/>
      <c r="Q27" s="249"/>
      <c r="R27" s="249"/>
    </row>
    <row r="28" spans="1:18" s="43" customFormat="1" ht="13.5" thickBot="1">
      <c r="A28" s="900" t="s">
        <v>315</v>
      </c>
      <c r="B28" s="901"/>
      <c r="C28" s="898"/>
      <c r="D28" s="902"/>
      <c r="E28" s="903"/>
      <c r="F28" s="848">
        <v>0.05</v>
      </c>
      <c r="G28" s="1181" t="str">
        <f>A30</f>
        <v>Produit/service 2</v>
      </c>
      <c r="H28" s="1182"/>
      <c r="I28" s="1182"/>
      <c r="J28" s="1182"/>
      <c r="K28" s="1182"/>
      <c r="L28" s="1182"/>
      <c r="M28" s="1182"/>
      <c r="N28" s="1182"/>
      <c r="O28" s="1182"/>
      <c r="P28" s="1182"/>
      <c r="Q28" s="1182"/>
      <c r="R28" s="1182"/>
    </row>
    <row r="29" spans="1:18" s="43" customFormat="1">
      <c r="A29" s="905"/>
      <c r="B29" s="739" t="s">
        <v>328</v>
      </c>
      <c r="C29" s="739" t="s">
        <v>329</v>
      </c>
      <c r="D29" s="739" t="s">
        <v>448</v>
      </c>
      <c r="E29" s="739" t="s">
        <v>330</v>
      </c>
      <c r="F29" s="741"/>
      <c r="R29" s="249"/>
    </row>
    <row r="30" spans="1:18" s="43" customFormat="1">
      <c r="A30" s="905" t="str">
        <f>'V1'!A28</f>
        <v>Produit/service 2</v>
      </c>
      <c r="B30" s="742">
        <f>'V1'!C28</f>
        <v>1</v>
      </c>
      <c r="C30" s="742">
        <f>'V1'!D28</f>
        <v>0</v>
      </c>
      <c r="D30" s="742">
        <f>'V1'!E28</f>
        <v>0</v>
      </c>
      <c r="E30" s="742">
        <f>'V1'!F28</f>
        <v>0</v>
      </c>
      <c r="F30" s="740" t="str">
        <f>IF(SUM(B30:E30)=100%,"","&gt; 100 % &lt;")</f>
        <v/>
      </c>
      <c r="R30" s="249"/>
    </row>
    <row r="31" spans="1:18" s="43" customFormat="1" ht="16.5" hidden="1" customHeight="1">
      <c r="C31" s="239"/>
      <c r="E31" s="239"/>
      <c r="F31" s="743">
        <f t="shared" ref="F31:Q31" si="7">F40*$B$30</f>
        <v>1050</v>
      </c>
      <c r="G31" s="743">
        <f t="shared" si="7"/>
        <v>1102.5</v>
      </c>
      <c r="H31" s="743">
        <f t="shared" si="7"/>
        <v>1155</v>
      </c>
      <c r="I31" s="743">
        <f t="shared" si="7"/>
        <v>1207.5</v>
      </c>
      <c r="J31" s="743">
        <f t="shared" si="7"/>
        <v>1260</v>
      </c>
      <c r="K31" s="743">
        <f t="shared" si="7"/>
        <v>1312.5</v>
      </c>
      <c r="L31" s="743">
        <f t="shared" si="7"/>
        <v>1365</v>
      </c>
      <c r="M31" s="743">
        <f t="shared" si="7"/>
        <v>1417.5</v>
      </c>
      <c r="N31" s="743">
        <f t="shared" si="7"/>
        <v>1470</v>
      </c>
      <c r="O31" s="743">
        <f t="shared" si="7"/>
        <v>1522.5</v>
      </c>
      <c r="P31" s="743">
        <f t="shared" si="7"/>
        <v>1575</v>
      </c>
      <c r="Q31" s="743">
        <f t="shared" si="7"/>
        <v>1627.5</v>
      </c>
    </row>
    <row r="32" spans="1:18" s="43" customFormat="1" ht="16.5" hidden="1" customHeight="1">
      <c r="A32" s="241"/>
      <c r="C32" s="239"/>
      <c r="E32" s="239"/>
      <c r="F32" s="744">
        <f>'V1'!R38*'V1'!$D$28</f>
        <v>0</v>
      </c>
      <c r="G32" s="743">
        <f t="shared" ref="G32:Q32" si="8">F40*$C$30</f>
        <v>0</v>
      </c>
      <c r="H32" s="743">
        <f t="shared" si="8"/>
        <v>0</v>
      </c>
      <c r="I32" s="743">
        <f t="shared" si="8"/>
        <v>0</v>
      </c>
      <c r="J32" s="743">
        <f t="shared" si="8"/>
        <v>0</v>
      </c>
      <c r="K32" s="743">
        <f t="shared" si="8"/>
        <v>0</v>
      </c>
      <c r="L32" s="743">
        <f t="shared" si="8"/>
        <v>0</v>
      </c>
      <c r="M32" s="743">
        <f t="shared" si="8"/>
        <v>0</v>
      </c>
      <c r="N32" s="743">
        <f t="shared" si="8"/>
        <v>0</v>
      </c>
      <c r="O32" s="743">
        <f t="shared" si="8"/>
        <v>0</v>
      </c>
      <c r="P32" s="743">
        <f t="shared" si="8"/>
        <v>0</v>
      </c>
      <c r="Q32" s="743">
        <f t="shared" si="8"/>
        <v>0</v>
      </c>
    </row>
    <row r="33" spans="1:18" s="43" customFormat="1" hidden="1">
      <c r="A33" s="241"/>
      <c r="C33" s="239"/>
      <c r="E33" s="239"/>
      <c r="F33" s="744">
        <f>'V1'!Q38*'V1'!$E$28</f>
        <v>0</v>
      </c>
      <c r="G33" s="744">
        <f>'V1'!R38*'V1'!$E$28</f>
        <v>0</v>
      </c>
      <c r="H33" s="743">
        <f t="shared" ref="H33:Q33" si="9">F40*$D$30</f>
        <v>0</v>
      </c>
      <c r="I33" s="743">
        <f t="shared" si="9"/>
        <v>0</v>
      </c>
      <c r="J33" s="743">
        <f t="shared" si="9"/>
        <v>0</v>
      </c>
      <c r="K33" s="743">
        <f t="shared" si="9"/>
        <v>0</v>
      </c>
      <c r="L33" s="743">
        <f t="shared" si="9"/>
        <v>0</v>
      </c>
      <c r="M33" s="743">
        <f t="shared" si="9"/>
        <v>0</v>
      </c>
      <c r="N33" s="743">
        <f t="shared" si="9"/>
        <v>0</v>
      </c>
      <c r="O33" s="743">
        <f t="shared" si="9"/>
        <v>0</v>
      </c>
      <c r="P33" s="743">
        <f t="shared" si="9"/>
        <v>0</v>
      </c>
      <c r="Q33" s="743">
        <f t="shared" si="9"/>
        <v>0</v>
      </c>
    </row>
    <row r="34" spans="1:18" s="43" customFormat="1" hidden="1">
      <c r="A34" s="241"/>
      <c r="C34" s="239"/>
      <c r="E34" s="239"/>
      <c r="F34" s="744">
        <f>'V1'!P38*'V1'!$F$28</f>
        <v>0</v>
      </c>
      <c r="G34" s="744">
        <f>'V1'!Q38*'V1'!$F$28</f>
        <v>0</v>
      </c>
      <c r="H34" s="744">
        <f>'V1'!R38*'V1'!$F$28</f>
        <v>0</v>
      </c>
      <c r="I34" s="743">
        <f t="shared" ref="I34:Q34" si="10">F40*$E$30</f>
        <v>0</v>
      </c>
      <c r="J34" s="743">
        <f t="shared" si="10"/>
        <v>0</v>
      </c>
      <c r="K34" s="743">
        <f t="shared" si="10"/>
        <v>0</v>
      </c>
      <c r="L34" s="743">
        <f t="shared" si="10"/>
        <v>0</v>
      </c>
      <c r="M34" s="743">
        <f t="shared" si="10"/>
        <v>0</v>
      </c>
      <c r="N34" s="743">
        <f t="shared" si="10"/>
        <v>0</v>
      </c>
      <c r="O34" s="743">
        <f t="shared" si="10"/>
        <v>0</v>
      </c>
      <c r="P34" s="743">
        <f t="shared" si="10"/>
        <v>0</v>
      </c>
      <c r="Q34" s="743">
        <f t="shared" si="10"/>
        <v>0</v>
      </c>
    </row>
    <row r="35" spans="1:18" s="43" customFormat="1" hidden="1">
      <c r="A35" s="241"/>
      <c r="D35" s="65"/>
      <c r="F35" s="483"/>
      <c r="G35" s="483"/>
      <c r="H35" s="483"/>
      <c r="I35" s="483"/>
      <c r="J35" s="483"/>
      <c r="K35" s="483"/>
      <c r="L35" s="483"/>
      <c r="M35" s="483"/>
      <c r="N35" s="483"/>
      <c r="O35" s="483"/>
      <c r="P35" s="483"/>
      <c r="Q35" s="483"/>
    </row>
    <row r="36" spans="1:18" s="43" customFormat="1" hidden="1">
      <c r="A36" s="241"/>
      <c r="F36" s="745">
        <f t="shared" ref="F36:Q36" si="11">SUM(F31:F34)</f>
        <v>1050</v>
      </c>
      <c r="G36" s="745">
        <f t="shared" si="11"/>
        <v>1102.5</v>
      </c>
      <c r="H36" s="745">
        <f t="shared" si="11"/>
        <v>1155</v>
      </c>
      <c r="I36" s="745">
        <f t="shared" si="11"/>
        <v>1207.5</v>
      </c>
      <c r="J36" s="745">
        <f t="shared" si="11"/>
        <v>1260</v>
      </c>
      <c r="K36" s="745">
        <f t="shared" si="11"/>
        <v>1312.5</v>
      </c>
      <c r="L36" s="745">
        <f t="shared" si="11"/>
        <v>1365</v>
      </c>
      <c r="M36" s="745">
        <f t="shared" si="11"/>
        <v>1417.5</v>
      </c>
      <c r="N36" s="745">
        <f t="shared" si="11"/>
        <v>1470</v>
      </c>
      <c r="O36" s="745">
        <f t="shared" si="11"/>
        <v>1522.5</v>
      </c>
      <c r="P36" s="745">
        <f t="shared" si="11"/>
        <v>1575</v>
      </c>
      <c r="Q36" s="745">
        <f t="shared" si="11"/>
        <v>1627.5</v>
      </c>
      <c r="R36" s="240"/>
    </row>
    <row r="37" spans="1:18" s="43" customFormat="1">
      <c r="C37" s="241"/>
      <c r="D37" s="243"/>
      <c r="E37" s="243"/>
      <c r="F37" s="237"/>
      <c r="G37" s="237"/>
      <c r="H37" s="237"/>
      <c r="I37" s="237"/>
      <c r="J37" s="237"/>
      <c r="K37" s="237"/>
      <c r="L37" s="237"/>
      <c r="M37" s="237"/>
      <c r="N37" s="237"/>
      <c r="O37" s="237"/>
      <c r="P37" s="237"/>
      <c r="Q37" s="237"/>
      <c r="R37" s="240"/>
    </row>
    <row r="38" spans="1:18" s="43" customFormat="1" ht="13.5" thickBot="1">
      <c r="C38" s="48" t="s">
        <v>490</v>
      </c>
      <c r="D38" s="407">
        <f>'V1'!E36</f>
        <v>10</v>
      </c>
      <c r="E38" s="245"/>
      <c r="R38" s="249"/>
    </row>
    <row r="39" spans="1:18" s="43" customFormat="1" ht="13.5" thickBot="1">
      <c r="C39" s="48" t="s">
        <v>389</v>
      </c>
      <c r="D39" s="246"/>
      <c r="E39" s="246"/>
      <c r="F39" s="408">
        <f>(1+$F28)*'V1'!G37</f>
        <v>105</v>
      </c>
      <c r="G39" s="408">
        <f>(1+$F28)*'V1'!H37</f>
        <v>110.25</v>
      </c>
      <c r="H39" s="408">
        <f>(1+$F28)*'V1'!I37</f>
        <v>115.5</v>
      </c>
      <c r="I39" s="408">
        <f>(1+$F28)*'V1'!J37</f>
        <v>120.75</v>
      </c>
      <c r="J39" s="408">
        <f>(1+$F28)*'V1'!K37</f>
        <v>126</v>
      </c>
      <c r="K39" s="408">
        <f>(1+$F28)*'V1'!L37</f>
        <v>131.25</v>
      </c>
      <c r="L39" s="408">
        <f>(1+$F28)*'V1'!M37</f>
        <v>136.5</v>
      </c>
      <c r="M39" s="408">
        <f>(1+$F28)*'V1'!N37</f>
        <v>141.75</v>
      </c>
      <c r="N39" s="408">
        <f>(1+$F28)*'V1'!O37</f>
        <v>147</v>
      </c>
      <c r="O39" s="408">
        <f>(1+$F28)*'V1'!P37</f>
        <v>152.25</v>
      </c>
      <c r="P39" s="408">
        <f>(1+$F28)*'V1'!Q37</f>
        <v>157.5</v>
      </c>
      <c r="Q39" s="408">
        <f>(1+$F28)*'V1'!R37</f>
        <v>162.75</v>
      </c>
      <c r="R39" s="73">
        <f>SUM(F39:Q39)</f>
        <v>1606.5</v>
      </c>
    </row>
    <row r="40" spans="1:18" s="43" customFormat="1" ht="13.5" thickBot="1">
      <c r="C40" s="48" t="s">
        <v>491</v>
      </c>
      <c r="D40" s="246"/>
      <c r="E40" s="246"/>
      <c r="F40" s="247">
        <f t="shared" ref="F40:Q40" si="12">F39*$D38</f>
        <v>1050</v>
      </c>
      <c r="G40" s="247">
        <f t="shared" si="12"/>
        <v>1102.5</v>
      </c>
      <c r="H40" s="247">
        <f t="shared" si="12"/>
        <v>1155</v>
      </c>
      <c r="I40" s="247">
        <f t="shared" si="12"/>
        <v>1207.5</v>
      </c>
      <c r="J40" s="247">
        <f t="shared" si="12"/>
        <v>1260</v>
      </c>
      <c r="K40" s="247">
        <f t="shared" si="12"/>
        <v>1312.5</v>
      </c>
      <c r="L40" s="247">
        <f t="shared" si="12"/>
        <v>1365</v>
      </c>
      <c r="M40" s="247">
        <f t="shared" si="12"/>
        <v>1417.5</v>
      </c>
      <c r="N40" s="247">
        <f t="shared" si="12"/>
        <v>1470</v>
      </c>
      <c r="O40" s="247">
        <f t="shared" si="12"/>
        <v>1522.5</v>
      </c>
      <c r="P40" s="247">
        <f t="shared" si="12"/>
        <v>1575</v>
      </c>
      <c r="Q40" s="248">
        <f t="shared" si="12"/>
        <v>1627.5</v>
      </c>
      <c r="R40" s="73">
        <f>SUM(F40:Q40)</f>
        <v>16065</v>
      </c>
    </row>
    <row r="41" spans="1:18" s="43" customFormat="1" ht="13.5" thickBot="1">
      <c r="C41" s="48"/>
      <c r="D41" s="246"/>
      <c r="E41" s="246"/>
      <c r="F41" s="249"/>
      <c r="G41" s="249"/>
      <c r="H41" s="249"/>
      <c r="I41" s="249"/>
      <c r="J41" s="249"/>
      <c r="K41" s="249"/>
      <c r="L41" s="249"/>
      <c r="M41" s="249"/>
      <c r="N41" s="249"/>
      <c r="O41" s="249"/>
      <c r="P41" s="249"/>
      <c r="Q41" s="249"/>
      <c r="R41" s="249"/>
    </row>
    <row r="42" spans="1:18" s="43" customFormat="1" ht="13.5" thickBot="1">
      <c r="A42" s="900" t="s">
        <v>315</v>
      </c>
      <c r="B42" s="901"/>
      <c r="C42" s="898"/>
      <c r="D42" s="902"/>
      <c r="E42" s="903"/>
      <c r="F42" s="848">
        <v>0.05</v>
      </c>
      <c r="G42" s="1181" t="str">
        <f>A44</f>
        <v>Produit/service 3</v>
      </c>
      <c r="H42" s="1182"/>
      <c r="I42" s="1182"/>
      <c r="J42" s="1182"/>
      <c r="K42" s="1182"/>
      <c r="L42" s="1182"/>
      <c r="M42" s="1182"/>
      <c r="N42" s="1182"/>
      <c r="O42" s="1182"/>
      <c r="P42" s="1182"/>
      <c r="Q42" s="1182"/>
      <c r="R42" s="1182"/>
    </row>
    <row r="43" spans="1:18" s="43" customFormat="1">
      <c r="A43" s="905"/>
      <c r="B43" s="739" t="s">
        <v>328</v>
      </c>
      <c r="C43" s="739" t="s">
        <v>329</v>
      </c>
      <c r="D43" s="739" t="s">
        <v>448</v>
      </c>
      <c r="E43" s="739" t="s">
        <v>330</v>
      </c>
      <c r="F43" s="741"/>
      <c r="R43" s="249"/>
    </row>
    <row r="44" spans="1:18" s="43" customFormat="1">
      <c r="A44" s="905" t="str">
        <f>'V1'!A41</f>
        <v>Produit/service 3</v>
      </c>
      <c r="B44" s="742">
        <f>'V1'!C41</f>
        <v>1</v>
      </c>
      <c r="C44" s="742">
        <f>'V1'!D41</f>
        <v>0</v>
      </c>
      <c r="D44" s="742">
        <f>'V1'!E41</f>
        <v>0</v>
      </c>
      <c r="E44" s="742">
        <f>'V1'!F41</f>
        <v>0</v>
      </c>
      <c r="F44" s="740" t="str">
        <f>IF(SUM(B44:E44)=100%,"","&gt; 100 % &lt;")</f>
        <v/>
      </c>
      <c r="R44" s="249"/>
    </row>
    <row r="45" spans="1:18" s="43" customFormat="1" ht="16.5" hidden="1" customHeight="1">
      <c r="C45" s="239"/>
      <c r="E45" s="239"/>
      <c r="F45" s="743">
        <f t="shared" ref="F45:Q45" si="13">F54*$B$44</f>
        <v>1575</v>
      </c>
      <c r="G45" s="743">
        <f t="shared" si="13"/>
        <v>1653.75</v>
      </c>
      <c r="H45" s="743">
        <f t="shared" si="13"/>
        <v>1732.5</v>
      </c>
      <c r="I45" s="743">
        <f t="shared" si="13"/>
        <v>1811.25</v>
      </c>
      <c r="J45" s="743">
        <f t="shared" si="13"/>
        <v>1890</v>
      </c>
      <c r="K45" s="743">
        <f t="shared" si="13"/>
        <v>1968.75</v>
      </c>
      <c r="L45" s="743">
        <f t="shared" si="13"/>
        <v>2047.5</v>
      </c>
      <c r="M45" s="743">
        <f t="shared" si="13"/>
        <v>2126.25</v>
      </c>
      <c r="N45" s="743">
        <f t="shared" si="13"/>
        <v>2205</v>
      </c>
      <c r="O45" s="743">
        <f t="shared" si="13"/>
        <v>2283.75</v>
      </c>
      <c r="P45" s="743">
        <f t="shared" si="13"/>
        <v>2362.5</v>
      </c>
      <c r="Q45" s="743">
        <f t="shared" si="13"/>
        <v>2441.25</v>
      </c>
    </row>
    <row r="46" spans="1:18" s="43" customFormat="1" ht="16.5" hidden="1" customHeight="1">
      <c r="A46" s="241"/>
      <c r="C46" s="239"/>
      <c r="E46" s="239"/>
      <c r="F46" s="744">
        <f>'V1'!R51*'V1'!$D$41</f>
        <v>0</v>
      </c>
      <c r="G46" s="743">
        <f t="shared" ref="G46:Q46" si="14">F54*$C$44</f>
        <v>0</v>
      </c>
      <c r="H46" s="743">
        <f t="shared" si="14"/>
        <v>0</v>
      </c>
      <c r="I46" s="743">
        <f t="shared" si="14"/>
        <v>0</v>
      </c>
      <c r="J46" s="743">
        <f t="shared" si="14"/>
        <v>0</v>
      </c>
      <c r="K46" s="743">
        <f t="shared" si="14"/>
        <v>0</v>
      </c>
      <c r="L46" s="743">
        <f t="shared" si="14"/>
        <v>0</v>
      </c>
      <c r="M46" s="743">
        <f t="shared" si="14"/>
        <v>0</v>
      </c>
      <c r="N46" s="743">
        <f t="shared" si="14"/>
        <v>0</v>
      </c>
      <c r="O46" s="743">
        <f t="shared" si="14"/>
        <v>0</v>
      </c>
      <c r="P46" s="743">
        <f t="shared" si="14"/>
        <v>0</v>
      </c>
      <c r="Q46" s="743">
        <f t="shared" si="14"/>
        <v>0</v>
      </c>
    </row>
    <row r="47" spans="1:18" s="43" customFormat="1" hidden="1">
      <c r="A47" s="241"/>
      <c r="C47" s="239"/>
      <c r="E47" s="239"/>
      <c r="F47" s="744">
        <f>'V1'!Q51*'V1'!$E$41</f>
        <v>0</v>
      </c>
      <c r="G47" s="744">
        <f>'V1'!R51*'V1'!$E$41</f>
        <v>0</v>
      </c>
      <c r="H47" s="743">
        <f t="shared" ref="H47:Q47" si="15">F54*$D$44</f>
        <v>0</v>
      </c>
      <c r="I47" s="743">
        <f t="shared" si="15"/>
        <v>0</v>
      </c>
      <c r="J47" s="743">
        <f t="shared" si="15"/>
        <v>0</v>
      </c>
      <c r="K47" s="743">
        <f t="shared" si="15"/>
        <v>0</v>
      </c>
      <c r="L47" s="743">
        <f t="shared" si="15"/>
        <v>0</v>
      </c>
      <c r="M47" s="743">
        <f t="shared" si="15"/>
        <v>0</v>
      </c>
      <c r="N47" s="743">
        <f t="shared" si="15"/>
        <v>0</v>
      </c>
      <c r="O47" s="743">
        <f t="shared" si="15"/>
        <v>0</v>
      </c>
      <c r="P47" s="743">
        <f t="shared" si="15"/>
        <v>0</v>
      </c>
      <c r="Q47" s="743">
        <f t="shared" si="15"/>
        <v>0</v>
      </c>
    </row>
    <row r="48" spans="1:18" s="43" customFormat="1" hidden="1">
      <c r="A48" s="241"/>
      <c r="C48" s="239"/>
      <c r="E48" s="239"/>
      <c r="F48" s="744">
        <f>'V1'!P51*'V1'!$F$41</f>
        <v>0</v>
      </c>
      <c r="G48" s="744">
        <f>'V1'!Q51*'V1'!$F$41</f>
        <v>0</v>
      </c>
      <c r="H48" s="744">
        <f>'V1'!R51*'V1'!$F$41</f>
        <v>0</v>
      </c>
      <c r="I48" s="743">
        <f t="shared" ref="I48:Q48" si="16">F54*$E$44</f>
        <v>0</v>
      </c>
      <c r="J48" s="743">
        <f t="shared" si="16"/>
        <v>0</v>
      </c>
      <c r="K48" s="743">
        <f t="shared" si="16"/>
        <v>0</v>
      </c>
      <c r="L48" s="743">
        <f t="shared" si="16"/>
        <v>0</v>
      </c>
      <c r="M48" s="743">
        <f t="shared" si="16"/>
        <v>0</v>
      </c>
      <c r="N48" s="743">
        <f t="shared" si="16"/>
        <v>0</v>
      </c>
      <c r="O48" s="743">
        <f t="shared" si="16"/>
        <v>0</v>
      </c>
      <c r="P48" s="743">
        <f t="shared" si="16"/>
        <v>0</v>
      </c>
      <c r="Q48" s="743">
        <f t="shared" si="16"/>
        <v>0</v>
      </c>
    </row>
    <row r="49" spans="1:18" s="43" customFormat="1" hidden="1">
      <c r="A49" s="241"/>
      <c r="D49" s="65"/>
      <c r="F49" s="483"/>
      <c r="G49" s="483"/>
      <c r="H49" s="483"/>
      <c r="I49" s="483"/>
      <c r="J49" s="483"/>
      <c r="K49" s="483"/>
      <c r="L49" s="483"/>
      <c r="M49" s="483"/>
      <c r="N49" s="483"/>
      <c r="O49" s="483"/>
      <c r="P49" s="483"/>
      <c r="Q49" s="483"/>
    </row>
    <row r="50" spans="1:18" s="43" customFormat="1" hidden="1">
      <c r="A50" s="241"/>
      <c r="F50" s="745">
        <f t="shared" ref="F50:Q50" si="17">SUM(F45:F48)</f>
        <v>1575</v>
      </c>
      <c r="G50" s="745">
        <f t="shared" si="17"/>
        <v>1653.75</v>
      </c>
      <c r="H50" s="745">
        <f t="shared" si="17"/>
        <v>1732.5</v>
      </c>
      <c r="I50" s="745">
        <f t="shared" si="17"/>
        <v>1811.25</v>
      </c>
      <c r="J50" s="745">
        <f t="shared" si="17"/>
        <v>1890</v>
      </c>
      <c r="K50" s="745">
        <f t="shared" si="17"/>
        <v>1968.75</v>
      </c>
      <c r="L50" s="745">
        <f t="shared" si="17"/>
        <v>2047.5</v>
      </c>
      <c r="M50" s="745">
        <f t="shared" si="17"/>
        <v>2126.25</v>
      </c>
      <c r="N50" s="745">
        <f t="shared" si="17"/>
        <v>2205</v>
      </c>
      <c r="O50" s="745">
        <f t="shared" si="17"/>
        <v>2283.75</v>
      </c>
      <c r="P50" s="745">
        <f t="shared" si="17"/>
        <v>2362.5</v>
      </c>
      <c r="Q50" s="745">
        <f t="shared" si="17"/>
        <v>2441.25</v>
      </c>
      <c r="R50" s="240"/>
    </row>
    <row r="51" spans="1:18" s="43" customFormat="1">
      <c r="C51" s="241"/>
      <c r="D51" s="243"/>
      <c r="E51" s="243"/>
      <c r="F51" s="237"/>
      <c r="G51" s="237"/>
      <c r="H51" s="237"/>
      <c r="I51" s="237"/>
      <c r="J51" s="237"/>
      <c r="K51" s="237"/>
      <c r="L51" s="237"/>
      <c r="M51" s="237"/>
      <c r="N51" s="237"/>
      <c r="O51" s="237"/>
      <c r="P51" s="237"/>
      <c r="Q51" s="237"/>
      <c r="R51" s="240"/>
    </row>
    <row r="52" spans="1:18" s="43" customFormat="1" ht="13.5" thickBot="1">
      <c r="C52" s="48" t="s">
        <v>490</v>
      </c>
      <c r="D52" s="407">
        <f>'V1'!E49</f>
        <v>15</v>
      </c>
      <c r="E52" s="245"/>
      <c r="R52" s="249"/>
    </row>
    <row r="53" spans="1:18" s="43" customFormat="1" ht="13.5" thickBot="1">
      <c r="C53" s="48" t="s">
        <v>389</v>
      </c>
      <c r="D53" s="237"/>
      <c r="E53" s="237"/>
      <c r="F53" s="408">
        <f>(1+$F42)*'V1'!G50</f>
        <v>105</v>
      </c>
      <c r="G53" s="408">
        <f>(1+$F42)*'V1'!H50</f>
        <v>110.25</v>
      </c>
      <c r="H53" s="408">
        <f>(1+$F42)*'V1'!I50</f>
        <v>115.5</v>
      </c>
      <c r="I53" s="408">
        <f>(1+$F42)*'V1'!J50</f>
        <v>120.75</v>
      </c>
      <c r="J53" s="408">
        <f>(1+$F42)*'V1'!K50</f>
        <v>126</v>
      </c>
      <c r="K53" s="408">
        <f>(1+$F42)*'V1'!L50</f>
        <v>131.25</v>
      </c>
      <c r="L53" s="408">
        <f>(1+$F42)*'V1'!M50</f>
        <v>136.5</v>
      </c>
      <c r="M53" s="408">
        <f>(1+$F42)*'V1'!N50</f>
        <v>141.75</v>
      </c>
      <c r="N53" s="408">
        <f>(1+$F42)*'V1'!O50</f>
        <v>147</v>
      </c>
      <c r="O53" s="408">
        <f>(1+$F42)*'V1'!P50</f>
        <v>152.25</v>
      </c>
      <c r="P53" s="408">
        <f>(1+$F42)*'V1'!Q50</f>
        <v>157.5</v>
      </c>
      <c r="Q53" s="408">
        <f>(1+$F42)*'V1'!R50</f>
        <v>162.75</v>
      </c>
      <c r="R53" s="73">
        <f>SUM(F53:Q53)</f>
        <v>1606.5</v>
      </c>
    </row>
    <row r="54" spans="1:18" s="43" customFormat="1" ht="13.5" thickBot="1">
      <c r="C54" s="48" t="s">
        <v>491</v>
      </c>
      <c r="D54" s="237"/>
      <c r="E54" s="237"/>
      <c r="F54" s="247">
        <f t="shared" ref="F54:Q54" si="18">F53*$D52</f>
        <v>1575</v>
      </c>
      <c r="G54" s="247">
        <f t="shared" si="18"/>
        <v>1653.75</v>
      </c>
      <c r="H54" s="247">
        <f t="shared" si="18"/>
        <v>1732.5</v>
      </c>
      <c r="I54" s="247">
        <f t="shared" si="18"/>
        <v>1811.25</v>
      </c>
      <c r="J54" s="247">
        <f t="shared" si="18"/>
        <v>1890</v>
      </c>
      <c r="K54" s="247">
        <f t="shared" si="18"/>
        <v>1968.75</v>
      </c>
      <c r="L54" s="247">
        <f t="shared" si="18"/>
        <v>2047.5</v>
      </c>
      <c r="M54" s="247">
        <f t="shared" si="18"/>
        <v>2126.25</v>
      </c>
      <c r="N54" s="247">
        <f t="shared" si="18"/>
        <v>2205</v>
      </c>
      <c r="O54" s="247">
        <f t="shared" si="18"/>
        <v>2283.75</v>
      </c>
      <c r="P54" s="247">
        <f t="shared" si="18"/>
        <v>2362.5</v>
      </c>
      <c r="Q54" s="248">
        <f t="shared" si="18"/>
        <v>2441.25</v>
      </c>
      <c r="R54" s="73">
        <f>SUM(F54:Q54)</f>
        <v>24097.5</v>
      </c>
    </row>
    <row r="55" spans="1:18" s="43" customFormat="1" ht="13.5" thickBot="1">
      <c r="C55" s="48"/>
      <c r="D55" s="237"/>
      <c r="E55" s="237"/>
      <c r="F55" s="249"/>
      <c r="G55" s="249"/>
      <c r="H55" s="249"/>
      <c r="I55" s="249"/>
      <c r="J55" s="249"/>
      <c r="K55" s="249"/>
      <c r="L55" s="249"/>
      <c r="M55" s="249"/>
      <c r="N55" s="249"/>
      <c r="O55" s="249"/>
      <c r="P55" s="249"/>
      <c r="Q55" s="249"/>
      <c r="R55" s="249"/>
    </row>
    <row r="56" spans="1:18" s="43" customFormat="1" ht="13.5" thickBot="1">
      <c r="A56" s="900" t="s">
        <v>315</v>
      </c>
      <c r="B56" s="901"/>
      <c r="C56" s="898"/>
      <c r="D56" s="902"/>
      <c r="E56" s="903"/>
      <c r="F56" s="848">
        <v>0</v>
      </c>
      <c r="G56" s="1181" t="str">
        <f>A58</f>
        <v>Produit/service 4</v>
      </c>
      <c r="H56" s="1182"/>
      <c r="I56" s="1182"/>
      <c r="J56" s="1182"/>
      <c r="K56" s="1182"/>
      <c r="L56" s="1182"/>
      <c r="M56" s="1182"/>
      <c r="N56" s="1182"/>
      <c r="O56" s="1182"/>
      <c r="P56" s="1182"/>
      <c r="Q56" s="1182"/>
      <c r="R56" s="1182"/>
    </row>
    <row r="57" spans="1:18" s="43" customFormat="1">
      <c r="A57" s="905"/>
      <c r="B57" s="739" t="s">
        <v>328</v>
      </c>
      <c r="C57" s="739" t="s">
        <v>329</v>
      </c>
      <c r="D57" s="739" t="s">
        <v>448</v>
      </c>
      <c r="E57" s="739" t="s">
        <v>330</v>
      </c>
      <c r="F57" s="741"/>
      <c r="R57" s="249"/>
    </row>
    <row r="58" spans="1:18" s="43" customFormat="1">
      <c r="A58" s="905" t="str">
        <f>'V1'!A54</f>
        <v>Produit/service 4</v>
      </c>
      <c r="B58" s="742">
        <f>'V1'!C54</f>
        <v>1</v>
      </c>
      <c r="C58" s="742">
        <f>'V1'!D54</f>
        <v>0</v>
      </c>
      <c r="D58" s="742">
        <f>'V1'!E54</f>
        <v>0</v>
      </c>
      <c r="E58" s="742">
        <f>'V1'!F54</f>
        <v>0</v>
      </c>
      <c r="F58" s="740" t="str">
        <f>IF(SUM(B58:E58)=100%,"","&gt; 100 % &lt;")</f>
        <v/>
      </c>
      <c r="R58" s="249"/>
    </row>
    <row r="59" spans="1:18" s="43" customFormat="1" ht="16.5" hidden="1" customHeight="1">
      <c r="C59" s="239"/>
      <c r="E59" s="239"/>
      <c r="F59" s="743">
        <f t="shared" ref="F59:Q59" si="19">F68*$B$58</f>
        <v>0</v>
      </c>
      <c r="G59" s="743">
        <f t="shared" si="19"/>
        <v>0</v>
      </c>
      <c r="H59" s="743">
        <f t="shared" si="19"/>
        <v>0</v>
      </c>
      <c r="I59" s="743">
        <f t="shared" si="19"/>
        <v>0</v>
      </c>
      <c r="J59" s="743">
        <f t="shared" si="19"/>
        <v>0</v>
      </c>
      <c r="K59" s="743">
        <f t="shared" si="19"/>
        <v>0</v>
      </c>
      <c r="L59" s="743">
        <f t="shared" si="19"/>
        <v>0</v>
      </c>
      <c r="M59" s="743">
        <f t="shared" si="19"/>
        <v>0</v>
      </c>
      <c r="N59" s="743">
        <f t="shared" si="19"/>
        <v>0</v>
      </c>
      <c r="O59" s="743">
        <f t="shared" si="19"/>
        <v>0</v>
      </c>
      <c r="P59" s="743">
        <f t="shared" si="19"/>
        <v>0</v>
      </c>
      <c r="Q59" s="743">
        <f t="shared" si="19"/>
        <v>0</v>
      </c>
    </row>
    <row r="60" spans="1:18" s="43" customFormat="1" ht="16.5" hidden="1" customHeight="1">
      <c r="A60" s="241"/>
      <c r="C60" s="239"/>
      <c r="E60" s="239"/>
      <c r="F60" s="744">
        <f>'V1'!R64*'V1'!$D$54</f>
        <v>0</v>
      </c>
      <c r="G60" s="743">
        <f t="shared" ref="G60:Q60" si="20">F68*$C$58</f>
        <v>0</v>
      </c>
      <c r="H60" s="743">
        <f t="shared" si="20"/>
        <v>0</v>
      </c>
      <c r="I60" s="743">
        <f t="shared" si="20"/>
        <v>0</v>
      </c>
      <c r="J60" s="743">
        <f t="shared" si="20"/>
        <v>0</v>
      </c>
      <c r="K60" s="743">
        <f t="shared" si="20"/>
        <v>0</v>
      </c>
      <c r="L60" s="743">
        <f t="shared" si="20"/>
        <v>0</v>
      </c>
      <c r="M60" s="743">
        <f t="shared" si="20"/>
        <v>0</v>
      </c>
      <c r="N60" s="743">
        <f t="shared" si="20"/>
        <v>0</v>
      </c>
      <c r="O60" s="743">
        <f t="shared" si="20"/>
        <v>0</v>
      </c>
      <c r="P60" s="743">
        <f t="shared" si="20"/>
        <v>0</v>
      </c>
      <c r="Q60" s="743">
        <f t="shared" si="20"/>
        <v>0</v>
      </c>
    </row>
    <row r="61" spans="1:18" s="43" customFormat="1" hidden="1">
      <c r="A61" s="241"/>
      <c r="C61" s="239"/>
      <c r="E61" s="239"/>
      <c r="F61" s="744">
        <f>'V1'!Q64*'V1'!$E$54</f>
        <v>0</v>
      </c>
      <c r="G61" s="744">
        <f>'V1'!R64*'V1'!$E$54</f>
        <v>0</v>
      </c>
      <c r="H61" s="743">
        <f t="shared" ref="H61:Q61" si="21">F68*$D$58</f>
        <v>0</v>
      </c>
      <c r="I61" s="743">
        <f t="shared" si="21"/>
        <v>0</v>
      </c>
      <c r="J61" s="743">
        <f t="shared" si="21"/>
        <v>0</v>
      </c>
      <c r="K61" s="743">
        <f t="shared" si="21"/>
        <v>0</v>
      </c>
      <c r="L61" s="743">
        <f t="shared" si="21"/>
        <v>0</v>
      </c>
      <c r="M61" s="743">
        <f t="shared" si="21"/>
        <v>0</v>
      </c>
      <c r="N61" s="743">
        <f t="shared" si="21"/>
        <v>0</v>
      </c>
      <c r="O61" s="743">
        <f t="shared" si="21"/>
        <v>0</v>
      </c>
      <c r="P61" s="743">
        <f t="shared" si="21"/>
        <v>0</v>
      </c>
      <c r="Q61" s="743">
        <f t="shared" si="21"/>
        <v>0</v>
      </c>
    </row>
    <row r="62" spans="1:18" s="43" customFormat="1" hidden="1">
      <c r="A62" s="241"/>
      <c r="C62" s="239"/>
      <c r="E62" s="239"/>
      <c r="F62" s="744">
        <f>'V1'!P64*'V1'!$F$54</f>
        <v>0</v>
      </c>
      <c r="G62" s="744">
        <f>'V1'!Q64*'V1'!$F$54</f>
        <v>0</v>
      </c>
      <c r="H62" s="744">
        <f>'V1'!R64*'V1'!$F$54</f>
        <v>0</v>
      </c>
      <c r="I62" s="743">
        <f t="shared" ref="I62:Q62" si="22">F68*$E$58</f>
        <v>0</v>
      </c>
      <c r="J62" s="743">
        <f t="shared" si="22"/>
        <v>0</v>
      </c>
      <c r="K62" s="743">
        <f t="shared" si="22"/>
        <v>0</v>
      </c>
      <c r="L62" s="743">
        <f t="shared" si="22"/>
        <v>0</v>
      </c>
      <c r="M62" s="743">
        <f t="shared" si="22"/>
        <v>0</v>
      </c>
      <c r="N62" s="743">
        <f t="shared" si="22"/>
        <v>0</v>
      </c>
      <c r="O62" s="743">
        <f t="shared" si="22"/>
        <v>0</v>
      </c>
      <c r="P62" s="743">
        <f t="shared" si="22"/>
        <v>0</v>
      </c>
      <c r="Q62" s="743">
        <f t="shared" si="22"/>
        <v>0</v>
      </c>
    </row>
    <row r="63" spans="1:18" s="43" customFormat="1" hidden="1">
      <c r="A63" s="241"/>
      <c r="D63" s="65"/>
      <c r="F63" s="483"/>
      <c r="G63" s="483"/>
      <c r="H63" s="483"/>
      <c r="I63" s="483"/>
      <c r="J63" s="483"/>
      <c r="K63" s="483"/>
      <c r="L63" s="483"/>
      <c r="M63" s="483"/>
      <c r="N63" s="483"/>
      <c r="O63" s="483"/>
      <c r="P63" s="483"/>
      <c r="Q63" s="483"/>
    </row>
    <row r="64" spans="1:18" s="43" customFormat="1" hidden="1">
      <c r="A64" s="241"/>
      <c r="F64" s="745">
        <f t="shared" ref="F64:Q64" si="23">SUM(F59:F62)</f>
        <v>0</v>
      </c>
      <c r="G64" s="745">
        <f t="shared" si="23"/>
        <v>0</v>
      </c>
      <c r="H64" s="745">
        <f t="shared" si="23"/>
        <v>0</v>
      </c>
      <c r="I64" s="745">
        <f t="shared" si="23"/>
        <v>0</v>
      </c>
      <c r="J64" s="745">
        <f t="shared" si="23"/>
        <v>0</v>
      </c>
      <c r="K64" s="745">
        <f t="shared" si="23"/>
        <v>0</v>
      </c>
      <c r="L64" s="745">
        <f t="shared" si="23"/>
        <v>0</v>
      </c>
      <c r="M64" s="745">
        <f t="shared" si="23"/>
        <v>0</v>
      </c>
      <c r="N64" s="745">
        <f t="shared" si="23"/>
        <v>0</v>
      </c>
      <c r="O64" s="745">
        <f t="shared" si="23"/>
        <v>0</v>
      </c>
      <c r="P64" s="745">
        <f t="shared" si="23"/>
        <v>0</v>
      </c>
      <c r="Q64" s="745">
        <f t="shared" si="23"/>
        <v>0</v>
      </c>
      <c r="R64" s="240"/>
    </row>
    <row r="65" spans="1:18" s="43" customFormat="1">
      <c r="C65" s="241"/>
      <c r="D65" s="243"/>
      <c r="E65" s="243"/>
      <c r="F65" s="237"/>
      <c r="G65" s="237"/>
      <c r="H65" s="237"/>
      <c r="I65" s="237"/>
      <c r="J65" s="237"/>
      <c r="K65" s="237"/>
      <c r="L65" s="237"/>
      <c r="M65" s="237"/>
      <c r="N65" s="237"/>
      <c r="O65" s="237"/>
      <c r="P65" s="237"/>
      <c r="Q65" s="237"/>
      <c r="R65" s="240"/>
    </row>
    <row r="66" spans="1:18" s="43" customFormat="1" ht="13.5" thickBot="1">
      <c r="C66" s="48" t="s">
        <v>490</v>
      </c>
      <c r="D66" s="407">
        <f>'V1'!E62</f>
        <v>1</v>
      </c>
      <c r="E66" s="245"/>
      <c r="R66" s="238"/>
    </row>
    <row r="67" spans="1:18" s="43" customFormat="1" ht="13.5" thickBot="1">
      <c r="C67" s="48" t="s">
        <v>389</v>
      </c>
      <c r="D67" s="254"/>
      <c r="E67" s="254"/>
      <c r="F67" s="408">
        <f>(1+$F56)*'V1'!G63</f>
        <v>0</v>
      </c>
      <c r="G67" s="408">
        <f>(1+$F56)*'V1'!H63</f>
        <v>0</v>
      </c>
      <c r="H67" s="408">
        <f>(1+$F56)*'V1'!I63</f>
        <v>0</v>
      </c>
      <c r="I67" s="408">
        <f>(1+$F56)*'V1'!J63</f>
        <v>0</v>
      </c>
      <c r="J67" s="408">
        <f>(1+$F56)*'V1'!K63</f>
        <v>0</v>
      </c>
      <c r="K67" s="408">
        <f>(1+$F56)*'V1'!L63</f>
        <v>0</v>
      </c>
      <c r="L67" s="408">
        <f>(1+$F56)*'V1'!M63</f>
        <v>0</v>
      </c>
      <c r="M67" s="408">
        <f>(1+$F56)*'V1'!N63</f>
        <v>0</v>
      </c>
      <c r="N67" s="408">
        <f>(1+$F56)*'V1'!O63</f>
        <v>0</v>
      </c>
      <c r="O67" s="408">
        <f>(1+$F56)*'V1'!P63</f>
        <v>0</v>
      </c>
      <c r="P67" s="408">
        <f>(1+$F56)*'V1'!Q63</f>
        <v>0</v>
      </c>
      <c r="Q67" s="408">
        <f>(1+$F56)*'V1'!R63</f>
        <v>0</v>
      </c>
      <c r="R67" s="73">
        <f>SUM(F67:Q67)</f>
        <v>0</v>
      </c>
    </row>
    <row r="68" spans="1:18" s="43" customFormat="1" ht="13.5" thickBot="1">
      <c r="C68" s="48" t="s">
        <v>491</v>
      </c>
      <c r="D68" s="246"/>
      <c r="E68" s="246"/>
      <c r="F68" s="247">
        <f t="shared" ref="F68:Q68" si="24">F67*$D66</f>
        <v>0</v>
      </c>
      <c r="G68" s="247">
        <f t="shared" si="24"/>
        <v>0</v>
      </c>
      <c r="H68" s="247">
        <f t="shared" si="24"/>
        <v>0</v>
      </c>
      <c r="I68" s="247">
        <f t="shared" si="24"/>
        <v>0</v>
      </c>
      <c r="J68" s="247">
        <f t="shared" si="24"/>
        <v>0</v>
      </c>
      <c r="K68" s="247">
        <f t="shared" si="24"/>
        <v>0</v>
      </c>
      <c r="L68" s="247">
        <f t="shared" si="24"/>
        <v>0</v>
      </c>
      <c r="M68" s="247">
        <f t="shared" si="24"/>
        <v>0</v>
      </c>
      <c r="N68" s="247">
        <f t="shared" si="24"/>
        <v>0</v>
      </c>
      <c r="O68" s="247">
        <f t="shared" si="24"/>
        <v>0</v>
      </c>
      <c r="P68" s="247">
        <f t="shared" si="24"/>
        <v>0</v>
      </c>
      <c r="Q68" s="248">
        <f t="shared" si="24"/>
        <v>0</v>
      </c>
      <c r="R68" s="73">
        <f>SUM(F68:Q68)</f>
        <v>0</v>
      </c>
    </row>
    <row r="69" spans="1:18" s="43" customFormat="1" ht="13.5" thickBot="1">
      <c r="C69" s="48"/>
      <c r="D69" s="246"/>
      <c r="E69" s="246"/>
      <c r="F69" s="249"/>
      <c r="G69" s="249"/>
      <c r="H69" s="249"/>
      <c r="I69" s="249"/>
      <c r="J69" s="249"/>
      <c r="K69" s="249"/>
      <c r="L69" s="249"/>
      <c r="M69" s="249"/>
      <c r="N69" s="249"/>
      <c r="O69" s="249"/>
      <c r="P69" s="249"/>
      <c r="Q69" s="249"/>
      <c r="R69" s="249"/>
    </row>
    <row r="70" spans="1:18" s="43" customFormat="1" ht="13.5" thickBot="1">
      <c r="A70" s="900" t="s">
        <v>315</v>
      </c>
      <c r="B70" s="901"/>
      <c r="C70" s="898"/>
      <c r="D70" s="902"/>
      <c r="E70" s="903"/>
      <c r="F70" s="848">
        <v>0</v>
      </c>
      <c r="G70" s="1181" t="str">
        <f>A72</f>
        <v>Produit/service 5</v>
      </c>
      <c r="H70" s="1182"/>
      <c r="I70" s="1182"/>
      <c r="J70" s="1182"/>
      <c r="K70" s="1182"/>
      <c r="L70" s="1182"/>
      <c r="M70" s="1182"/>
      <c r="N70" s="1182"/>
      <c r="O70" s="1182"/>
      <c r="P70" s="1182"/>
      <c r="Q70" s="1182"/>
      <c r="R70" s="1182"/>
    </row>
    <row r="71" spans="1:18" s="43" customFormat="1">
      <c r="A71" s="905"/>
      <c r="B71" s="739" t="s">
        <v>328</v>
      </c>
      <c r="C71" s="739" t="s">
        <v>329</v>
      </c>
      <c r="D71" s="739" t="s">
        <v>448</v>
      </c>
      <c r="E71" s="739" t="s">
        <v>330</v>
      </c>
      <c r="F71" s="741"/>
      <c r="R71" s="249"/>
    </row>
    <row r="72" spans="1:18" s="43" customFormat="1">
      <c r="A72" s="905" t="str">
        <f>'V1'!A67</f>
        <v>Produit/service 5</v>
      </c>
      <c r="B72" s="742">
        <f>'V1'!C67</f>
        <v>1</v>
      </c>
      <c r="C72" s="742">
        <f>'V1'!D67</f>
        <v>0</v>
      </c>
      <c r="D72" s="742">
        <f>'V1'!E67</f>
        <v>0</v>
      </c>
      <c r="E72" s="742">
        <f>'V1'!F67</f>
        <v>0</v>
      </c>
      <c r="F72" s="740" t="str">
        <f>IF(SUM(B72:E72)=100%,"","&gt; 100 % &lt;")</f>
        <v/>
      </c>
      <c r="R72" s="249"/>
    </row>
    <row r="73" spans="1:18" s="43" customFormat="1" ht="16.5" hidden="1" customHeight="1">
      <c r="C73" s="239"/>
      <c r="E73" s="239"/>
      <c r="F73" s="743">
        <f t="shared" ref="F73:Q73" si="25">F82*$B$72</f>
        <v>0</v>
      </c>
      <c r="G73" s="743">
        <f t="shared" si="25"/>
        <v>0</v>
      </c>
      <c r="H73" s="743">
        <f t="shared" si="25"/>
        <v>0</v>
      </c>
      <c r="I73" s="743">
        <f t="shared" si="25"/>
        <v>0</v>
      </c>
      <c r="J73" s="743">
        <f t="shared" si="25"/>
        <v>0</v>
      </c>
      <c r="K73" s="743">
        <f t="shared" si="25"/>
        <v>0</v>
      </c>
      <c r="L73" s="743">
        <f t="shared" si="25"/>
        <v>0</v>
      </c>
      <c r="M73" s="743">
        <f t="shared" si="25"/>
        <v>0</v>
      </c>
      <c r="N73" s="743">
        <f t="shared" si="25"/>
        <v>0</v>
      </c>
      <c r="O73" s="743">
        <f t="shared" si="25"/>
        <v>0</v>
      </c>
      <c r="P73" s="743">
        <f t="shared" si="25"/>
        <v>0</v>
      </c>
      <c r="Q73" s="743">
        <f t="shared" si="25"/>
        <v>0</v>
      </c>
    </row>
    <row r="74" spans="1:18" s="43" customFormat="1" ht="16.5" hidden="1" customHeight="1">
      <c r="A74" s="241"/>
      <c r="C74" s="239"/>
      <c r="E74" s="239"/>
      <c r="F74" s="744">
        <f>'V1'!R77*'V1'!$D$67</f>
        <v>0</v>
      </c>
      <c r="G74" s="743">
        <f t="shared" ref="G74:Q74" si="26">F82*$C$72</f>
        <v>0</v>
      </c>
      <c r="H74" s="743">
        <f t="shared" si="26"/>
        <v>0</v>
      </c>
      <c r="I74" s="743">
        <f t="shared" si="26"/>
        <v>0</v>
      </c>
      <c r="J74" s="743">
        <f t="shared" si="26"/>
        <v>0</v>
      </c>
      <c r="K74" s="743">
        <f t="shared" si="26"/>
        <v>0</v>
      </c>
      <c r="L74" s="743">
        <f t="shared" si="26"/>
        <v>0</v>
      </c>
      <c r="M74" s="743">
        <f t="shared" si="26"/>
        <v>0</v>
      </c>
      <c r="N74" s="743">
        <f t="shared" si="26"/>
        <v>0</v>
      </c>
      <c r="O74" s="743">
        <f t="shared" si="26"/>
        <v>0</v>
      </c>
      <c r="P74" s="743">
        <f t="shared" si="26"/>
        <v>0</v>
      </c>
      <c r="Q74" s="743">
        <f t="shared" si="26"/>
        <v>0</v>
      </c>
    </row>
    <row r="75" spans="1:18" s="43" customFormat="1" hidden="1">
      <c r="A75" s="241"/>
      <c r="C75" s="239"/>
      <c r="E75" s="239"/>
      <c r="F75" s="744">
        <f>'V1'!Q77*'V1'!$E$67</f>
        <v>0</v>
      </c>
      <c r="G75" s="744">
        <f>'V1'!R77*'V1'!$E$67</f>
        <v>0</v>
      </c>
      <c r="H75" s="743">
        <f t="shared" ref="H75:Q75" si="27">F82*$D$72</f>
        <v>0</v>
      </c>
      <c r="I75" s="743">
        <f t="shared" si="27"/>
        <v>0</v>
      </c>
      <c r="J75" s="743">
        <f t="shared" si="27"/>
        <v>0</v>
      </c>
      <c r="K75" s="743">
        <f t="shared" si="27"/>
        <v>0</v>
      </c>
      <c r="L75" s="743">
        <f t="shared" si="27"/>
        <v>0</v>
      </c>
      <c r="M75" s="743">
        <f t="shared" si="27"/>
        <v>0</v>
      </c>
      <c r="N75" s="743">
        <f t="shared" si="27"/>
        <v>0</v>
      </c>
      <c r="O75" s="743">
        <f t="shared" si="27"/>
        <v>0</v>
      </c>
      <c r="P75" s="743">
        <f t="shared" si="27"/>
        <v>0</v>
      </c>
      <c r="Q75" s="743">
        <f t="shared" si="27"/>
        <v>0</v>
      </c>
    </row>
    <row r="76" spans="1:18" s="43" customFormat="1" hidden="1">
      <c r="A76" s="241"/>
      <c r="C76" s="239"/>
      <c r="E76" s="239"/>
      <c r="F76" s="744">
        <f>'V1'!P77*'V1'!$F$67</f>
        <v>0</v>
      </c>
      <c r="G76" s="744">
        <f>'V1'!Q77*'V1'!$F$67</f>
        <v>0</v>
      </c>
      <c r="H76" s="744">
        <f>'V1'!R77*'V1'!$F$67</f>
        <v>0</v>
      </c>
      <c r="I76" s="743">
        <f t="shared" ref="I76:Q76" si="28">F82*$E$72</f>
        <v>0</v>
      </c>
      <c r="J76" s="743">
        <f t="shared" si="28"/>
        <v>0</v>
      </c>
      <c r="K76" s="743">
        <f t="shared" si="28"/>
        <v>0</v>
      </c>
      <c r="L76" s="743">
        <f t="shared" si="28"/>
        <v>0</v>
      </c>
      <c r="M76" s="743">
        <f t="shared" si="28"/>
        <v>0</v>
      </c>
      <c r="N76" s="743">
        <f t="shared" si="28"/>
        <v>0</v>
      </c>
      <c r="O76" s="743">
        <f t="shared" si="28"/>
        <v>0</v>
      </c>
      <c r="P76" s="743">
        <f t="shared" si="28"/>
        <v>0</v>
      </c>
      <c r="Q76" s="743">
        <f t="shared" si="28"/>
        <v>0</v>
      </c>
    </row>
    <row r="77" spans="1:18" s="43" customFormat="1" hidden="1">
      <c r="A77" s="241"/>
      <c r="D77" s="65"/>
      <c r="F77" s="483"/>
      <c r="G77" s="483"/>
      <c r="H77" s="483"/>
      <c r="I77" s="483"/>
      <c r="J77" s="483"/>
      <c r="K77" s="483"/>
      <c r="L77" s="483"/>
      <c r="M77" s="483"/>
      <c r="N77" s="483"/>
      <c r="O77" s="483"/>
      <c r="P77" s="483"/>
      <c r="Q77" s="483"/>
    </row>
    <row r="78" spans="1:18" s="43" customFormat="1" hidden="1">
      <c r="A78" s="241"/>
      <c r="F78" s="745">
        <f t="shared" ref="F78:Q78" si="29">SUM(F73:F76)</f>
        <v>0</v>
      </c>
      <c r="G78" s="745">
        <f t="shared" si="29"/>
        <v>0</v>
      </c>
      <c r="H78" s="745">
        <f t="shared" si="29"/>
        <v>0</v>
      </c>
      <c r="I78" s="745">
        <f t="shared" si="29"/>
        <v>0</v>
      </c>
      <c r="J78" s="745">
        <f t="shared" si="29"/>
        <v>0</v>
      </c>
      <c r="K78" s="745">
        <f t="shared" si="29"/>
        <v>0</v>
      </c>
      <c r="L78" s="745">
        <f t="shared" si="29"/>
        <v>0</v>
      </c>
      <c r="M78" s="745">
        <f t="shared" si="29"/>
        <v>0</v>
      </c>
      <c r="N78" s="745">
        <f t="shared" si="29"/>
        <v>0</v>
      </c>
      <c r="O78" s="745">
        <f t="shared" si="29"/>
        <v>0</v>
      </c>
      <c r="P78" s="745">
        <f t="shared" si="29"/>
        <v>0</v>
      </c>
      <c r="Q78" s="745">
        <f t="shared" si="29"/>
        <v>0</v>
      </c>
      <c r="R78" s="240"/>
    </row>
    <row r="79" spans="1:18" s="43" customFormat="1">
      <c r="C79" s="241"/>
      <c r="D79" s="243"/>
      <c r="E79" s="243"/>
      <c r="F79" s="237"/>
      <c r="G79" s="237"/>
      <c r="H79" s="237"/>
      <c r="I79" s="237"/>
      <c r="J79" s="237"/>
      <c r="K79" s="237"/>
      <c r="L79" s="237"/>
      <c r="M79" s="237"/>
      <c r="N79" s="237"/>
      <c r="O79" s="237"/>
      <c r="P79" s="237"/>
      <c r="Q79" s="237"/>
      <c r="R79" s="240"/>
    </row>
    <row r="80" spans="1:18" s="43" customFormat="1" ht="13.5" thickBot="1">
      <c r="C80" s="48" t="s">
        <v>490</v>
      </c>
      <c r="D80" s="407">
        <f>'V1'!E75</f>
        <v>1</v>
      </c>
      <c r="E80" s="245"/>
      <c r="R80" s="249"/>
    </row>
    <row r="81" spans="1:18" s="43" customFormat="1" ht="13.5" thickBot="1">
      <c r="C81" s="48" t="s">
        <v>389</v>
      </c>
      <c r="D81" s="246"/>
      <c r="E81" s="246"/>
      <c r="F81" s="408">
        <f>(1+$F70)*'V1'!G76</f>
        <v>0</v>
      </c>
      <c r="G81" s="408">
        <f>(1+$F70)*'V1'!H76</f>
        <v>0</v>
      </c>
      <c r="H81" s="408">
        <f>(1+$F70)*'V1'!I76</f>
        <v>0</v>
      </c>
      <c r="I81" s="408">
        <f>(1+$F70)*'V1'!J76</f>
        <v>0</v>
      </c>
      <c r="J81" s="408">
        <f>(1+$F70)*'V1'!K76</f>
        <v>0</v>
      </c>
      <c r="K81" s="408">
        <f>(1+$F70)*'V1'!L76</f>
        <v>0</v>
      </c>
      <c r="L81" s="408">
        <f>(1+$F70)*'V1'!M76</f>
        <v>0</v>
      </c>
      <c r="M81" s="408">
        <f>(1+$F70)*'V1'!N76</f>
        <v>0</v>
      </c>
      <c r="N81" s="408">
        <f>(1+$F70)*'V1'!O76</f>
        <v>0</v>
      </c>
      <c r="O81" s="408">
        <f>(1+$F70)*'V1'!P76</f>
        <v>0</v>
      </c>
      <c r="P81" s="408">
        <f>(1+$F70)*'V1'!Q76</f>
        <v>0</v>
      </c>
      <c r="Q81" s="408">
        <f>(1+$F70)*'V1'!R76</f>
        <v>0</v>
      </c>
      <c r="R81" s="73">
        <f>SUM(F81:Q81)</f>
        <v>0</v>
      </c>
    </row>
    <row r="82" spans="1:18" s="43" customFormat="1" ht="13.5" thickBot="1">
      <c r="C82" s="48" t="s">
        <v>491</v>
      </c>
      <c r="D82" s="246"/>
      <c r="E82" s="246"/>
      <c r="F82" s="247">
        <f t="shared" ref="F82:Q82" si="30">F81*$D80</f>
        <v>0</v>
      </c>
      <c r="G82" s="247">
        <f t="shared" si="30"/>
        <v>0</v>
      </c>
      <c r="H82" s="247">
        <f t="shared" si="30"/>
        <v>0</v>
      </c>
      <c r="I82" s="247">
        <f t="shared" si="30"/>
        <v>0</v>
      </c>
      <c r="J82" s="247">
        <f t="shared" si="30"/>
        <v>0</v>
      </c>
      <c r="K82" s="247">
        <f t="shared" si="30"/>
        <v>0</v>
      </c>
      <c r="L82" s="247">
        <f t="shared" si="30"/>
        <v>0</v>
      </c>
      <c r="M82" s="247">
        <f t="shared" si="30"/>
        <v>0</v>
      </c>
      <c r="N82" s="247">
        <f t="shared" si="30"/>
        <v>0</v>
      </c>
      <c r="O82" s="247">
        <f t="shared" si="30"/>
        <v>0</v>
      </c>
      <c r="P82" s="247">
        <f t="shared" si="30"/>
        <v>0</v>
      </c>
      <c r="Q82" s="248">
        <f t="shared" si="30"/>
        <v>0</v>
      </c>
      <c r="R82" s="73">
        <f>SUM(F82:Q82)</f>
        <v>0</v>
      </c>
    </row>
    <row r="83" spans="1:18" s="43" customFormat="1" ht="13.5" thickBot="1">
      <c r="C83" s="48"/>
      <c r="D83" s="246"/>
      <c r="E83" s="246"/>
      <c r="F83" s="249"/>
      <c r="G83" s="249"/>
      <c r="H83" s="249"/>
      <c r="I83" s="249"/>
      <c r="J83" s="249"/>
      <c r="K83" s="249"/>
      <c r="L83" s="249"/>
      <c r="M83" s="249"/>
      <c r="N83" s="249"/>
      <c r="O83" s="249"/>
      <c r="P83" s="249"/>
      <c r="Q83" s="249"/>
      <c r="R83" s="249"/>
    </row>
    <row r="84" spans="1:18" s="43" customFormat="1" ht="13.5" thickBot="1">
      <c r="A84" s="900" t="s">
        <v>315</v>
      </c>
      <c r="B84" s="901"/>
      <c r="C84" s="898"/>
      <c r="D84" s="902"/>
      <c r="E84" s="903"/>
      <c r="F84" s="848">
        <v>0</v>
      </c>
      <c r="G84" s="1181" t="str">
        <f>A86</f>
        <v>Produit/service 6</v>
      </c>
      <c r="H84" s="1182"/>
      <c r="I84" s="1182"/>
      <c r="J84" s="1182"/>
      <c r="K84" s="1182"/>
      <c r="L84" s="1182"/>
      <c r="M84" s="1182"/>
      <c r="N84" s="1182"/>
      <c r="O84" s="1182"/>
      <c r="P84" s="1182"/>
      <c r="Q84" s="1182"/>
      <c r="R84" s="1182"/>
    </row>
    <row r="85" spans="1:18" s="43" customFormat="1">
      <c r="A85" s="905"/>
      <c r="B85" s="739" t="s">
        <v>328</v>
      </c>
      <c r="C85" s="739" t="s">
        <v>329</v>
      </c>
      <c r="D85" s="739" t="s">
        <v>448</v>
      </c>
      <c r="E85" s="739" t="s">
        <v>330</v>
      </c>
      <c r="F85" s="741"/>
      <c r="R85" s="249"/>
    </row>
    <row r="86" spans="1:18" s="43" customFormat="1">
      <c r="A86" s="905" t="str">
        <f>'V1'!A80</f>
        <v>Produit/service 6</v>
      </c>
      <c r="B86" s="742">
        <f>'V1'!C80</f>
        <v>1</v>
      </c>
      <c r="C86" s="742">
        <f>'V1'!D80</f>
        <v>0</v>
      </c>
      <c r="D86" s="742">
        <f>'V1'!E80</f>
        <v>0</v>
      </c>
      <c r="E86" s="742">
        <f>'V1'!F80</f>
        <v>0</v>
      </c>
      <c r="F86" s="740" t="str">
        <f>IF(SUM(B86:E86)=100%,"","&gt; 100 % &lt;")</f>
        <v/>
      </c>
      <c r="R86" s="249"/>
    </row>
    <row r="87" spans="1:18" s="43" customFormat="1" ht="16.5" hidden="1" customHeight="1">
      <c r="C87" s="239"/>
      <c r="E87" s="239"/>
      <c r="F87" s="743">
        <f t="shared" ref="F87:Q87" si="31">F96*$B$86</f>
        <v>0</v>
      </c>
      <c r="G87" s="743">
        <f t="shared" si="31"/>
        <v>0</v>
      </c>
      <c r="H87" s="743">
        <f t="shared" si="31"/>
        <v>0</v>
      </c>
      <c r="I87" s="743">
        <f t="shared" si="31"/>
        <v>0</v>
      </c>
      <c r="J87" s="743">
        <f t="shared" si="31"/>
        <v>0</v>
      </c>
      <c r="K87" s="743">
        <f t="shared" si="31"/>
        <v>0</v>
      </c>
      <c r="L87" s="743">
        <f t="shared" si="31"/>
        <v>0</v>
      </c>
      <c r="M87" s="743">
        <f t="shared" si="31"/>
        <v>0</v>
      </c>
      <c r="N87" s="743">
        <f t="shared" si="31"/>
        <v>0</v>
      </c>
      <c r="O87" s="743">
        <f t="shared" si="31"/>
        <v>0</v>
      </c>
      <c r="P87" s="743">
        <f t="shared" si="31"/>
        <v>0</v>
      </c>
      <c r="Q87" s="743">
        <f t="shared" si="31"/>
        <v>0</v>
      </c>
    </row>
    <row r="88" spans="1:18" s="43" customFormat="1" ht="16.5" hidden="1" customHeight="1">
      <c r="A88" s="241"/>
      <c r="C88" s="239"/>
      <c r="E88" s="239"/>
      <c r="F88" s="744">
        <f>'V1'!R90*'V1'!$D$80</f>
        <v>0</v>
      </c>
      <c r="G88" s="743">
        <f t="shared" ref="G88:Q88" si="32">F96*$C$86</f>
        <v>0</v>
      </c>
      <c r="H88" s="743">
        <f t="shared" si="32"/>
        <v>0</v>
      </c>
      <c r="I88" s="743">
        <f t="shared" si="32"/>
        <v>0</v>
      </c>
      <c r="J88" s="743">
        <f t="shared" si="32"/>
        <v>0</v>
      </c>
      <c r="K88" s="743">
        <f t="shared" si="32"/>
        <v>0</v>
      </c>
      <c r="L88" s="743">
        <f t="shared" si="32"/>
        <v>0</v>
      </c>
      <c r="M88" s="743">
        <f t="shared" si="32"/>
        <v>0</v>
      </c>
      <c r="N88" s="743">
        <f t="shared" si="32"/>
        <v>0</v>
      </c>
      <c r="O88" s="743">
        <f t="shared" si="32"/>
        <v>0</v>
      </c>
      <c r="P88" s="743">
        <f t="shared" si="32"/>
        <v>0</v>
      </c>
      <c r="Q88" s="743">
        <f t="shared" si="32"/>
        <v>0</v>
      </c>
    </row>
    <row r="89" spans="1:18" s="43" customFormat="1" hidden="1">
      <c r="A89" s="241"/>
      <c r="C89" s="239"/>
      <c r="E89" s="239"/>
      <c r="F89" s="744">
        <f>'V1'!Q90*'V1'!$E$80</f>
        <v>0</v>
      </c>
      <c r="G89" s="744">
        <f>'V1'!R90*'V1'!$E$80</f>
        <v>0</v>
      </c>
      <c r="H89" s="743">
        <f t="shared" ref="H89:Q89" si="33">F96*$D$86</f>
        <v>0</v>
      </c>
      <c r="I89" s="743">
        <f t="shared" si="33"/>
        <v>0</v>
      </c>
      <c r="J89" s="743">
        <f t="shared" si="33"/>
        <v>0</v>
      </c>
      <c r="K89" s="743">
        <f t="shared" si="33"/>
        <v>0</v>
      </c>
      <c r="L89" s="743">
        <f t="shared" si="33"/>
        <v>0</v>
      </c>
      <c r="M89" s="743">
        <f t="shared" si="33"/>
        <v>0</v>
      </c>
      <c r="N89" s="743">
        <f t="shared" si="33"/>
        <v>0</v>
      </c>
      <c r="O89" s="743">
        <f t="shared" si="33"/>
        <v>0</v>
      </c>
      <c r="P89" s="743">
        <f t="shared" si="33"/>
        <v>0</v>
      </c>
      <c r="Q89" s="743">
        <f t="shared" si="33"/>
        <v>0</v>
      </c>
    </row>
    <row r="90" spans="1:18" s="43" customFormat="1" hidden="1">
      <c r="A90" s="241"/>
      <c r="C90" s="239"/>
      <c r="E90" s="239"/>
      <c r="F90" s="744">
        <f>'V1'!P90*'V1'!$F$80</f>
        <v>0</v>
      </c>
      <c r="G90" s="744">
        <f>'V1'!Q90*'V1'!$F$80</f>
        <v>0</v>
      </c>
      <c r="H90" s="744">
        <f>'V1'!R90*'V1'!$F$80</f>
        <v>0</v>
      </c>
      <c r="I90" s="743">
        <f t="shared" ref="I90:Q90" si="34">F96*$E$86</f>
        <v>0</v>
      </c>
      <c r="J90" s="743">
        <f t="shared" si="34"/>
        <v>0</v>
      </c>
      <c r="K90" s="743">
        <f t="shared" si="34"/>
        <v>0</v>
      </c>
      <c r="L90" s="743">
        <f t="shared" si="34"/>
        <v>0</v>
      </c>
      <c r="M90" s="743">
        <f t="shared" si="34"/>
        <v>0</v>
      </c>
      <c r="N90" s="743">
        <f t="shared" si="34"/>
        <v>0</v>
      </c>
      <c r="O90" s="743">
        <f t="shared" si="34"/>
        <v>0</v>
      </c>
      <c r="P90" s="743">
        <f t="shared" si="34"/>
        <v>0</v>
      </c>
      <c r="Q90" s="743">
        <f t="shared" si="34"/>
        <v>0</v>
      </c>
    </row>
    <row r="91" spans="1:18" s="43" customFormat="1" hidden="1">
      <c r="A91" s="241"/>
      <c r="D91" s="65"/>
      <c r="F91" s="483"/>
      <c r="G91" s="483"/>
      <c r="H91" s="483"/>
      <c r="I91" s="483"/>
      <c r="J91" s="483"/>
      <c r="K91" s="483"/>
      <c r="L91" s="483"/>
      <c r="M91" s="483"/>
      <c r="N91" s="483"/>
      <c r="O91" s="483"/>
      <c r="P91" s="483"/>
      <c r="Q91" s="483"/>
    </row>
    <row r="92" spans="1:18" s="43" customFormat="1" hidden="1">
      <c r="A92" s="241"/>
      <c r="F92" s="745">
        <f t="shared" ref="F92:Q92" si="35">SUM(F87:F90)</f>
        <v>0</v>
      </c>
      <c r="G92" s="745">
        <f t="shared" si="35"/>
        <v>0</v>
      </c>
      <c r="H92" s="745">
        <f t="shared" si="35"/>
        <v>0</v>
      </c>
      <c r="I92" s="745">
        <f t="shared" si="35"/>
        <v>0</v>
      </c>
      <c r="J92" s="745">
        <f t="shared" si="35"/>
        <v>0</v>
      </c>
      <c r="K92" s="745">
        <f t="shared" si="35"/>
        <v>0</v>
      </c>
      <c r="L92" s="745">
        <f t="shared" si="35"/>
        <v>0</v>
      </c>
      <c r="M92" s="745">
        <f t="shared" si="35"/>
        <v>0</v>
      </c>
      <c r="N92" s="745">
        <f t="shared" si="35"/>
        <v>0</v>
      </c>
      <c r="O92" s="745">
        <f t="shared" si="35"/>
        <v>0</v>
      </c>
      <c r="P92" s="745">
        <f t="shared" si="35"/>
        <v>0</v>
      </c>
      <c r="Q92" s="745">
        <f t="shared" si="35"/>
        <v>0</v>
      </c>
      <c r="R92" s="240"/>
    </row>
    <row r="93" spans="1:18" s="43" customFormat="1">
      <c r="C93" s="241"/>
      <c r="D93" s="243"/>
      <c r="E93" s="243"/>
      <c r="F93" s="237"/>
      <c r="G93" s="237"/>
      <c r="H93" s="237"/>
      <c r="I93" s="237"/>
      <c r="J93" s="237"/>
      <c r="K93" s="237"/>
      <c r="L93" s="237"/>
      <c r="M93" s="237"/>
      <c r="N93" s="237"/>
      <c r="O93" s="237"/>
      <c r="P93" s="237"/>
      <c r="Q93" s="237"/>
      <c r="R93" s="240"/>
    </row>
    <row r="94" spans="1:18" s="43" customFormat="1" ht="13.5" thickBot="1">
      <c r="C94" s="48" t="s">
        <v>490</v>
      </c>
      <c r="D94" s="407">
        <f>'V1'!E88</f>
        <v>1</v>
      </c>
      <c r="E94" s="245"/>
      <c r="R94" s="249"/>
    </row>
    <row r="95" spans="1:18" s="43" customFormat="1" ht="13.5" thickBot="1">
      <c r="C95" s="48" t="s">
        <v>389</v>
      </c>
      <c r="D95" s="237"/>
      <c r="E95" s="237"/>
      <c r="F95" s="408">
        <f>(1+$F84)*'V1'!G89</f>
        <v>0</v>
      </c>
      <c r="G95" s="408">
        <f>(1+$F84)*'V1'!H89</f>
        <v>0</v>
      </c>
      <c r="H95" s="408">
        <f>(1+$F84)*'V1'!I89</f>
        <v>0</v>
      </c>
      <c r="I95" s="408">
        <f>(1+$F84)*'V1'!J89</f>
        <v>0</v>
      </c>
      <c r="J95" s="408">
        <f>(1+$F84)*'V1'!K89</f>
        <v>0</v>
      </c>
      <c r="K95" s="408">
        <f>(1+$F84)*'V1'!L89</f>
        <v>0</v>
      </c>
      <c r="L95" s="408">
        <f>(1+$F84)*'V1'!M89</f>
        <v>0</v>
      </c>
      <c r="M95" s="408">
        <f>(1+$F84)*'V1'!N89</f>
        <v>0</v>
      </c>
      <c r="N95" s="408">
        <f>(1+$F84)*'V1'!O89</f>
        <v>0</v>
      </c>
      <c r="O95" s="408">
        <f>(1+$F84)*'V1'!P89</f>
        <v>0</v>
      </c>
      <c r="P95" s="408">
        <f>(1+$F84)*'V1'!Q89</f>
        <v>0</v>
      </c>
      <c r="Q95" s="408">
        <f>(1+$F84)*'V1'!R89</f>
        <v>0</v>
      </c>
      <c r="R95" s="73">
        <f>SUM(F95:Q95)</f>
        <v>0</v>
      </c>
    </row>
    <row r="96" spans="1:18" s="43" customFormat="1" ht="13.5" thickBot="1">
      <c r="C96" s="48" t="s">
        <v>491</v>
      </c>
      <c r="D96" s="237"/>
      <c r="E96" s="237"/>
      <c r="F96" s="247">
        <f t="shared" ref="F96:Q96" si="36">F95*$D94</f>
        <v>0</v>
      </c>
      <c r="G96" s="247">
        <f t="shared" si="36"/>
        <v>0</v>
      </c>
      <c r="H96" s="247">
        <f t="shared" si="36"/>
        <v>0</v>
      </c>
      <c r="I96" s="247">
        <f t="shared" si="36"/>
        <v>0</v>
      </c>
      <c r="J96" s="247">
        <f t="shared" si="36"/>
        <v>0</v>
      </c>
      <c r="K96" s="247">
        <f t="shared" si="36"/>
        <v>0</v>
      </c>
      <c r="L96" s="247">
        <f t="shared" si="36"/>
        <v>0</v>
      </c>
      <c r="M96" s="247">
        <f t="shared" si="36"/>
        <v>0</v>
      </c>
      <c r="N96" s="247">
        <f t="shared" si="36"/>
        <v>0</v>
      </c>
      <c r="O96" s="247">
        <f t="shared" si="36"/>
        <v>0</v>
      </c>
      <c r="P96" s="247">
        <f t="shared" si="36"/>
        <v>0</v>
      </c>
      <c r="Q96" s="248">
        <f t="shared" si="36"/>
        <v>0</v>
      </c>
      <c r="R96" s="73">
        <f>SUM(F96:Q96)</f>
        <v>0</v>
      </c>
    </row>
    <row r="97" spans="3:18" s="43" customFormat="1">
      <c r="C97" s="143"/>
      <c r="D97" s="237"/>
      <c r="E97" s="237"/>
      <c r="F97" s="787">
        <f t="shared" ref="F97:Q97" si="37">F92+F78+F64+F50+F36+F22</f>
        <v>3412.5</v>
      </c>
      <c r="G97" s="787">
        <f t="shared" si="37"/>
        <v>3570</v>
      </c>
      <c r="H97" s="787">
        <f t="shared" si="37"/>
        <v>3727.5</v>
      </c>
      <c r="I97" s="787">
        <f t="shared" si="37"/>
        <v>3885</v>
      </c>
      <c r="J97" s="787">
        <f t="shared" si="37"/>
        <v>4042.5</v>
      </c>
      <c r="K97" s="787">
        <f t="shared" si="37"/>
        <v>4200</v>
      </c>
      <c r="L97" s="787">
        <f t="shared" si="37"/>
        <v>4357.5</v>
      </c>
      <c r="M97" s="787">
        <f t="shared" si="37"/>
        <v>4515</v>
      </c>
      <c r="N97" s="787">
        <f t="shared" si="37"/>
        <v>4672.5</v>
      </c>
      <c r="O97" s="787">
        <f t="shared" si="37"/>
        <v>4830</v>
      </c>
      <c r="P97" s="787">
        <f t="shared" si="37"/>
        <v>4987.5</v>
      </c>
      <c r="Q97" s="787">
        <f t="shared" si="37"/>
        <v>5145</v>
      </c>
      <c r="R97" s="788">
        <f>SUM(F97:Q97)</f>
        <v>51345</v>
      </c>
    </row>
    <row r="98" spans="3:18" ht="13.5" thickBot="1"/>
    <row r="99" spans="3:18" ht="15.5" thickBot="1">
      <c r="C99" s="59" t="s">
        <v>714</v>
      </c>
      <c r="F99" s="847">
        <f>F26+F40+F54+F68+F82+F96</f>
        <v>3412.5</v>
      </c>
      <c r="G99" s="847">
        <f t="shared" ref="G99:R99" si="38">G26+G40+G54+G68+G82+G96</f>
        <v>3570</v>
      </c>
      <c r="H99" s="847">
        <f t="shared" si="38"/>
        <v>3727.5</v>
      </c>
      <c r="I99" s="847">
        <f t="shared" si="38"/>
        <v>3885</v>
      </c>
      <c r="J99" s="847">
        <f t="shared" si="38"/>
        <v>4042.5</v>
      </c>
      <c r="K99" s="847">
        <f t="shared" si="38"/>
        <v>4200</v>
      </c>
      <c r="L99" s="847">
        <f t="shared" si="38"/>
        <v>4357.5</v>
      </c>
      <c r="M99" s="847">
        <f t="shared" si="38"/>
        <v>4515</v>
      </c>
      <c r="N99" s="847">
        <f t="shared" si="38"/>
        <v>4672.5</v>
      </c>
      <c r="O99" s="847">
        <f t="shared" si="38"/>
        <v>4830</v>
      </c>
      <c r="P99" s="847">
        <f t="shared" si="38"/>
        <v>4987.5</v>
      </c>
      <c r="Q99" s="847">
        <f t="shared" si="38"/>
        <v>5145</v>
      </c>
      <c r="R99" s="847">
        <f t="shared" si="38"/>
        <v>51345</v>
      </c>
    </row>
  </sheetData>
  <sheetProtection password="E242" sheet="1" objects="1" scenarios="1"/>
  <customSheetViews>
    <customSheetView guid="{30D0538C-360A-4CDF-8D89-584CED1967CC}"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99999996" right="0.78740157499999996" top="0.984251969" bottom="0.984251969" header="0.4921259845" footer="0.4921259845"/>
  <pageSetup scale="53" orientation="landscape" horizontalDpi="300" verticalDpi="300" r:id="rId3"/>
  <headerFooter alignWithMargins="0"/>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V3">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A5" sqref="A5"/>
    </sheetView>
  </sheetViews>
  <sheetFormatPr baseColWidth="10" defaultColWidth="11.453125" defaultRowHeight="12.5"/>
  <cols>
    <col min="1" max="1" width="38.36328125" style="251" customWidth="1"/>
    <col min="2" max="2" width="11.453125" style="251"/>
    <col min="3" max="5" width="10.36328125" style="251" customWidth="1"/>
    <col min="6" max="16384" width="11.453125" style="251"/>
  </cols>
  <sheetData>
    <row r="1" spans="1:18" customFormat="1"/>
    <row r="2" spans="1:18" customFormat="1"/>
    <row r="3" spans="1:18" customFormat="1"/>
    <row r="4" spans="1:18" customFormat="1"/>
    <row r="5" spans="1:18" customFormat="1"/>
    <row r="6" spans="1:18" customFormat="1"/>
    <row r="7" spans="1:18" customFormat="1"/>
    <row r="8" spans="1:18" s="43" customFormat="1" ht="25.5" customHeight="1">
      <c r="A8" s="235" t="str">
        <f>RG!D17</f>
        <v>Jhon Wesly inc.</v>
      </c>
      <c r="D8" s="236"/>
      <c r="E8" s="236"/>
      <c r="F8" s="236"/>
      <c r="G8" s="236"/>
      <c r="H8" s="236"/>
      <c r="I8" s="236"/>
      <c r="J8" s="236"/>
      <c r="K8" s="236"/>
      <c r="L8" s="236"/>
      <c r="M8" s="236"/>
      <c r="N8" s="236"/>
      <c r="O8" s="236"/>
      <c r="P8" s="236"/>
      <c r="Q8" s="236"/>
      <c r="R8" s="236"/>
    </row>
    <row r="9" spans="1:18" s="43" customFormat="1" ht="12.75" customHeight="1">
      <c r="C9" s="42"/>
      <c r="D9" s="236"/>
      <c r="E9" s="236"/>
      <c r="F9" s="236"/>
      <c r="G9" s="236"/>
      <c r="H9" s="236"/>
      <c r="I9" s="236"/>
      <c r="J9" s="236"/>
      <c r="K9" s="236"/>
      <c r="L9" s="236"/>
      <c r="M9" s="236"/>
      <c r="N9" s="236"/>
      <c r="O9" s="236"/>
      <c r="P9" s="236"/>
      <c r="Q9" s="236"/>
      <c r="R9" s="236"/>
    </row>
    <row r="10" spans="1:18" s="43" customFormat="1" ht="15" customHeight="1">
      <c r="B10" s="746"/>
      <c r="C10" s="746"/>
      <c r="D10" s="746"/>
      <c r="G10" s="72"/>
      <c r="H10" s="65"/>
      <c r="I10" s="65"/>
      <c r="J10" s="65"/>
      <c r="K10" s="65"/>
      <c r="L10" s="65"/>
      <c r="M10" s="65"/>
      <c r="N10" s="65"/>
      <c r="O10" s="65"/>
      <c r="P10" s="65"/>
      <c r="Q10" s="65"/>
      <c r="R10" s="65"/>
    </row>
    <row r="11" spans="1:18" s="43" customFormat="1" ht="15.75" customHeight="1" thickBot="1">
      <c r="C11" s="72"/>
      <c r="D11" s="237"/>
      <c r="E11" s="237"/>
      <c r="F11" s="65"/>
      <c r="G11" s="72"/>
      <c r="H11" s="65"/>
      <c r="I11" s="65"/>
      <c r="J11" s="65"/>
      <c r="K11" s="65"/>
      <c r="L11" s="65"/>
      <c r="M11" s="65"/>
      <c r="N11" s="65"/>
      <c r="O11" s="65"/>
      <c r="P11" s="65"/>
      <c r="Q11" s="65"/>
      <c r="R11" s="65"/>
    </row>
    <row r="12" spans="1:18" s="43" customFormat="1" ht="15.5" thickBot="1">
      <c r="A12" s="839" t="s">
        <v>28</v>
      </c>
      <c r="B12" s="840"/>
      <c r="C12" s="841"/>
      <c r="D12" s="842"/>
      <c r="E12" s="843"/>
      <c r="F12" s="837">
        <f>'V2'!F12+366</f>
        <v>46024</v>
      </c>
      <c r="G12" s="837">
        <f t="shared" ref="G12:Q12" si="0">F12+31</f>
        <v>46055</v>
      </c>
      <c r="H12" s="837">
        <f t="shared" si="0"/>
        <v>46086</v>
      </c>
      <c r="I12" s="837">
        <f t="shared" si="0"/>
        <v>46117</v>
      </c>
      <c r="J12" s="837">
        <f t="shared" si="0"/>
        <v>46148</v>
      </c>
      <c r="K12" s="837">
        <f t="shared" si="0"/>
        <v>46179</v>
      </c>
      <c r="L12" s="837">
        <f t="shared" si="0"/>
        <v>46210</v>
      </c>
      <c r="M12" s="837">
        <f t="shared" si="0"/>
        <v>46241</v>
      </c>
      <c r="N12" s="837">
        <f t="shared" si="0"/>
        <v>46272</v>
      </c>
      <c r="O12" s="837">
        <f t="shared" si="0"/>
        <v>46303</v>
      </c>
      <c r="P12" s="837">
        <f t="shared" si="0"/>
        <v>46334</v>
      </c>
      <c r="Q12" s="837">
        <f t="shared" si="0"/>
        <v>46365</v>
      </c>
      <c r="R12" s="838" t="s">
        <v>489</v>
      </c>
    </row>
    <row r="13" spans="1:18" s="43" customFormat="1" ht="13.5" thickBot="1">
      <c r="C13" s="116"/>
      <c r="D13" s="237"/>
      <c r="E13" s="237"/>
      <c r="F13" s="253"/>
      <c r="G13" s="253"/>
      <c r="H13" s="253"/>
      <c r="I13" s="253"/>
      <c r="J13" s="253"/>
      <c r="K13" s="253"/>
      <c r="L13" s="253"/>
      <c r="M13" s="253"/>
      <c r="N13" s="253"/>
      <c r="O13" s="253"/>
      <c r="P13" s="253"/>
      <c r="Q13" s="253"/>
      <c r="R13" s="107"/>
    </row>
    <row r="14" spans="1:18" s="43" customFormat="1" ht="15.75" customHeight="1" thickBot="1">
      <c r="A14" s="900" t="s">
        <v>315</v>
      </c>
      <c r="B14" s="901"/>
      <c r="C14" s="898"/>
      <c r="D14" s="902"/>
      <c r="E14" s="903"/>
      <c r="F14" s="848">
        <v>0.05</v>
      </c>
      <c r="G14" s="1181" t="str">
        <f>A16</f>
        <v>Produit/service 1</v>
      </c>
      <c r="H14" s="1182"/>
      <c r="I14" s="1182"/>
      <c r="J14" s="1182"/>
      <c r="K14" s="1182"/>
      <c r="L14" s="1182"/>
      <c r="M14" s="1182"/>
      <c r="N14" s="1182"/>
      <c r="O14" s="1182"/>
      <c r="P14" s="1182"/>
      <c r="Q14" s="1182"/>
      <c r="R14" s="1182"/>
    </row>
    <row r="15" spans="1:18" s="43" customFormat="1" ht="15.75" customHeight="1">
      <c r="B15" s="739" t="s">
        <v>328</v>
      </c>
      <c r="C15" s="739" t="s">
        <v>329</v>
      </c>
      <c r="D15" s="739" t="s">
        <v>448</v>
      </c>
      <c r="E15" s="739" t="s">
        <v>330</v>
      </c>
      <c r="F15" s="741"/>
    </row>
    <row r="16" spans="1:18" s="43" customFormat="1" ht="15.75" customHeight="1">
      <c r="A16" s="906" t="str">
        <f>'V2'!A16</f>
        <v>Produit/service 1</v>
      </c>
      <c r="B16" s="742">
        <f>'V2'!B16</f>
        <v>1</v>
      </c>
      <c r="C16" s="742">
        <f>'V2'!C16</f>
        <v>0</v>
      </c>
      <c r="D16" s="742">
        <f>'V2'!D16</f>
        <v>0</v>
      </c>
      <c r="E16" s="742">
        <f>'V2'!E16</f>
        <v>0</v>
      </c>
      <c r="F16" s="740" t="str">
        <f>IF(SUM(B16:E16)=100%,"","&gt; 100 % &lt;")</f>
        <v/>
      </c>
    </row>
    <row r="17" spans="1:18" s="43" customFormat="1" ht="16.5" hidden="1" customHeight="1">
      <c r="A17" s="241"/>
      <c r="F17" s="743">
        <f t="shared" ref="F17:Q17" si="1">F26*$B$16</f>
        <v>826.875</v>
      </c>
      <c r="G17" s="743">
        <f t="shared" si="1"/>
        <v>854.43750000000011</v>
      </c>
      <c r="H17" s="743">
        <f t="shared" si="1"/>
        <v>882</v>
      </c>
      <c r="I17" s="743">
        <f t="shared" si="1"/>
        <v>909.5625</v>
      </c>
      <c r="J17" s="743">
        <f t="shared" si="1"/>
        <v>937.125</v>
      </c>
      <c r="K17" s="743">
        <f t="shared" si="1"/>
        <v>964.6875</v>
      </c>
      <c r="L17" s="743">
        <f t="shared" si="1"/>
        <v>992.25000000000011</v>
      </c>
      <c r="M17" s="743">
        <f t="shared" si="1"/>
        <v>1019.8125</v>
      </c>
      <c r="N17" s="743">
        <f t="shared" si="1"/>
        <v>1047.375</v>
      </c>
      <c r="O17" s="743">
        <f t="shared" si="1"/>
        <v>1074.9375</v>
      </c>
      <c r="P17" s="743">
        <f t="shared" si="1"/>
        <v>1102.5</v>
      </c>
      <c r="Q17" s="743">
        <f t="shared" si="1"/>
        <v>1130.0625</v>
      </c>
    </row>
    <row r="18" spans="1:18" s="43" customFormat="1" ht="16.5" hidden="1" customHeight="1">
      <c r="F18" s="744">
        <f>'V2'!Q26*'V2'!$C$16</f>
        <v>0</v>
      </c>
      <c r="G18" s="743">
        <f t="shared" ref="G18:Q18" si="2">F26*$C$16</f>
        <v>0</v>
      </c>
      <c r="H18" s="743">
        <f t="shared" si="2"/>
        <v>0</v>
      </c>
      <c r="I18" s="743">
        <f t="shared" si="2"/>
        <v>0</v>
      </c>
      <c r="J18" s="743">
        <f t="shared" si="2"/>
        <v>0</v>
      </c>
      <c r="K18" s="743">
        <f t="shared" si="2"/>
        <v>0</v>
      </c>
      <c r="L18" s="743">
        <f t="shared" si="2"/>
        <v>0</v>
      </c>
      <c r="M18" s="743">
        <f t="shared" si="2"/>
        <v>0</v>
      </c>
      <c r="N18" s="743">
        <f t="shared" si="2"/>
        <v>0</v>
      </c>
      <c r="O18" s="743">
        <f t="shared" si="2"/>
        <v>0</v>
      </c>
      <c r="P18" s="743">
        <f t="shared" si="2"/>
        <v>0</v>
      </c>
      <c r="Q18" s="743">
        <f t="shared" si="2"/>
        <v>0</v>
      </c>
    </row>
    <row r="19" spans="1:18" s="43" customFormat="1" ht="13" hidden="1">
      <c r="A19" s="241"/>
      <c r="B19" s="739"/>
      <c r="C19" s="239"/>
      <c r="E19" s="239"/>
      <c r="F19" s="744">
        <f>'V2'!P26*'V2'!$D$16</f>
        <v>0</v>
      </c>
      <c r="G19" s="744">
        <f>'V2'!Q26*'V2'!$D$16</f>
        <v>0</v>
      </c>
      <c r="H19" s="743">
        <f t="shared" ref="H19:Q19" si="3">F26*$D$16</f>
        <v>0</v>
      </c>
      <c r="I19" s="743">
        <f t="shared" si="3"/>
        <v>0</v>
      </c>
      <c r="J19" s="743">
        <f t="shared" si="3"/>
        <v>0</v>
      </c>
      <c r="K19" s="743">
        <f t="shared" si="3"/>
        <v>0</v>
      </c>
      <c r="L19" s="743">
        <f t="shared" si="3"/>
        <v>0</v>
      </c>
      <c r="M19" s="743">
        <f t="shared" si="3"/>
        <v>0</v>
      </c>
      <c r="N19" s="743">
        <f t="shared" si="3"/>
        <v>0</v>
      </c>
      <c r="O19" s="743">
        <f t="shared" si="3"/>
        <v>0</v>
      </c>
      <c r="P19" s="743">
        <f t="shared" si="3"/>
        <v>0</v>
      </c>
      <c r="Q19" s="743">
        <f t="shared" si="3"/>
        <v>0</v>
      </c>
    </row>
    <row r="20" spans="1:18" s="43" customFormat="1" ht="13" hidden="1">
      <c r="A20" s="241"/>
      <c r="B20" s="739"/>
      <c r="C20" s="239"/>
      <c r="E20" s="239"/>
      <c r="F20" s="744">
        <f>'V2'!O26*'V2'!$E$16</f>
        <v>0</v>
      </c>
      <c r="G20" s="744">
        <f>'V2'!P26*'V2'!$E$16</f>
        <v>0</v>
      </c>
      <c r="H20" s="744">
        <f>'V2'!Q26*'V2'!$E$16</f>
        <v>0</v>
      </c>
      <c r="I20" s="743">
        <f t="shared" ref="I20:Q20" si="4">F26*$E$16</f>
        <v>0</v>
      </c>
      <c r="J20" s="743">
        <f t="shared" si="4"/>
        <v>0</v>
      </c>
      <c r="K20" s="743">
        <f t="shared" si="4"/>
        <v>0</v>
      </c>
      <c r="L20" s="743">
        <f t="shared" si="4"/>
        <v>0</v>
      </c>
      <c r="M20" s="743">
        <f t="shared" si="4"/>
        <v>0</v>
      </c>
      <c r="N20" s="743">
        <f t="shared" si="4"/>
        <v>0</v>
      </c>
      <c r="O20" s="743">
        <f t="shared" si="4"/>
        <v>0</v>
      </c>
      <c r="P20" s="743">
        <f t="shared" si="4"/>
        <v>0</v>
      </c>
      <c r="Q20" s="743">
        <f t="shared" si="4"/>
        <v>0</v>
      </c>
    </row>
    <row r="21" spans="1:18" s="43" customFormat="1" ht="13" hidden="1">
      <c r="A21" s="241"/>
      <c r="D21" s="65"/>
      <c r="F21" s="483"/>
      <c r="G21" s="483"/>
      <c r="H21" s="483"/>
      <c r="I21" s="483"/>
      <c r="J21" s="483"/>
      <c r="K21" s="483"/>
      <c r="L21" s="483"/>
      <c r="M21" s="483"/>
      <c r="N21" s="483"/>
      <c r="O21" s="483"/>
      <c r="P21" s="483"/>
      <c r="Q21" s="483"/>
    </row>
    <row r="22" spans="1:18" s="43" customFormat="1" ht="13" hidden="1">
      <c r="A22" s="241"/>
      <c r="F22" s="745">
        <f t="shared" ref="F22:Q22" si="5">SUM(F17:F20)</f>
        <v>826.875</v>
      </c>
      <c r="G22" s="745">
        <f t="shared" si="5"/>
        <v>854.43750000000011</v>
      </c>
      <c r="H22" s="745">
        <f t="shared" si="5"/>
        <v>882</v>
      </c>
      <c r="I22" s="745">
        <f t="shared" si="5"/>
        <v>909.5625</v>
      </c>
      <c r="J22" s="745">
        <f t="shared" si="5"/>
        <v>937.125</v>
      </c>
      <c r="K22" s="745">
        <f t="shared" si="5"/>
        <v>964.6875</v>
      </c>
      <c r="L22" s="745">
        <f t="shared" si="5"/>
        <v>992.25000000000011</v>
      </c>
      <c r="M22" s="745">
        <f t="shared" si="5"/>
        <v>1019.8125</v>
      </c>
      <c r="N22" s="745">
        <f t="shared" si="5"/>
        <v>1047.375</v>
      </c>
      <c r="O22" s="745">
        <f t="shared" si="5"/>
        <v>1074.9375</v>
      </c>
      <c r="P22" s="745">
        <f t="shared" si="5"/>
        <v>1102.5</v>
      </c>
      <c r="Q22" s="745">
        <f t="shared" si="5"/>
        <v>1130.0625</v>
      </c>
      <c r="R22" s="240"/>
    </row>
    <row r="23" spans="1:18" s="43" customFormat="1" ht="13">
      <c r="C23" s="241"/>
      <c r="D23" s="243"/>
      <c r="E23" s="243"/>
      <c r="F23" s="237"/>
      <c r="G23" s="237"/>
      <c r="H23" s="237"/>
      <c r="I23" s="237"/>
      <c r="J23" s="237"/>
      <c r="K23" s="237"/>
      <c r="L23" s="237"/>
      <c r="M23" s="237"/>
      <c r="N23" s="237"/>
      <c r="O23" s="237"/>
      <c r="P23" s="237"/>
      <c r="Q23" s="237"/>
      <c r="R23" s="240"/>
    </row>
    <row r="24" spans="1:18" s="43" customFormat="1" ht="13.5" thickBot="1">
      <c r="C24" s="48" t="s">
        <v>490</v>
      </c>
      <c r="D24" s="407">
        <f>'V2'!D24</f>
        <v>5</v>
      </c>
      <c r="E24" s="849"/>
      <c r="R24" s="238"/>
    </row>
    <row r="25" spans="1:18" s="43" customFormat="1" ht="13.5" thickBot="1">
      <c r="C25" s="48" t="s">
        <v>389</v>
      </c>
      <c r="D25" s="254"/>
      <c r="E25" s="254"/>
      <c r="F25" s="408">
        <f>(1+$F14)*'V2'!F25</f>
        <v>165.375</v>
      </c>
      <c r="G25" s="408">
        <f>(1+$F14)*'V2'!G25</f>
        <v>170.88750000000002</v>
      </c>
      <c r="H25" s="408">
        <f>(1+$F14)*'V2'!H25</f>
        <v>176.4</v>
      </c>
      <c r="I25" s="408">
        <f>(1+$F14)*'V2'!I25</f>
        <v>181.91249999999999</v>
      </c>
      <c r="J25" s="408">
        <f>(1+$F14)*'V2'!J25</f>
        <v>187.42500000000001</v>
      </c>
      <c r="K25" s="408">
        <f>(1+$F14)*'V2'!K25</f>
        <v>192.9375</v>
      </c>
      <c r="L25" s="408">
        <f>(1+$F14)*'V2'!L25</f>
        <v>198.45000000000002</v>
      </c>
      <c r="M25" s="408">
        <f>(1+$F14)*'V2'!M25</f>
        <v>203.96250000000001</v>
      </c>
      <c r="N25" s="408">
        <f>(1+$F14)*'V2'!N25</f>
        <v>209.47500000000002</v>
      </c>
      <c r="O25" s="408">
        <f>(1+$F14)*'V2'!O25</f>
        <v>214.98750000000001</v>
      </c>
      <c r="P25" s="408">
        <f>(1+$F14)*'V2'!P25</f>
        <v>220.5</v>
      </c>
      <c r="Q25" s="408">
        <f>(1+$F14)*'V2'!Q25</f>
        <v>226.01250000000002</v>
      </c>
      <c r="R25" s="73">
        <f>SUM(F25:Q25)</f>
        <v>2348.3249999999998</v>
      </c>
    </row>
    <row r="26" spans="1:18" s="43" customFormat="1" ht="13.5" thickBot="1">
      <c r="C26" s="48" t="s">
        <v>491</v>
      </c>
      <c r="D26" s="246"/>
      <c r="E26" s="246"/>
      <c r="F26" s="247">
        <f t="shared" ref="F26:Q26" si="6">F25*$D24</f>
        <v>826.875</v>
      </c>
      <c r="G26" s="247">
        <f t="shared" si="6"/>
        <v>854.43750000000011</v>
      </c>
      <c r="H26" s="247">
        <f t="shared" si="6"/>
        <v>882</v>
      </c>
      <c r="I26" s="247">
        <f t="shared" si="6"/>
        <v>909.5625</v>
      </c>
      <c r="J26" s="247">
        <f t="shared" si="6"/>
        <v>937.125</v>
      </c>
      <c r="K26" s="247">
        <f t="shared" si="6"/>
        <v>964.6875</v>
      </c>
      <c r="L26" s="247">
        <f t="shared" si="6"/>
        <v>992.25000000000011</v>
      </c>
      <c r="M26" s="247">
        <f t="shared" si="6"/>
        <v>1019.8125</v>
      </c>
      <c r="N26" s="247">
        <f t="shared" si="6"/>
        <v>1047.375</v>
      </c>
      <c r="O26" s="247">
        <f t="shared" si="6"/>
        <v>1074.9375</v>
      </c>
      <c r="P26" s="247">
        <f t="shared" si="6"/>
        <v>1102.5</v>
      </c>
      <c r="Q26" s="248">
        <f t="shared" si="6"/>
        <v>1130.0625</v>
      </c>
      <c r="R26" s="73">
        <f>SUM(F26:Q26)</f>
        <v>11741.625</v>
      </c>
    </row>
    <row r="27" spans="1:18" s="43" customFormat="1" ht="13.5" thickBot="1">
      <c r="C27" s="48"/>
      <c r="D27" s="246"/>
      <c r="E27" s="246"/>
      <c r="F27" s="249"/>
      <c r="G27" s="249"/>
      <c r="H27" s="249"/>
      <c r="I27" s="249"/>
      <c r="J27" s="249"/>
      <c r="K27" s="249"/>
      <c r="L27" s="249"/>
      <c r="M27" s="249"/>
      <c r="N27" s="249"/>
      <c r="O27" s="249"/>
      <c r="P27" s="249"/>
      <c r="Q27" s="249"/>
      <c r="R27" s="249"/>
    </row>
    <row r="28" spans="1:18" s="43" customFormat="1" ht="13.5" thickBot="1">
      <c r="A28" s="900" t="s">
        <v>315</v>
      </c>
      <c r="B28" s="901"/>
      <c r="C28" s="898"/>
      <c r="D28" s="902"/>
      <c r="E28" s="903"/>
      <c r="F28" s="848">
        <v>0.05</v>
      </c>
      <c r="G28" s="1181" t="str">
        <f>A30</f>
        <v>Produit/service 2</v>
      </c>
      <c r="H28" s="1182"/>
      <c r="I28" s="1182"/>
      <c r="J28" s="1182"/>
      <c r="K28" s="1182"/>
      <c r="L28" s="1182"/>
      <c r="M28" s="1182"/>
      <c r="N28" s="1182"/>
      <c r="O28" s="1182"/>
      <c r="P28" s="1182"/>
      <c r="Q28" s="1182"/>
      <c r="R28" s="1182"/>
    </row>
    <row r="29" spans="1:18" s="43" customFormat="1" ht="13">
      <c r="B29" s="739" t="s">
        <v>328</v>
      </c>
      <c r="C29" s="739" t="s">
        <v>329</v>
      </c>
      <c r="D29" s="739" t="s">
        <v>448</v>
      </c>
      <c r="E29" s="739" t="s">
        <v>330</v>
      </c>
      <c r="F29" s="741"/>
      <c r="R29" s="249"/>
    </row>
    <row r="30" spans="1:18" s="43" customFormat="1" ht="13">
      <c r="A30" s="906" t="str">
        <f>'V2'!A30</f>
        <v>Produit/service 2</v>
      </c>
      <c r="B30" s="742">
        <f>'V2'!B30</f>
        <v>1</v>
      </c>
      <c r="C30" s="742">
        <f>'V2'!C30</f>
        <v>0</v>
      </c>
      <c r="D30" s="742">
        <f>'V2'!D30</f>
        <v>0</v>
      </c>
      <c r="E30" s="742">
        <f>'V2'!E30</f>
        <v>0</v>
      </c>
      <c r="F30" s="740" t="str">
        <f>IF(SUM(B30:E30)=100%,"","&gt; 100 % &lt;")</f>
        <v/>
      </c>
      <c r="R30" s="249"/>
    </row>
    <row r="31" spans="1:18" s="43" customFormat="1" ht="16.5" hidden="1" customHeight="1">
      <c r="F31" s="743">
        <f t="shared" ref="F31:Q31" si="7">F40*$B$30</f>
        <v>1102.5</v>
      </c>
      <c r="G31" s="743">
        <f t="shared" si="7"/>
        <v>1157.625</v>
      </c>
      <c r="H31" s="743">
        <f t="shared" si="7"/>
        <v>1212.75</v>
      </c>
      <c r="I31" s="743">
        <f t="shared" si="7"/>
        <v>1267.875</v>
      </c>
      <c r="J31" s="743">
        <f t="shared" si="7"/>
        <v>1323</v>
      </c>
      <c r="K31" s="743">
        <f t="shared" si="7"/>
        <v>1378.125</v>
      </c>
      <c r="L31" s="743">
        <f t="shared" si="7"/>
        <v>1433.2500000000002</v>
      </c>
      <c r="M31" s="743">
        <f t="shared" si="7"/>
        <v>1488.375</v>
      </c>
      <c r="N31" s="743">
        <f t="shared" si="7"/>
        <v>1543.5</v>
      </c>
      <c r="O31" s="743">
        <f t="shared" si="7"/>
        <v>1598.625</v>
      </c>
      <c r="P31" s="743">
        <f t="shared" si="7"/>
        <v>1653.75</v>
      </c>
      <c r="Q31" s="743">
        <f t="shared" si="7"/>
        <v>1708.8750000000002</v>
      </c>
    </row>
    <row r="32" spans="1:18" s="43" customFormat="1" ht="16.5" hidden="1" customHeight="1">
      <c r="A32" s="241"/>
      <c r="C32" s="239"/>
      <c r="E32" s="239"/>
      <c r="F32" s="744">
        <f>'V2'!Q40*'V2'!$C$30</f>
        <v>0</v>
      </c>
      <c r="G32" s="743">
        <f t="shared" ref="G32:Q32" si="8">F40*$C$30</f>
        <v>0</v>
      </c>
      <c r="H32" s="743">
        <f t="shared" si="8"/>
        <v>0</v>
      </c>
      <c r="I32" s="743">
        <f t="shared" si="8"/>
        <v>0</v>
      </c>
      <c r="J32" s="743">
        <f t="shared" si="8"/>
        <v>0</v>
      </c>
      <c r="K32" s="743">
        <f t="shared" si="8"/>
        <v>0</v>
      </c>
      <c r="L32" s="743">
        <f t="shared" si="8"/>
        <v>0</v>
      </c>
      <c r="M32" s="743">
        <f t="shared" si="8"/>
        <v>0</v>
      </c>
      <c r="N32" s="743">
        <f t="shared" si="8"/>
        <v>0</v>
      </c>
      <c r="O32" s="743">
        <f t="shared" si="8"/>
        <v>0</v>
      </c>
      <c r="P32" s="743">
        <f t="shared" si="8"/>
        <v>0</v>
      </c>
      <c r="Q32" s="743">
        <f t="shared" si="8"/>
        <v>0</v>
      </c>
    </row>
    <row r="33" spans="1:18" s="43" customFormat="1" ht="13" hidden="1">
      <c r="A33" s="241"/>
      <c r="C33" s="239"/>
      <c r="E33" s="239"/>
      <c r="F33" s="744">
        <f>'V2'!P40*'V2'!$D$30</f>
        <v>0</v>
      </c>
      <c r="G33" s="744">
        <f>'V2'!Q40*'V2'!$D$30</f>
        <v>0</v>
      </c>
      <c r="H33" s="743">
        <f t="shared" ref="H33:Q33" si="9">F40*$D$30</f>
        <v>0</v>
      </c>
      <c r="I33" s="743">
        <f t="shared" si="9"/>
        <v>0</v>
      </c>
      <c r="J33" s="743">
        <f t="shared" si="9"/>
        <v>0</v>
      </c>
      <c r="K33" s="743">
        <f t="shared" si="9"/>
        <v>0</v>
      </c>
      <c r="L33" s="743">
        <f t="shared" si="9"/>
        <v>0</v>
      </c>
      <c r="M33" s="743">
        <f t="shared" si="9"/>
        <v>0</v>
      </c>
      <c r="N33" s="743">
        <f t="shared" si="9"/>
        <v>0</v>
      </c>
      <c r="O33" s="743">
        <f t="shared" si="9"/>
        <v>0</v>
      </c>
      <c r="P33" s="743">
        <f t="shared" si="9"/>
        <v>0</v>
      </c>
      <c r="Q33" s="743">
        <f t="shared" si="9"/>
        <v>0</v>
      </c>
    </row>
    <row r="34" spans="1:18" s="43" customFormat="1" ht="13" hidden="1">
      <c r="A34" s="241"/>
      <c r="C34" s="239"/>
      <c r="E34" s="239"/>
      <c r="F34" s="744">
        <f>'V2'!O40*'V2'!$E$30</f>
        <v>0</v>
      </c>
      <c r="G34" s="744">
        <f>'V2'!P40*'V2'!$E$30</f>
        <v>0</v>
      </c>
      <c r="H34" s="744">
        <f>'V2'!Q40*'V2'!$E$30</f>
        <v>0</v>
      </c>
      <c r="I34" s="743">
        <f t="shared" ref="I34:Q34" si="10">F40*$E$30</f>
        <v>0</v>
      </c>
      <c r="J34" s="743">
        <f t="shared" si="10"/>
        <v>0</v>
      </c>
      <c r="K34" s="743">
        <f t="shared" si="10"/>
        <v>0</v>
      </c>
      <c r="L34" s="743">
        <f t="shared" si="10"/>
        <v>0</v>
      </c>
      <c r="M34" s="743">
        <f t="shared" si="10"/>
        <v>0</v>
      </c>
      <c r="N34" s="743">
        <f t="shared" si="10"/>
        <v>0</v>
      </c>
      <c r="O34" s="743">
        <f t="shared" si="10"/>
        <v>0</v>
      </c>
      <c r="P34" s="743">
        <f t="shared" si="10"/>
        <v>0</v>
      </c>
      <c r="Q34" s="743">
        <f t="shared" si="10"/>
        <v>0</v>
      </c>
    </row>
    <row r="35" spans="1:18" s="43" customFormat="1" ht="13" hidden="1">
      <c r="A35" s="241"/>
      <c r="D35" s="65"/>
      <c r="F35" s="483"/>
      <c r="G35" s="483"/>
      <c r="H35" s="483"/>
      <c r="I35" s="483"/>
      <c r="J35" s="483"/>
      <c r="K35" s="483"/>
      <c r="L35" s="483"/>
      <c r="M35" s="483"/>
      <c r="N35" s="483"/>
      <c r="O35" s="483"/>
      <c r="P35" s="483"/>
      <c r="Q35" s="483"/>
    </row>
    <row r="36" spans="1:18" s="43" customFormat="1" ht="13" hidden="1">
      <c r="A36" s="241"/>
      <c r="F36" s="745">
        <f t="shared" ref="F36:Q36" si="11">SUM(F31:F34)</f>
        <v>1102.5</v>
      </c>
      <c r="G36" s="745">
        <f t="shared" si="11"/>
        <v>1157.625</v>
      </c>
      <c r="H36" s="745">
        <f t="shared" si="11"/>
        <v>1212.75</v>
      </c>
      <c r="I36" s="745">
        <f t="shared" si="11"/>
        <v>1267.875</v>
      </c>
      <c r="J36" s="745">
        <f t="shared" si="11"/>
        <v>1323</v>
      </c>
      <c r="K36" s="745">
        <f t="shared" si="11"/>
        <v>1378.125</v>
      </c>
      <c r="L36" s="745">
        <f t="shared" si="11"/>
        <v>1433.2500000000002</v>
      </c>
      <c r="M36" s="745">
        <f t="shared" si="11"/>
        <v>1488.375</v>
      </c>
      <c r="N36" s="745">
        <f t="shared" si="11"/>
        <v>1543.5</v>
      </c>
      <c r="O36" s="745">
        <f t="shared" si="11"/>
        <v>1598.625</v>
      </c>
      <c r="P36" s="745">
        <f t="shared" si="11"/>
        <v>1653.75</v>
      </c>
      <c r="Q36" s="745">
        <f t="shared" si="11"/>
        <v>1708.8750000000002</v>
      </c>
      <c r="R36" s="240"/>
    </row>
    <row r="37" spans="1:18" s="43" customFormat="1" ht="13">
      <c r="C37" s="241"/>
      <c r="D37" s="243"/>
      <c r="E37" s="243"/>
      <c r="F37" s="237"/>
      <c r="G37" s="237"/>
      <c r="H37" s="237"/>
      <c r="I37" s="237"/>
      <c r="J37" s="237"/>
      <c r="K37" s="237"/>
      <c r="L37" s="237"/>
      <c r="M37" s="237"/>
      <c r="N37" s="237"/>
      <c r="O37" s="237"/>
      <c r="P37" s="237"/>
      <c r="Q37" s="237"/>
      <c r="R37" s="240"/>
    </row>
    <row r="38" spans="1:18" s="43" customFormat="1" ht="12.75" customHeight="1" thickBot="1">
      <c r="C38" s="48" t="s">
        <v>490</v>
      </c>
      <c r="D38" s="407">
        <f>'V2'!D38</f>
        <v>10</v>
      </c>
      <c r="E38" s="849"/>
      <c r="R38" s="249"/>
    </row>
    <row r="39" spans="1:18" s="43" customFormat="1" ht="13.5" thickBot="1">
      <c r="C39" s="48" t="s">
        <v>389</v>
      </c>
      <c r="D39" s="246"/>
      <c r="E39" s="246"/>
      <c r="F39" s="408">
        <f>(1+$F28)*'V2'!F39</f>
        <v>110.25</v>
      </c>
      <c r="G39" s="408">
        <f>(1+$F28)*'V2'!G39</f>
        <v>115.7625</v>
      </c>
      <c r="H39" s="408">
        <f>(1+$F28)*'V2'!H39</f>
        <v>121.27500000000001</v>
      </c>
      <c r="I39" s="408">
        <f>(1+$F28)*'V2'!I39</f>
        <v>126.78750000000001</v>
      </c>
      <c r="J39" s="408">
        <f>(1+$F28)*'V2'!J39</f>
        <v>132.30000000000001</v>
      </c>
      <c r="K39" s="408">
        <f>(1+$F28)*'V2'!K39</f>
        <v>137.8125</v>
      </c>
      <c r="L39" s="408">
        <f>(1+$F28)*'V2'!L39</f>
        <v>143.32500000000002</v>
      </c>
      <c r="M39" s="408">
        <f>(1+$F28)*'V2'!M39</f>
        <v>148.83750000000001</v>
      </c>
      <c r="N39" s="408">
        <f>(1+$F28)*'V2'!N39</f>
        <v>154.35</v>
      </c>
      <c r="O39" s="408">
        <f>(1+$F28)*'V2'!O39</f>
        <v>159.86250000000001</v>
      </c>
      <c r="P39" s="408">
        <f>(1+$F28)*'V2'!P39</f>
        <v>165.375</v>
      </c>
      <c r="Q39" s="408">
        <f>(1+$F28)*'V2'!Q39</f>
        <v>170.88750000000002</v>
      </c>
      <c r="R39" s="73">
        <f>SUM(F39:Q39)</f>
        <v>1686.825</v>
      </c>
    </row>
    <row r="40" spans="1:18" s="43" customFormat="1" ht="13.5" thickBot="1">
      <c r="C40" s="48" t="s">
        <v>491</v>
      </c>
      <c r="D40" s="246"/>
      <c r="E40" s="246"/>
      <c r="F40" s="247">
        <f t="shared" ref="F40:Q40" si="12">F39*$D38</f>
        <v>1102.5</v>
      </c>
      <c r="G40" s="247">
        <f t="shared" si="12"/>
        <v>1157.625</v>
      </c>
      <c r="H40" s="247">
        <f t="shared" si="12"/>
        <v>1212.75</v>
      </c>
      <c r="I40" s="247">
        <f t="shared" si="12"/>
        <v>1267.875</v>
      </c>
      <c r="J40" s="247">
        <f t="shared" si="12"/>
        <v>1323</v>
      </c>
      <c r="K40" s="247">
        <f t="shared" si="12"/>
        <v>1378.125</v>
      </c>
      <c r="L40" s="247">
        <f t="shared" si="12"/>
        <v>1433.2500000000002</v>
      </c>
      <c r="M40" s="247">
        <f t="shared" si="12"/>
        <v>1488.375</v>
      </c>
      <c r="N40" s="247">
        <f t="shared" si="12"/>
        <v>1543.5</v>
      </c>
      <c r="O40" s="247">
        <f t="shared" si="12"/>
        <v>1598.625</v>
      </c>
      <c r="P40" s="247">
        <f t="shared" si="12"/>
        <v>1653.75</v>
      </c>
      <c r="Q40" s="248">
        <f t="shared" si="12"/>
        <v>1708.8750000000002</v>
      </c>
      <c r="R40" s="73">
        <f>SUM(F40:Q40)</f>
        <v>16868.25</v>
      </c>
    </row>
    <row r="41" spans="1:18" s="43" customFormat="1" ht="13.5" thickBot="1">
      <c r="C41" s="48"/>
      <c r="D41" s="246"/>
      <c r="E41" s="246"/>
      <c r="F41" s="249"/>
      <c r="G41" s="249"/>
      <c r="H41" s="249"/>
      <c r="I41" s="249"/>
      <c r="J41" s="249"/>
      <c r="K41" s="249"/>
      <c r="L41" s="249"/>
      <c r="M41" s="249"/>
      <c r="N41" s="249"/>
      <c r="O41" s="249"/>
      <c r="P41" s="249"/>
      <c r="Q41" s="249"/>
      <c r="R41" s="249"/>
    </row>
    <row r="42" spans="1:18" s="43" customFormat="1" ht="13.5" thickBot="1">
      <c r="A42" s="900" t="s">
        <v>315</v>
      </c>
      <c r="B42" s="901"/>
      <c r="C42" s="898"/>
      <c r="D42" s="902"/>
      <c r="E42" s="903"/>
      <c r="F42" s="848">
        <v>0.05</v>
      </c>
      <c r="G42" s="1181" t="str">
        <f>A44</f>
        <v>Produit/service 3</v>
      </c>
      <c r="H42" s="1182"/>
      <c r="I42" s="1182"/>
      <c r="J42" s="1182"/>
      <c r="K42" s="1182"/>
      <c r="L42" s="1182"/>
      <c r="M42" s="1182"/>
      <c r="N42" s="1182"/>
      <c r="O42" s="1182"/>
      <c r="P42" s="1182"/>
      <c r="Q42" s="1182"/>
      <c r="R42" s="1182"/>
    </row>
    <row r="43" spans="1:18" s="43" customFormat="1" ht="13">
      <c r="B43" s="739" t="s">
        <v>328</v>
      </c>
      <c r="C43" s="739" t="s">
        <v>329</v>
      </c>
      <c r="D43" s="739" t="s">
        <v>448</v>
      </c>
      <c r="E43" s="739" t="s">
        <v>330</v>
      </c>
      <c r="F43" s="741"/>
      <c r="R43" s="249"/>
    </row>
    <row r="44" spans="1:18" s="43" customFormat="1" ht="13">
      <c r="A44" s="906" t="str">
        <f>'V2'!A44</f>
        <v>Produit/service 3</v>
      </c>
      <c r="B44" s="742">
        <f>'V2'!B44</f>
        <v>1</v>
      </c>
      <c r="C44" s="742">
        <f>'V2'!C44</f>
        <v>0</v>
      </c>
      <c r="D44" s="742">
        <f>'V2'!D44</f>
        <v>0</v>
      </c>
      <c r="E44" s="742">
        <f>'V2'!E44</f>
        <v>0</v>
      </c>
      <c r="F44" s="740" t="str">
        <f>IF(SUM(B44:E44)=100%,"","&gt; 100 % &lt;")</f>
        <v/>
      </c>
      <c r="R44" s="249"/>
    </row>
    <row r="45" spans="1:18" s="43" customFormat="1" ht="16.5" hidden="1" customHeight="1">
      <c r="C45" s="239"/>
      <c r="E45" s="239"/>
      <c r="F45" s="743">
        <f t="shared" ref="F45:Q45" si="13">F54*$B$44</f>
        <v>1653.75</v>
      </c>
      <c r="G45" s="743">
        <f t="shared" si="13"/>
        <v>1736.4375</v>
      </c>
      <c r="H45" s="743">
        <f t="shared" si="13"/>
        <v>1819.125</v>
      </c>
      <c r="I45" s="743">
        <f t="shared" si="13"/>
        <v>1901.8125000000002</v>
      </c>
      <c r="J45" s="743">
        <f t="shared" si="13"/>
        <v>1984.5000000000002</v>
      </c>
      <c r="K45" s="743">
        <f t="shared" si="13"/>
        <v>2067.1875</v>
      </c>
      <c r="L45" s="743">
        <f t="shared" si="13"/>
        <v>2149.8750000000005</v>
      </c>
      <c r="M45" s="743">
        <f t="shared" si="13"/>
        <v>2232.5625</v>
      </c>
      <c r="N45" s="743">
        <f t="shared" si="13"/>
        <v>2315.25</v>
      </c>
      <c r="O45" s="743">
        <f t="shared" si="13"/>
        <v>2397.9375</v>
      </c>
      <c r="P45" s="743">
        <f t="shared" si="13"/>
        <v>2480.625</v>
      </c>
      <c r="Q45" s="743">
        <f t="shared" si="13"/>
        <v>2563.3125000000005</v>
      </c>
    </row>
    <row r="46" spans="1:18" s="43" customFormat="1" ht="16.5" hidden="1" customHeight="1">
      <c r="A46" s="241"/>
      <c r="C46" s="239"/>
      <c r="E46" s="239"/>
      <c r="F46" s="744">
        <f>'V2'!Q54*'V2'!$C$44</f>
        <v>0</v>
      </c>
      <c r="G46" s="743">
        <f t="shared" ref="G46:Q46" si="14">F54*$C$44</f>
        <v>0</v>
      </c>
      <c r="H46" s="743">
        <f t="shared" si="14"/>
        <v>0</v>
      </c>
      <c r="I46" s="743">
        <f t="shared" si="14"/>
        <v>0</v>
      </c>
      <c r="J46" s="743">
        <f t="shared" si="14"/>
        <v>0</v>
      </c>
      <c r="K46" s="743">
        <f t="shared" si="14"/>
        <v>0</v>
      </c>
      <c r="L46" s="743">
        <f t="shared" si="14"/>
        <v>0</v>
      </c>
      <c r="M46" s="743">
        <f t="shared" si="14"/>
        <v>0</v>
      </c>
      <c r="N46" s="743">
        <f t="shared" si="14"/>
        <v>0</v>
      </c>
      <c r="O46" s="743">
        <f t="shared" si="14"/>
        <v>0</v>
      </c>
      <c r="P46" s="743">
        <f t="shared" si="14"/>
        <v>0</v>
      </c>
      <c r="Q46" s="743">
        <f t="shared" si="14"/>
        <v>0</v>
      </c>
    </row>
    <row r="47" spans="1:18" s="43" customFormat="1" ht="13" hidden="1">
      <c r="A47" s="241"/>
      <c r="C47" s="239"/>
      <c r="E47" s="239"/>
      <c r="F47" s="744">
        <f>'V2'!P54*'V2'!$D$44</f>
        <v>0</v>
      </c>
      <c r="G47" s="744">
        <f>'V2'!Q54*'V2'!$D$44</f>
        <v>0</v>
      </c>
      <c r="H47" s="743">
        <f t="shared" ref="H47:Q47" si="15">F54*$D$44</f>
        <v>0</v>
      </c>
      <c r="I47" s="743">
        <f t="shared" si="15"/>
        <v>0</v>
      </c>
      <c r="J47" s="743">
        <f t="shared" si="15"/>
        <v>0</v>
      </c>
      <c r="K47" s="743">
        <f t="shared" si="15"/>
        <v>0</v>
      </c>
      <c r="L47" s="743">
        <f t="shared" si="15"/>
        <v>0</v>
      </c>
      <c r="M47" s="743">
        <f t="shared" si="15"/>
        <v>0</v>
      </c>
      <c r="N47" s="743">
        <f t="shared" si="15"/>
        <v>0</v>
      </c>
      <c r="O47" s="743">
        <f t="shared" si="15"/>
        <v>0</v>
      </c>
      <c r="P47" s="743">
        <f t="shared" si="15"/>
        <v>0</v>
      </c>
      <c r="Q47" s="743">
        <f t="shared" si="15"/>
        <v>0</v>
      </c>
    </row>
    <row r="48" spans="1:18" s="43" customFormat="1" ht="13" hidden="1">
      <c r="A48" s="241"/>
      <c r="C48" s="239"/>
      <c r="E48" s="239"/>
      <c r="F48" s="744">
        <f>'V2'!O54*'V2'!$E$44</f>
        <v>0</v>
      </c>
      <c r="G48" s="744">
        <f>'V2'!P54*'V2'!$E$44</f>
        <v>0</v>
      </c>
      <c r="H48" s="744">
        <f>'V2'!Q54*'V2'!$E$44</f>
        <v>0</v>
      </c>
      <c r="I48" s="743">
        <f t="shared" ref="I48:Q48" si="16">F54*$E$44</f>
        <v>0</v>
      </c>
      <c r="J48" s="743">
        <f t="shared" si="16"/>
        <v>0</v>
      </c>
      <c r="K48" s="743">
        <f t="shared" si="16"/>
        <v>0</v>
      </c>
      <c r="L48" s="743">
        <f t="shared" si="16"/>
        <v>0</v>
      </c>
      <c r="M48" s="743">
        <f t="shared" si="16"/>
        <v>0</v>
      </c>
      <c r="N48" s="743">
        <f t="shared" si="16"/>
        <v>0</v>
      </c>
      <c r="O48" s="743">
        <f t="shared" si="16"/>
        <v>0</v>
      </c>
      <c r="P48" s="743">
        <f t="shared" si="16"/>
        <v>0</v>
      </c>
      <c r="Q48" s="743">
        <f t="shared" si="16"/>
        <v>0</v>
      </c>
    </row>
    <row r="49" spans="1:18" s="43" customFormat="1" ht="13" hidden="1">
      <c r="A49" s="241"/>
      <c r="D49" s="65"/>
      <c r="F49" s="483"/>
      <c r="G49" s="483"/>
      <c r="H49" s="483"/>
      <c r="I49" s="483"/>
      <c r="J49" s="483"/>
      <c r="K49" s="483"/>
      <c r="L49" s="483"/>
      <c r="M49" s="483"/>
      <c r="N49" s="483"/>
      <c r="O49" s="483"/>
      <c r="P49" s="483"/>
      <c r="Q49" s="483"/>
    </row>
    <row r="50" spans="1:18" s="43" customFormat="1" ht="13" hidden="1">
      <c r="A50" s="241"/>
      <c r="F50" s="745">
        <f t="shared" ref="F50:Q50" si="17">SUM(F45:F48)</f>
        <v>1653.75</v>
      </c>
      <c r="G50" s="745">
        <f t="shared" si="17"/>
        <v>1736.4375</v>
      </c>
      <c r="H50" s="745">
        <f t="shared" si="17"/>
        <v>1819.125</v>
      </c>
      <c r="I50" s="745">
        <f t="shared" si="17"/>
        <v>1901.8125000000002</v>
      </c>
      <c r="J50" s="745">
        <f t="shared" si="17"/>
        <v>1984.5000000000002</v>
      </c>
      <c r="K50" s="745">
        <f t="shared" si="17"/>
        <v>2067.1875</v>
      </c>
      <c r="L50" s="745">
        <f t="shared" si="17"/>
        <v>2149.8750000000005</v>
      </c>
      <c r="M50" s="745">
        <f t="shared" si="17"/>
        <v>2232.5625</v>
      </c>
      <c r="N50" s="745">
        <f t="shared" si="17"/>
        <v>2315.25</v>
      </c>
      <c r="O50" s="745">
        <f t="shared" si="17"/>
        <v>2397.9375</v>
      </c>
      <c r="P50" s="745">
        <f t="shared" si="17"/>
        <v>2480.625</v>
      </c>
      <c r="Q50" s="745">
        <f t="shared" si="17"/>
        <v>2563.3125000000005</v>
      </c>
      <c r="R50" s="240"/>
    </row>
    <row r="51" spans="1:18" s="43" customFormat="1" ht="13">
      <c r="C51" s="241"/>
      <c r="D51" s="243"/>
      <c r="E51" s="243"/>
      <c r="F51" s="237"/>
      <c r="G51" s="237"/>
      <c r="H51" s="237"/>
      <c r="I51" s="237"/>
      <c r="J51" s="237"/>
      <c r="K51" s="237"/>
      <c r="L51" s="237"/>
      <c r="M51" s="237"/>
      <c r="N51" s="237"/>
      <c r="O51" s="237"/>
      <c r="P51" s="237"/>
      <c r="Q51" s="237"/>
      <c r="R51" s="240"/>
    </row>
    <row r="52" spans="1:18" s="43" customFormat="1" ht="13.5" thickBot="1">
      <c r="C52" s="48" t="s">
        <v>490</v>
      </c>
      <c r="D52" s="407">
        <f>'V2'!D52</f>
        <v>15</v>
      </c>
      <c r="E52" s="849"/>
      <c r="R52" s="249"/>
    </row>
    <row r="53" spans="1:18" s="43" customFormat="1" ht="13.5" thickBot="1">
      <c r="C53" s="48" t="s">
        <v>389</v>
      </c>
      <c r="D53" s="237"/>
      <c r="E53" s="237"/>
      <c r="F53" s="408">
        <f>(1+$F42)*'V2'!F53</f>
        <v>110.25</v>
      </c>
      <c r="G53" s="408">
        <f>(1+$F42)*'V2'!G53</f>
        <v>115.7625</v>
      </c>
      <c r="H53" s="408">
        <f>(1+$F42)*'V2'!H53</f>
        <v>121.27500000000001</v>
      </c>
      <c r="I53" s="408">
        <f>(1+$F42)*'V2'!I53</f>
        <v>126.78750000000001</v>
      </c>
      <c r="J53" s="408">
        <f>(1+$F42)*'V2'!J53</f>
        <v>132.30000000000001</v>
      </c>
      <c r="K53" s="408">
        <f>(1+$F42)*'V2'!K53</f>
        <v>137.8125</v>
      </c>
      <c r="L53" s="408">
        <f>(1+$F42)*'V2'!L53</f>
        <v>143.32500000000002</v>
      </c>
      <c r="M53" s="408">
        <f>(1+$F42)*'V2'!M53</f>
        <v>148.83750000000001</v>
      </c>
      <c r="N53" s="408">
        <f>(1+$F42)*'V2'!N53</f>
        <v>154.35</v>
      </c>
      <c r="O53" s="408">
        <f>(1+$F42)*'V2'!O53</f>
        <v>159.86250000000001</v>
      </c>
      <c r="P53" s="408">
        <f>(1+$F42)*'V2'!P53</f>
        <v>165.375</v>
      </c>
      <c r="Q53" s="408">
        <f>(1+$F42)*'V2'!Q53</f>
        <v>170.88750000000002</v>
      </c>
      <c r="R53" s="73">
        <f>SUM(F53:Q53)</f>
        <v>1686.825</v>
      </c>
    </row>
    <row r="54" spans="1:18" s="43" customFormat="1" ht="13.5" thickBot="1">
      <c r="C54" s="48" t="s">
        <v>491</v>
      </c>
      <c r="D54" s="237"/>
      <c r="E54" s="237"/>
      <c r="F54" s="247">
        <f t="shared" ref="F54:Q54" si="18">F53*$D52</f>
        <v>1653.75</v>
      </c>
      <c r="G54" s="247">
        <f t="shared" si="18"/>
        <v>1736.4375</v>
      </c>
      <c r="H54" s="247">
        <f t="shared" si="18"/>
        <v>1819.125</v>
      </c>
      <c r="I54" s="247">
        <f t="shared" si="18"/>
        <v>1901.8125000000002</v>
      </c>
      <c r="J54" s="247">
        <f t="shared" si="18"/>
        <v>1984.5000000000002</v>
      </c>
      <c r="K54" s="247">
        <f t="shared" si="18"/>
        <v>2067.1875</v>
      </c>
      <c r="L54" s="247">
        <f t="shared" si="18"/>
        <v>2149.8750000000005</v>
      </c>
      <c r="M54" s="247">
        <f t="shared" si="18"/>
        <v>2232.5625</v>
      </c>
      <c r="N54" s="247">
        <f t="shared" si="18"/>
        <v>2315.25</v>
      </c>
      <c r="O54" s="247">
        <f t="shared" si="18"/>
        <v>2397.9375</v>
      </c>
      <c r="P54" s="247">
        <f t="shared" si="18"/>
        <v>2480.625</v>
      </c>
      <c r="Q54" s="248">
        <f t="shared" si="18"/>
        <v>2563.3125000000005</v>
      </c>
      <c r="R54" s="73">
        <f>SUM(F54:Q54)</f>
        <v>25302.375</v>
      </c>
    </row>
    <row r="55" spans="1:18" s="43" customFormat="1" ht="13.5" thickBot="1">
      <c r="C55" s="48"/>
      <c r="D55" s="237"/>
      <c r="E55" s="237"/>
      <c r="F55" s="249"/>
      <c r="G55" s="249"/>
      <c r="H55" s="249"/>
      <c r="I55" s="249"/>
      <c r="J55" s="249"/>
      <c r="K55" s="249"/>
      <c r="L55" s="249"/>
      <c r="M55" s="249"/>
      <c r="N55" s="249"/>
      <c r="O55" s="249"/>
      <c r="P55" s="249"/>
      <c r="Q55" s="249"/>
      <c r="R55" s="249"/>
    </row>
    <row r="56" spans="1:18" s="43" customFormat="1" ht="13.5" thickBot="1">
      <c r="A56" s="900" t="s">
        <v>315</v>
      </c>
      <c r="B56" s="901"/>
      <c r="C56" s="898"/>
      <c r="D56" s="902"/>
      <c r="E56" s="903"/>
      <c r="F56" s="848">
        <v>0</v>
      </c>
      <c r="G56" s="1181" t="str">
        <f>A58</f>
        <v>Produit/service 4</v>
      </c>
      <c r="H56" s="1182"/>
      <c r="I56" s="1182"/>
      <c r="J56" s="1182"/>
      <c r="K56" s="1182"/>
      <c r="L56" s="1182"/>
      <c r="M56" s="1182"/>
      <c r="N56" s="1182"/>
      <c r="O56" s="1182"/>
      <c r="P56" s="1182"/>
      <c r="Q56" s="1182"/>
      <c r="R56" s="1182"/>
    </row>
    <row r="57" spans="1:18" s="43" customFormat="1" ht="13">
      <c r="B57" s="739" t="s">
        <v>328</v>
      </c>
      <c r="C57" s="739" t="s">
        <v>329</v>
      </c>
      <c r="D57" s="739" t="s">
        <v>448</v>
      </c>
      <c r="E57" s="739" t="s">
        <v>330</v>
      </c>
      <c r="F57" s="741"/>
      <c r="R57" s="249"/>
    </row>
    <row r="58" spans="1:18" s="43" customFormat="1" ht="13">
      <c r="A58" s="906" t="str">
        <f>'V2'!A58</f>
        <v>Produit/service 4</v>
      </c>
      <c r="B58" s="742">
        <f>'V2'!B58</f>
        <v>1</v>
      </c>
      <c r="C58" s="742">
        <f>'V2'!C58</f>
        <v>0</v>
      </c>
      <c r="D58" s="742">
        <f>'V2'!D58</f>
        <v>0</v>
      </c>
      <c r="E58" s="742">
        <f>'V2'!E58</f>
        <v>0</v>
      </c>
      <c r="F58" s="740" t="str">
        <f>IF(SUM(B58:E58)=100%,"","&gt; 100 % &lt;")</f>
        <v/>
      </c>
      <c r="R58" s="249"/>
    </row>
    <row r="59" spans="1:18" s="43" customFormat="1" ht="16.5" hidden="1" customHeight="1">
      <c r="C59" s="239"/>
      <c r="E59" s="239"/>
      <c r="F59" s="743">
        <f t="shared" ref="F59:Q59" si="19">F68*$B$58</f>
        <v>0</v>
      </c>
      <c r="G59" s="743">
        <f t="shared" si="19"/>
        <v>0</v>
      </c>
      <c r="H59" s="743">
        <f t="shared" si="19"/>
        <v>0</v>
      </c>
      <c r="I59" s="743">
        <f t="shared" si="19"/>
        <v>0</v>
      </c>
      <c r="J59" s="743">
        <f t="shared" si="19"/>
        <v>0</v>
      </c>
      <c r="K59" s="743">
        <f t="shared" si="19"/>
        <v>0</v>
      </c>
      <c r="L59" s="743">
        <f t="shared" si="19"/>
        <v>0</v>
      </c>
      <c r="M59" s="743">
        <f t="shared" si="19"/>
        <v>0</v>
      </c>
      <c r="N59" s="743">
        <f t="shared" si="19"/>
        <v>0</v>
      </c>
      <c r="O59" s="743">
        <f t="shared" si="19"/>
        <v>0</v>
      </c>
      <c r="P59" s="743">
        <f t="shared" si="19"/>
        <v>0</v>
      </c>
      <c r="Q59" s="743">
        <f t="shared" si="19"/>
        <v>0</v>
      </c>
    </row>
    <row r="60" spans="1:18" s="43" customFormat="1" ht="16.5" hidden="1" customHeight="1">
      <c r="A60" s="241"/>
      <c r="C60" s="239"/>
      <c r="E60" s="239"/>
      <c r="F60" s="744">
        <f>'V2'!Q68*'V2'!$C$58</f>
        <v>0</v>
      </c>
      <c r="G60" s="743">
        <f t="shared" ref="G60:Q60" si="20">F68*$C$58</f>
        <v>0</v>
      </c>
      <c r="H60" s="743">
        <f t="shared" si="20"/>
        <v>0</v>
      </c>
      <c r="I60" s="743">
        <f t="shared" si="20"/>
        <v>0</v>
      </c>
      <c r="J60" s="743">
        <f t="shared" si="20"/>
        <v>0</v>
      </c>
      <c r="K60" s="743">
        <f t="shared" si="20"/>
        <v>0</v>
      </c>
      <c r="L60" s="743">
        <f t="shared" si="20"/>
        <v>0</v>
      </c>
      <c r="M60" s="743">
        <f t="shared" si="20"/>
        <v>0</v>
      </c>
      <c r="N60" s="743">
        <f t="shared" si="20"/>
        <v>0</v>
      </c>
      <c r="O60" s="743">
        <f t="shared" si="20"/>
        <v>0</v>
      </c>
      <c r="P60" s="743">
        <f t="shared" si="20"/>
        <v>0</v>
      </c>
      <c r="Q60" s="743">
        <f t="shared" si="20"/>
        <v>0</v>
      </c>
    </row>
    <row r="61" spans="1:18" s="43" customFormat="1" ht="13" hidden="1">
      <c r="A61" s="241"/>
      <c r="C61" s="239"/>
      <c r="E61" s="239"/>
      <c r="F61" s="744">
        <f>'V2'!P68*'V2'!$D$58</f>
        <v>0</v>
      </c>
      <c r="G61" s="744">
        <f>'V2'!Q68*'V2'!$D$58</f>
        <v>0</v>
      </c>
      <c r="H61" s="743">
        <f t="shared" ref="H61:Q61" si="21">F68*$D$58</f>
        <v>0</v>
      </c>
      <c r="I61" s="743">
        <f t="shared" si="21"/>
        <v>0</v>
      </c>
      <c r="J61" s="743">
        <f t="shared" si="21"/>
        <v>0</v>
      </c>
      <c r="K61" s="743">
        <f t="shared" si="21"/>
        <v>0</v>
      </c>
      <c r="L61" s="743">
        <f t="shared" si="21"/>
        <v>0</v>
      </c>
      <c r="M61" s="743">
        <f t="shared" si="21"/>
        <v>0</v>
      </c>
      <c r="N61" s="743">
        <f t="shared" si="21"/>
        <v>0</v>
      </c>
      <c r="O61" s="743">
        <f t="shared" si="21"/>
        <v>0</v>
      </c>
      <c r="P61" s="743">
        <f t="shared" si="21"/>
        <v>0</v>
      </c>
      <c r="Q61" s="743">
        <f t="shared" si="21"/>
        <v>0</v>
      </c>
    </row>
    <row r="62" spans="1:18" s="43" customFormat="1" ht="13" hidden="1">
      <c r="A62" s="241"/>
      <c r="C62" s="239"/>
      <c r="E62" s="239"/>
      <c r="F62" s="744">
        <f>'V2'!O68*'V2'!$E$58</f>
        <v>0</v>
      </c>
      <c r="G62" s="744">
        <f>'V2'!P68*'V2'!$E$58</f>
        <v>0</v>
      </c>
      <c r="H62" s="744">
        <f>'V2'!Q68*'V2'!$E$58</f>
        <v>0</v>
      </c>
      <c r="I62" s="743">
        <f t="shared" ref="I62:Q62" si="22">F68*$E$58</f>
        <v>0</v>
      </c>
      <c r="J62" s="743">
        <f t="shared" si="22"/>
        <v>0</v>
      </c>
      <c r="K62" s="743">
        <f t="shared" si="22"/>
        <v>0</v>
      </c>
      <c r="L62" s="743">
        <f t="shared" si="22"/>
        <v>0</v>
      </c>
      <c r="M62" s="743">
        <f t="shared" si="22"/>
        <v>0</v>
      </c>
      <c r="N62" s="743">
        <f t="shared" si="22"/>
        <v>0</v>
      </c>
      <c r="O62" s="743">
        <f t="shared" si="22"/>
        <v>0</v>
      </c>
      <c r="P62" s="743">
        <f t="shared" si="22"/>
        <v>0</v>
      </c>
      <c r="Q62" s="743">
        <f t="shared" si="22"/>
        <v>0</v>
      </c>
    </row>
    <row r="63" spans="1:18" s="43" customFormat="1" ht="13" hidden="1">
      <c r="A63" s="241"/>
      <c r="D63" s="65"/>
      <c r="F63" s="483"/>
      <c r="G63" s="483"/>
      <c r="H63" s="483"/>
      <c r="I63" s="483"/>
      <c r="J63" s="483"/>
      <c r="K63" s="483"/>
      <c r="L63" s="483"/>
      <c r="M63" s="483"/>
      <c r="N63" s="483"/>
      <c r="O63" s="483"/>
      <c r="P63" s="483"/>
      <c r="Q63" s="483"/>
    </row>
    <row r="64" spans="1:18" s="43" customFormat="1" ht="13" hidden="1">
      <c r="A64" s="241"/>
      <c r="D64" s="740"/>
      <c r="F64" s="745">
        <f t="shared" ref="F64:Q64" si="23">SUM(F59:F62)</f>
        <v>0</v>
      </c>
      <c r="G64" s="745">
        <f t="shared" si="23"/>
        <v>0</v>
      </c>
      <c r="H64" s="745">
        <f t="shared" si="23"/>
        <v>0</v>
      </c>
      <c r="I64" s="745">
        <f t="shared" si="23"/>
        <v>0</v>
      </c>
      <c r="J64" s="745">
        <f t="shared" si="23"/>
        <v>0</v>
      </c>
      <c r="K64" s="745">
        <f t="shared" si="23"/>
        <v>0</v>
      </c>
      <c r="L64" s="745">
        <f t="shared" si="23"/>
        <v>0</v>
      </c>
      <c r="M64" s="745">
        <f t="shared" si="23"/>
        <v>0</v>
      </c>
      <c r="N64" s="745">
        <f t="shared" si="23"/>
        <v>0</v>
      </c>
      <c r="O64" s="745">
        <f t="shared" si="23"/>
        <v>0</v>
      </c>
      <c r="P64" s="745">
        <f t="shared" si="23"/>
        <v>0</v>
      </c>
      <c r="Q64" s="745">
        <f t="shared" si="23"/>
        <v>0</v>
      </c>
      <c r="R64" s="240"/>
    </row>
    <row r="65" spans="1:18" s="43" customFormat="1" ht="13">
      <c r="C65" s="241"/>
      <c r="D65" s="243"/>
      <c r="E65" s="243"/>
      <c r="F65" s="237"/>
      <c r="G65" s="237"/>
      <c r="H65" s="237"/>
      <c r="I65" s="237"/>
      <c r="J65" s="237"/>
      <c r="K65" s="237"/>
      <c r="L65" s="237"/>
      <c r="M65" s="237"/>
      <c r="N65" s="237"/>
      <c r="O65" s="237"/>
      <c r="P65" s="237"/>
      <c r="Q65" s="237"/>
      <c r="R65" s="240"/>
    </row>
    <row r="66" spans="1:18" s="43" customFormat="1" ht="13.5" thickBot="1">
      <c r="C66" s="48" t="s">
        <v>490</v>
      </c>
      <c r="D66" s="407">
        <f>'V2'!D66</f>
        <v>1</v>
      </c>
      <c r="E66" s="849"/>
      <c r="R66" s="238"/>
    </row>
    <row r="67" spans="1:18" s="43" customFormat="1" ht="13.5" thickBot="1">
      <c r="C67" s="48" t="s">
        <v>389</v>
      </c>
      <c r="D67" s="254"/>
      <c r="E67" s="254"/>
      <c r="F67" s="408">
        <f>(1+$F56)*'V2'!F67</f>
        <v>0</v>
      </c>
      <c r="G67" s="408">
        <f>(1+$F56)*'V2'!G67</f>
        <v>0</v>
      </c>
      <c r="H67" s="408">
        <f>(1+$F56)*'V2'!H67</f>
        <v>0</v>
      </c>
      <c r="I67" s="408">
        <f>(1+$F56)*'V2'!I67</f>
        <v>0</v>
      </c>
      <c r="J67" s="408">
        <f>(1+$F56)*'V2'!J67</f>
        <v>0</v>
      </c>
      <c r="K67" s="408">
        <f>(1+$F56)*'V2'!K67</f>
        <v>0</v>
      </c>
      <c r="L67" s="408">
        <f>(1+$F56)*'V2'!L67</f>
        <v>0</v>
      </c>
      <c r="M67" s="408">
        <f>(1+$F56)*'V2'!M67</f>
        <v>0</v>
      </c>
      <c r="N67" s="408">
        <f>(1+$F56)*'V2'!N67</f>
        <v>0</v>
      </c>
      <c r="O67" s="408">
        <f>(1+$F56)*'V2'!O67</f>
        <v>0</v>
      </c>
      <c r="P67" s="408">
        <f>(1+$F56)*'V2'!P67</f>
        <v>0</v>
      </c>
      <c r="Q67" s="408">
        <f>(1+$F56)*'V2'!Q67</f>
        <v>0</v>
      </c>
      <c r="R67" s="73">
        <f>SUM(F67:Q67)</f>
        <v>0</v>
      </c>
    </row>
    <row r="68" spans="1:18" s="43" customFormat="1" ht="13.5" thickBot="1">
      <c r="C68" s="48" t="s">
        <v>491</v>
      </c>
      <c r="D68" s="246"/>
      <c r="E68" s="246"/>
      <c r="F68" s="247">
        <f t="shared" ref="F68:Q68" si="24">F67*$D66</f>
        <v>0</v>
      </c>
      <c r="G68" s="247">
        <f t="shared" si="24"/>
        <v>0</v>
      </c>
      <c r="H68" s="247">
        <f t="shared" si="24"/>
        <v>0</v>
      </c>
      <c r="I68" s="247">
        <f t="shared" si="24"/>
        <v>0</v>
      </c>
      <c r="J68" s="247">
        <f t="shared" si="24"/>
        <v>0</v>
      </c>
      <c r="K68" s="247">
        <f t="shared" si="24"/>
        <v>0</v>
      </c>
      <c r="L68" s="247">
        <f t="shared" si="24"/>
        <v>0</v>
      </c>
      <c r="M68" s="247">
        <f t="shared" si="24"/>
        <v>0</v>
      </c>
      <c r="N68" s="247">
        <f t="shared" si="24"/>
        <v>0</v>
      </c>
      <c r="O68" s="247">
        <f t="shared" si="24"/>
        <v>0</v>
      </c>
      <c r="P68" s="247">
        <f t="shared" si="24"/>
        <v>0</v>
      </c>
      <c r="Q68" s="248">
        <f t="shared" si="24"/>
        <v>0</v>
      </c>
      <c r="R68" s="73">
        <f>SUM(F68:Q68)</f>
        <v>0</v>
      </c>
    </row>
    <row r="69" spans="1:18" s="43" customFormat="1" ht="13.5" thickBot="1">
      <c r="C69" s="48"/>
      <c r="D69" s="246"/>
      <c r="E69" s="246"/>
      <c r="F69" s="249"/>
      <c r="G69" s="249"/>
      <c r="H69" s="249"/>
      <c r="I69" s="249"/>
      <c r="J69" s="249"/>
      <c r="K69" s="249"/>
      <c r="L69" s="249"/>
      <c r="M69" s="249"/>
      <c r="N69" s="249"/>
      <c r="O69" s="249"/>
      <c r="P69" s="249"/>
      <c r="Q69" s="249"/>
      <c r="R69" s="249"/>
    </row>
    <row r="70" spans="1:18" s="43" customFormat="1" ht="13.5" thickBot="1">
      <c r="A70" s="900" t="s">
        <v>315</v>
      </c>
      <c r="B70" s="901"/>
      <c r="C70" s="898"/>
      <c r="D70" s="902"/>
      <c r="E70" s="903"/>
      <c r="F70" s="848">
        <v>0</v>
      </c>
      <c r="G70" s="1181" t="str">
        <f>A72</f>
        <v>Produit/service 5</v>
      </c>
      <c r="H70" s="1182"/>
      <c r="I70" s="1182"/>
      <c r="J70" s="1182"/>
      <c r="K70" s="1182"/>
      <c r="L70" s="1182"/>
      <c r="M70" s="1182"/>
      <c r="N70" s="1182"/>
      <c r="O70" s="1182"/>
      <c r="P70" s="1182"/>
      <c r="Q70" s="1182"/>
      <c r="R70" s="1182"/>
    </row>
    <row r="71" spans="1:18" s="43" customFormat="1" ht="13">
      <c r="B71" s="739" t="s">
        <v>328</v>
      </c>
      <c r="C71" s="739" t="s">
        <v>329</v>
      </c>
      <c r="D71" s="739" t="s">
        <v>448</v>
      </c>
      <c r="E71" s="739" t="s">
        <v>330</v>
      </c>
      <c r="R71" s="249"/>
    </row>
    <row r="72" spans="1:18" s="43" customFormat="1" ht="13">
      <c r="A72" s="906" t="str">
        <f>'V2'!A72</f>
        <v>Produit/service 5</v>
      </c>
      <c r="B72" s="742">
        <f>'V2'!B72</f>
        <v>1</v>
      </c>
      <c r="C72" s="742">
        <f>'V2'!C72</f>
        <v>0</v>
      </c>
      <c r="D72" s="742">
        <f>'V2'!D72</f>
        <v>0</v>
      </c>
      <c r="E72" s="742">
        <f>'V2'!E72</f>
        <v>0</v>
      </c>
      <c r="F72" s="740" t="str">
        <f>IF(SUM(B72:E72)=100%,"","&gt; 100 % &lt;")</f>
        <v/>
      </c>
      <c r="R72" s="249"/>
    </row>
    <row r="73" spans="1:18" s="43" customFormat="1" ht="16.5" hidden="1" customHeight="1">
      <c r="C73" s="239"/>
      <c r="E73" s="239"/>
      <c r="F73" s="743">
        <f t="shared" ref="F73:Q73" si="25">F82*$B$72</f>
        <v>0</v>
      </c>
      <c r="G73" s="743">
        <f t="shared" si="25"/>
        <v>0</v>
      </c>
      <c r="H73" s="743">
        <f t="shared" si="25"/>
        <v>0</v>
      </c>
      <c r="I73" s="743">
        <f t="shared" si="25"/>
        <v>0</v>
      </c>
      <c r="J73" s="743">
        <f t="shared" si="25"/>
        <v>0</v>
      </c>
      <c r="K73" s="743">
        <f t="shared" si="25"/>
        <v>0</v>
      </c>
      <c r="L73" s="743">
        <f t="shared" si="25"/>
        <v>0</v>
      </c>
      <c r="M73" s="743">
        <f t="shared" si="25"/>
        <v>0</v>
      </c>
      <c r="N73" s="743">
        <f t="shared" si="25"/>
        <v>0</v>
      </c>
      <c r="O73" s="743">
        <f t="shared" si="25"/>
        <v>0</v>
      </c>
      <c r="P73" s="743">
        <f t="shared" si="25"/>
        <v>0</v>
      </c>
      <c r="Q73" s="743">
        <f t="shared" si="25"/>
        <v>0</v>
      </c>
    </row>
    <row r="74" spans="1:18" s="43" customFormat="1" ht="16.5" hidden="1" customHeight="1">
      <c r="A74" s="241"/>
      <c r="C74" s="239"/>
      <c r="E74" s="239"/>
      <c r="F74" s="744">
        <f>'V2'!Q82*'V2'!$C$72</f>
        <v>0</v>
      </c>
      <c r="G74" s="743">
        <f t="shared" ref="G74:Q74" si="26">F82*$C$72</f>
        <v>0</v>
      </c>
      <c r="H74" s="743">
        <f t="shared" si="26"/>
        <v>0</v>
      </c>
      <c r="I74" s="743">
        <f t="shared" si="26"/>
        <v>0</v>
      </c>
      <c r="J74" s="743">
        <f t="shared" si="26"/>
        <v>0</v>
      </c>
      <c r="K74" s="743">
        <f t="shared" si="26"/>
        <v>0</v>
      </c>
      <c r="L74" s="743">
        <f t="shared" si="26"/>
        <v>0</v>
      </c>
      <c r="M74" s="743">
        <f t="shared" si="26"/>
        <v>0</v>
      </c>
      <c r="N74" s="743">
        <f t="shared" si="26"/>
        <v>0</v>
      </c>
      <c r="O74" s="743">
        <f t="shared" si="26"/>
        <v>0</v>
      </c>
      <c r="P74" s="743">
        <f t="shared" si="26"/>
        <v>0</v>
      </c>
      <c r="Q74" s="743">
        <f t="shared" si="26"/>
        <v>0</v>
      </c>
    </row>
    <row r="75" spans="1:18" s="43" customFormat="1" ht="13" hidden="1">
      <c r="A75" s="241"/>
      <c r="C75" s="239"/>
      <c r="E75" s="239"/>
      <c r="F75" s="744">
        <f>'V2'!P82*'V2'!$D$72</f>
        <v>0</v>
      </c>
      <c r="G75" s="744">
        <f>'V2'!Q82*'V2'!$D$72</f>
        <v>0</v>
      </c>
      <c r="H75" s="743">
        <f t="shared" ref="H75:Q75" si="27">F82*$D$72</f>
        <v>0</v>
      </c>
      <c r="I75" s="743">
        <f t="shared" si="27"/>
        <v>0</v>
      </c>
      <c r="J75" s="743">
        <f t="shared" si="27"/>
        <v>0</v>
      </c>
      <c r="K75" s="743">
        <f t="shared" si="27"/>
        <v>0</v>
      </c>
      <c r="L75" s="743">
        <f t="shared" si="27"/>
        <v>0</v>
      </c>
      <c r="M75" s="743">
        <f t="shared" si="27"/>
        <v>0</v>
      </c>
      <c r="N75" s="743">
        <f t="shared" si="27"/>
        <v>0</v>
      </c>
      <c r="O75" s="743">
        <f t="shared" si="27"/>
        <v>0</v>
      </c>
      <c r="P75" s="743">
        <f t="shared" si="27"/>
        <v>0</v>
      </c>
      <c r="Q75" s="743">
        <f t="shared" si="27"/>
        <v>0</v>
      </c>
    </row>
    <row r="76" spans="1:18" s="43" customFormat="1" ht="13" hidden="1">
      <c r="A76" s="241"/>
      <c r="C76" s="239"/>
      <c r="E76" s="239"/>
      <c r="F76" s="744">
        <f>'V2'!O82*'V2'!$E$72</f>
        <v>0</v>
      </c>
      <c r="G76" s="744">
        <f>'V2'!P82*'V2'!$E$72</f>
        <v>0</v>
      </c>
      <c r="H76" s="744">
        <f>'V2'!Q82*'V2'!$E$72</f>
        <v>0</v>
      </c>
      <c r="I76" s="743">
        <f t="shared" ref="I76:Q76" si="28">F82*$E$72</f>
        <v>0</v>
      </c>
      <c r="J76" s="743">
        <f t="shared" si="28"/>
        <v>0</v>
      </c>
      <c r="K76" s="743">
        <f t="shared" si="28"/>
        <v>0</v>
      </c>
      <c r="L76" s="743">
        <f t="shared" si="28"/>
        <v>0</v>
      </c>
      <c r="M76" s="743">
        <f t="shared" si="28"/>
        <v>0</v>
      </c>
      <c r="N76" s="743">
        <f t="shared" si="28"/>
        <v>0</v>
      </c>
      <c r="O76" s="743">
        <f t="shared" si="28"/>
        <v>0</v>
      </c>
      <c r="P76" s="743">
        <f t="shared" si="28"/>
        <v>0</v>
      </c>
      <c r="Q76" s="743">
        <f t="shared" si="28"/>
        <v>0</v>
      </c>
    </row>
    <row r="77" spans="1:18" s="43" customFormat="1" ht="13" hidden="1">
      <c r="A77" s="241"/>
      <c r="D77" s="65"/>
      <c r="F77" s="483"/>
      <c r="G77" s="483"/>
      <c r="H77" s="483"/>
      <c r="I77" s="483"/>
      <c r="J77" s="483"/>
      <c r="K77" s="483"/>
      <c r="L77" s="483"/>
      <c r="M77" s="483"/>
      <c r="N77" s="483"/>
      <c r="O77" s="483"/>
      <c r="P77" s="483"/>
      <c r="Q77" s="483"/>
    </row>
    <row r="78" spans="1:18" s="43" customFormat="1" ht="13" hidden="1">
      <c r="A78" s="241"/>
      <c r="D78" s="740"/>
      <c r="F78" s="745">
        <f t="shared" ref="F78:Q78" si="29">SUM(F73:F76)</f>
        <v>0</v>
      </c>
      <c r="G78" s="745">
        <f t="shared" si="29"/>
        <v>0</v>
      </c>
      <c r="H78" s="745">
        <f t="shared" si="29"/>
        <v>0</v>
      </c>
      <c r="I78" s="745">
        <f t="shared" si="29"/>
        <v>0</v>
      </c>
      <c r="J78" s="745">
        <f t="shared" si="29"/>
        <v>0</v>
      </c>
      <c r="K78" s="745">
        <f t="shared" si="29"/>
        <v>0</v>
      </c>
      <c r="L78" s="745">
        <f t="shared" si="29"/>
        <v>0</v>
      </c>
      <c r="M78" s="745">
        <f t="shared" si="29"/>
        <v>0</v>
      </c>
      <c r="N78" s="745">
        <f t="shared" si="29"/>
        <v>0</v>
      </c>
      <c r="O78" s="745">
        <f t="shared" si="29"/>
        <v>0</v>
      </c>
      <c r="P78" s="745">
        <f t="shared" si="29"/>
        <v>0</v>
      </c>
      <c r="Q78" s="745">
        <f t="shared" si="29"/>
        <v>0</v>
      </c>
      <c r="R78" s="240"/>
    </row>
    <row r="79" spans="1:18" s="43" customFormat="1" ht="13">
      <c r="C79" s="241"/>
      <c r="D79" s="243"/>
      <c r="E79" s="243"/>
      <c r="F79" s="237"/>
      <c r="G79" s="237"/>
      <c r="H79" s="237"/>
      <c r="I79" s="237"/>
      <c r="J79" s="237"/>
      <c r="K79" s="237"/>
      <c r="L79" s="237"/>
      <c r="M79" s="237"/>
      <c r="N79" s="237"/>
      <c r="O79" s="237"/>
      <c r="P79" s="237"/>
      <c r="Q79" s="237"/>
      <c r="R79" s="240"/>
    </row>
    <row r="80" spans="1:18" s="43" customFormat="1" ht="13.5" thickBot="1">
      <c r="C80" s="48" t="s">
        <v>490</v>
      </c>
      <c r="D80" s="407">
        <f>'V2'!D80</f>
        <v>1</v>
      </c>
      <c r="E80" s="849"/>
      <c r="R80" s="249"/>
    </row>
    <row r="81" spans="1:18" s="43" customFormat="1" ht="13.5" thickBot="1">
      <c r="C81" s="48" t="s">
        <v>389</v>
      </c>
      <c r="D81" s="246"/>
      <c r="E81" s="246"/>
      <c r="F81" s="408">
        <f>(1+$F70)*'V2'!F81</f>
        <v>0</v>
      </c>
      <c r="G81" s="408">
        <f>(1+$F70)*'V2'!G81</f>
        <v>0</v>
      </c>
      <c r="H81" s="408">
        <f>(1+$F70)*'V2'!H81</f>
        <v>0</v>
      </c>
      <c r="I81" s="408">
        <f>(1+$F70)*'V2'!I81</f>
        <v>0</v>
      </c>
      <c r="J81" s="408">
        <f>(1+$F70)*'V2'!J81</f>
        <v>0</v>
      </c>
      <c r="K81" s="408">
        <f>(1+$F70)*'V2'!K81</f>
        <v>0</v>
      </c>
      <c r="L81" s="408">
        <f>(1+$F70)*'V2'!L81</f>
        <v>0</v>
      </c>
      <c r="M81" s="408">
        <f>(1+$F70)*'V2'!M81</f>
        <v>0</v>
      </c>
      <c r="N81" s="408">
        <f>(1+$F70)*'V2'!N81</f>
        <v>0</v>
      </c>
      <c r="O81" s="408">
        <f>(1+$F70)*'V2'!O81</f>
        <v>0</v>
      </c>
      <c r="P81" s="408">
        <f>(1+$F70)*'V2'!P81</f>
        <v>0</v>
      </c>
      <c r="Q81" s="408">
        <f>(1+$F70)*'V2'!Q81</f>
        <v>0</v>
      </c>
      <c r="R81" s="73">
        <f>SUM(F81:Q81)</f>
        <v>0</v>
      </c>
    </row>
    <row r="82" spans="1:18" s="43" customFormat="1" ht="13.5" thickBot="1">
      <c r="C82" s="48" t="s">
        <v>491</v>
      </c>
      <c r="D82" s="246"/>
      <c r="E82" s="246"/>
      <c r="F82" s="247">
        <f t="shared" ref="F82:Q82" si="30">F81*$D80</f>
        <v>0</v>
      </c>
      <c r="G82" s="247">
        <f t="shared" si="30"/>
        <v>0</v>
      </c>
      <c r="H82" s="247">
        <f t="shared" si="30"/>
        <v>0</v>
      </c>
      <c r="I82" s="247">
        <f t="shared" si="30"/>
        <v>0</v>
      </c>
      <c r="J82" s="247">
        <f t="shared" si="30"/>
        <v>0</v>
      </c>
      <c r="K82" s="247">
        <f t="shared" si="30"/>
        <v>0</v>
      </c>
      <c r="L82" s="247">
        <f t="shared" si="30"/>
        <v>0</v>
      </c>
      <c r="M82" s="247">
        <f t="shared" si="30"/>
        <v>0</v>
      </c>
      <c r="N82" s="247">
        <f t="shared" si="30"/>
        <v>0</v>
      </c>
      <c r="O82" s="247">
        <f t="shared" si="30"/>
        <v>0</v>
      </c>
      <c r="P82" s="247">
        <f t="shared" si="30"/>
        <v>0</v>
      </c>
      <c r="Q82" s="248">
        <f t="shared" si="30"/>
        <v>0</v>
      </c>
      <c r="R82" s="73">
        <f>SUM(F82:Q82)</f>
        <v>0</v>
      </c>
    </row>
    <row r="83" spans="1:18" s="43" customFormat="1" ht="13.5" thickBot="1">
      <c r="C83" s="48"/>
      <c r="D83" s="246"/>
      <c r="E83" s="246"/>
      <c r="F83" s="249"/>
      <c r="G83" s="249"/>
      <c r="H83" s="249"/>
      <c r="I83" s="249"/>
      <c r="J83" s="249"/>
      <c r="K83" s="249"/>
      <c r="L83" s="249"/>
      <c r="M83" s="249"/>
      <c r="N83" s="249"/>
      <c r="O83" s="249"/>
      <c r="P83" s="249"/>
      <c r="Q83" s="249"/>
      <c r="R83" s="249"/>
    </row>
    <row r="84" spans="1:18" s="43" customFormat="1" ht="13.5" thickBot="1">
      <c r="A84" s="900" t="s">
        <v>315</v>
      </c>
      <c r="B84" s="901"/>
      <c r="C84" s="898"/>
      <c r="D84" s="902"/>
      <c r="E84" s="903"/>
      <c r="F84" s="848">
        <v>0</v>
      </c>
      <c r="G84" s="1181" t="str">
        <f>A86</f>
        <v>Produit/service 6</v>
      </c>
      <c r="H84" s="1182"/>
      <c r="I84" s="1182"/>
      <c r="J84" s="1182"/>
      <c r="K84" s="1182"/>
      <c r="L84" s="1182"/>
      <c r="M84" s="1182"/>
      <c r="N84" s="1182"/>
      <c r="O84" s="1182"/>
      <c r="P84" s="1182"/>
      <c r="Q84" s="1182"/>
      <c r="R84" s="1182"/>
    </row>
    <row r="85" spans="1:18" s="43" customFormat="1" ht="13">
      <c r="B85" s="739" t="s">
        <v>328</v>
      </c>
      <c r="C85" s="739" t="s">
        <v>329</v>
      </c>
      <c r="D85" s="739" t="s">
        <v>448</v>
      </c>
      <c r="E85" s="739" t="s">
        <v>330</v>
      </c>
      <c r="F85" s="741"/>
      <c r="R85" s="249"/>
    </row>
    <row r="86" spans="1:18" s="43" customFormat="1" ht="13">
      <c r="A86" s="906" t="str">
        <f>'V2'!A86</f>
        <v>Produit/service 6</v>
      </c>
      <c r="B86" s="742">
        <f>'V2'!B86</f>
        <v>1</v>
      </c>
      <c r="C86" s="742">
        <f>'V2'!C86</f>
        <v>0</v>
      </c>
      <c r="D86" s="742">
        <f>'V2'!D86</f>
        <v>0</v>
      </c>
      <c r="E86" s="742">
        <f>'V2'!E86</f>
        <v>0</v>
      </c>
      <c r="F86" s="740" t="str">
        <f>IF(SUM(B86:E86)=100%,"","&gt; 100 % &lt;")</f>
        <v/>
      </c>
      <c r="R86" s="249"/>
    </row>
    <row r="87" spans="1:18" s="43" customFormat="1" ht="16.5" hidden="1" customHeight="1">
      <c r="C87" s="239"/>
      <c r="E87" s="239"/>
      <c r="F87" s="743">
        <f t="shared" ref="F87:Q87" si="31">F96*$B$86</f>
        <v>0</v>
      </c>
      <c r="G87" s="743">
        <f t="shared" si="31"/>
        <v>0</v>
      </c>
      <c r="H87" s="743">
        <f t="shared" si="31"/>
        <v>0</v>
      </c>
      <c r="I87" s="743">
        <f t="shared" si="31"/>
        <v>0</v>
      </c>
      <c r="J87" s="743">
        <f t="shared" si="31"/>
        <v>0</v>
      </c>
      <c r="K87" s="743">
        <f t="shared" si="31"/>
        <v>0</v>
      </c>
      <c r="L87" s="743">
        <f t="shared" si="31"/>
        <v>0</v>
      </c>
      <c r="M87" s="743">
        <f t="shared" si="31"/>
        <v>0</v>
      </c>
      <c r="N87" s="743">
        <f t="shared" si="31"/>
        <v>0</v>
      </c>
      <c r="O87" s="743">
        <f t="shared" si="31"/>
        <v>0</v>
      </c>
      <c r="P87" s="743">
        <f t="shared" si="31"/>
        <v>0</v>
      </c>
      <c r="Q87" s="743">
        <f t="shared" si="31"/>
        <v>0</v>
      </c>
    </row>
    <row r="88" spans="1:18" s="43" customFormat="1" ht="16.5" hidden="1" customHeight="1">
      <c r="A88" s="241"/>
      <c r="C88" s="239"/>
      <c r="E88" s="239"/>
      <c r="F88" s="744">
        <f>'V2'!Q96*'V2'!$C$86</f>
        <v>0</v>
      </c>
      <c r="G88" s="743">
        <f t="shared" ref="G88:Q88" si="32">F96*$C$86</f>
        <v>0</v>
      </c>
      <c r="H88" s="743">
        <f t="shared" si="32"/>
        <v>0</v>
      </c>
      <c r="I88" s="743">
        <f t="shared" si="32"/>
        <v>0</v>
      </c>
      <c r="J88" s="743">
        <f t="shared" si="32"/>
        <v>0</v>
      </c>
      <c r="K88" s="743">
        <f t="shared" si="32"/>
        <v>0</v>
      </c>
      <c r="L88" s="743">
        <f t="shared" si="32"/>
        <v>0</v>
      </c>
      <c r="M88" s="743">
        <f t="shared" si="32"/>
        <v>0</v>
      </c>
      <c r="N88" s="743">
        <f t="shared" si="32"/>
        <v>0</v>
      </c>
      <c r="O88" s="743">
        <f t="shared" si="32"/>
        <v>0</v>
      </c>
      <c r="P88" s="743">
        <f t="shared" si="32"/>
        <v>0</v>
      </c>
      <c r="Q88" s="743">
        <f t="shared" si="32"/>
        <v>0</v>
      </c>
    </row>
    <row r="89" spans="1:18" s="43" customFormat="1" ht="13" hidden="1">
      <c r="A89" s="241"/>
      <c r="C89" s="239"/>
      <c r="E89" s="239"/>
      <c r="F89" s="744">
        <f>'V2'!P96*'V2'!$D$86</f>
        <v>0</v>
      </c>
      <c r="G89" s="744">
        <f>'V2'!Q96*'V2'!$D$86</f>
        <v>0</v>
      </c>
      <c r="H89" s="743">
        <f t="shared" ref="H89:Q89" si="33">F96*$D$86</f>
        <v>0</v>
      </c>
      <c r="I89" s="743">
        <f t="shared" si="33"/>
        <v>0</v>
      </c>
      <c r="J89" s="743">
        <f t="shared" si="33"/>
        <v>0</v>
      </c>
      <c r="K89" s="743">
        <f t="shared" si="33"/>
        <v>0</v>
      </c>
      <c r="L89" s="743">
        <f t="shared" si="33"/>
        <v>0</v>
      </c>
      <c r="M89" s="743">
        <f t="shared" si="33"/>
        <v>0</v>
      </c>
      <c r="N89" s="743">
        <f t="shared" si="33"/>
        <v>0</v>
      </c>
      <c r="O89" s="743">
        <f t="shared" si="33"/>
        <v>0</v>
      </c>
      <c r="P89" s="743">
        <f t="shared" si="33"/>
        <v>0</v>
      </c>
      <c r="Q89" s="743">
        <f t="shared" si="33"/>
        <v>0</v>
      </c>
    </row>
    <row r="90" spans="1:18" s="43" customFormat="1" ht="13" hidden="1">
      <c r="A90" s="241"/>
      <c r="C90" s="239"/>
      <c r="E90" s="239"/>
      <c r="F90" s="744">
        <f>'V2'!O96*'V2'!$E$86</f>
        <v>0</v>
      </c>
      <c r="G90" s="744">
        <f>'V2'!P96*'V2'!$E$86</f>
        <v>0</v>
      </c>
      <c r="H90" s="744">
        <f>'V2'!Q96*'V2'!$E$86</f>
        <v>0</v>
      </c>
      <c r="I90" s="743">
        <f t="shared" ref="I90:Q90" si="34">F96*$E$86</f>
        <v>0</v>
      </c>
      <c r="J90" s="743">
        <f t="shared" si="34"/>
        <v>0</v>
      </c>
      <c r="K90" s="743">
        <f t="shared" si="34"/>
        <v>0</v>
      </c>
      <c r="L90" s="743">
        <f t="shared" si="34"/>
        <v>0</v>
      </c>
      <c r="M90" s="743">
        <f t="shared" si="34"/>
        <v>0</v>
      </c>
      <c r="N90" s="743">
        <f t="shared" si="34"/>
        <v>0</v>
      </c>
      <c r="O90" s="743">
        <f t="shared" si="34"/>
        <v>0</v>
      </c>
      <c r="P90" s="743">
        <f t="shared" si="34"/>
        <v>0</v>
      </c>
      <c r="Q90" s="743">
        <f t="shared" si="34"/>
        <v>0</v>
      </c>
    </row>
    <row r="91" spans="1:18" s="43" customFormat="1" ht="13" hidden="1">
      <c r="A91" s="241"/>
      <c r="D91" s="65"/>
      <c r="F91" s="483"/>
      <c r="G91" s="483"/>
      <c r="H91" s="483"/>
      <c r="I91" s="483"/>
      <c r="J91" s="483"/>
      <c r="K91" s="483"/>
      <c r="L91" s="483"/>
      <c r="M91" s="483"/>
      <c r="N91" s="483"/>
      <c r="O91" s="483"/>
      <c r="P91" s="483"/>
      <c r="Q91" s="483"/>
    </row>
    <row r="92" spans="1:18" s="43" customFormat="1" ht="13" hidden="1">
      <c r="A92" s="241"/>
      <c r="D92" s="740"/>
      <c r="F92" s="745">
        <f t="shared" ref="F92:Q92" si="35">SUM(F87:F90)</f>
        <v>0</v>
      </c>
      <c r="G92" s="745">
        <f t="shared" si="35"/>
        <v>0</v>
      </c>
      <c r="H92" s="745">
        <f t="shared" si="35"/>
        <v>0</v>
      </c>
      <c r="I92" s="745">
        <f t="shared" si="35"/>
        <v>0</v>
      </c>
      <c r="J92" s="745">
        <f t="shared" si="35"/>
        <v>0</v>
      </c>
      <c r="K92" s="745">
        <f t="shared" si="35"/>
        <v>0</v>
      </c>
      <c r="L92" s="745">
        <f t="shared" si="35"/>
        <v>0</v>
      </c>
      <c r="M92" s="745">
        <f t="shared" si="35"/>
        <v>0</v>
      </c>
      <c r="N92" s="745">
        <f t="shared" si="35"/>
        <v>0</v>
      </c>
      <c r="O92" s="745">
        <f t="shared" si="35"/>
        <v>0</v>
      </c>
      <c r="P92" s="745">
        <f t="shared" si="35"/>
        <v>0</v>
      </c>
      <c r="Q92" s="745">
        <f t="shared" si="35"/>
        <v>0</v>
      </c>
      <c r="R92" s="240"/>
    </row>
    <row r="93" spans="1:18" s="43" customFormat="1" ht="13">
      <c r="C93" s="241"/>
      <c r="D93" s="243"/>
      <c r="E93" s="243"/>
      <c r="F93" s="237"/>
      <c r="G93" s="237"/>
      <c r="H93" s="237"/>
      <c r="I93" s="237"/>
      <c r="J93" s="237"/>
      <c r="K93" s="237"/>
      <c r="L93" s="237"/>
      <c r="M93" s="237"/>
      <c r="N93" s="237"/>
      <c r="O93" s="237"/>
      <c r="P93" s="237"/>
      <c r="Q93" s="237"/>
      <c r="R93" s="240"/>
    </row>
    <row r="94" spans="1:18" s="43" customFormat="1" ht="13.5" thickBot="1">
      <c r="C94" s="48" t="s">
        <v>490</v>
      </c>
      <c r="D94" s="407">
        <f>'V2'!D94</f>
        <v>1</v>
      </c>
      <c r="E94" s="849"/>
      <c r="R94" s="249"/>
    </row>
    <row r="95" spans="1:18" s="43" customFormat="1" ht="13.5" thickBot="1">
      <c r="C95" s="48" t="s">
        <v>389</v>
      </c>
      <c r="D95" s="237"/>
      <c r="E95" s="237"/>
      <c r="F95" s="408">
        <f>(1+$F84)*'V2'!F95</f>
        <v>0</v>
      </c>
      <c r="G95" s="408">
        <f>(1+$F84)*'V2'!G95</f>
        <v>0</v>
      </c>
      <c r="H95" s="408">
        <f>(1+$F84)*'V2'!H95</f>
        <v>0</v>
      </c>
      <c r="I95" s="408">
        <f>(1+$F84)*'V2'!I95</f>
        <v>0</v>
      </c>
      <c r="J95" s="408">
        <f>(1+$F84)*'V2'!J95</f>
        <v>0</v>
      </c>
      <c r="K95" s="408">
        <f>(1+$F84)*'V2'!K95</f>
        <v>0</v>
      </c>
      <c r="L95" s="408">
        <f>(1+$F84)*'V2'!L95</f>
        <v>0</v>
      </c>
      <c r="M95" s="408">
        <f>(1+$F84)*'V2'!M95</f>
        <v>0</v>
      </c>
      <c r="N95" s="408">
        <f>(1+$F84)*'V2'!N95</f>
        <v>0</v>
      </c>
      <c r="O95" s="408">
        <f>(1+$F84)*'V2'!O95</f>
        <v>0</v>
      </c>
      <c r="P95" s="408">
        <f>(1+$F84)*'V2'!P95</f>
        <v>0</v>
      </c>
      <c r="Q95" s="408">
        <f>(1+$F84)*'V2'!Q95</f>
        <v>0</v>
      </c>
      <c r="R95" s="73">
        <f>SUM(F95:Q95)</f>
        <v>0</v>
      </c>
    </row>
    <row r="96" spans="1:18" s="43" customFormat="1" ht="13.5" thickBot="1">
      <c r="C96" s="48" t="s">
        <v>491</v>
      </c>
      <c r="D96" s="237"/>
      <c r="E96" s="237"/>
      <c r="F96" s="247">
        <f t="shared" ref="F96:Q96" si="36">F95*$D94</f>
        <v>0</v>
      </c>
      <c r="G96" s="247">
        <f t="shared" si="36"/>
        <v>0</v>
      </c>
      <c r="H96" s="247">
        <f t="shared" si="36"/>
        <v>0</v>
      </c>
      <c r="I96" s="247">
        <f t="shared" si="36"/>
        <v>0</v>
      </c>
      <c r="J96" s="247">
        <f t="shared" si="36"/>
        <v>0</v>
      </c>
      <c r="K96" s="247">
        <f t="shared" si="36"/>
        <v>0</v>
      </c>
      <c r="L96" s="247">
        <f t="shared" si="36"/>
        <v>0</v>
      </c>
      <c r="M96" s="247">
        <f t="shared" si="36"/>
        <v>0</v>
      </c>
      <c r="N96" s="247">
        <f t="shared" si="36"/>
        <v>0</v>
      </c>
      <c r="O96" s="247">
        <f t="shared" si="36"/>
        <v>0</v>
      </c>
      <c r="P96" s="247">
        <f t="shared" si="36"/>
        <v>0</v>
      </c>
      <c r="Q96" s="248">
        <f t="shared" si="36"/>
        <v>0</v>
      </c>
      <c r="R96" s="73">
        <f>SUM(F96:Q96)</f>
        <v>0</v>
      </c>
    </row>
    <row r="97" spans="3:18" s="43" customFormat="1" ht="13">
      <c r="C97" s="143"/>
      <c r="D97" s="237"/>
      <c r="E97" s="237"/>
      <c r="F97" s="787">
        <f t="shared" ref="F97:Q97" si="37">F92+F78+F64+F50+F36+F22</f>
        <v>3583.125</v>
      </c>
      <c r="G97" s="787">
        <f t="shared" si="37"/>
        <v>3748.5</v>
      </c>
      <c r="H97" s="787">
        <f t="shared" si="37"/>
        <v>3913.875</v>
      </c>
      <c r="I97" s="787">
        <f t="shared" si="37"/>
        <v>4079.25</v>
      </c>
      <c r="J97" s="787">
        <f t="shared" si="37"/>
        <v>4244.625</v>
      </c>
      <c r="K97" s="787">
        <f t="shared" si="37"/>
        <v>4410</v>
      </c>
      <c r="L97" s="787">
        <f t="shared" si="37"/>
        <v>4575.3750000000009</v>
      </c>
      <c r="M97" s="787">
        <f t="shared" si="37"/>
        <v>4740.75</v>
      </c>
      <c r="N97" s="787">
        <f t="shared" si="37"/>
        <v>4906.125</v>
      </c>
      <c r="O97" s="787">
        <f t="shared" si="37"/>
        <v>5071.5</v>
      </c>
      <c r="P97" s="787">
        <f t="shared" si="37"/>
        <v>5236.875</v>
      </c>
      <c r="Q97" s="787">
        <f t="shared" si="37"/>
        <v>5402.2500000000009</v>
      </c>
      <c r="R97" s="788">
        <f>SUM(F97:Q97)</f>
        <v>53912.25</v>
      </c>
    </row>
    <row r="98" spans="3:18" ht="13.5" thickBot="1">
      <c r="C98" s="255"/>
    </row>
    <row r="99" spans="3:18" ht="13.5" thickBot="1">
      <c r="C99" s="48" t="s">
        <v>163</v>
      </c>
      <c r="F99" s="329">
        <f t="shared" ref="F99:R99" si="38">F26+F40+F54+F68+F82+F96</f>
        <v>3583.125</v>
      </c>
      <c r="G99" s="329">
        <f t="shared" si="38"/>
        <v>3748.5</v>
      </c>
      <c r="H99" s="329">
        <f t="shared" si="38"/>
        <v>3913.875</v>
      </c>
      <c r="I99" s="329">
        <f t="shared" si="38"/>
        <v>4079.25</v>
      </c>
      <c r="J99" s="329">
        <f t="shared" si="38"/>
        <v>4244.625</v>
      </c>
      <c r="K99" s="329">
        <f t="shared" si="38"/>
        <v>4410</v>
      </c>
      <c r="L99" s="329">
        <f t="shared" si="38"/>
        <v>4575.3750000000009</v>
      </c>
      <c r="M99" s="329">
        <f t="shared" si="38"/>
        <v>4740.75</v>
      </c>
      <c r="N99" s="329">
        <f t="shared" si="38"/>
        <v>4906.125</v>
      </c>
      <c r="O99" s="329">
        <f t="shared" si="38"/>
        <v>5071.5</v>
      </c>
      <c r="P99" s="329">
        <f t="shared" si="38"/>
        <v>5236.875</v>
      </c>
      <c r="Q99" s="329">
        <f t="shared" si="38"/>
        <v>5402.25</v>
      </c>
      <c r="R99" s="329">
        <f t="shared" si="38"/>
        <v>53912.25</v>
      </c>
    </row>
    <row r="100" spans="3:18" ht="13">
      <c r="C100" s="255"/>
    </row>
    <row r="101" spans="3:18" ht="13">
      <c r="C101" s="255"/>
    </row>
  </sheetData>
  <sheetProtection password="E242" sheet="1" objects="1" scenarios="1"/>
  <customSheetViews>
    <customSheetView guid="{30D0538C-360A-4CDF-8D89-584CED1967CC}"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1"/>
      <headerFooter alignWithMargins="0"/>
    </customSheetView>
    <customSheetView guid="{4F3169C3-3348-49DE-A6DC-8AA4D2A9D7A1}"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V4">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ColWidth="11.453125" defaultRowHeight="12.5"/>
  <cols>
    <col min="1" max="1" width="38.36328125" style="251" customWidth="1"/>
    <col min="2" max="2" width="11.453125" style="251"/>
    <col min="3" max="5" width="10.36328125" style="251" customWidth="1"/>
    <col min="6" max="16384" width="11.453125" style="251"/>
  </cols>
  <sheetData>
    <row r="1" spans="1:18" customFormat="1"/>
    <row r="2" spans="1:18" customFormat="1"/>
    <row r="3" spans="1:18" customFormat="1"/>
    <row r="4" spans="1:18" customFormat="1"/>
    <row r="5" spans="1:18" customFormat="1"/>
    <row r="6" spans="1:18" customFormat="1"/>
    <row r="7" spans="1:18" customFormat="1"/>
    <row r="8" spans="1:18" s="43" customFormat="1" ht="25.5" customHeight="1">
      <c r="A8" s="235" t="str">
        <f>RG!D17</f>
        <v>Jhon Wesly inc.</v>
      </c>
      <c r="D8" s="236"/>
      <c r="E8" s="236"/>
      <c r="F8" s="236"/>
      <c r="G8" s="236"/>
      <c r="H8" s="236"/>
      <c r="I8" s="236"/>
      <c r="J8" s="236"/>
      <c r="K8" s="236"/>
      <c r="L8" s="236"/>
      <c r="M8" s="236"/>
      <c r="N8" s="236"/>
      <c r="O8" s="236"/>
      <c r="P8" s="236"/>
      <c r="Q8" s="236"/>
      <c r="R8" s="236"/>
    </row>
    <row r="9" spans="1:18" s="43" customFormat="1" ht="12.75" customHeight="1">
      <c r="C9" s="42"/>
      <c r="D9" s="236"/>
      <c r="E9" s="236"/>
      <c r="F9" s="236"/>
      <c r="G9" s="236"/>
      <c r="H9" s="236"/>
      <c r="I9" s="236"/>
      <c r="J9" s="236"/>
      <c r="K9" s="236"/>
      <c r="L9" s="236"/>
      <c r="M9" s="236"/>
      <c r="N9" s="236"/>
      <c r="O9" s="236"/>
      <c r="P9" s="236"/>
      <c r="Q9" s="236"/>
      <c r="R9" s="236"/>
    </row>
    <row r="10" spans="1:18" s="43" customFormat="1" ht="15" customHeight="1">
      <c r="B10" s="746"/>
      <c r="C10" s="746"/>
      <c r="D10" s="746"/>
      <c r="G10" s="72"/>
      <c r="H10" s="65"/>
      <c r="I10" s="65"/>
      <c r="J10" s="65"/>
      <c r="K10" s="65"/>
      <c r="L10" s="65"/>
      <c r="M10" s="65"/>
      <c r="N10" s="65"/>
      <c r="O10" s="65"/>
      <c r="P10" s="65"/>
      <c r="Q10" s="65"/>
      <c r="R10" s="65"/>
    </row>
    <row r="11" spans="1:18" s="43" customFormat="1" ht="15.75" customHeight="1" thickBot="1">
      <c r="C11" s="72"/>
      <c r="D11" s="237"/>
      <c r="E11" s="237"/>
      <c r="F11" s="65"/>
      <c r="G11" s="72"/>
      <c r="H11" s="65"/>
      <c r="I11" s="65"/>
      <c r="J11" s="65"/>
      <c r="K11" s="65"/>
      <c r="L11" s="65"/>
      <c r="M11" s="65"/>
      <c r="N11" s="65"/>
      <c r="O11" s="65"/>
      <c r="P11" s="65"/>
      <c r="Q11" s="65"/>
      <c r="R11" s="65"/>
    </row>
    <row r="12" spans="1:18" s="43" customFormat="1" ht="15.5" thickBot="1">
      <c r="A12" s="839" t="s">
        <v>27</v>
      </c>
      <c r="B12" s="840"/>
      <c r="C12" s="841"/>
      <c r="D12" s="842"/>
      <c r="E12" s="843"/>
      <c r="F12" s="837">
        <f>'V3'!F12+366</f>
        <v>46390</v>
      </c>
      <c r="G12" s="837">
        <f t="shared" ref="G12:Q12" si="0">F12+31</f>
        <v>46421</v>
      </c>
      <c r="H12" s="837">
        <f t="shared" si="0"/>
        <v>46452</v>
      </c>
      <c r="I12" s="837">
        <f t="shared" si="0"/>
        <v>46483</v>
      </c>
      <c r="J12" s="837">
        <f t="shared" si="0"/>
        <v>46514</v>
      </c>
      <c r="K12" s="837">
        <f t="shared" si="0"/>
        <v>46545</v>
      </c>
      <c r="L12" s="837">
        <f t="shared" si="0"/>
        <v>46576</v>
      </c>
      <c r="M12" s="837">
        <f t="shared" si="0"/>
        <v>46607</v>
      </c>
      <c r="N12" s="837">
        <f t="shared" si="0"/>
        <v>46638</v>
      </c>
      <c r="O12" s="837">
        <f t="shared" si="0"/>
        <v>46669</v>
      </c>
      <c r="P12" s="837">
        <f t="shared" si="0"/>
        <v>46700</v>
      </c>
      <c r="Q12" s="837">
        <f t="shared" si="0"/>
        <v>46731</v>
      </c>
      <c r="R12" s="838" t="s">
        <v>489</v>
      </c>
    </row>
    <row r="13" spans="1:18" s="43" customFormat="1" ht="13.5" thickBot="1">
      <c r="C13" s="116"/>
      <c r="D13" s="237"/>
      <c r="E13" s="237"/>
      <c r="F13" s="253"/>
      <c r="G13" s="253"/>
      <c r="H13" s="253"/>
      <c r="I13" s="253"/>
      <c r="J13" s="253"/>
      <c r="K13" s="253"/>
      <c r="L13" s="253"/>
      <c r="M13" s="253"/>
      <c r="N13" s="253"/>
      <c r="O13" s="253"/>
      <c r="P13" s="253"/>
      <c r="Q13" s="253"/>
      <c r="R13" s="107"/>
    </row>
    <row r="14" spans="1:18" s="43" customFormat="1" ht="15.75" customHeight="1" thickBot="1">
      <c r="A14" s="900" t="s">
        <v>315</v>
      </c>
      <c r="B14" s="901"/>
      <c r="C14" s="898"/>
      <c r="D14" s="902"/>
      <c r="E14" s="903"/>
      <c r="F14" s="848">
        <v>0</v>
      </c>
      <c r="G14" s="1181" t="str">
        <f>A16</f>
        <v>Produit/service 1</v>
      </c>
      <c r="H14" s="1182"/>
      <c r="I14" s="1182"/>
      <c r="J14" s="1182"/>
      <c r="K14" s="1182"/>
      <c r="L14" s="1182"/>
      <c r="M14" s="1182"/>
      <c r="N14" s="1182"/>
      <c r="O14" s="1182"/>
      <c r="P14" s="1182"/>
      <c r="Q14" s="1182"/>
      <c r="R14" s="1182"/>
    </row>
    <row r="15" spans="1:18" s="43" customFormat="1" ht="15.75" customHeight="1">
      <c r="B15" s="739" t="s">
        <v>328</v>
      </c>
      <c r="C15" s="739" t="s">
        <v>329</v>
      </c>
      <c r="D15" s="739" t="s">
        <v>448</v>
      </c>
      <c r="E15" s="739" t="s">
        <v>330</v>
      </c>
      <c r="F15" s="741"/>
    </row>
    <row r="16" spans="1:18" s="43" customFormat="1" ht="15.75" customHeight="1">
      <c r="A16" s="906" t="str">
        <f>'V3'!A16</f>
        <v>Produit/service 1</v>
      </c>
      <c r="B16" s="742">
        <f>'V3'!B16</f>
        <v>1</v>
      </c>
      <c r="C16" s="742">
        <f>'V3'!C16</f>
        <v>0</v>
      </c>
      <c r="D16" s="742">
        <f>'V3'!D16</f>
        <v>0</v>
      </c>
      <c r="E16" s="742">
        <f>'V3'!E16</f>
        <v>0</v>
      </c>
      <c r="F16" s="740" t="str">
        <f>IF(SUM(B16:E16)=100%,"","&gt; 100 % &lt;")</f>
        <v/>
      </c>
    </row>
    <row r="17" spans="1:18" s="43" customFormat="1" ht="16.5" hidden="1" customHeight="1">
      <c r="B17" s="739"/>
      <c r="C17" s="239"/>
      <c r="E17" s="239"/>
      <c r="F17" s="743">
        <f t="shared" ref="F17:Q17" si="1">F26*$B$16</f>
        <v>826.875</v>
      </c>
      <c r="G17" s="743">
        <f t="shared" si="1"/>
        <v>854.43750000000011</v>
      </c>
      <c r="H17" s="743">
        <f t="shared" si="1"/>
        <v>882</v>
      </c>
      <c r="I17" s="743">
        <f t="shared" si="1"/>
        <v>909.5625</v>
      </c>
      <c r="J17" s="743">
        <f t="shared" si="1"/>
        <v>937.125</v>
      </c>
      <c r="K17" s="743">
        <f t="shared" si="1"/>
        <v>964.6875</v>
      </c>
      <c r="L17" s="743">
        <f t="shared" si="1"/>
        <v>992.25000000000011</v>
      </c>
      <c r="M17" s="743">
        <f t="shared" si="1"/>
        <v>1019.8125</v>
      </c>
      <c r="N17" s="743">
        <f t="shared" si="1"/>
        <v>1047.375</v>
      </c>
      <c r="O17" s="743">
        <f t="shared" si="1"/>
        <v>1074.9375</v>
      </c>
      <c r="P17" s="743">
        <f t="shared" si="1"/>
        <v>1102.5</v>
      </c>
      <c r="Q17" s="743">
        <f t="shared" si="1"/>
        <v>1130.0625</v>
      </c>
    </row>
    <row r="18" spans="1:18" s="43" customFormat="1" ht="16.5" hidden="1" customHeight="1">
      <c r="A18" s="241"/>
      <c r="B18" s="739"/>
      <c r="C18" s="239"/>
      <c r="E18" s="239"/>
      <c r="F18" s="744">
        <f>'V3'!Q26*'V3'!$C$16</f>
        <v>0</v>
      </c>
      <c r="G18" s="743">
        <f t="shared" ref="G18:Q18" si="2">F26*$C$16</f>
        <v>0</v>
      </c>
      <c r="H18" s="743">
        <f t="shared" si="2"/>
        <v>0</v>
      </c>
      <c r="I18" s="743">
        <f t="shared" si="2"/>
        <v>0</v>
      </c>
      <c r="J18" s="743">
        <f t="shared" si="2"/>
        <v>0</v>
      </c>
      <c r="K18" s="743">
        <f t="shared" si="2"/>
        <v>0</v>
      </c>
      <c r="L18" s="743">
        <f t="shared" si="2"/>
        <v>0</v>
      </c>
      <c r="M18" s="743">
        <f t="shared" si="2"/>
        <v>0</v>
      </c>
      <c r="N18" s="743">
        <f t="shared" si="2"/>
        <v>0</v>
      </c>
      <c r="O18" s="743">
        <f t="shared" si="2"/>
        <v>0</v>
      </c>
      <c r="P18" s="743">
        <f t="shared" si="2"/>
        <v>0</v>
      </c>
      <c r="Q18" s="743">
        <f t="shared" si="2"/>
        <v>0</v>
      </c>
    </row>
    <row r="19" spans="1:18" s="43" customFormat="1" ht="13" hidden="1">
      <c r="A19" s="241"/>
      <c r="B19" s="739"/>
      <c r="C19" s="239"/>
      <c r="E19" s="239"/>
      <c r="F19" s="744">
        <f>'V3'!P26*'V3'!$D$16</f>
        <v>0</v>
      </c>
      <c r="G19" s="744">
        <f>'V3'!Q26*'V3'!$D$16</f>
        <v>0</v>
      </c>
      <c r="H19" s="743">
        <f t="shared" ref="H19:Q19" si="3">F26*$D$16</f>
        <v>0</v>
      </c>
      <c r="I19" s="743">
        <f t="shared" si="3"/>
        <v>0</v>
      </c>
      <c r="J19" s="743">
        <f t="shared" si="3"/>
        <v>0</v>
      </c>
      <c r="K19" s="743">
        <f t="shared" si="3"/>
        <v>0</v>
      </c>
      <c r="L19" s="743">
        <f t="shared" si="3"/>
        <v>0</v>
      </c>
      <c r="M19" s="743">
        <f t="shared" si="3"/>
        <v>0</v>
      </c>
      <c r="N19" s="743">
        <f t="shared" si="3"/>
        <v>0</v>
      </c>
      <c r="O19" s="743">
        <f t="shared" si="3"/>
        <v>0</v>
      </c>
      <c r="P19" s="743">
        <f t="shared" si="3"/>
        <v>0</v>
      </c>
      <c r="Q19" s="743">
        <f t="shared" si="3"/>
        <v>0</v>
      </c>
    </row>
    <row r="20" spans="1:18" s="43" customFormat="1" ht="13" hidden="1">
      <c r="A20" s="241"/>
      <c r="B20" s="739"/>
      <c r="C20" s="239"/>
      <c r="E20" s="239"/>
      <c r="F20" s="744">
        <f>'V3'!O26*'V3'!$E$16</f>
        <v>0</v>
      </c>
      <c r="G20" s="744">
        <f>'V3'!P26*'V3'!$E$16</f>
        <v>0</v>
      </c>
      <c r="H20" s="744">
        <f>'V3'!Q26*'V3'!$E$16</f>
        <v>0</v>
      </c>
      <c r="I20" s="743">
        <f t="shared" ref="I20:Q20" si="4">F26*$E$16</f>
        <v>0</v>
      </c>
      <c r="J20" s="743">
        <f t="shared" si="4"/>
        <v>0</v>
      </c>
      <c r="K20" s="743">
        <f t="shared" si="4"/>
        <v>0</v>
      </c>
      <c r="L20" s="743">
        <f t="shared" si="4"/>
        <v>0</v>
      </c>
      <c r="M20" s="743">
        <f t="shared" si="4"/>
        <v>0</v>
      </c>
      <c r="N20" s="743">
        <f t="shared" si="4"/>
        <v>0</v>
      </c>
      <c r="O20" s="743">
        <f t="shared" si="4"/>
        <v>0</v>
      </c>
      <c r="P20" s="743">
        <f t="shared" si="4"/>
        <v>0</v>
      </c>
      <c r="Q20" s="743">
        <f t="shared" si="4"/>
        <v>0</v>
      </c>
    </row>
    <row r="21" spans="1:18" s="43" customFormat="1" ht="13" hidden="1">
      <c r="A21" s="241"/>
      <c r="D21" s="65"/>
      <c r="F21" s="483"/>
      <c r="G21" s="483"/>
      <c r="H21" s="483"/>
      <c r="I21" s="483"/>
      <c r="J21" s="483"/>
      <c r="K21" s="483"/>
      <c r="L21" s="483"/>
      <c r="M21" s="483"/>
      <c r="N21" s="483"/>
      <c r="O21" s="483"/>
      <c r="P21" s="483"/>
      <c r="Q21" s="483"/>
    </row>
    <row r="22" spans="1:18" s="43" customFormat="1" ht="13" hidden="1">
      <c r="A22" s="241"/>
      <c r="D22" s="740"/>
      <c r="F22" s="745">
        <f t="shared" ref="F22:Q22" si="5">SUM(F17:F20)</f>
        <v>826.875</v>
      </c>
      <c r="G22" s="745">
        <f t="shared" si="5"/>
        <v>854.43750000000011</v>
      </c>
      <c r="H22" s="745">
        <f t="shared" si="5"/>
        <v>882</v>
      </c>
      <c r="I22" s="745">
        <f t="shared" si="5"/>
        <v>909.5625</v>
      </c>
      <c r="J22" s="745">
        <f t="shared" si="5"/>
        <v>937.125</v>
      </c>
      <c r="K22" s="745">
        <f t="shared" si="5"/>
        <v>964.6875</v>
      </c>
      <c r="L22" s="745">
        <f t="shared" si="5"/>
        <v>992.25000000000011</v>
      </c>
      <c r="M22" s="745">
        <f t="shared" si="5"/>
        <v>1019.8125</v>
      </c>
      <c r="N22" s="745">
        <f t="shared" si="5"/>
        <v>1047.375</v>
      </c>
      <c r="O22" s="745">
        <f t="shared" si="5"/>
        <v>1074.9375</v>
      </c>
      <c r="P22" s="745">
        <f t="shared" si="5"/>
        <v>1102.5</v>
      </c>
      <c r="Q22" s="745">
        <f t="shared" si="5"/>
        <v>1130.0625</v>
      </c>
      <c r="R22" s="240"/>
    </row>
    <row r="23" spans="1:18" s="43" customFormat="1" ht="13">
      <c r="C23" s="241"/>
      <c r="D23" s="243"/>
      <c r="E23" s="243"/>
      <c r="F23" s="237"/>
      <c r="G23" s="237"/>
      <c r="H23" s="237"/>
      <c r="I23" s="237"/>
      <c r="J23" s="237"/>
      <c r="K23" s="237"/>
      <c r="L23" s="237"/>
      <c r="M23" s="237"/>
      <c r="N23" s="237"/>
      <c r="O23" s="237"/>
      <c r="P23" s="237"/>
      <c r="Q23" s="237"/>
      <c r="R23" s="240"/>
    </row>
    <row r="24" spans="1:18" s="43" customFormat="1" ht="13.5" thickBot="1">
      <c r="C24" s="48" t="s">
        <v>490</v>
      </c>
      <c r="D24" s="407">
        <f>'V3'!D24</f>
        <v>5</v>
      </c>
      <c r="E24" s="245"/>
      <c r="R24" s="238"/>
    </row>
    <row r="25" spans="1:18" s="43" customFormat="1" ht="13.5" thickBot="1">
      <c r="C25" s="48" t="s">
        <v>389</v>
      </c>
      <c r="D25" s="254"/>
      <c r="E25" s="254"/>
      <c r="F25" s="408">
        <f>(1+$F14)*'V3'!F25</f>
        <v>165.375</v>
      </c>
      <c r="G25" s="408">
        <f>(1+$F14)*'V3'!G25</f>
        <v>170.88750000000002</v>
      </c>
      <c r="H25" s="408">
        <f>(1+$F14)*'V3'!H25</f>
        <v>176.4</v>
      </c>
      <c r="I25" s="408">
        <f>(1+$F14)*'V3'!I25</f>
        <v>181.91249999999999</v>
      </c>
      <c r="J25" s="408">
        <f>(1+$F14)*'V3'!J25</f>
        <v>187.42500000000001</v>
      </c>
      <c r="K25" s="408">
        <f>(1+$F14)*'V3'!K25</f>
        <v>192.9375</v>
      </c>
      <c r="L25" s="408">
        <f>(1+$F14)*'V3'!L25</f>
        <v>198.45000000000002</v>
      </c>
      <c r="M25" s="408">
        <f>(1+$F14)*'V3'!M25</f>
        <v>203.96250000000001</v>
      </c>
      <c r="N25" s="408">
        <f>(1+$F14)*'V3'!N25</f>
        <v>209.47500000000002</v>
      </c>
      <c r="O25" s="408">
        <f>(1+$F14)*'V3'!O25</f>
        <v>214.98750000000001</v>
      </c>
      <c r="P25" s="408">
        <f>(1+$F14)*'V3'!P25</f>
        <v>220.5</v>
      </c>
      <c r="Q25" s="408">
        <f>(1+$F14)*'V3'!Q25</f>
        <v>226.01250000000002</v>
      </c>
      <c r="R25" s="73">
        <f>SUM(F25:Q25)</f>
        <v>2348.3249999999998</v>
      </c>
    </row>
    <row r="26" spans="1:18" s="43" customFormat="1" ht="13.5" thickBot="1">
      <c r="C26" s="48" t="s">
        <v>491</v>
      </c>
      <c r="D26" s="246"/>
      <c r="E26" s="246"/>
      <c r="F26" s="247">
        <f t="shared" ref="F26:Q26" si="6">F25*$D24</f>
        <v>826.875</v>
      </c>
      <c r="G26" s="247">
        <f t="shared" si="6"/>
        <v>854.43750000000011</v>
      </c>
      <c r="H26" s="247">
        <f t="shared" si="6"/>
        <v>882</v>
      </c>
      <c r="I26" s="247">
        <f t="shared" si="6"/>
        <v>909.5625</v>
      </c>
      <c r="J26" s="247">
        <f t="shared" si="6"/>
        <v>937.125</v>
      </c>
      <c r="K26" s="247">
        <f t="shared" si="6"/>
        <v>964.6875</v>
      </c>
      <c r="L26" s="247">
        <f t="shared" si="6"/>
        <v>992.25000000000011</v>
      </c>
      <c r="M26" s="247">
        <f t="shared" si="6"/>
        <v>1019.8125</v>
      </c>
      <c r="N26" s="247">
        <f t="shared" si="6"/>
        <v>1047.375</v>
      </c>
      <c r="O26" s="247">
        <f t="shared" si="6"/>
        <v>1074.9375</v>
      </c>
      <c r="P26" s="247">
        <f t="shared" si="6"/>
        <v>1102.5</v>
      </c>
      <c r="Q26" s="248">
        <f t="shared" si="6"/>
        <v>1130.0625</v>
      </c>
      <c r="R26" s="73">
        <f>SUM(F26:Q26)</f>
        <v>11741.625</v>
      </c>
    </row>
    <row r="27" spans="1:18" s="43" customFormat="1" ht="13.5" thickBot="1">
      <c r="C27" s="48"/>
      <c r="D27" s="246"/>
      <c r="E27" s="246"/>
      <c r="F27" s="249"/>
      <c r="G27" s="249"/>
      <c r="H27" s="249"/>
      <c r="I27" s="249"/>
      <c r="J27" s="249"/>
      <c r="K27" s="249"/>
      <c r="L27" s="249"/>
      <c r="M27" s="249"/>
      <c r="N27" s="249"/>
      <c r="O27" s="249"/>
      <c r="P27" s="249"/>
      <c r="Q27" s="249"/>
      <c r="R27" s="249"/>
    </row>
    <row r="28" spans="1:18" s="43" customFormat="1" ht="13.5" thickBot="1">
      <c r="A28" s="900" t="s">
        <v>315</v>
      </c>
      <c r="B28" s="901"/>
      <c r="C28" s="898"/>
      <c r="D28" s="902"/>
      <c r="E28" s="903"/>
      <c r="F28" s="848">
        <v>0</v>
      </c>
      <c r="G28" s="1181" t="str">
        <f>A30</f>
        <v>Produit/service 2</v>
      </c>
      <c r="H28" s="1182"/>
      <c r="I28" s="1182"/>
      <c r="J28" s="1182"/>
      <c r="K28" s="1182"/>
      <c r="L28" s="1182"/>
      <c r="M28" s="1182"/>
      <c r="N28" s="1182"/>
      <c r="O28" s="1182"/>
      <c r="P28" s="1182"/>
      <c r="Q28" s="1182"/>
      <c r="R28" s="1182"/>
    </row>
    <row r="29" spans="1:18" s="43" customFormat="1" ht="13">
      <c r="B29" s="739" t="s">
        <v>328</v>
      </c>
      <c r="C29" s="739" t="s">
        <v>329</v>
      </c>
      <c r="D29" s="739" t="s">
        <v>448</v>
      </c>
      <c r="E29" s="739" t="s">
        <v>330</v>
      </c>
      <c r="F29" s="741"/>
    </row>
    <row r="30" spans="1:18" s="43" customFormat="1" ht="13">
      <c r="A30" s="906" t="str">
        <f>'V3'!A30</f>
        <v>Produit/service 2</v>
      </c>
      <c r="B30" s="742">
        <f>'V3'!B30</f>
        <v>1</v>
      </c>
      <c r="C30" s="742">
        <f>'V3'!C30</f>
        <v>0</v>
      </c>
      <c r="D30" s="742">
        <f>'V3'!D30</f>
        <v>0</v>
      </c>
      <c r="E30" s="742">
        <f>'V3'!E30</f>
        <v>0</v>
      </c>
      <c r="F30" s="740" t="str">
        <f>IF(SUM(B30:E30)=100%,"","&gt; 100 % &lt;")</f>
        <v/>
      </c>
    </row>
    <row r="31" spans="1:18" s="43" customFormat="1" ht="16.5" hidden="1" customHeight="1">
      <c r="B31" s="739"/>
      <c r="C31" s="239"/>
      <c r="E31" s="239"/>
      <c r="F31" s="743">
        <f t="shared" ref="F31:Q31" si="7">F40*$B$30</f>
        <v>1102.5</v>
      </c>
      <c r="G31" s="743">
        <f t="shared" si="7"/>
        <v>1157.625</v>
      </c>
      <c r="H31" s="743">
        <f t="shared" si="7"/>
        <v>1212.75</v>
      </c>
      <c r="I31" s="743">
        <f t="shared" si="7"/>
        <v>1267.875</v>
      </c>
      <c r="J31" s="743">
        <f t="shared" si="7"/>
        <v>1323</v>
      </c>
      <c r="K31" s="743">
        <f t="shared" si="7"/>
        <v>1378.125</v>
      </c>
      <c r="L31" s="743">
        <f t="shared" si="7"/>
        <v>1433.2500000000002</v>
      </c>
      <c r="M31" s="743">
        <f t="shared" si="7"/>
        <v>1488.375</v>
      </c>
      <c r="N31" s="743">
        <f t="shared" si="7"/>
        <v>1543.5</v>
      </c>
      <c r="O31" s="743">
        <f t="shared" si="7"/>
        <v>1598.625</v>
      </c>
      <c r="P31" s="743">
        <f t="shared" si="7"/>
        <v>1653.75</v>
      </c>
      <c r="Q31" s="743">
        <f t="shared" si="7"/>
        <v>1708.8750000000002</v>
      </c>
    </row>
    <row r="32" spans="1:18" s="43" customFormat="1" ht="16.5" hidden="1" customHeight="1">
      <c r="A32" s="241"/>
      <c r="B32" s="739"/>
      <c r="C32" s="239"/>
      <c r="E32" s="239"/>
      <c r="F32" s="744">
        <f>'V3'!Q40*'V3'!$C$30</f>
        <v>0</v>
      </c>
      <c r="G32" s="743">
        <f t="shared" ref="G32:Q32" si="8">F40*$C$30</f>
        <v>0</v>
      </c>
      <c r="H32" s="743">
        <f t="shared" si="8"/>
        <v>0</v>
      </c>
      <c r="I32" s="743">
        <f t="shared" si="8"/>
        <v>0</v>
      </c>
      <c r="J32" s="743">
        <f t="shared" si="8"/>
        <v>0</v>
      </c>
      <c r="K32" s="743">
        <f t="shared" si="8"/>
        <v>0</v>
      </c>
      <c r="L32" s="743">
        <f t="shared" si="8"/>
        <v>0</v>
      </c>
      <c r="M32" s="743">
        <f t="shared" si="8"/>
        <v>0</v>
      </c>
      <c r="N32" s="743">
        <f t="shared" si="8"/>
        <v>0</v>
      </c>
      <c r="O32" s="743">
        <f t="shared" si="8"/>
        <v>0</v>
      </c>
      <c r="P32" s="743">
        <f t="shared" si="8"/>
        <v>0</v>
      </c>
      <c r="Q32" s="743">
        <f t="shared" si="8"/>
        <v>0</v>
      </c>
    </row>
    <row r="33" spans="1:18" s="43" customFormat="1" ht="13" hidden="1">
      <c r="A33" s="241"/>
      <c r="B33" s="739"/>
      <c r="C33" s="239"/>
      <c r="E33" s="239"/>
      <c r="F33" s="744">
        <f>'V3'!P40*'V3'!$D$30</f>
        <v>0</v>
      </c>
      <c r="G33" s="744">
        <f>'V3'!Q40*'V3'!$D$30</f>
        <v>0</v>
      </c>
      <c r="H33" s="743">
        <f t="shared" ref="H33:Q33" si="9">F40*$D$30</f>
        <v>0</v>
      </c>
      <c r="I33" s="743">
        <f t="shared" si="9"/>
        <v>0</v>
      </c>
      <c r="J33" s="743">
        <f t="shared" si="9"/>
        <v>0</v>
      </c>
      <c r="K33" s="743">
        <f t="shared" si="9"/>
        <v>0</v>
      </c>
      <c r="L33" s="743">
        <f t="shared" si="9"/>
        <v>0</v>
      </c>
      <c r="M33" s="743">
        <f t="shared" si="9"/>
        <v>0</v>
      </c>
      <c r="N33" s="743">
        <f t="shared" si="9"/>
        <v>0</v>
      </c>
      <c r="O33" s="743">
        <f t="shared" si="9"/>
        <v>0</v>
      </c>
      <c r="P33" s="743">
        <f t="shared" si="9"/>
        <v>0</v>
      </c>
      <c r="Q33" s="743">
        <f t="shared" si="9"/>
        <v>0</v>
      </c>
    </row>
    <row r="34" spans="1:18" s="43" customFormat="1" ht="13" hidden="1">
      <c r="A34" s="241"/>
      <c r="B34" s="739"/>
      <c r="C34" s="239"/>
      <c r="E34" s="239"/>
      <c r="F34" s="744">
        <f>'V3'!O40*'V3'!$E$30</f>
        <v>0</v>
      </c>
      <c r="G34" s="744">
        <f>'V3'!P40*'V3'!$E$30</f>
        <v>0</v>
      </c>
      <c r="H34" s="744">
        <f>'V3'!Q40*'V3'!$E$30</f>
        <v>0</v>
      </c>
      <c r="I34" s="743">
        <f t="shared" ref="I34:Q34" si="10">F40*$E$30</f>
        <v>0</v>
      </c>
      <c r="J34" s="743">
        <f t="shared" si="10"/>
        <v>0</v>
      </c>
      <c r="K34" s="743">
        <f t="shared" si="10"/>
        <v>0</v>
      </c>
      <c r="L34" s="743">
        <f t="shared" si="10"/>
        <v>0</v>
      </c>
      <c r="M34" s="743">
        <f t="shared" si="10"/>
        <v>0</v>
      </c>
      <c r="N34" s="743">
        <f t="shared" si="10"/>
        <v>0</v>
      </c>
      <c r="O34" s="743">
        <f t="shared" si="10"/>
        <v>0</v>
      </c>
      <c r="P34" s="743">
        <f t="shared" si="10"/>
        <v>0</v>
      </c>
      <c r="Q34" s="743">
        <f t="shared" si="10"/>
        <v>0</v>
      </c>
    </row>
    <row r="35" spans="1:18" s="43" customFormat="1" ht="13" hidden="1">
      <c r="A35" s="241"/>
      <c r="D35" s="65"/>
      <c r="F35" s="483"/>
      <c r="G35" s="483"/>
      <c r="H35" s="483"/>
      <c r="I35" s="483"/>
      <c r="J35" s="483"/>
      <c r="K35" s="483"/>
      <c r="L35" s="483"/>
      <c r="M35" s="483"/>
      <c r="N35" s="483"/>
      <c r="O35" s="483"/>
      <c r="P35" s="483"/>
      <c r="Q35" s="483"/>
    </row>
    <row r="36" spans="1:18" s="43" customFormat="1" ht="13" hidden="1">
      <c r="A36" s="241"/>
      <c r="D36" s="740"/>
      <c r="F36" s="745">
        <f t="shared" ref="F36:Q36" si="11">SUM(F31:F34)</f>
        <v>1102.5</v>
      </c>
      <c r="G36" s="745">
        <f t="shared" si="11"/>
        <v>1157.625</v>
      </c>
      <c r="H36" s="745">
        <f t="shared" si="11"/>
        <v>1212.75</v>
      </c>
      <c r="I36" s="745">
        <f t="shared" si="11"/>
        <v>1267.875</v>
      </c>
      <c r="J36" s="745">
        <f t="shared" si="11"/>
        <v>1323</v>
      </c>
      <c r="K36" s="745">
        <f t="shared" si="11"/>
        <v>1378.125</v>
      </c>
      <c r="L36" s="745">
        <f t="shared" si="11"/>
        <v>1433.2500000000002</v>
      </c>
      <c r="M36" s="745">
        <f t="shared" si="11"/>
        <v>1488.375</v>
      </c>
      <c r="N36" s="745">
        <f t="shared" si="11"/>
        <v>1543.5</v>
      </c>
      <c r="O36" s="745">
        <f t="shared" si="11"/>
        <v>1598.625</v>
      </c>
      <c r="P36" s="745">
        <f t="shared" si="11"/>
        <v>1653.75</v>
      </c>
      <c r="Q36" s="745">
        <f t="shared" si="11"/>
        <v>1708.8750000000002</v>
      </c>
      <c r="R36" s="240"/>
    </row>
    <row r="37" spans="1:18" s="43" customFormat="1" ht="13">
      <c r="C37" s="241"/>
      <c r="D37" s="243"/>
      <c r="E37" s="243"/>
      <c r="F37" s="237"/>
      <c r="G37" s="237"/>
      <c r="H37" s="237"/>
      <c r="I37" s="237"/>
      <c r="J37" s="237"/>
      <c r="K37" s="237"/>
      <c r="L37" s="237"/>
      <c r="M37" s="237"/>
      <c r="N37" s="237"/>
      <c r="O37" s="237"/>
      <c r="P37" s="237"/>
      <c r="Q37" s="237"/>
      <c r="R37" s="240"/>
    </row>
    <row r="38" spans="1:18" s="43" customFormat="1" ht="12.75" customHeight="1" thickBot="1">
      <c r="C38" s="48" t="s">
        <v>490</v>
      </c>
      <c r="D38" s="407">
        <f>'V3'!D38</f>
        <v>10</v>
      </c>
      <c r="E38" s="245"/>
      <c r="R38" s="249"/>
    </row>
    <row r="39" spans="1:18" s="43" customFormat="1" ht="13.5" thickBot="1">
      <c r="C39" s="48" t="s">
        <v>389</v>
      </c>
      <c r="D39" s="246"/>
      <c r="E39" s="246"/>
      <c r="F39" s="408">
        <f>(1+$F28)*'V3'!F39</f>
        <v>110.25</v>
      </c>
      <c r="G39" s="408">
        <f>(1+$F28)*'V3'!G39</f>
        <v>115.7625</v>
      </c>
      <c r="H39" s="408">
        <f>(1+$F28)*'V3'!H39</f>
        <v>121.27500000000001</v>
      </c>
      <c r="I39" s="408">
        <f>(1+$F28)*'V3'!I39</f>
        <v>126.78750000000001</v>
      </c>
      <c r="J39" s="408">
        <f>(1+$F28)*'V3'!J39</f>
        <v>132.30000000000001</v>
      </c>
      <c r="K39" s="408">
        <f>(1+$F28)*'V3'!K39</f>
        <v>137.8125</v>
      </c>
      <c r="L39" s="408">
        <f>(1+$F28)*'V3'!L39</f>
        <v>143.32500000000002</v>
      </c>
      <c r="M39" s="408">
        <f>(1+$F28)*'V3'!M39</f>
        <v>148.83750000000001</v>
      </c>
      <c r="N39" s="408">
        <f>(1+$F28)*'V3'!N39</f>
        <v>154.35</v>
      </c>
      <c r="O39" s="408">
        <f>(1+$F28)*'V3'!O39</f>
        <v>159.86250000000001</v>
      </c>
      <c r="P39" s="408">
        <f>(1+$F28)*'V3'!P39</f>
        <v>165.375</v>
      </c>
      <c r="Q39" s="408">
        <f>(1+$F28)*'V3'!Q39</f>
        <v>170.88750000000002</v>
      </c>
      <c r="R39" s="73">
        <f>SUM(F39:Q39)</f>
        <v>1686.825</v>
      </c>
    </row>
    <row r="40" spans="1:18" s="43" customFormat="1" ht="13.5" thickBot="1">
      <c r="C40" s="48" t="s">
        <v>491</v>
      </c>
      <c r="D40" s="246"/>
      <c r="E40" s="246"/>
      <c r="F40" s="247">
        <f t="shared" ref="F40:Q40" si="12">F39*$D38</f>
        <v>1102.5</v>
      </c>
      <c r="G40" s="247">
        <f t="shared" si="12"/>
        <v>1157.625</v>
      </c>
      <c r="H40" s="247">
        <f t="shared" si="12"/>
        <v>1212.75</v>
      </c>
      <c r="I40" s="247">
        <f t="shared" si="12"/>
        <v>1267.875</v>
      </c>
      <c r="J40" s="247">
        <f t="shared" si="12"/>
        <v>1323</v>
      </c>
      <c r="K40" s="247">
        <f t="shared" si="12"/>
        <v>1378.125</v>
      </c>
      <c r="L40" s="247">
        <f t="shared" si="12"/>
        <v>1433.2500000000002</v>
      </c>
      <c r="M40" s="247">
        <f t="shared" si="12"/>
        <v>1488.375</v>
      </c>
      <c r="N40" s="247">
        <f t="shared" si="12"/>
        <v>1543.5</v>
      </c>
      <c r="O40" s="247">
        <f t="shared" si="12"/>
        <v>1598.625</v>
      </c>
      <c r="P40" s="247">
        <f t="shared" si="12"/>
        <v>1653.75</v>
      </c>
      <c r="Q40" s="248">
        <f t="shared" si="12"/>
        <v>1708.8750000000002</v>
      </c>
      <c r="R40" s="73">
        <f>SUM(F40:Q40)</f>
        <v>16868.25</v>
      </c>
    </row>
    <row r="41" spans="1:18" s="43" customFormat="1" ht="13.5" thickBot="1">
      <c r="C41" s="48"/>
      <c r="D41" s="246"/>
      <c r="E41" s="246"/>
      <c r="F41" s="249"/>
      <c r="G41" s="249"/>
      <c r="H41" s="249"/>
      <c r="I41" s="249"/>
      <c r="J41" s="249"/>
      <c r="K41" s="249"/>
      <c r="L41" s="249"/>
      <c r="M41" s="249"/>
      <c r="N41" s="249"/>
      <c r="O41" s="249"/>
      <c r="P41" s="249"/>
      <c r="Q41" s="249"/>
      <c r="R41" s="249"/>
    </row>
    <row r="42" spans="1:18" s="43" customFormat="1" ht="13.5" thickBot="1">
      <c r="A42" s="900" t="s">
        <v>315</v>
      </c>
      <c r="B42" s="901"/>
      <c r="C42" s="898"/>
      <c r="D42" s="902"/>
      <c r="E42" s="903"/>
      <c r="F42" s="848">
        <v>0</v>
      </c>
      <c r="G42" s="1181" t="str">
        <f>A44</f>
        <v>Produit/service 3</v>
      </c>
      <c r="H42" s="1182"/>
      <c r="I42" s="1182"/>
      <c r="J42" s="1182"/>
      <c r="K42" s="1182"/>
      <c r="L42" s="1182"/>
      <c r="M42" s="1182"/>
      <c r="N42" s="1182"/>
      <c r="O42" s="1182"/>
      <c r="P42" s="1182"/>
      <c r="Q42" s="1182"/>
      <c r="R42" s="1182"/>
    </row>
    <row r="43" spans="1:18" s="43" customFormat="1" ht="13">
      <c r="B43" s="739" t="s">
        <v>328</v>
      </c>
      <c r="C43" s="739" t="s">
        <v>329</v>
      </c>
      <c r="D43" s="739" t="s">
        <v>448</v>
      </c>
      <c r="E43" s="739" t="s">
        <v>330</v>
      </c>
      <c r="F43" s="741"/>
    </row>
    <row r="44" spans="1:18" s="43" customFormat="1" ht="13">
      <c r="A44" s="906" t="str">
        <f>'V3'!A44</f>
        <v>Produit/service 3</v>
      </c>
      <c r="B44" s="742">
        <f>'V3'!B44</f>
        <v>1</v>
      </c>
      <c r="C44" s="742">
        <f>'V3'!C44</f>
        <v>0</v>
      </c>
      <c r="D44" s="742">
        <f>'V3'!D44</f>
        <v>0</v>
      </c>
      <c r="E44" s="742">
        <f>'V3'!E44</f>
        <v>0</v>
      </c>
      <c r="F44" s="740" t="str">
        <f>IF(SUM(B44:E44)=100%,"","&gt; 100 % &lt;")</f>
        <v/>
      </c>
    </row>
    <row r="45" spans="1:18" s="43" customFormat="1" ht="16.5" hidden="1" customHeight="1">
      <c r="B45" s="739"/>
      <c r="C45" s="239"/>
      <c r="E45" s="239"/>
      <c r="F45" s="743">
        <f t="shared" ref="F45:Q45" si="13">F54*$B$44</f>
        <v>1653.75</v>
      </c>
      <c r="G45" s="743">
        <f t="shared" si="13"/>
        <v>1736.4375</v>
      </c>
      <c r="H45" s="743">
        <f t="shared" si="13"/>
        <v>1819.125</v>
      </c>
      <c r="I45" s="743">
        <f t="shared" si="13"/>
        <v>1901.8125000000002</v>
      </c>
      <c r="J45" s="743">
        <f t="shared" si="13"/>
        <v>1984.5000000000002</v>
      </c>
      <c r="K45" s="743">
        <f t="shared" si="13"/>
        <v>2067.1875</v>
      </c>
      <c r="L45" s="743">
        <f t="shared" si="13"/>
        <v>2149.8750000000005</v>
      </c>
      <c r="M45" s="743">
        <f t="shared" si="13"/>
        <v>2232.5625</v>
      </c>
      <c r="N45" s="743">
        <f t="shared" si="13"/>
        <v>2315.25</v>
      </c>
      <c r="O45" s="743">
        <f t="shared" si="13"/>
        <v>2397.9375</v>
      </c>
      <c r="P45" s="743">
        <f t="shared" si="13"/>
        <v>2480.625</v>
      </c>
      <c r="Q45" s="743">
        <f t="shared" si="13"/>
        <v>2563.3125000000005</v>
      </c>
    </row>
    <row r="46" spans="1:18" s="43" customFormat="1" ht="16.5" hidden="1" customHeight="1">
      <c r="A46" s="241"/>
      <c r="B46" s="739"/>
      <c r="C46" s="239"/>
      <c r="E46" s="239"/>
      <c r="F46" s="744">
        <f>'V3'!Q54*'V3'!$C$44</f>
        <v>0</v>
      </c>
      <c r="G46" s="743">
        <f t="shared" ref="G46:Q46" si="14">F54*$C$44</f>
        <v>0</v>
      </c>
      <c r="H46" s="743">
        <f t="shared" si="14"/>
        <v>0</v>
      </c>
      <c r="I46" s="743">
        <f t="shared" si="14"/>
        <v>0</v>
      </c>
      <c r="J46" s="743">
        <f t="shared" si="14"/>
        <v>0</v>
      </c>
      <c r="K46" s="743">
        <f t="shared" si="14"/>
        <v>0</v>
      </c>
      <c r="L46" s="743">
        <f t="shared" si="14"/>
        <v>0</v>
      </c>
      <c r="M46" s="743">
        <f t="shared" si="14"/>
        <v>0</v>
      </c>
      <c r="N46" s="743">
        <f t="shared" si="14"/>
        <v>0</v>
      </c>
      <c r="O46" s="743">
        <f t="shared" si="14"/>
        <v>0</v>
      </c>
      <c r="P46" s="743">
        <f t="shared" si="14"/>
        <v>0</v>
      </c>
      <c r="Q46" s="743">
        <f t="shared" si="14"/>
        <v>0</v>
      </c>
    </row>
    <row r="47" spans="1:18" s="43" customFormat="1" ht="13" hidden="1">
      <c r="A47" s="241"/>
      <c r="B47" s="739"/>
      <c r="C47" s="239"/>
      <c r="E47" s="239"/>
      <c r="F47" s="744">
        <f>'V3'!P54*'V3'!$D$44</f>
        <v>0</v>
      </c>
      <c r="G47" s="744">
        <f>'V3'!Q54*'V3'!$D$44</f>
        <v>0</v>
      </c>
      <c r="H47" s="743">
        <f t="shared" ref="H47:Q47" si="15">F54*$D$44</f>
        <v>0</v>
      </c>
      <c r="I47" s="743">
        <f t="shared" si="15"/>
        <v>0</v>
      </c>
      <c r="J47" s="743">
        <f t="shared" si="15"/>
        <v>0</v>
      </c>
      <c r="K47" s="743">
        <f t="shared" si="15"/>
        <v>0</v>
      </c>
      <c r="L47" s="743">
        <f t="shared" si="15"/>
        <v>0</v>
      </c>
      <c r="M47" s="743">
        <f t="shared" si="15"/>
        <v>0</v>
      </c>
      <c r="N47" s="743">
        <f t="shared" si="15"/>
        <v>0</v>
      </c>
      <c r="O47" s="743">
        <f t="shared" si="15"/>
        <v>0</v>
      </c>
      <c r="P47" s="743">
        <f t="shared" si="15"/>
        <v>0</v>
      </c>
      <c r="Q47" s="743">
        <f t="shared" si="15"/>
        <v>0</v>
      </c>
    </row>
    <row r="48" spans="1:18" s="43" customFormat="1" ht="13" hidden="1">
      <c r="A48" s="241"/>
      <c r="B48" s="739"/>
      <c r="C48" s="239"/>
      <c r="E48" s="239"/>
      <c r="F48" s="744">
        <f>'V3'!O54*'V3'!$E$44</f>
        <v>0</v>
      </c>
      <c r="G48" s="744">
        <f>'V3'!P54*'V3'!$E$44</f>
        <v>0</v>
      </c>
      <c r="H48" s="744">
        <f>'V3'!Q54*'V3'!$E$44</f>
        <v>0</v>
      </c>
      <c r="I48" s="743">
        <f t="shared" ref="I48:Q48" si="16">F54*$E$44</f>
        <v>0</v>
      </c>
      <c r="J48" s="743">
        <f t="shared" si="16"/>
        <v>0</v>
      </c>
      <c r="K48" s="743">
        <f t="shared" si="16"/>
        <v>0</v>
      </c>
      <c r="L48" s="743">
        <f t="shared" si="16"/>
        <v>0</v>
      </c>
      <c r="M48" s="743">
        <f t="shared" si="16"/>
        <v>0</v>
      </c>
      <c r="N48" s="743">
        <f t="shared" si="16"/>
        <v>0</v>
      </c>
      <c r="O48" s="743">
        <f t="shared" si="16"/>
        <v>0</v>
      </c>
      <c r="P48" s="743">
        <f t="shared" si="16"/>
        <v>0</v>
      </c>
      <c r="Q48" s="743">
        <f t="shared" si="16"/>
        <v>0</v>
      </c>
    </row>
    <row r="49" spans="1:18" s="43" customFormat="1" ht="13" hidden="1">
      <c r="A49" s="241"/>
      <c r="D49" s="65"/>
      <c r="F49" s="483"/>
      <c r="G49" s="483"/>
      <c r="H49" s="483"/>
      <c r="I49" s="483"/>
      <c r="J49" s="483"/>
      <c r="K49" s="483"/>
      <c r="L49" s="483"/>
      <c r="M49" s="483"/>
      <c r="N49" s="483"/>
      <c r="O49" s="483"/>
      <c r="P49" s="483"/>
      <c r="Q49" s="483"/>
    </row>
    <row r="50" spans="1:18" s="43" customFormat="1" ht="13" hidden="1">
      <c r="A50" s="241"/>
      <c r="D50" s="740"/>
      <c r="F50" s="745">
        <f t="shared" ref="F50:Q50" si="17">SUM(F45:F48)</f>
        <v>1653.75</v>
      </c>
      <c r="G50" s="745">
        <f t="shared" si="17"/>
        <v>1736.4375</v>
      </c>
      <c r="H50" s="745">
        <f t="shared" si="17"/>
        <v>1819.125</v>
      </c>
      <c r="I50" s="745">
        <f t="shared" si="17"/>
        <v>1901.8125000000002</v>
      </c>
      <c r="J50" s="745">
        <f t="shared" si="17"/>
        <v>1984.5000000000002</v>
      </c>
      <c r="K50" s="745">
        <f t="shared" si="17"/>
        <v>2067.1875</v>
      </c>
      <c r="L50" s="745">
        <f t="shared" si="17"/>
        <v>2149.8750000000005</v>
      </c>
      <c r="M50" s="745">
        <f t="shared" si="17"/>
        <v>2232.5625</v>
      </c>
      <c r="N50" s="745">
        <f t="shared" si="17"/>
        <v>2315.25</v>
      </c>
      <c r="O50" s="745">
        <f t="shared" si="17"/>
        <v>2397.9375</v>
      </c>
      <c r="P50" s="745">
        <f t="shared" si="17"/>
        <v>2480.625</v>
      </c>
      <c r="Q50" s="745">
        <f t="shared" si="17"/>
        <v>2563.3125000000005</v>
      </c>
      <c r="R50" s="240"/>
    </row>
    <row r="51" spans="1:18" s="43" customFormat="1" ht="13">
      <c r="C51" s="241"/>
      <c r="D51" s="243"/>
      <c r="E51" s="243"/>
      <c r="F51" s="237"/>
      <c r="G51" s="237"/>
      <c r="H51" s="237"/>
      <c r="I51" s="237"/>
      <c r="J51" s="237"/>
      <c r="K51" s="237"/>
      <c r="L51" s="237"/>
      <c r="M51" s="237"/>
      <c r="N51" s="237"/>
      <c r="O51" s="237"/>
      <c r="P51" s="237"/>
      <c r="Q51" s="237"/>
      <c r="R51" s="240"/>
    </row>
    <row r="52" spans="1:18" s="43" customFormat="1" ht="13.5" thickBot="1">
      <c r="C52" s="48" t="s">
        <v>490</v>
      </c>
      <c r="D52" s="407">
        <f>'V3'!D52</f>
        <v>15</v>
      </c>
      <c r="E52" s="245"/>
      <c r="R52" s="249"/>
    </row>
    <row r="53" spans="1:18" s="43" customFormat="1" ht="13.5" thickBot="1">
      <c r="C53" s="48" t="s">
        <v>389</v>
      </c>
      <c r="D53" s="237"/>
      <c r="E53" s="237"/>
      <c r="F53" s="408">
        <f>(1+$F42)*'V3'!F53</f>
        <v>110.25</v>
      </c>
      <c r="G53" s="408">
        <f>(1+$F42)*'V3'!G53</f>
        <v>115.7625</v>
      </c>
      <c r="H53" s="408">
        <f>(1+$F42)*'V3'!H53</f>
        <v>121.27500000000001</v>
      </c>
      <c r="I53" s="408">
        <f>(1+$F42)*'V3'!I53</f>
        <v>126.78750000000001</v>
      </c>
      <c r="J53" s="408">
        <f>(1+$F42)*'V3'!J53</f>
        <v>132.30000000000001</v>
      </c>
      <c r="K53" s="408">
        <f>(1+$F42)*'V3'!K53</f>
        <v>137.8125</v>
      </c>
      <c r="L53" s="408">
        <f>(1+$F42)*'V3'!L53</f>
        <v>143.32500000000002</v>
      </c>
      <c r="M53" s="408">
        <f>(1+$F42)*'V3'!M53</f>
        <v>148.83750000000001</v>
      </c>
      <c r="N53" s="408">
        <f>(1+$F42)*'V3'!N53</f>
        <v>154.35</v>
      </c>
      <c r="O53" s="408">
        <f>(1+$F42)*'V3'!O53</f>
        <v>159.86250000000001</v>
      </c>
      <c r="P53" s="408">
        <f>(1+$F42)*'V3'!P53</f>
        <v>165.375</v>
      </c>
      <c r="Q53" s="408">
        <f>(1+$F42)*'V3'!Q53</f>
        <v>170.88750000000002</v>
      </c>
      <c r="R53" s="73">
        <f>SUM(F53:Q53)</f>
        <v>1686.825</v>
      </c>
    </row>
    <row r="54" spans="1:18" s="43" customFormat="1" ht="13.5" thickBot="1">
      <c r="C54" s="48" t="s">
        <v>491</v>
      </c>
      <c r="D54" s="237"/>
      <c r="E54" s="237"/>
      <c r="F54" s="247">
        <f t="shared" ref="F54:Q54" si="18">F53*$D52</f>
        <v>1653.75</v>
      </c>
      <c r="G54" s="247">
        <f t="shared" si="18"/>
        <v>1736.4375</v>
      </c>
      <c r="H54" s="247">
        <f t="shared" si="18"/>
        <v>1819.125</v>
      </c>
      <c r="I54" s="247">
        <f t="shared" si="18"/>
        <v>1901.8125000000002</v>
      </c>
      <c r="J54" s="247">
        <f t="shared" si="18"/>
        <v>1984.5000000000002</v>
      </c>
      <c r="K54" s="247">
        <f t="shared" si="18"/>
        <v>2067.1875</v>
      </c>
      <c r="L54" s="247">
        <f t="shared" si="18"/>
        <v>2149.8750000000005</v>
      </c>
      <c r="M54" s="247">
        <f t="shared" si="18"/>
        <v>2232.5625</v>
      </c>
      <c r="N54" s="247">
        <f t="shared" si="18"/>
        <v>2315.25</v>
      </c>
      <c r="O54" s="247">
        <f t="shared" si="18"/>
        <v>2397.9375</v>
      </c>
      <c r="P54" s="247">
        <f t="shared" si="18"/>
        <v>2480.625</v>
      </c>
      <c r="Q54" s="248">
        <f t="shared" si="18"/>
        <v>2563.3125000000005</v>
      </c>
      <c r="R54" s="73">
        <f>SUM(F54:Q54)</f>
        <v>25302.375</v>
      </c>
    </row>
    <row r="55" spans="1:18" s="43" customFormat="1" ht="13.5" thickBot="1">
      <c r="C55" s="48"/>
      <c r="D55" s="237"/>
      <c r="E55" s="237"/>
      <c r="F55" s="249"/>
      <c r="G55" s="249"/>
      <c r="H55" s="249"/>
      <c r="I55" s="249"/>
      <c r="J55" s="249"/>
      <c r="K55" s="249"/>
      <c r="L55" s="249"/>
      <c r="M55" s="249"/>
      <c r="N55" s="249"/>
      <c r="O55" s="249"/>
      <c r="P55" s="249"/>
      <c r="Q55" s="249"/>
      <c r="R55" s="249"/>
    </row>
    <row r="56" spans="1:18" s="43" customFormat="1" ht="13.5" thickBot="1">
      <c r="A56" s="900" t="s">
        <v>315</v>
      </c>
      <c r="B56" s="901"/>
      <c r="C56" s="898"/>
      <c r="D56" s="902"/>
      <c r="E56" s="903"/>
      <c r="F56" s="848">
        <v>0</v>
      </c>
      <c r="G56" s="1181" t="str">
        <f>A58</f>
        <v>Produit/service 4</v>
      </c>
      <c r="H56" s="1182"/>
      <c r="I56" s="1182"/>
      <c r="J56" s="1182"/>
      <c r="K56" s="1182"/>
      <c r="L56" s="1182"/>
      <c r="M56" s="1182"/>
      <c r="N56" s="1182"/>
      <c r="O56" s="1182"/>
      <c r="P56" s="1182"/>
      <c r="Q56" s="1182"/>
      <c r="R56" s="1182"/>
    </row>
    <row r="57" spans="1:18" s="43" customFormat="1" ht="13">
      <c r="B57" s="739" t="s">
        <v>328</v>
      </c>
      <c r="C57" s="739" t="s">
        <v>329</v>
      </c>
      <c r="D57" s="739" t="s">
        <v>448</v>
      </c>
      <c r="E57" s="739" t="s">
        <v>330</v>
      </c>
      <c r="F57" s="741"/>
    </row>
    <row r="58" spans="1:18" s="43" customFormat="1" ht="13">
      <c r="A58" s="906" t="str">
        <f>'V3'!A58</f>
        <v>Produit/service 4</v>
      </c>
      <c r="B58" s="742">
        <f>'V3'!B58</f>
        <v>1</v>
      </c>
      <c r="C58" s="742">
        <f>'V3'!C58</f>
        <v>0</v>
      </c>
      <c r="D58" s="742">
        <f>'V3'!D58</f>
        <v>0</v>
      </c>
      <c r="E58" s="742">
        <f>'V3'!E58</f>
        <v>0</v>
      </c>
      <c r="F58" s="740" t="str">
        <f>IF(SUM(B58:E58)=100%,"","&gt; 100 % &lt;")</f>
        <v/>
      </c>
    </row>
    <row r="59" spans="1:18" s="43" customFormat="1" ht="16.5" hidden="1" customHeight="1">
      <c r="B59" s="739"/>
      <c r="C59" s="239"/>
      <c r="E59" s="239"/>
      <c r="F59" s="743">
        <f t="shared" ref="F59:Q59" si="19">F68*$B$58</f>
        <v>0</v>
      </c>
      <c r="G59" s="743">
        <f t="shared" si="19"/>
        <v>0</v>
      </c>
      <c r="H59" s="743">
        <f t="shared" si="19"/>
        <v>0</v>
      </c>
      <c r="I59" s="743">
        <f t="shared" si="19"/>
        <v>0</v>
      </c>
      <c r="J59" s="743">
        <f t="shared" si="19"/>
        <v>0</v>
      </c>
      <c r="K59" s="743">
        <f t="shared" si="19"/>
        <v>0</v>
      </c>
      <c r="L59" s="743">
        <f t="shared" si="19"/>
        <v>0</v>
      </c>
      <c r="M59" s="743">
        <f t="shared" si="19"/>
        <v>0</v>
      </c>
      <c r="N59" s="743">
        <f t="shared" si="19"/>
        <v>0</v>
      </c>
      <c r="O59" s="743">
        <f t="shared" si="19"/>
        <v>0</v>
      </c>
      <c r="P59" s="743">
        <f t="shared" si="19"/>
        <v>0</v>
      </c>
      <c r="Q59" s="743">
        <f t="shared" si="19"/>
        <v>0</v>
      </c>
    </row>
    <row r="60" spans="1:18" s="43" customFormat="1" ht="16.5" hidden="1" customHeight="1">
      <c r="A60" s="241"/>
      <c r="B60" s="739"/>
      <c r="C60" s="239"/>
      <c r="E60" s="239"/>
      <c r="F60" s="744">
        <f>'V3'!Q68*'V3'!$C$58</f>
        <v>0</v>
      </c>
      <c r="G60" s="743">
        <f t="shared" ref="G60:Q60" si="20">F68*$C$58</f>
        <v>0</v>
      </c>
      <c r="H60" s="743">
        <f t="shared" si="20"/>
        <v>0</v>
      </c>
      <c r="I60" s="743">
        <f t="shared" si="20"/>
        <v>0</v>
      </c>
      <c r="J60" s="743">
        <f t="shared" si="20"/>
        <v>0</v>
      </c>
      <c r="K60" s="743">
        <f t="shared" si="20"/>
        <v>0</v>
      </c>
      <c r="L60" s="743">
        <f t="shared" si="20"/>
        <v>0</v>
      </c>
      <c r="M60" s="743">
        <f t="shared" si="20"/>
        <v>0</v>
      </c>
      <c r="N60" s="743">
        <f t="shared" si="20"/>
        <v>0</v>
      </c>
      <c r="O60" s="743">
        <f t="shared" si="20"/>
        <v>0</v>
      </c>
      <c r="P60" s="743">
        <f t="shared" si="20"/>
        <v>0</v>
      </c>
      <c r="Q60" s="743">
        <f t="shared" si="20"/>
        <v>0</v>
      </c>
    </row>
    <row r="61" spans="1:18" s="43" customFormat="1" ht="13" hidden="1">
      <c r="A61" s="241"/>
      <c r="B61" s="739"/>
      <c r="C61" s="239"/>
      <c r="E61" s="239"/>
      <c r="F61" s="744">
        <f>'V3'!P68*'V3'!$D$58</f>
        <v>0</v>
      </c>
      <c r="G61" s="744">
        <f>'V3'!Q68*'V3'!$D$58</f>
        <v>0</v>
      </c>
      <c r="H61" s="743">
        <f t="shared" ref="H61:Q61" si="21">F68*$D$58</f>
        <v>0</v>
      </c>
      <c r="I61" s="743">
        <f t="shared" si="21"/>
        <v>0</v>
      </c>
      <c r="J61" s="743">
        <f t="shared" si="21"/>
        <v>0</v>
      </c>
      <c r="K61" s="743">
        <f t="shared" si="21"/>
        <v>0</v>
      </c>
      <c r="L61" s="743">
        <f t="shared" si="21"/>
        <v>0</v>
      </c>
      <c r="M61" s="743">
        <f t="shared" si="21"/>
        <v>0</v>
      </c>
      <c r="N61" s="743">
        <f t="shared" si="21"/>
        <v>0</v>
      </c>
      <c r="O61" s="743">
        <f t="shared" si="21"/>
        <v>0</v>
      </c>
      <c r="P61" s="743">
        <f t="shared" si="21"/>
        <v>0</v>
      </c>
      <c r="Q61" s="743">
        <f t="shared" si="21"/>
        <v>0</v>
      </c>
    </row>
    <row r="62" spans="1:18" s="43" customFormat="1" ht="13" hidden="1">
      <c r="A62" s="241"/>
      <c r="B62" s="739"/>
      <c r="C62" s="239"/>
      <c r="E62" s="239"/>
      <c r="F62" s="744">
        <f>'V3'!O68*'V3'!$E$58</f>
        <v>0</v>
      </c>
      <c r="G62" s="744">
        <f>'V3'!P68*'V3'!$E$58</f>
        <v>0</v>
      </c>
      <c r="H62" s="744">
        <f>'V3'!Q68*'V3'!$E$58</f>
        <v>0</v>
      </c>
      <c r="I62" s="743">
        <f t="shared" ref="I62:Q62" si="22">F68*$E$58</f>
        <v>0</v>
      </c>
      <c r="J62" s="743">
        <f t="shared" si="22"/>
        <v>0</v>
      </c>
      <c r="K62" s="743">
        <f t="shared" si="22"/>
        <v>0</v>
      </c>
      <c r="L62" s="743">
        <f t="shared" si="22"/>
        <v>0</v>
      </c>
      <c r="M62" s="743">
        <f t="shared" si="22"/>
        <v>0</v>
      </c>
      <c r="N62" s="743">
        <f t="shared" si="22"/>
        <v>0</v>
      </c>
      <c r="O62" s="743">
        <f t="shared" si="22"/>
        <v>0</v>
      </c>
      <c r="P62" s="743">
        <f t="shared" si="22"/>
        <v>0</v>
      </c>
      <c r="Q62" s="743">
        <f t="shared" si="22"/>
        <v>0</v>
      </c>
    </row>
    <row r="63" spans="1:18" s="43" customFormat="1" ht="13" hidden="1">
      <c r="A63" s="241"/>
      <c r="D63" s="65"/>
      <c r="F63" s="483"/>
      <c r="G63" s="483"/>
      <c r="H63" s="483"/>
      <c r="I63" s="483"/>
      <c r="J63" s="483"/>
      <c r="K63" s="483"/>
      <c r="L63" s="483"/>
      <c r="M63" s="483"/>
      <c r="N63" s="483"/>
      <c r="O63" s="483"/>
      <c r="P63" s="483"/>
      <c r="Q63" s="483"/>
    </row>
    <row r="64" spans="1:18" s="43" customFormat="1" ht="13" hidden="1">
      <c r="A64" s="241"/>
      <c r="D64" s="740"/>
      <c r="F64" s="745">
        <f t="shared" ref="F64:Q64" si="23">SUM(F59:F62)</f>
        <v>0</v>
      </c>
      <c r="G64" s="745">
        <f t="shared" si="23"/>
        <v>0</v>
      </c>
      <c r="H64" s="745">
        <f t="shared" si="23"/>
        <v>0</v>
      </c>
      <c r="I64" s="745">
        <f t="shared" si="23"/>
        <v>0</v>
      </c>
      <c r="J64" s="745">
        <f t="shared" si="23"/>
        <v>0</v>
      </c>
      <c r="K64" s="745">
        <f t="shared" si="23"/>
        <v>0</v>
      </c>
      <c r="L64" s="745">
        <f t="shared" si="23"/>
        <v>0</v>
      </c>
      <c r="M64" s="745">
        <f t="shared" si="23"/>
        <v>0</v>
      </c>
      <c r="N64" s="745">
        <f t="shared" si="23"/>
        <v>0</v>
      </c>
      <c r="O64" s="745">
        <f t="shared" si="23"/>
        <v>0</v>
      </c>
      <c r="P64" s="745">
        <f t="shared" si="23"/>
        <v>0</v>
      </c>
      <c r="Q64" s="745">
        <f t="shared" si="23"/>
        <v>0</v>
      </c>
      <c r="R64" s="240"/>
    </row>
    <row r="65" spans="1:18" s="43" customFormat="1" ht="13">
      <c r="C65" s="241"/>
      <c r="D65" s="243"/>
      <c r="E65" s="243"/>
      <c r="F65" s="237"/>
      <c r="G65" s="237"/>
      <c r="H65" s="237"/>
      <c r="I65" s="237"/>
      <c r="J65" s="237"/>
      <c r="K65" s="237"/>
      <c r="L65" s="237"/>
      <c r="M65" s="237"/>
      <c r="N65" s="237"/>
      <c r="O65" s="237"/>
      <c r="P65" s="237"/>
      <c r="Q65" s="237"/>
      <c r="R65" s="240"/>
    </row>
    <row r="66" spans="1:18" s="43" customFormat="1" ht="13.5" thickBot="1">
      <c r="C66" s="48" t="s">
        <v>490</v>
      </c>
      <c r="D66" s="407">
        <f>'V3'!D66</f>
        <v>1</v>
      </c>
      <c r="E66" s="245"/>
      <c r="R66" s="238"/>
    </row>
    <row r="67" spans="1:18" s="43" customFormat="1" ht="13.5" thickBot="1">
      <c r="C67" s="48" t="s">
        <v>389</v>
      </c>
      <c r="D67" s="254"/>
      <c r="E67" s="254"/>
      <c r="F67" s="408">
        <f>(1+$F56)*'V3'!F67</f>
        <v>0</v>
      </c>
      <c r="G67" s="408">
        <f>(1+$F56)*'V3'!G67</f>
        <v>0</v>
      </c>
      <c r="H67" s="408">
        <f>(1+$F56)*'V3'!H67</f>
        <v>0</v>
      </c>
      <c r="I67" s="408">
        <f>(1+$F56)*'V3'!I67</f>
        <v>0</v>
      </c>
      <c r="J67" s="408">
        <f>(1+$F56)*'V3'!J67</f>
        <v>0</v>
      </c>
      <c r="K67" s="408">
        <f>(1+$F56)*'V3'!K67</f>
        <v>0</v>
      </c>
      <c r="L67" s="408">
        <f>(1+$F56)*'V3'!L67</f>
        <v>0</v>
      </c>
      <c r="M67" s="408">
        <f>(1+$F56)*'V3'!M67</f>
        <v>0</v>
      </c>
      <c r="N67" s="408">
        <f>(1+$F56)*'V3'!N67</f>
        <v>0</v>
      </c>
      <c r="O67" s="408">
        <f>(1+$F56)*'V3'!O67</f>
        <v>0</v>
      </c>
      <c r="P67" s="408">
        <f>(1+$F56)*'V3'!P67</f>
        <v>0</v>
      </c>
      <c r="Q67" s="408">
        <f>(1+$F56)*'V3'!Q67</f>
        <v>0</v>
      </c>
      <c r="R67" s="73">
        <f>SUM(F67:Q67)</f>
        <v>0</v>
      </c>
    </row>
    <row r="68" spans="1:18" s="43" customFormat="1" ht="13.5" thickBot="1">
      <c r="C68" s="48" t="s">
        <v>491</v>
      </c>
      <c r="D68" s="246"/>
      <c r="E68" s="246"/>
      <c r="F68" s="247">
        <f t="shared" ref="F68:Q68" si="24">F67*$D66</f>
        <v>0</v>
      </c>
      <c r="G68" s="247">
        <f t="shared" si="24"/>
        <v>0</v>
      </c>
      <c r="H68" s="247">
        <f t="shared" si="24"/>
        <v>0</v>
      </c>
      <c r="I68" s="247">
        <f t="shared" si="24"/>
        <v>0</v>
      </c>
      <c r="J68" s="247">
        <f t="shared" si="24"/>
        <v>0</v>
      </c>
      <c r="K68" s="247">
        <f t="shared" si="24"/>
        <v>0</v>
      </c>
      <c r="L68" s="247">
        <f t="shared" si="24"/>
        <v>0</v>
      </c>
      <c r="M68" s="247">
        <f t="shared" si="24"/>
        <v>0</v>
      </c>
      <c r="N68" s="247">
        <f t="shared" si="24"/>
        <v>0</v>
      </c>
      <c r="O68" s="247">
        <f t="shared" si="24"/>
        <v>0</v>
      </c>
      <c r="P68" s="247">
        <f t="shared" si="24"/>
        <v>0</v>
      </c>
      <c r="Q68" s="248">
        <f t="shared" si="24"/>
        <v>0</v>
      </c>
      <c r="R68" s="73">
        <f>SUM(F68:Q68)</f>
        <v>0</v>
      </c>
    </row>
    <row r="69" spans="1:18" s="43" customFormat="1" ht="13.5" thickBot="1">
      <c r="C69" s="48"/>
      <c r="D69" s="246"/>
      <c r="E69" s="246"/>
      <c r="F69" s="249"/>
      <c r="G69" s="249"/>
      <c r="H69" s="249"/>
      <c r="I69" s="249"/>
      <c r="J69" s="249"/>
      <c r="K69" s="249"/>
      <c r="L69" s="249"/>
      <c r="M69" s="249"/>
      <c r="N69" s="249"/>
      <c r="O69" s="249"/>
      <c r="P69" s="249"/>
      <c r="Q69" s="249"/>
      <c r="R69" s="249"/>
    </row>
    <row r="70" spans="1:18" s="43" customFormat="1" ht="13.5" thickBot="1">
      <c r="A70" s="900" t="s">
        <v>315</v>
      </c>
      <c r="B70" s="901"/>
      <c r="C70" s="898"/>
      <c r="D70" s="902"/>
      <c r="E70" s="903"/>
      <c r="F70" s="848">
        <v>0</v>
      </c>
      <c r="G70" s="1181" t="str">
        <f>A72</f>
        <v>Produit/service 5</v>
      </c>
      <c r="H70" s="1182"/>
      <c r="I70" s="1182"/>
      <c r="J70" s="1182"/>
      <c r="K70" s="1182"/>
      <c r="L70" s="1182"/>
      <c r="M70" s="1182"/>
      <c r="N70" s="1182"/>
      <c r="O70" s="1182"/>
      <c r="P70" s="1182"/>
      <c r="Q70" s="1182"/>
      <c r="R70" s="1182"/>
    </row>
    <row r="71" spans="1:18" s="43" customFormat="1" ht="13">
      <c r="B71" s="739" t="s">
        <v>328</v>
      </c>
      <c r="C71" s="739" t="s">
        <v>329</v>
      </c>
      <c r="D71" s="739" t="s">
        <v>448</v>
      </c>
      <c r="E71" s="739" t="s">
        <v>330</v>
      </c>
      <c r="F71" s="741"/>
    </row>
    <row r="72" spans="1:18" s="43" customFormat="1" ht="13">
      <c r="A72" s="906" t="str">
        <f>'V3'!A72</f>
        <v>Produit/service 5</v>
      </c>
      <c r="B72" s="742">
        <f>'V3'!B72</f>
        <v>1</v>
      </c>
      <c r="C72" s="742">
        <f>'V3'!C72</f>
        <v>0</v>
      </c>
      <c r="D72" s="742">
        <f>'V3'!D72</f>
        <v>0</v>
      </c>
      <c r="E72" s="742">
        <f>'V3'!E72</f>
        <v>0</v>
      </c>
      <c r="F72" s="740" t="str">
        <f>IF(SUM(B72:E72)=100%,"","&gt; 100 % &lt;")</f>
        <v/>
      </c>
    </row>
    <row r="73" spans="1:18" s="43" customFormat="1" ht="16.5" hidden="1" customHeight="1">
      <c r="B73" s="739"/>
      <c r="C73" s="239"/>
      <c r="E73" s="239"/>
      <c r="F73" s="743">
        <f t="shared" ref="F73:Q73" si="25">F82*$B$72</f>
        <v>0</v>
      </c>
      <c r="G73" s="743">
        <f t="shared" si="25"/>
        <v>0</v>
      </c>
      <c r="H73" s="743">
        <f t="shared" si="25"/>
        <v>0</v>
      </c>
      <c r="I73" s="743">
        <f t="shared" si="25"/>
        <v>0</v>
      </c>
      <c r="J73" s="743">
        <f t="shared" si="25"/>
        <v>0</v>
      </c>
      <c r="K73" s="743">
        <f t="shared" si="25"/>
        <v>0</v>
      </c>
      <c r="L73" s="743">
        <f t="shared" si="25"/>
        <v>0</v>
      </c>
      <c r="M73" s="743">
        <f t="shared" si="25"/>
        <v>0</v>
      </c>
      <c r="N73" s="743">
        <f t="shared" si="25"/>
        <v>0</v>
      </c>
      <c r="O73" s="743">
        <f t="shared" si="25"/>
        <v>0</v>
      </c>
      <c r="P73" s="743">
        <f t="shared" si="25"/>
        <v>0</v>
      </c>
      <c r="Q73" s="743">
        <f t="shared" si="25"/>
        <v>0</v>
      </c>
    </row>
    <row r="74" spans="1:18" s="43" customFormat="1" ht="16.5" hidden="1" customHeight="1">
      <c r="A74" s="241"/>
      <c r="B74" s="739"/>
      <c r="C74" s="239"/>
      <c r="E74" s="239"/>
      <c r="F74" s="744">
        <f>'V3'!Q82*'V3'!$C$72</f>
        <v>0</v>
      </c>
      <c r="G74" s="743">
        <f t="shared" ref="G74:Q74" si="26">F82*$C$72</f>
        <v>0</v>
      </c>
      <c r="H74" s="743">
        <f t="shared" si="26"/>
        <v>0</v>
      </c>
      <c r="I74" s="743">
        <f t="shared" si="26"/>
        <v>0</v>
      </c>
      <c r="J74" s="743">
        <f t="shared" si="26"/>
        <v>0</v>
      </c>
      <c r="K74" s="743">
        <f t="shared" si="26"/>
        <v>0</v>
      </c>
      <c r="L74" s="743">
        <f t="shared" si="26"/>
        <v>0</v>
      </c>
      <c r="M74" s="743">
        <f t="shared" si="26"/>
        <v>0</v>
      </c>
      <c r="N74" s="743">
        <f t="shared" si="26"/>
        <v>0</v>
      </c>
      <c r="O74" s="743">
        <f t="shared" si="26"/>
        <v>0</v>
      </c>
      <c r="P74" s="743">
        <f t="shared" si="26"/>
        <v>0</v>
      </c>
      <c r="Q74" s="743">
        <f t="shared" si="26"/>
        <v>0</v>
      </c>
    </row>
    <row r="75" spans="1:18" s="43" customFormat="1" ht="13" hidden="1">
      <c r="A75" s="241"/>
      <c r="B75" s="739"/>
      <c r="C75" s="239"/>
      <c r="E75" s="239"/>
      <c r="F75" s="744">
        <f>'V3'!P82*'V3'!$D$72</f>
        <v>0</v>
      </c>
      <c r="G75" s="744">
        <f>'V3'!Q82*'V3'!$D$72</f>
        <v>0</v>
      </c>
      <c r="H75" s="743">
        <f t="shared" ref="H75:Q75" si="27">F82*$D$72</f>
        <v>0</v>
      </c>
      <c r="I75" s="743">
        <f t="shared" si="27"/>
        <v>0</v>
      </c>
      <c r="J75" s="743">
        <f t="shared" si="27"/>
        <v>0</v>
      </c>
      <c r="K75" s="743">
        <f t="shared" si="27"/>
        <v>0</v>
      </c>
      <c r="L75" s="743">
        <f t="shared" si="27"/>
        <v>0</v>
      </c>
      <c r="M75" s="743">
        <f t="shared" si="27"/>
        <v>0</v>
      </c>
      <c r="N75" s="743">
        <f t="shared" si="27"/>
        <v>0</v>
      </c>
      <c r="O75" s="743">
        <f t="shared" si="27"/>
        <v>0</v>
      </c>
      <c r="P75" s="743">
        <f t="shared" si="27"/>
        <v>0</v>
      </c>
      <c r="Q75" s="743">
        <f t="shared" si="27"/>
        <v>0</v>
      </c>
    </row>
    <row r="76" spans="1:18" s="43" customFormat="1" ht="13" hidden="1">
      <c r="A76" s="241"/>
      <c r="B76" s="739"/>
      <c r="C76" s="239"/>
      <c r="E76" s="239"/>
      <c r="F76" s="744">
        <f>'V3'!O82*'V3'!$E$72</f>
        <v>0</v>
      </c>
      <c r="G76" s="744">
        <f>'V3'!P82*'V3'!$E$72</f>
        <v>0</v>
      </c>
      <c r="H76" s="744">
        <f>'V3'!Q82*'V3'!$E$72</f>
        <v>0</v>
      </c>
      <c r="I76" s="743">
        <f t="shared" ref="I76:Q76" si="28">F82*$E$72</f>
        <v>0</v>
      </c>
      <c r="J76" s="743">
        <f t="shared" si="28"/>
        <v>0</v>
      </c>
      <c r="K76" s="743">
        <f t="shared" si="28"/>
        <v>0</v>
      </c>
      <c r="L76" s="743">
        <f t="shared" si="28"/>
        <v>0</v>
      </c>
      <c r="M76" s="743">
        <f t="shared" si="28"/>
        <v>0</v>
      </c>
      <c r="N76" s="743">
        <f t="shared" si="28"/>
        <v>0</v>
      </c>
      <c r="O76" s="743">
        <f t="shared" si="28"/>
        <v>0</v>
      </c>
      <c r="P76" s="743">
        <f t="shared" si="28"/>
        <v>0</v>
      </c>
      <c r="Q76" s="743">
        <f t="shared" si="28"/>
        <v>0</v>
      </c>
    </row>
    <row r="77" spans="1:18" s="43" customFormat="1" ht="13" hidden="1">
      <c r="A77" s="241"/>
      <c r="D77" s="65"/>
      <c r="F77" s="483"/>
      <c r="G77" s="483"/>
      <c r="H77" s="483"/>
      <c r="I77" s="483"/>
      <c r="J77" s="483"/>
      <c r="K77" s="483"/>
      <c r="L77" s="483"/>
      <c r="M77" s="483"/>
      <c r="N77" s="483"/>
      <c r="O77" s="483"/>
      <c r="P77" s="483"/>
      <c r="Q77" s="483"/>
    </row>
    <row r="78" spans="1:18" s="43" customFormat="1" ht="13" hidden="1">
      <c r="A78" s="241"/>
      <c r="D78" s="740"/>
      <c r="F78" s="745">
        <f t="shared" ref="F78:Q78" si="29">SUM(F73:F76)</f>
        <v>0</v>
      </c>
      <c r="G78" s="745">
        <f t="shared" si="29"/>
        <v>0</v>
      </c>
      <c r="H78" s="745">
        <f t="shared" si="29"/>
        <v>0</v>
      </c>
      <c r="I78" s="745">
        <f t="shared" si="29"/>
        <v>0</v>
      </c>
      <c r="J78" s="745">
        <f t="shared" si="29"/>
        <v>0</v>
      </c>
      <c r="K78" s="745">
        <f t="shared" si="29"/>
        <v>0</v>
      </c>
      <c r="L78" s="745">
        <f t="shared" si="29"/>
        <v>0</v>
      </c>
      <c r="M78" s="745">
        <f t="shared" si="29"/>
        <v>0</v>
      </c>
      <c r="N78" s="745">
        <f t="shared" si="29"/>
        <v>0</v>
      </c>
      <c r="O78" s="745">
        <f t="shared" si="29"/>
        <v>0</v>
      </c>
      <c r="P78" s="745">
        <f t="shared" si="29"/>
        <v>0</v>
      </c>
      <c r="Q78" s="745">
        <f t="shared" si="29"/>
        <v>0</v>
      </c>
      <c r="R78" s="240"/>
    </row>
    <row r="79" spans="1:18" s="43" customFormat="1" ht="13">
      <c r="C79" s="241"/>
      <c r="D79" s="243"/>
      <c r="E79" s="243"/>
      <c r="F79" s="237"/>
      <c r="G79" s="237"/>
      <c r="H79" s="237"/>
      <c r="I79" s="237"/>
      <c r="J79" s="237"/>
      <c r="K79" s="237"/>
      <c r="L79" s="237"/>
      <c r="M79" s="237"/>
      <c r="N79" s="237"/>
      <c r="O79" s="237"/>
      <c r="P79" s="237"/>
      <c r="Q79" s="237"/>
      <c r="R79" s="240"/>
    </row>
    <row r="80" spans="1:18" s="43" customFormat="1" ht="13.5" thickBot="1">
      <c r="C80" s="48" t="s">
        <v>490</v>
      </c>
      <c r="D80" s="407">
        <f>'V3'!D80</f>
        <v>1</v>
      </c>
      <c r="E80" s="245"/>
      <c r="R80" s="249"/>
    </row>
    <row r="81" spans="1:18" s="43" customFormat="1" ht="13.5" thickBot="1">
      <c r="C81" s="48" t="s">
        <v>389</v>
      </c>
      <c r="D81" s="246"/>
      <c r="E81" s="246"/>
      <c r="F81" s="408">
        <f>(1+$F70)*'V3'!F81</f>
        <v>0</v>
      </c>
      <c r="G81" s="408">
        <f>(1+$F70)*'V3'!G81</f>
        <v>0</v>
      </c>
      <c r="H81" s="408">
        <f>(1+$F70)*'V3'!H81</f>
        <v>0</v>
      </c>
      <c r="I81" s="408">
        <f>(1+$F70)*'V3'!I81</f>
        <v>0</v>
      </c>
      <c r="J81" s="408">
        <f>(1+$F70)*'V3'!J81</f>
        <v>0</v>
      </c>
      <c r="K81" s="408">
        <f>(1+$F70)*'V3'!K81</f>
        <v>0</v>
      </c>
      <c r="L81" s="408">
        <f>(1+$F70)*'V3'!L81</f>
        <v>0</v>
      </c>
      <c r="M81" s="408">
        <f>(1+$F70)*'V3'!M81</f>
        <v>0</v>
      </c>
      <c r="N81" s="408">
        <f>(1+$F70)*'V3'!N81</f>
        <v>0</v>
      </c>
      <c r="O81" s="408">
        <f>(1+$F70)*'V3'!O81</f>
        <v>0</v>
      </c>
      <c r="P81" s="408">
        <f>(1+$F70)*'V3'!P81</f>
        <v>0</v>
      </c>
      <c r="Q81" s="408">
        <f>(1+$F70)*'V3'!Q81</f>
        <v>0</v>
      </c>
      <c r="R81" s="73">
        <f>SUM(F81:Q81)</f>
        <v>0</v>
      </c>
    </row>
    <row r="82" spans="1:18" s="43" customFormat="1" ht="13.5" thickBot="1">
      <c r="C82" s="48" t="s">
        <v>491</v>
      </c>
      <c r="D82" s="246"/>
      <c r="E82" s="246"/>
      <c r="F82" s="247">
        <f t="shared" ref="F82:Q82" si="30">F81*$D80</f>
        <v>0</v>
      </c>
      <c r="G82" s="247">
        <f t="shared" si="30"/>
        <v>0</v>
      </c>
      <c r="H82" s="247">
        <f t="shared" si="30"/>
        <v>0</v>
      </c>
      <c r="I82" s="247">
        <f t="shared" si="30"/>
        <v>0</v>
      </c>
      <c r="J82" s="247">
        <f t="shared" si="30"/>
        <v>0</v>
      </c>
      <c r="K82" s="247">
        <f t="shared" si="30"/>
        <v>0</v>
      </c>
      <c r="L82" s="247">
        <f t="shared" si="30"/>
        <v>0</v>
      </c>
      <c r="M82" s="247">
        <f t="shared" si="30"/>
        <v>0</v>
      </c>
      <c r="N82" s="247">
        <f t="shared" si="30"/>
        <v>0</v>
      </c>
      <c r="O82" s="247">
        <f t="shared" si="30"/>
        <v>0</v>
      </c>
      <c r="P82" s="247">
        <f t="shared" si="30"/>
        <v>0</v>
      </c>
      <c r="Q82" s="248">
        <f t="shared" si="30"/>
        <v>0</v>
      </c>
      <c r="R82" s="73">
        <f>SUM(F82:Q82)</f>
        <v>0</v>
      </c>
    </row>
    <row r="83" spans="1:18" s="43" customFormat="1" ht="13.5" thickBot="1">
      <c r="C83" s="48"/>
      <c r="D83" s="246"/>
      <c r="E83" s="246"/>
      <c r="F83" s="249"/>
      <c r="G83" s="249"/>
      <c r="H83" s="249"/>
      <c r="I83" s="249"/>
      <c r="J83" s="249"/>
      <c r="K83" s="249"/>
      <c r="L83" s="249"/>
      <c r="M83" s="249"/>
      <c r="N83" s="249"/>
      <c r="O83" s="249"/>
      <c r="P83" s="249"/>
      <c r="Q83" s="249"/>
      <c r="R83" s="249"/>
    </row>
    <row r="84" spans="1:18" s="43" customFormat="1" ht="13.5" thickBot="1">
      <c r="A84" s="900" t="s">
        <v>315</v>
      </c>
      <c r="B84" s="901"/>
      <c r="C84" s="898"/>
      <c r="D84" s="902"/>
      <c r="E84" s="903"/>
      <c r="F84" s="848">
        <v>0</v>
      </c>
      <c r="G84" s="1181" t="str">
        <f>A86</f>
        <v>Produit/service 6</v>
      </c>
      <c r="H84" s="1182"/>
      <c r="I84" s="1182"/>
      <c r="J84" s="1182"/>
      <c r="K84" s="1182"/>
      <c r="L84" s="1182"/>
      <c r="M84" s="1182"/>
      <c r="N84" s="1182"/>
      <c r="O84" s="1182"/>
      <c r="P84" s="1182"/>
      <c r="Q84" s="1182"/>
      <c r="R84" s="1182"/>
    </row>
    <row r="85" spans="1:18" s="43" customFormat="1" ht="13">
      <c r="B85" s="739" t="s">
        <v>328</v>
      </c>
      <c r="C85" s="739" t="s">
        <v>329</v>
      </c>
      <c r="D85" s="739" t="s">
        <v>448</v>
      </c>
      <c r="E85" s="739" t="s">
        <v>330</v>
      </c>
      <c r="F85" s="741"/>
    </row>
    <row r="86" spans="1:18" s="43" customFormat="1" ht="13">
      <c r="A86" s="906" t="str">
        <f>'V3'!A86</f>
        <v>Produit/service 6</v>
      </c>
      <c r="B86" s="742">
        <f>'V3'!B86</f>
        <v>1</v>
      </c>
      <c r="C86" s="742">
        <f>'V3'!C86</f>
        <v>0</v>
      </c>
      <c r="D86" s="742">
        <f>'V3'!D86</f>
        <v>0</v>
      </c>
      <c r="E86" s="742">
        <f>'V3'!E86</f>
        <v>0</v>
      </c>
      <c r="F86" s="740" t="str">
        <f>IF(SUM(B86:E86)=100%,"","&gt; 100 % &lt;")</f>
        <v/>
      </c>
    </row>
    <row r="87" spans="1:18" s="43" customFormat="1" ht="16.5" hidden="1" customHeight="1">
      <c r="B87" s="739"/>
      <c r="C87" s="239"/>
      <c r="E87" s="239"/>
      <c r="F87" s="743">
        <f t="shared" ref="F87:Q87" si="31">F96*$B$86</f>
        <v>0</v>
      </c>
      <c r="G87" s="743">
        <f t="shared" si="31"/>
        <v>0</v>
      </c>
      <c r="H87" s="743">
        <f t="shared" si="31"/>
        <v>0</v>
      </c>
      <c r="I87" s="743">
        <f t="shared" si="31"/>
        <v>0</v>
      </c>
      <c r="J87" s="743">
        <f t="shared" si="31"/>
        <v>0</v>
      </c>
      <c r="K87" s="743">
        <f t="shared" si="31"/>
        <v>0</v>
      </c>
      <c r="L87" s="743">
        <f t="shared" si="31"/>
        <v>0</v>
      </c>
      <c r="M87" s="743">
        <f t="shared" si="31"/>
        <v>0</v>
      </c>
      <c r="N87" s="743">
        <f t="shared" si="31"/>
        <v>0</v>
      </c>
      <c r="O87" s="743">
        <f t="shared" si="31"/>
        <v>0</v>
      </c>
      <c r="P87" s="743">
        <f t="shared" si="31"/>
        <v>0</v>
      </c>
      <c r="Q87" s="743">
        <f t="shared" si="31"/>
        <v>0</v>
      </c>
    </row>
    <row r="88" spans="1:18" s="43" customFormat="1" ht="16.5" hidden="1" customHeight="1">
      <c r="A88" s="241"/>
      <c r="B88" s="739"/>
      <c r="C88" s="239"/>
      <c r="E88" s="239"/>
      <c r="F88" s="744">
        <f>'V3'!Q96*'V3'!$C$86</f>
        <v>0</v>
      </c>
      <c r="G88" s="743">
        <f t="shared" ref="G88:Q88" si="32">F96*$C$86</f>
        <v>0</v>
      </c>
      <c r="H88" s="743">
        <f t="shared" si="32"/>
        <v>0</v>
      </c>
      <c r="I88" s="743">
        <f t="shared" si="32"/>
        <v>0</v>
      </c>
      <c r="J88" s="743">
        <f t="shared" si="32"/>
        <v>0</v>
      </c>
      <c r="K88" s="743">
        <f t="shared" si="32"/>
        <v>0</v>
      </c>
      <c r="L88" s="743">
        <f t="shared" si="32"/>
        <v>0</v>
      </c>
      <c r="M88" s="743">
        <f t="shared" si="32"/>
        <v>0</v>
      </c>
      <c r="N88" s="743">
        <f t="shared" si="32"/>
        <v>0</v>
      </c>
      <c r="O88" s="743">
        <f t="shared" si="32"/>
        <v>0</v>
      </c>
      <c r="P88" s="743">
        <f t="shared" si="32"/>
        <v>0</v>
      </c>
      <c r="Q88" s="743">
        <f t="shared" si="32"/>
        <v>0</v>
      </c>
    </row>
    <row r="89" spans="1:18" s="43" customFormat="1" ht="13" hidden="1">
      <c r="A89" s="241"/>
      <c r="B89" s="739"/>
      <c r="C89" s="239"/>
      <c r="E89" s="239"/>
      <c r="F89" s="744">
        <f>'V3'!P96*'V3'!$D$86</f>
        <v>0</v>
      </c>
      <c r="G89" s="744">
        <f>'V3'!Q96*'V3'!$D$86</f>
        <v>0</v>
      </c>
      <c r="H89" s="743">
        <f t="shared" ref="H89:Q89" si="33">F96*$D$86</f>
        <v>0</v>
      </c>
      <c r="I89" s="743">
        <f t="shared" si="33"/>
        <v>0</v>
      </c>
      <c r="J89" s="743">
        <f t="shared" si="33"/>
        <v>0</v>
      </c>
      <c r="K89" s="743">
        <f t="shared" si="33"/>
        <v>0</v>
      </c>
      <c r="L89" s="743">
        <f t="shared" si="33"/>
        <v>0</v>
      </c>
      <c r="M89" s="743">
        <f t="shared" si="33"/>
        <v>0</v>
      </c>
      <c r="N89" s="743">
        <f t="shared" si="33"/>
        <v>0</v>
      </c>
      <c r="O89" s="743">
        <f t="shared" si="33"/>
        <v>0</v>
      </c>
      <c r="P89" s="743">
        <f t="shared" si="33"/>
        <v>0</v>
      </c>
      <c r="Q89" s="743">
        <f t="shared" si="33"/>
        <v>0</v>
      </c>
    </row>
    <row r="90" spans="1:18" s="43" customFormat="1" ht="13" hidden="1">
      <c r="A90" s="241"/>
      <c r="B90" s="739"/>
      <c r="C90" s="239"/>
      <c r="E90" s="239"/>
      <c r="F90" s="744">
        <f>'V3'!O96*'V3'!$E$86</f>
        <v>0</v>
      </c>
      <c r="G90" s="744">
        <f>'V3'!P96*'V3'!$E$86</f>
        <v>0</v>
      </c>
      <c r="H90" s="744">
        <f>'V3'!Q96*'V3'!$E$86</f>
        <v>0</v>
      </c>
      <c r="I90" s="743">
        <f t="shared" ref="I90:Q90" si="34">F96*$E$86</f>
        <v>0</v>
      </c>
      <c r="J90" s="743">
        <f t="shared" si="34"/>
        <v>0</v>
      </c>
      <c r="K90" s="743">
        <f t="shared" si="34"/>
        <v>0</v>
      </c>
      <c r="L90" s="743">
        <f t="shared" si="34"/>
        <v>0</v>
      </c>
      <c r="M90" s="743">
        <f t="shared" si="34"/>
        <v>0</v>
      </c>
      <c r="N90" s="743">
        <f t="shared" si="34"/>
        <v>0</v>
      </c>
      <c r="O90" s="743">
        <f t="shared" si="34"/>
        <v>0</v>
      </c>
      <c r="P90" s="743">
        <f t="shared" si="34"/>
        <v>0</v>
      </c>
      <c r="Q90" s="743">
        <f t="shared" si="34"/>
        <v>0</v>
      </c>
    </row>
    <row r="91" spans="1:18" s="43" customFormat="1" ht="13" hidden="1">
      <c r="A91" s="241"/>
      <c r="D91" s="65"/>
      <c r="F91" s="483"/>
      <c r="G91" s="483"/>
      <c r="H91" s="483"/>
      <c r="I91" s="483"/>
      <c r="J91" s="483"/>
      <c r="K91" s="483"/>
      <c r="L91" s="483"/>
      <c r="M91" s="483"/>
      <c r="N91" s="483"/>
      <c r="O91" s="483"/>
      <c r="P91" s="483"/>
      <c r="Q91" s="483"/>
    </row>
    <row r="92" spans="1:18" s="43" customFormat="1" ht="13" hidden="1">
      <c r="A92" s="241"/>
      <c r="D92" s="740"/>
      <c r="F92" s="745">
        <f t="shared" ref="F92:Q92" si="35">SUM(F87:F90)</f>
        <v>0</v>
      </c>
      <c r="G92" s="745">
        <f t="shared" si="35"/>
        <v>0</v>
      </c>
      <c r="H92" s="745">
        <f t="shared" si="35"/>
        <v>0</v>
      </c>
      <c r="I92" s="745">
        <f t="shared" si="35"/>
        <v>0</v>
      </c>
      <c r="J92" s="745">
        <f t="shared" si="35"/>
        <v>0</v>
      </c>
      <c r="K92" s="745">
        <f t="shared" si="35"/>
        <v>0</v>
      </c>
      <c r="L92" s="745">
        <f t="shared" si="35"/>
        <v>0</v>
      </c>
      <c r="M92" s="745">
        <f t="shared" si="35"/>
        <v>0</v>
      </c>
      <c r="N92" s="745">
        <f t="shared" si="35"/>
        <v>0</v>
      </c>
      <c r="O92" s="745">
        <f t="shared" si="35"/>
        <v>0</v>
      </c>
      <c r="P92" s="745">
        <f t="shared" si="35"/>
        <v>0</v>
      </c>
      <c r="Q92" s="745">
        <f t="shared" si="35"/>
        <v>0</v>
      </c>
      <c r="R92" s="240"/>
    </row>
    <row r="93" spans="1:18" s="43" customFormat="1" ht="13">
      <c r="C93" s="241"/>
      <c r="D93" s="243"/>
      <c r="E93" s="243"/>
      <c r="F93" s="237"/>
      <c r="G93" s="237"/>
      <c r="H93" s="237"/>
      <c r="I93" s="237"/>
      <c r="J93" s="237"/>
      <c r="K93" s="237"/>
      <c r="L93" s="237"/>
      <c r="M93" s="237"/>
      <c r="N93" s="237"/>
      <c r="O93" s="237"/>
      <c r="P93" s="237"/>
      <c r="Q93" s="237"/>
      <c r="R93" s="240"/>
    </row>
    <row r="94" spans="1:18" s="43" customFormat="1" ht="13.5" thickBot="1">
      <c r="C94" s="48" t="s">
        <v>490</v>
      </c>
      <c r="D94" s="407">
        <f>'V3'!D94</f>
        <v>1</v>
      </c>
      <c r="E94" s="245"/>
      <c r="R94" s="249"/>
    </row>
    <row r="95" spans="1:18" s="43" customFormat="1" ht="13.5" thickBot="1">
      <c r="C95" s="48" t="s">
        <v>389</v>
      </c>
      <c r="D95" s="237"/>
      <c r="E95" s="237"/>
      <c r="F95" s="408">
        <f>(1+$F84)*'V3'!F95</f>
        <v>0</v>
      </c>
      <c r="G95" s="408">
        <f>(1+$F84)*'V3'!G95</f>
        <v>0</v>
      </c>
      <c r="H95" s="408">
        <f>(1+$F84)*'V3'!H95</f>
        <v>0</v>
      </c>
      <c r="I95" s="408">
        <f>(1+$F84)*'V3'!I95</f>
        <v>0</v>
      </c>
      <c r="J95" s="408">
        <f>(1+$F84)*'V3'!J95</f>
        <v>0</v>
      </c>
      <c r="K95" s="408">
        <f>(1+$F84)*'V3'!K95</f>
        <v>0</v>
      </c>
      <c r="L95" s="408">
        <f>(1+$F84)*'V3'!L95</f>
        <v>0</v>
      </c>
      <c r="M95" s="408">
        <f>(1+$F84)*'V3'!M95</f>
        <v>0</v>
      </c>
      <c r="N95" s="408">
        <f>(1+$F84)*'V3'!N95</f>
        <v>0</v>
      </c>
      <c r="O95" s="408">
        <f>(1+$F84)*'V3'!O95</f>
        <v>0</v>
      </c>
      <c r="P95" s="408">
        <f>(1+$F84)*'V3'!P95</f>
        <v>0</v>
      </c>
      <c r="Q95" s="408">
        <f>(1+$F84)*'V3'!Q95</f>
        <v>0</v>
      </c>
      <c r="R95" s="73">
        <f>SUM(F95:Q95)</f>
        <v>0</v>
      </c>
    </row>
    <row r="96" spans="1:18" s="43" customFormat="1" ht="13.5" thickBot="1">
      <c r="C96" s="48" t="s">
        <v>491</v>
      </c>
      <c r="D96" s="237"/>
      <c r="E96" s="237"/>
      <c r="F96" s="247">
        <f t="shared" ref="F96:Q96" si="36">F95*$D94</f>
        <v>0</v>
      </c>
      <c r="G96" s="247">
        <f t="shared" si="36"/>
        <v>0</v>
      </c>
      <c r="H96" s="247">
        <f t="shared" si="36"/>
        <v>0</v>
      </c>
      <c r="I96" s="247">
        <f t="shared" si="36"/>
        <v>0</v>
      </c>
      <c r="J96" s="247">
        <f t="shared" si="36"/>
        <v>0</v>
      </c>
      <c r="K96" s="247">
        <f t="shared" si="36"/>
        <v>0</v>
      </c>
      <c r="L96" s="247">
        <f t="shared" si="36"/>
        <v>0</v>
      </c>
      <c r="M96" s="247">
        <f t="shared" si="36"/>
        <v>0</v>
      </c>
      <c r="N96" s="247">
        <f t="shared" si="36"/>
        <v>0</v>
      </c>
      <c r="O96" s="247">
        <f t="shared" si="36"/>
        <v>0</v>
      </c>
      <c r="P96" s="247">
        <f t="shared" si="36"/>
        <v>0</v>
      </c>
      <c r="Q96" s="248">
        <f t="shared" si="36"/>
        <v>0</v>
      </c>
      <c r="R96" s="73">
        <f>SUM(F96:Q96)</f>
        <v>0</v>
      </c>
    </row>
    <row r="97" spans="3:18" s="43" customFormat="1" ht="13">
      <c r="C97" s="143"/>
      <c r="D97" s="237"/>
      <c r="E97" s="237"/>
      <c r="F97" s="787">
        <f t="shared" ref="F97:Q97" si="37">F92+F78+F64+F50+F36+F22</f>
        <v>3583.125</v>
      </c>
      <c r="G97" s="787">
        <f t="shared" si="37"/>
        <v>3748.5</v>
      </c>
      <c r="H97" s="787">
        <f t="shared" si="37"/>
        <v>3913.875</v>
      </c>
      <c r="I97" s="787">
        <f t="shared" si="37"/>
        <v>4079.25</v>
      </c>
      <c r="J97" s="787">
        <f t="shared" si="37"/>
        <v>4244.625</v>
      </c>
      <c r="K97" s="787">
        <f t="shared" si="37"/>
        <v>4410</v>
      </c>
      <c r="L97" s="787">
        <f t="shared" si="37"/>
        <v>4575.3750000000009</v>
      </c>
      <c r="M97" s="787">
        <f t="shared" si="37"/>
        <v>4740.75</v>
      </c>
      <c r="N97" s="787">
        <f t="shared" si="37"/>
        <v>4906.125</v>
      </c>
      <c r="O97" s="787">
        <f t="shared" si="37"/>
        <v>5071.5</v>
      </c>
      <c r="P97" s="787">
        <f t="shared" si="37"/>
        <v>5236.875</v>
      </c>
      <c r="Q97" s="787">
        <f t="shared" si="37"/>
        <v>5402.2500000000009</v>
      </c>
      <c r="R97" s="788">
        <f>SUM(F97:Q97)</f>
        <v>53912.25</v>
      </c>
    </row>
    <row r="98" spans="3:18" ht="13.5" thickBot="1">
      <c r="C98" s="255"/>
    </row>
    <row r="99" spans="3:18" ht="13.5" thickBot="1">
      <c r="C99" s="48" t="s">
        <v>163</v>
      </c>
      <c r="F99" s="329">
        <f>F26+F40+F54+F68+F82+F96</f>
        <v>3583.125</v>
      </c>
      <c r="G99" s="329">
        <f t="shared" ref="G99:R99" si="38">G26+G40+G54+G68+G82+G96</f>
        <v>3748.5</v>
      </c>
      <c r="H99" s="329">
        <f t="shared" si="38"/>
        <v>3913.875</v>
      </c>
      <c r="I99" s="329">
        <f t="shared" si="38"/>
        <v>4079.25</v>
      </c>
      <c r="J99" s="329">
        <f t="shared" si="38"/>
        <v>4244.625</v>
      </c>
      <c r="K99" s="329">
        <f t="shared" si="38"/>
        <v>4410</v>
      </c>
      <c r="L99" s="329">
        <f t="shared" si="38"/>
        <v>4575.3750000000009</v>
      </c>
      <c r="M99" s="329">
        <f t="shared" si="38"/>
        <v>4740.75</v>
      </c>
      <c r="N99" s="329">
        <f t="shared" si="38"/>
        <v>4906.125</v>
      </c>
      <c r="O99" s="329">
        <f t="shared" si="38"/>
        <v>5071.5</v>
      </c>
      <c r="P99" s="329">
        <f t="shared" si="38"/>
        <v>5236.875</v>
      </c>
      <c r="Q99" s="329">
        <f t="shared" si="38"/>
        <v>5402.25</v>
      </c>
      <c r="R99" s="329">
        <f t="shared" si="38"/>
        <v>53912.25</v>
      </c>
    </row>
    <row r="100" spans="3:18" ht="13">
      <c r="C100" s="255"/>
    </row>
    <row r="101" spans="3:18" ht="13">
      <c r="C101" s="255"/>
    </row>
  </sheetData>
  <sheetProtection password="E242" sheet="1" objects="1" scenarios="1"/>
  <customSheetViews>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V5">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W40" sqref="W40"/>
    </sheetView>
  </sheetViews>
  <sheetFormatPr baseColWidth="10" defaultColWidth="11.453125" defaultRowHeight="12.5"/>
  <cols>
    <col min="1" max="1" width="38.36328125" style="251" customWidth="1"/>
    <col min="2" max="2" width="11.453125" style="251"/>
    <col min="3" max="4" width="10.36328125" style="251" customWidth="1"/>
    <col min="5" max="5" width="10.453125" style="251" customWidth="1"/>
    <col min="6" max="16384" width="11.453125" style="251"/>
  </cols>
  <sheetData>
    <row r="1" spans="1:18" customFormat="1"/>
    <row r="2" spans="1:18" customFormat="1"/>
    <row r="3" spans="1:18" customFormat="1"/>
    <row r="4" spans="1:18" customFormat="1"/>
    <row r="5" spans="1:18" customFormat="1"/>
    <row r="6" spans="1:18" customFormat="1"/>
    <row r="7" spans="1:18" customFormat="1"/>
    <row r="8" spans="1:18" s="43" customFormat="1" ht="25.5" customHeight="1">
      <c r="A8" s="235" t="str">
        <f>RG!D17</f>
        <v>Jhon Wesly inc.</v>
      </c>
      <c r="D8" s="236"/>
      <c r="E8" s="236"/>
      <c r="F8" s="236"/>
      <c r="G8" s="236"/>
      <c r="H8" s="236"/>
      <c r="I8" s="236"/>
      <c r="J8" s="236"/>
      <c r="K8" s="236"/>
      <c r="L8" s="236"/>
      <c r="M8" s="236"/>
      <c r="N8" s="236"/>
      <c r="O8" s="236"/>
      <c r="P8" s="236"/>
      <c r="Q8" s="236"/>
      <c r="R8" s="236"/>
    </row>
    <row r="9" spans="1:18" s="43" customFormat="1" ht="12.75" customHeight="1">
      <c r="C9" s="42"/>
      <c r="D9" s="236"/>
      <c r="E9" s="236"/>
      <c r="F9" s="236"/>
      <c r="G9" s="236"/>
      <c r="H9" s="236"/>
      <c r="I9" s="236"/>
      <c r="J9" s="236"/>
      <c r="K9" s="236"/>
      <c r="L9" s="236"/>
      <c r="M9" s="236"/>
      <c r="N9" s="236"/>
      <c r="O9" s="236"/>
      <c r="P9" s="236"/>
      <c r="Q9" s="236"/>
      <c r="R9" s="236"/>
    </row>
    <row r="10" spans="1:18" s="43" customFormat="1" ht="15" customHeight="1">
      <c r="B10" s="746"/>
      <c r="C10" s="746"/>
      <c r="D10" s="746"/>
      <c r="G10" s="72"/>
      <c r="H10" s="65"/>
      <c r="I10" s="65"/>
      <c r="J10" s="65"/>
      <c r="K10" s="65"/>
      <c r="L10" s="65"/>
      <c r="M10" s="65"/>
      <c r="N10" s="65"/>
      <c r="O10" s="65"/>
      <c r="P10" s="65"/>
      <c r="Q10" s="65"/>
      <c r="R10" s="65"/>
    </row>
    <row r="11" spans="1:18" s="43" customFormat="1" ht="15.75" customHeight="1" thickBot="1">
      <c r="C11" s="72"/>
      <c r="D11" s="237"/>
      <c r="E11" s="237"/>
      <c r="F11" s="65"/>
      <c r="G11" s="72"/>
      <c r="H11" s="65"/>
      <c r="I11" s="65"/>
      <c r="J11" s="65"/>
      <c r="K11" s="65"/>
      <c r="L11" s="65"/>
      <c r="M11" s="65"/>
      <c r="N11" s="65"/>
      <c r="O11" s="65"/>
      <c r="P11" s="65"/>
      <c r="Q11" s="65"/>
      <c r="R11" s="65"/>
    </row>
    <row r="12" spans="1:18" s="43" customFormat="1" ht="15.5" thickBot="1">
      <c r="A12" s="839" t="s">
        <v>26</v>
      </c>
      <c r="B12" s="840"/>
      <c r="C12" s="841"/>
      <c r="D12" s="842"/>
      <c r="E12" s="843"/>
      <c r="F12" s="837">
        <f>'V4'!G12+366</f>
        <v>46787</v>
      </c>
      <c r="G12" s="837">
        <f t="shared" ref="G12:Q12" si="0">F12+31</f>
        <v>46818</v>
      </c>
      <c r="H12" s="837">
        <f t="shared" si="0"/>
        <v>46849</v>
      </c>
      <c r="I12" s="837">
        <f t="shared" si="0"/>
        <v>46880</v>
      </c>
      <c r="J12" s="837">
        <f t="shared" si="0"/>
        <v>46911</v>
      </c>
      <c r="K12" s="837">
        <f t="shared" si="0"/>
        <v>46942</v>
      </c>
      <c r="L12" s="837">
        <f t="shared" si="0"/>
        <v>46973</v>
      </c>
      <c r="M12" s="837">
        <f t="shared" si="0"/>
        <v>47004</v>
      </c>
      <c r="N12" s="837">
        <f t="shared" si="0"/>
        <v>47035</v>
      </c>
      <c r="O12" s="837">
        <f t="shared" si="0"/>
        <v>47066</v>
      </c>
      <c r="P12" s="837">
        <f t="shared" si="0"/>
        <v>47097</v>
      </c>
      <c r="Q12" s="837">
        <f t="shared" si="0"/>
        <v>47128</v>
      </c>
      <c r="R12" s="838" t="s">
        <v>489</v>
      </c>
    </row>
    <row r="13" spans="1:18" s="43" customFormat="1" ht="13.5" thickBot="1">
      <c r="C13" s="116"/>
      <c r="D13" s="237"/>
      <c r="E13" s="237"/>
      <c r="F13" s="253"/>
      <c r="G13" s="253"/>
      <c r="H13" s="253"/>
      <c r="I13" s="253"/>
      <c r="J13" s="253"/>
      <c r="K13" s="253"/>
      <c r="L13" s="253"/>
      <c r="M13" s="253"/>
      <c r="N13" s="253"/>
      <c r="O13" s="253"/>
      <c r="P13" s="253"/>
      <c r="Q13" s="253"/>
      <c r="R13" s="107"/>
    </row>
    <row r="14" spans="1:18" s="43" customFormat="1" ht="15.75" customHeight="1" thickBot="1">
      <c r="A14" s="900" t="s">
        <v>315</v>
      </c>
      <c r="B14" s="901"/>
      <c r="C14" s="898"/>
      <c r="D14" s="902"/>
      <c r="E14" s="903"/>
      <c r="F14" s="848">
        <v>0</v>
      </c>
      <c r="G14" s="1181" t="str">
        <f>A16</f>
        <v>Produit/service 1</v>
      </c>
      <c r="H14" s="1182"/>
      <c r="I14" s="1182"/>
      <c r="J14" s="1182"/>
      <c r="K14" s="1182"/>
      <c r="L14" s="1182"/>
      <c r="M14" s="1182"/>
      <c r="N14" s="1182"/>
      <c r="O14" s="1182"/>
      <c r="P14" s="1182"/>
      <c r="Q14" s="1182"/>
      <c r="R14" s="1182"/>
    </row>
    <row r="15" spans="1:18" s="43" customFormat="1" ht="15.75" customHeight="1">
      <c r="B15" s="739" t="s">
        <v>328</v>
      </c>
      <c r="C15" s="739" t="s">
        <v>329</v>
      </c>
      <c r="D15" s="739" t="s">
        <v>448</v>
      </c>
      <c r="E15" s="739" t="s">
        <v>330</v>
      </c>
      <c r="F15" s="741"/>
    </row>
    <row r="16" spans="1:18" s="43" customFormat="1" ht="15.75" customHeight="1">
      <c r="A16" s="906" t="str">
        <f>'V4'!A16</f>
        <v>Produit/service 1</v>
      </c>
      <c r="B16" s="742">
        <f>'V4'!B16</f>
        <v>1</v>
      </c>
      <c r="C16" s="742">
        <f>'V4'!C16</f>
        <v>0</v>
      </c>
      <c r="D16" s="742">
        <f>'V4'!D16</f>
        <v>0</v>
      </c>
      <c r="E16" s="742">
        <f>'V4'!E16</f>
        <v>0</v>
      </c>
      <c r="F16" s="740" t="str">
        <f>IF(SUM(B16:E16)=100%,"","&gt; 100 % &lt;")</f>
        <v/>
      </c>
    </row>
    <row r="17" spans="1:18" s="43" customFormat="1" ht="16.5" hidden="1" customHeight="1">
      <c r="B17" s="739"/>
      <c r="C17" s="239"/>
      <c r="E17" s="239"/>
      <c r="F17" s="743">
        <f t="shared" ref="F17:Q17" si="1">F26*$B$16</f>
        <v>826.875</v>
      </c>
      <c r="G17" s="743">
        <f t="shared" si="1"/>
        <v>854.43750000000011</v>
      </c>
      <c r="H17" s="743">
        <f t="shared" si="1"/>
        <v>882</v>
      </c>
      <c r="I17" s="743">
        <f t="shared" si="1"/>
        <v>909.5625</v>
      </c>
      <c r="J17" s="743">
        <f t="shared" si="1"/>
        <v>937.125</v>
      </c>
      <c r="K17" s="743">
        <f t="shared" si="1"/>
        <v>964.6875</v>
      </c>
      <c r="L17" s="743">
        <f t="shared" si="1"/>
        <v>992.25000000000011</v>
      </c>
      <c r="M17" s="743">
        <f t="shared" si="1"/>
        <v>1019.8125</v>
      </c>
      <c r="N17" s="743">
        <f t="shared" si="1"/>
        <v>1047.375</v>
      </c>
      <c r="O17" s="743">
        <f t="shared" si="1"/>
        <v>1074.9375</v>
      </c>
      <c r="P17" s="743">
        <f t="shared" si="1"/>
        <v>1102.5</v>
      </c>
      <c r="Q17" s="743">
        <f t="shared" si="1"/>
        <v>1130.0625</v>
      </c>
    </row>
    <row r="18" spans="1:18" s="43" customFormat="1" ht="16.5" hidden="1" customHeight="1">
      <c r="A18" s="241"/>
      <c r="B18" s="739"/>
      <c r="C18" s="239"/>
      <c r="E18" s="239"/>
      <c r="F18" s="744">
        <f>'V4'!Q26*'V4'!$C$16</f>
        <v>0</v>
      </c>
      <c r="G18" s="743">
        <f t="shared" ref="G18:Q18" si="2">F26*$C$16</f>
        <v>0</v>
      </c>
      <c r="H18" s="743">
        <f t="shared" si="2"/>
        <v>0</v>
      </c>
      <c r="I18" s="743">
        <f t="shared" si="2"/>
        <v>0</v>
      </c>
      <c r="J18" s="743">
        <f t="shared" si="2"/>
        <v>0</v>
      </c>
      <c r="K18" s="743">
        <f t="shared" si="2"/>
        <v>0</v>
      </c>
      <c r="L18" s="743">
        <f t="shared" si="2"/>
        <v>0</v>
      </c>
      <c r="M18" s="743">
        <f t="shared" si="2"/>
        <v>0</v>
      </c>
      <c r="N18" s="743">
        <f t="shared" si="2"/>
        <v>0</v>
      </c>
      <c r="O18" s="743">
        <f t="shared" si="2"/>
        <v>0</v>
      </c>
      <c r="P18" s="743">
        <f t="shared" si="2"/>
        <v>0</v>
      </c>
      <c r="Q18" s="743">
        <f t="shared" si="2"/>
        <v>0</v>
      </c>
    </row>
    <row r="19" spans="1:18" s="43" customFormat="1" ht="13" hidden="1">
      <c r="A19" s="241"/>
      <c r="B19" s="739"/>
      <c r="C19" s="239"/>
      <c r="E19" s="239"/>
      <c r="F19" s="744">
        <f>'V4'!P26*'V4'!$D$16</f>
        <v>0</v>
      </c>
      <c r="G19" s="744">
        <f>'V4'!Q26*'V4'!$D$16</f>
        <v>0</v>
      </c>
      <c r="H19" s="743">
        <f t="shared" ref="H19:Q19" si="3">F26*$D$16</f>
        <v>0</v>
      </c>
      <c r="I19" s="743">
        <f t="shared" si="3"/>
        <v>0</v>
      </c>
      <c r="J19" s="743">
        <f t="shared" si="3"/>
        <v>0</v>
      </c>
      <c r="K19" s="743">
        <f t="shared" si="3"/>
        <v>0</v>
      </c>
      <c r="L19" s="743">
        <f t="shared" si="3"/>
        <v>0</v>
      </c>
      <c r="M19" s="743">
        <f t="shared" si="3"/>
        <v>0</v>
      </c>
      <c r="N19" s="743">
        <f t="shared" si="3"/>
        <v>0</v>
      </c>
      <c r="O19" s="743">
        <f t="shared" si="3"/>
        <v>0</v>
      </c>
      <c r="P19" s="743">
        <f t="shared" si="3"/>
        <v>0</v>
      </c>
      <c r="Q19" s="743">
        <f t="shared" si="3"/>
        <v>0</v>
      </c>
    </row>
    <row r="20" spans="1:18" s="43" customFormat="1" ht="13" hidden="1">
      <c r="A20" s="241"/>
      <c r="B20" s="739"/>
      <c r="C20" s="239"/>
      <c r="E20" s="239"/>
      <c r="F20" s="744">
        <f>'V4'!O26*'V4'!$E$16</f>
        <v>0</v>
      </c>
      <c r="G20" s="744">
        <f>'V4'!P26*'V4'!$E$16</f>
        <v>0</v>
      </c>
      <c r="H20" s="744">
        <f>'V4'!Q26*'V4'!$E$16</f>
        <v>0</v>
      </c>
      <c r="I20" s="743">
        <f t="shared" ref="I20:Q20" si="4">F26*$E$16</f>
        <v>0</v>
      </c>
      <c r="J20" s="743">
        <f t="shared" si="4"/>
        <v>0</v>
      </c>
      <c r="K20" s="743">
        <f t="shared" si="4"/>
        <v>0</v>
      </c>
      <c r="L20" s="743">
        <f t="shared" si="4"/>
        <v>0</v>
      </c>
      <c r="M20" s="743">
        <f t="shared" si="4"/>
        <v>0</v>
      </c>
      <c r="N20" s="743">
        <f t="shared" si="4"/>
        <v>0</v>
      </c>
      <c r="O20" s="743">
        <f t="shared" si="4"/>
        <v>0</v>
      </c>
      <c r="P20" s="743">
        <f t="shared" si="4"/>
        <v>0</v>
      </c>
      <c r="Q20" s="743">
        <f t="shared" si="4"/>
        <v>0</v>
      </c>
    </row>
    <row r="21" spans="1:18" s="43" customFormat="1" ht="13" hidden="1">
      <c r="A21" s="241"/>
      <c r="D21" s="65"/>
      <c r="F21" s="483"/>
      <c r="G21" s="483"/>
      <c r="H21" s="483"/>
      <c r="I21" s="483"/>
      <c r="J21" s="483"/>
      <c r="K21" s="483"/>
      <c r="L21" s="483"/>
      <c r="M21" s="483"/>
      <c r="N21" s="483"/>
      <c r="O21" s="483"/>
      <c r="P21" s="483"/>
      <c r="Q21" s="483"/>
    </row>
    <row r="22" spans="1:18" s="43" customFormat="1" ht="13" hidden="1">
      <c r="A22" s="241"/>
      <c r="D22" s="740"/>
      <c r="F22" s="745">
        <f t="shared" ref="F22:Q22" si="5">SUM(F17:F20)</f>
        <v>826.875</v>
      </c>
      <c r="G22" s="745">
        <f t="shared" si="5"/>
        <v>854.43750000000011</v>
      </c>
      <c r="H22" s="745">
        <f t="shared" si="5"/>
        <v>882</v>
      </c>
      <c r="I22" s="745">
        <f t="shared" si="5"/>
        <v>909.5625</v>
      </c>
      <c r="J22" s="745">
        <f t="shared" si="5"/>
        <v>937.125</v>
      </c>
      <c r="K22" s="745">
        <f t="shared" si="5"/>
        <v>964.6875</v>
      </c>
      <c r="L22" s="745">
        <f t="shared" si="5"/>
        <v>992.25000000000011</v>
      </c>
      <c r="M22" s="745">
        <f t="shared" si="5"/>
        <v>1019.8125</v>
      </c>
      <c r="N22" s="745">
        <f t="shared" si="5"/>
        <v>1047.375</v>
      </c>
      <c r="O22" s="745">
        <f t="shared" si="5"/>
        <v>1074.9375</v>
      </c>
      <c r="P22" s="745">
        <f t="shared" si="5"/>
        <v>1102.5</v>
      </c>
      <c r="Q22" s="745">
        <f t="shared" si="5"/>
        <v>1130.0625</v>
      </c>
      <c r="R22" s="240"/>
    </row>
    <row r="23" spans="1:18" s="43" customFormat="1" ht="13">
      <c r="C23" s="241"/>
      <c r="D23" s="243"/>
      <c r="E23" s="243"/>
      <c r="F23" s="237"/>
      <c r="G23" s="237"/>
      <c r="H23" s="237"/>
      <c r="I23" s="237"/>
      <c r="J23" s="237"/>
      <c r="K23" s="237"/>
      <c r="L23" s="237"/>
      <c r="M23" s="237"/>
      <c r="N23" s="237"/>
      <c r="O23" s="237"/>
      <c r="P23" s="237"/>
      <c r="Q23" s="237"/>
      <c r="R23" s="240"/>
    </row>
    <row r="24" spans="1:18" s="43" customFormat="1" ht="13.5" thickBot="1">
      <c r="C24" s="48" t="s">
        <v>490</v>
      </c>
      <c r="D24" s="407">
        <f>'V4'!D24</f>
        <v>5</v>
      </c>
      <c r="E24" s="245"/>
      <c r="R24" s="238"/>
    </row>
    <row r="25" spans="1:18" s="43" customFormat="1" ht="13.5" thickBot="1">
      <c r="C25" s="48" t="s">
        <v>389</v>
      </c>
      <c r="D25" s="237"/>
      <c r="E25" s="237"/>
      <c r="F25" s="408">
        <f>(1+$F14)*'V4'!F25</f>
        <v>165.375</v>
      </c>
      <c r="G25" s="408">
        <f>(1+$F14)*'V4'!G25</f>
        <v>170.88750000000002</v>
      </c>
      <c r="H25" s="408">
        <f>(1+$F14)*'V4'!H25</f>
        <v>176.4</v>
      </c>
      <c r="I25" s="408">
        <f>(1+$F14)*'V4'!I25</f>
        <v>181.91249999999999</v>
      </c>
      <c r="J25" s="408">
        <f>(1+$F14)*'V4'!J25</f>
        <v>187.42500000000001</v>
      </c>
      <c r="K25" s="408">
        <f>(1+$F14)*'V4'!K25</f>
        <v>192.9375</v>
      </c>
      <c r="L25" s="408">
        <f>(1+$F14)*'V4'!L25</f>
        <v>198.45000000000002</v>
      </c>
      <c r="M25" s="408">
        <f>(1+$F14)*'V4'!M25</f>
        <v>203.96250000000001</v>
      </c>
      <c r="N25" s="408">
        <f>(1+$F14)*'V4'!N25</f>
        <v>209.47500000000002</v>
      </c>
      <c r="O25" s="408">
        <f>(1+$F14)*'V4'!O25</f>
        <v>214.98750000000001</v>
      </c>
      <c r="P25" s="408">
        <f>(1+$F14)*'V4'!P25</f>
        <v>220.5</v>
      </c>
      <c r="Q25" s="408">
        <f>(1+$F14)*'V4'!Q25</f>
        <v>226.01250000000002</v>
      </c>
      <c r="R25" s="73">
        <f>SUM(F25:Q25)</f>
        <v>2348.3249999999998</v>
      </c>
    </row>
    <row r="26" spans="1:18" s="43" customFormat="1" ht="13.5" thickBot="1">
      <c r="C26" s="48" t="s">
        <v>491</v>
      </c>
      <c r="D26" s="246"/>
      <c r="E26" s="246"/>
      <c r="F26" s="247">
        <f t="shared" ref="F26:Q26" si="6">F25*$D24</f>
        <v>826.875</v>
      </c>
      <c r="G26" s="247">
        <f t="shared" si="6"/>
        <v>854.43750000000011</v>
      </c>
      <c r="H26" s="247">
        <f t="shared" si="6"/>
        <v>882</v>
      </c>
      <c r="I26" s="247">
        <f t="shared" si="6"/>
        <v>909.5625</v>
      </c>
      <c r="J26" s="247">
        <f t="shared" si="6"/>
        <v>937.125</v>
      </c>
      <c r="K26" s="247">
        <f t="shared" si="6"/>
        <v>964.6875</v>
      </c>
      <c r="L26" s="247">
        <f t="shared" si="6"/>
        <v>992.25000000000011</v>
      </c>
      <c r="M26" s="247">
        <f t="shared" si="6"/>
        <v>1019.8125</v>
      </c>
      <c r="N26" s="247">
        <f t="shared" si="6"/>
        <v>1047.375</v>
      </c>
      <c r="O26" s="247">
        <f t="shared" si="6"/>
        <v>1074.9375</v>
      </c>
      <c r="P26" s="247">
        <f t="shared" si="6"/>
        <v>1102.5</v>
      </c>
      <c r="Q26" s="248">
        <f t="shared" si="6"/>
        <v>1130.0625</v>
      </c>
      <c r="R26" s="73">
        <f>SUM(F26:Q26)</f>
        <v>11741.625</v>
      </c>
    </row>
    <row r="27" spans="1:18" s="43" customFormat="1" ht="13.5" thickBot="1">
      <c r="C27" s="48"/>
      <c r="D27" s="246"/>
      <c r="E27" s="246"/>
      <c r="F27" s="249"/>
      <c r="G27" s="249"/>
      <c r="H27" s="249"/>
      <c r="I27" s="249"/>
      <c r="J27" s="249"/>
      <c r="K27" s="249"/>
      <c r="L27" s="249"/>
      <c r="M27" s="249"/>
      <c r="N27" s="249"/>
      <c r="O27" s="249"/>
      <c r="P27" s="249"/>
      <c r="Q27" s="249"/>
      <c r="R27" s="249"/>
    </row>
    <row r="28" spans="1:18" s="43" customFormat="1" ht="13.5" thickBot="1">
      <c r="A28" s="900" t="s">
        <v>315</v>
      </c>
      <c r="B28" s="901"/>
      <c r="C28" s="898"/>
      <c r="D28" s="902"/>
      <c r="E28" s="903"/>
      <c r="F28" s="848">
        <v>0</v>
      </c>
      <c r="G28" s="1181" t="str">
        <f>A30</f>
        <v>Produit/service 2</v>
      </c>
      <c r="H28" s="1182"/>
      <c r="I28" s="1182"/>
      <c r="J28" s="1182"/>
      <c r="K28" s="1182"/>
      <c r="L28" s="1182"/>
      <c r="M28" s="1182"/>
      <c r="N28" s="1182"/>
      <c r="O28" s="1182"/>
      <c r="P28" s="1182"/>
      <c r="Q28" s="1182"/>
      <c r="R28" s="1182"/>
    </row>
    <row r="29" spans="1:18" s="43" customFormat="1" ht="13">
      <c r="B29" s="739" t="s">
        <v>328</v>
      </c>
      <c r="C29" s="739" t="s">
        <v>329</v>
      </c>
      <c r="D29" s="739" t="s">
        <v>448</v>
      </c>
      <c r="E29" s="739" t="s">
        <v>330</v>
      </c>
      <c r="F29" s="741"/>
    </row>
    <row r="30" spans="1:18" s="43" customFormat="1" ht="13">
      <c r="A30" s="906" t="str">
        <f>'V4'!A30</f>
        <v>Produit/service 2</v>
      </c>
      <c r="B30" s="742">
        <f>'V4'!B30</f>
        <v>1</v>
      </c>
      <c r="C30" s="742">
        <f>'V4'!C30</f>
        <v>0</v>
      </c>
      <c r="D30" s="742">
        <f>'V4'!D30</f>
        <v>0</v>
      </c>
      <c r="E30" s="742">
        <f>'V4'!E30</f>
        <v>0</v>
      </c>
      <c r="F30" s="740" t="str">
        <f>IF(SUM(B30:E30)=100%,"","&gt; 100 % &lt;")</f>
        <v/>
      </c>
    </row>
    <row r="31" spans="1:18" s="43" customFormat="1" ht="16.5" hidden="1" customHeight="1">
      <c r="B31" s="739"/>
      <c r="C31" s="239"/>
      <c r="E31" s="239"/>
      <c r="F31" s="743">
        <f t="shared" ref="F31:Q31" si="7">F40*$B$30</f>
        <v>1102.5</v>
      </c>
      <c r="G31" s="743">
        <f t="shared" si="7"/>
        <v>1157.625</v>
      </c>
      <c r="H31" s="743">
        <f t="shared" si="7"/>
        <v>1212.75</v>
      </c>
      <c r="I31" s="743">
        <f t="shared" si="7"/>
        <v>1267.875</v>
      </c>
      <c r="J31" s="743">
        <f t="shared" si="7"/>
        <v>1323</v>
      </c>
      <c r="K31" s="743">
        <f t="shared" si="7"/>
        <v>1378.125</v>
      </c>
      <c r="L31" s="743">
        <f t="shared" si="7"/>
        <v>1433.2500000000002</v>
      </c>
      <c r="M31" s="743">
        <f t="shared" si="7"/>
        <v>1488.375</v>
      </c>
      <c r="N31" s="743">
        <f t="shared" si="7"/>
        <v>1543.5</v>
      </c>
      <c r="O31" s="743">
        <f t="shared" si="7"/>
        <v>1598.625</v>
      </c>
      <c r="P31" s="743">
        <f t="shared" si="7"/>
        <v>1653.75</v>
      </c>
      <c r="Q31" s="743">
        <f t="shared" si="7"/>
        <v>1708.8750000000002</v>
      </c>
    </row>
    <row r="32" spans="1:18" s="43" customFormat="1" ht="16.5" hidden="1" customHeight="1">
      <c r="A32" s="241"/>
      <c r="B32" s="739"/>
      <c r="C32" s="239"/>
      <c r="E32" s="239"/>
      <c r="F32" s="744">
        <f>'V4'!Q40*'V4'!$C$30</f>
        <v>0</v>
      </c>
      <c r="G32" s="743">
        <f t="shared" ref="G32:Q32" si="8">F40*$C$30</f>
        <v>0</v>
      </c>
      <c r="H32" s="743">
        <f t="shared" si="8"/>
        <v>0</v>
      </c>
      <c r="I32" s="743">
        <f t="shared" si="8"/>
        <v>0</v>
      </c>
      <c r="J32" s="743">
        <f t="shared" si="8"/>
        <v>0</v>
      </c>
      <c r="K32" s="743">
        <f t="shared" si="8"/>
        <v>0</v>
      </c>
      <c r="L32" s="743">
        <f t="shared" si="8"/>
        <v>0</v>
      </c>
      <c r="M32" s="743">
        <f t="shared" si="8"/>
        <v>0</v>
      </c>
      <c r="N32" s="743">
        <f t="shared" si="8"/>
        <v>0</v>
      </c>
      <c r="O32" s="743">
        <f t="shared" si="8"/>
        <v>0</v>
      </c>
      <c r="P32" s="743">
        <f t="shared" si="8"/>
        <v>0</v>
      </c>
      <c r="Q32" s="743">
        <f t="shared" si="8"/>
        <v>0</v>
      </c>
    </row>
    <row r="33" spans="1:18" s="43" customFormat="1" ht="13" hidden="1">
      <c r="A33" s="241"/>
      <c r="B33" s="739"/>
      <c r="C33" s="239"/>
      <c r="E33" s="239"/>
      <c r="F33" s="744">
        <f>'V4'!P40*'V4'!$D$30</f>
        <v>0</v>
      </c>
      <c r="G33" s="744">
        <f>'V4'!Q40*'V4'!$D$30</f>
        <v>0</v>
      </c>
      <c r="H33" s="743">
        <f t="shared" ref="H33:Q33" si="9">F40*$D$30</f>
        <v>0</v>
      </c>
      <c r="I33" s="743">
        <f t="shared" si="9"/>
        <v>0</v>
      </c>
      <c r="J33" s="743">
        <f t="shared" si="9"/>
        <v>0</v>
      </c>
      <c r="K33" s="743">
        <f t="shared" si="9"/>
        <v>0</v>
      </c>
      <c r="L33" s="743">
        <f t="shared" si="9"/>
        <v>0</v>
      </c>
      <c r="M33" s="743">
        <f t="shared" si="9"/>
        <v>0</v>
      </c>
      <c r="N33" s="743">
        <f t="shared" si="9"/>
        <v>0</v>
      </c>
      <c r="O33" s="743">
        <f t="shared" si="9"/>
        <v>0</v>
      </c>
      <c r="P33" s="743">
        <f t="shared" si="9"/>
        <v>0</v>
      </c>
      <c r="Q33" s="743">
        <f t="shared" si="9"/>
        <v>0</v>
      </c>
    </row>
    <row r="34" spans="1:18" s="43" customFormat="1" ht="13" hidden="1">
      <c r="A34" s="241"/>
      <c r="B34" s="739"/>
      <c r="C34" s="239"/>
      <c r="E34" s="239"/>
      <c r="F34" s="744">
        <f>'V4'!O40*'V4'!$E$30</f>
        <v>0</v>
      </c>
      <c r="G34" s="744">
        <f>'V4'!P40*'V4'!$E$30</f>
        <v>0</v>
      </c>
      <c r="H34" s="744">
        <f>'V4'!Q40*'V4'!$E$30</f>
        <v>0</v>
      </c>
      <c r="I34" s="743">
        <f t="shared" ref="I34:Q34" si="10">F40*$E$30</f>
        <v>0</v>
      </c>
      <c r="J34" s="743">
        <f t="shared" si="10"/>
        <v>0</v>
      </c>
      <c r="K34" s="743">
        <f t="shared" si="10"/>
        <v>0</v>
      </c>
      <c r="L34" s="743">
        <f t="shared" si="10"/>
        <v>0</v>
      </c>
      <c r="M34" s="743">
        <f t="shared" si="10"/>
        <v>0</v>
      </c>
      <c r="N34" s="743">
        <f t="shared" si="10"/>
        <v>0</v>
      </c>
      <c r="O34" s="743">
        <f t="shared" si="10"/>
        <v>0</v>
      </c>
      <c r="P34" s="743">
        <f t="shared" si="10"/>
        <v>0</v>
      </c>
      <c r="Q34" s="743">
        <f t="shared" si="10"/>
        <v>0</v>
      </c>
    </row>
    <row r="35" spans="1:18" s="43" customFormat="1" ht="13" hidden="1">
      <c r="A35" s="241"/>
      <c r="D35" s="65"/>
      <c r="F35" s="483"/>
      <c r="G35" s="483"/>
      <c r="H35" s="483"/>
      <c r="I35" s="483"/>
      <c r="J35" s="483"/>
      <c r="K35" s="483"/>
      <c r="L35" s="483"/>
      <c r="M35" s="483"/>
      <c r="N35" s="483"/>
      <c r="O35" s="483"/>
      <c r="P35" s="483"/>
      <c r="Q35" s="483"/>
    </row>
    <row r="36" spans="1:18" s="43" customFormat="1" ht="13" hidden="1">
      <c r="A36" s="241"/>
      <c r="D36" s="740"/>
      <c r="F36" s="745">
        <f t="shared" ref="F36:Q36" si="11">SUM(F31:F34)</f>
        <v>1102.5</v>
      </c>
      <c r="G36" s="745">
        <f t="shared" si="11"/>
        <v>1157.625</v>
      </c>
      <c r="H36" s="745">
        <f t="shared" si="11"/>
        <v>1212.75</v>
      </c>
      <c r="I36" s="745">
        <f t="shared" si="11"/>
        <v>1267.875</v>
      </c>
      <c r="J36" s="745">
        <f t="shared" si="11"/>
        <v>1323</v>
      </c>
      <c r="K36" s="745">
        <f t="shared" si="11"/>
        <v>1378.125</v>
      </c>
      <c r="L36" s="745">
        <f t="shared" si="11"/>
        <v>1433.2500000000002</v>
      </c>
      <c r="M36" s="745">
        <f t="shared" si="11"/>
        <v>1488.375</v>
      </c>
      <c r="N36" s="745">
        <f t="shared" si="11"/>
        <v>1543.5</v>
      </c>
      <c r="O36" s="745">
        <f t="shared" si="11"/>
        <v>1598.625</v>
      </c>
      <c r="P36" s="745">
        <f t="shared" si="11"/>
        <v>1653.75</v>
      </c>
      <c r="Q36" s="745">
        <f t="shared" si="11"/>
        <v>1708.8750000000002</v>
      </c>
      <c r="R36" s="240"/>
    </row>
    <row r="37" spans="1:18" s="43" customFormat="1" ht="13">
      <c r="C37" s="241"/>
      <c r="D37" s="243"/>
      <c r="E37" s="243"/>
      <c r="F37" s="237"/>
      <c r="G37" s="237"/>
      <c r="H37" s="237"/>
      <c r="I37" s="237"/>
      <c r="J37" s="237"/>
      <c r="K37" s="237"/>
      <c r="L37" s="237"/>
      <c r="M37" s="237"/>
      <c r="N37" s="237"/>
      <c r="O37" s="237"/>
      <c r="P37" s="237"/>
      <c r="Q37" s="237"/>
      <c r="R37" s="240"/>
    </row>
    <row r="38" spans="1:18" s="43" customFormat="1" ht="12.75" customHeight="1" thickBot="1">
      <c r="C38" s="48" t="s">
        <v>490</v>
      </c>
      <c r="D38" s="407">
        <f>'V4'!D38</f>
        <v>10</v>
      </c>
      <c r="E38" s="245"/>
      <c r="R38" s="249"/>
    </row>
    <row r="39" spans="1:18" s="43" customFormat="1" ht="13.5" thickBot="1">
      <c r="C39" s="48" t="s">
        <v>389</v>
      </c>
      <c r="D39" s="237"/>
      <c r="E39" s="237"/>
      <c r="F39" s="408">
        <f>(1+$F28)*'V4'!F39</f>
        <v>110.25</v>
      </c>
      <c r="G39" s="408">
        <f>(1+$F28)*'V4'!G39</f>
        <v>115.7625</v>
      </c>
      <c r="H39" s="408">
        <f>(1+$F28)*'V4'!H39</f>
        <v>121.27500000000001</v>
      </c>
      <c r="I39" s="408">
        <f>(1+$F28)*'V4'!I39</f>
        <v>126.78750000000001</v>
      </c>
      <c r="J39" s="408">
        <f>(1+$F28)*'V4'!J39</f>
        <v>132.30000000000001</v>
      </c>
      <c r="K39" s="408">
        <f>(1+$F28)*'V4'!K39</f>
        <v>137.8125</v>
      </c>
      <c r="L39" s="408">
        <f>(1+$F28)*'V4'!L39</f>
        <v>143.32500000000002</v>
      </c>
      <c r="M39" s="408">
        <f>(1+$F28)*'V4'!M39</f>
        <v>148.83750000000001</v>
      </c>
      <c r="N39" s="408">
        <f>(1+$F28)*'V4'!N39</f>
        <v>154.35</v>
      </c>
      <c r="O39" s="408">
        <f>(1+$F28)*'V4'!O39</f>
        <v>159.86250000000001</v>
      </c>
      <c r="P39" s="408">
        <f>(1+$F28)*'V4'!P39</f>
        <v>165.375</v>
      </c>
      <c r="Q39" s="408">
        <f>(1+$F28)*'V4'!Q39</f>
        <v>170.88750000000002</v>
      </c>
      <c r="R39" s="73">
        <f>SUM(F39:Q39)</f>
        <v>1686.825</v>
      </c>
    </row>
    <row r="40" spans="1:18" s="43" customFormat="1" ht="13.5" thickBot="1">
      <c r="C40" s="48" t="s">
        <v>491</v>
      </c>
      <c r="D40" s="246"/>
      <c r="E40" s="246"/>
      <c r="F40" s="247">
        <f t="shared" ref="F40:Q40" si="12">F39*$D38</f>
        <v>1102.5</v>
      </c>
      <c r="G40" s="247">
        <f t="shared" si="12"/>
        <v>1157.625</v>
      </c>
      <c r="H40" s="247">
        <f t="shared" si="12"/>
        <v>1212.75</v>
      </c>
      <c r="I40" s="247">
        <f t="shared" si="12"/>
        <v>1267.875</v>
      </c>
      <c r="J40" s="247">
        <f t="shared" si="12"/>
        <v>1323</v>
      </c>
      <c r="K40" s="247">
        <f t="shared" si="12"/>
        <v>1378.125</v>
      </c>
      <c r="L40" s="247">
        <f t="shared" si="12"/>
        <v>1433.2500000000002</v>
      </c>
      <c r="M40" s="247">
        <f t="shared" si="12"/>
        <v>1488.375</v>
      </c>
      <c r="N40" s="247">
        <f t="shared" si="12"/>
        <v>1543.5</v>
      </c>
      <c r="O40" s="247">
        <f t="shared" si="12"/>
        <v>1598.625</v>
      </c>
      <c r="P40" s="247">
        <f t="shared" si="12"/>
        <v>1653.75</v>
      </c>
      <c r="Q40" s="248">
        <f t="shared" si="12"/>
        <v>1708.8750000000002</v>
      </c>
      <c r="R40" s="73">
        <f>SUM(F40:Q40)</f>
        <v>16868.25</v>
      </c>
    </row>
    <row r="41" spans="1:18" s="43" customFormat="1" ht="13.5" thickBot="1">
      <c r="C41" s="48"/>
      <c r="D41" s="246"/>
      <c r="E41" s="246"/>
      <c r="F41" s="249"/>
      <c r="G41" s="249"/>
      <c r="H41" s="249"/>
      <c r="I41" s="249"/>
      <c r="J41" s="249"/>
      <c r="K41" s="249"/>
      <c r="L41" s="249"/>
      <c r="M41" s="249"/>
      <c r="N41" s="249"/>
      <c r="O41" s="249"/>
      <c r="P41" s="249"/>
      <c r="Q41" s="249"/>
      <c r="R41" s="249"/>
    </row>
    <row r="42" spans="1:18" s="43" customFormat="1" ht="13.5" thickBot="1">
      <c r="A42" s="900" t="s">
        <v>315</v>
      </c>
      <c r="B42" s="901"/>
      <c r="C42" s="898"/>
      <c r="D42" s="902"/>
      <c r="E42" s="903"/>
      <c r="F42" s="848">
        <v>0</v>
      </c>
      <c r="G42" s="1181" t="str">
        <f>A44</f>
        <v>Produit/service 3</v>
      </c>
      <c r="H42" s="1182"/>
      <c r="I42" s="1182"/>
      <c r="J42" s="1182"/>
      <c r="K42" s="1182"/>
      <c r="L42" s="1182"/>
      <c r="M42" s="1182"/>
      <c r="N42" s="1182"/>
      <c r="O42" s="1182"/>
      <c r="P42" s="1182"/>
      <c r="Q42" s="1182"/>
      <c r="R42" s="1182"/>
    </row>
    <row r="43" spans="1:18" s="43" customFormat="1" ht="13">
      <c r="B43" s="739" t="s">
        <v>328</v>
      </c>
      <c r="C43" s="739" t="s">
        <v>329</v>
      </c>
      <c r="D43" s="739" t="s">
        <v>448</v>
      </c>
      <c r="E43" s="739" t="s">
        <v>330</v>
      </c>
      <c r="F43" s="741"/>
    </row>
    <row r="44" spans="1:18" s="43" customFormat="1" ht="13">
      <c r="A44" s="906" t="str">
        <f>'V4'!A44</f>
        <v>Produit/service 3</v>
      </c>
      <c r="B44" s="742">
        <f>'V4'!B44</f>
        <v>1</v>
      </c>
      <c r="C44" s="742">
        <f>'V4'!C44</f>
        <v>0</v>
      </c>
      <c r="D44" s="742">
        <f>'V4'!D44</f>
        <v>0</v>
      </c>
      <c r="E44" s="742">
        <f>'V4'!E44</f>
        <v>0</v>
      </c>
      <c r="F44" s="740" t="str">
        <f>IF(SUM(B44:E44)=100%,"","&gt; 100 % &lt;")</f>
        <v/>
      </c>
    </row>
    <row r="45" spans="1:18" s="43" customFormat="1" ht="16.5" hidden="1" customHeight="1">
      <c r="B45" s="739"/>
      <c r="C45" s="239"/>
      <c r="E45" s="239"/>
      <c r="F45" s="743">
        <f t="shared" ref="F45:Q45" si="13">F54*$B$44</f>
        <v>1653.75</v>
      </c>
      <c r="G45" s="743">
        <f t="shared" si="13"/>
        <v>1736.4375</v>
      </c>
      <c r="H45" s="743">
        <f t="shared" si="13"/>
        <v>1819.125</v>
      </c>
      <c r="I45" s="743">
        <f t="shared" si="13"/>
        <v>1901.8125000000002</v>
      </c>
      <c r="J45" s="743">
        <f t="shared" si="13"/>
        <v>1984.5000000000002</v>
      </c>
      <c r="K45" s="743">
        <f t="shared" si="13"/>
        <v>2067.1875</v>
      </c>
      <c r="L45" s="743">
        <f t="shared" si="13"/>
        <v>2149.8750000000005</v>
      </c>
      <c r="M45" s="743">
        <f t="shared" si="13"/>
        <v>2232.5625</v>
      </c>
      <c r="N45" s="743">
        <f t="shared" si="13"/>
        <v>2315.25</v>
      </c>
      <c r="O45" s="743">
        <f t="shared" si="13"/>
        <v>2397.9375</v>
      </c>
      <c r="P45" s="743">
        <f t="shared" si="13"/>
        <v>2480.625</v>
      </c>
      <c r="Q45" s="743">
        <f t="shared" si="13"/>
        <v>2563.3125000000005</v>
      </c>
    </row>
    <row r="46" spans="1:18" s="43" customFormat="1" ht="16.5" hidden="1" customHeight="1">
      <c r="A46" s="241"/>
      <c r="B46" s="739"/>
      <c r="C46" s="239"/>
      <c r="E46" s="239"/>
      <c r="F46" s="744">
        <f>'V4'!Q54*'V4'!$C$44</f>
        <v>0</v>
      </c>
      <c r="G46" s="743">
        <f t="shared" ref="G46:Q46" si="14">F54*$C$44</f>
        <v>0</v>
      </c>
      <c r="H46" s="743">
        <f t="shared" si="14"/>
        <v>0</v>
      </c>
      <c r="I46" s="743">
        <f t="shared" si="14"/>
        <v>0</v>
      </c>
      <c r="J46" s="743">
        <f t="shared" si="14"/>
        <v>0</v>
      </c>
      <c r="K46" s="743">
        <f t="shared" si="14"/>
        <v>0</v>
      </c>
      <c r="L46" s="743">
        <f t="shared" si="14"/>
        <v>0</v>
      </c>
      <c r="M46" s="743">
        <f t="shared" si="14"/>
        <v>0</v>
      </c>
      <c r="N46" s="743">
        <f t="shared" si="14"/>
        <v>0</v>
      </c>
      <c r="O46" s="743">
        <f t="shared" si="14"/>
        <v>0</v>
      </c>
      <c r="P46" s="743">
        <f t="shared" si="14"/>
        <v>0</v>
      </c>
      <c r="Q46" s="743">
        <f t="shared" si="14"/>
        <v>0</v>
      </c>
    </row>
    <row r="47" spans="1:18" s="43" customFormat="1" ht="13" hidden="1">
      <c r="A47" s="241"/>
      <c r="B47" s="739"/>
      <c r="C47" s="239"/>
      <c r="E47" s="239"/>
      <c r="F47" s="744">
        <f>'V4'!P54*'V4'!$D$44</f>
        <v>0</v>
      </c>
      <c r="G47" s="744">
        <f>'V4'!Q54*'V4'!$D$44</f>
        <v>0</v>
      </c>
      <c r="H47" s="743">
        <f t="shared" ref="H47:Q47" si="15">F54*$D$44</f>
        <v>0</v>
      </c>
      <c r="I47" s="743">
        <f t="shared" si="15"/>
        <v>0</v>
      </c>
      <c r="J47" s="743">
        <f t="shared" si="15"/>
        <v>0</v>
      </c>
      <c r="K47" s="743">
        <f t="shared" si="15"/>
        <v>0</v>
      </c>
      <c r="L47" s="743">
        <f t="shared" si="15"/>
        <v>0</v>
      </c>
      <c r="M47" s="743">
        <f t="shared" si="15"/>
        <v>0</v>
      </c>
      <c r="N47" s="743">
        <f t="shared" si="15"/>
        <v>0</v>
      </c>
      <c r="O47" s="743">
        <f t="shared" si="15"/>
        <v>0</v>
      </c>
      <c r="P47" s="743">
        <f t="shared" si="15"/>
        <v>0</v>
      </c>
      <c r="Q47" s="743">
        <f t="shared" si="15"/>
        <v>0</v>
      </c>
    </row>
    <row r="48" spans="1:18" s="43" customFormat="1" ht="13" hidden="1">
      <c r="A48" s="241"/>
      <c r="B48" s="739"/>
      <c r="C48" s="239"/>
      <c r="E48" s="239"/>
      <c r="F48" s="744">
        <f>'V4'!O54*'V4'!$E$44</f>
        <v>0</v>
      </c>
      <c r="G48" s="744">
        <f>'V4'!P54*'V4'!$E$44</f>
        <v>0</v>
      </c>
      <c r="H48" s="744">
        <f>'V4'!Q54*'V4'!$E$44</f>
        <v>0</v>
      </c>
      <c r="I48" s="743">
        <f t="shared" ref="I48:Q48" si="16">F54*$E$44</f>
        <v>0</v>
      </c>
      <c r="J48" s="743">
        <f t="shared" si="16"/>
        <v>0</v>
      </c>
      <c r="K48" s="743">
        <f t="shared" si="16"/>
        <v>0</v>
      </c>
      <c r="L48" s="743">
        <f t="shared" si="16"/>
        <v>0</v>
      </c>
      <c r="M48" s="743">
        <f t="shared" si="16"/>
        <v>0</v>
      </c>
      <c r="N48" s="743">
        <f t="shared" si="16"/>
        <v>0</v>
      </c>
      <c r="O48" s="743">
        <f t="shared" si="16"/>
        <v>0</v>
      </c>
      <c r="P48" s="743">
        <f t="shared" si="16"/>
        <v>0</v>
      </c>
      <c r="Q48" s="743">
        <f t="shared" si="16"/>
        <v>0</v>
      </c>
    </row>
    <row r="49" spans="1:18" s="43" customFormat="1" ht="13" hidden="1">
      <c r="A49" s="241"/>
      <c r="D49" s="65"/>
      <c r="F49" s="483"/>
      <c r="G49" s="483"/>
      <c r="H49" s="483"/>
      <c r="I49" s="483"/>
      <c r="J49" s="483"/>
      <c r="K49" s="483"/>
      <c r="L49" s="483"/>
      <c r="M49" s="483"/>
      <c r="N49" s="483"/>
      <c r="O49" s="483"/>
      <c r="P49" s="483"/>
      <c r="Q49" s="483"/>
    </row>
    <row r="50" spans="1:18" s="43" customFormat="1" ht="13" hidden="1">
      <c r="A50" s="241"/>
      <c r="D50" s="740"/>
      <c r="F50" s="745">
        <f t="shared" ref="F50:Q50" si="17">SUM(F45:F48)</f>
        <v>1653.75</v>
      </c>
      <c r="G50" s="745">
        <f t="shared" si="17"/>
        <v>1736.4375</v>
      </c>
      <c r="H50" s="745">
        <f t="shared" si="17"/>
        <v>1819.125</v>
      </c>
      <c r="I50" s="745">
        <f t="shared" si="17"/>
        <v>1901.8125000000002</v>
      </c>
      <c r="J50" s="745">
        <f t="shared" si="17"/>
        <v>1984.5000000000002</v>
      </c>
      <c r="K50" s="745">
        <f t="shared" si="17"/>
        <v>2067.1875</v>
      </c>
      <c r="L50" s="745">
        <f t="shared" si="17"/>
        <v>2149.8750000000005</v>
      </c>
      <c r="M50" s="745">
        <f t="shared" si="17"/>
        <v>2232.5625</v>
      </c>
      <c r="N50" s="745">
        <f t="shared" si="17"/>
        <v>2315.25</v>
      </c>
      <c r="O50" s="745">
        <f t="shared" si="17"/>
        <v>2397.9375</v>
      </c>
      <c r="P50" s="745">
        <f t="shared" si="17"/>
        <v>2480.625</v>
      </c>
      <c r="Q50" s="745">
        <f t="shared" si="17"/>
        <v>2563.3125000000005</v>
      </c>
      <c r="R50" s="240"/>
    </row>
    <row r="51" spans="1:18" s="43" customFormat="1" ht="13">
      <c r="C51" s="241"/>
      <c r="D51" s="243"/>
      <c r="E51" s="243"/>
      <c r="F51" s="237"/>
      <c r="G51" s="237"/>
      <c r="H51" s="237"/>
      <c r="I51" s="237"/>
      <c r="J51" s="237"/>
      <c r="K51" s="237"/>
      <c r="L51" s="237"/>
      <c r="M51" s="237"/>
      <c r="N51" s="237"/>
      <c r="O51" s="237"/>
      <c r="P51" s="237"/>
      <c r="Q51" s="237"/>
      <c r="R51" s="240"/>
    </row>
    <row r="52" spans="1:18" s="43" customFormat="1" ht="13.5" thickBot="1">
      <c r="C52" s="48" t="s">
        <v>490</v>
      </c>
      <c r="D52" s="407">
        <f>'V4'!D52</f>
        <v>15</v>
      </c>
      <c r="E52" s="245"/>
      <c r="R52" s="249"/>
    </row>
    <row r="53" spans="1:18" s="43" customFormat="1" ht="13.5" thickBot="1">
      <c r="C53" s="48" t="s">
        <v>389</v>
      </c>
      <c r="D53" s="237"/>
      <c r="E53" s="237"/>
      <c r="F53" s="408">
        <f>(1+$F42)*'V4'!F53</f>
        <v>110.25</v>
      </c>
      <c r="G53" s="408">
        <f>(1+$F42)*'V4'!G53</f>
        <v>115.7625</v>
      </c>
      <c r="H53" s="408">
        <f>(1+$F42)*'V4'!H53</f>
        <v>121.27500000000001</v>
      </c>
      <c r="I53" s="408">
        <f>(1+$F42)*'V4'!I53</f>
        <v>126.78750000000001</v>
      </c>
      <c r="J53" s="408">
        <f>(1+$F42)*'V4'!J53</f>
        <v>132.30000000000001</v>
      </c>
      <c r="K53" s="408">
        <f>(1+$F42)*'V4'!K53</f>
        <v>137.8125</v>
      </c>
      <c r="L53" s="408">
        <f>(1+$F42)*'V4'!L53</f>
        <v>143.32500000000002</v>
      </c>
      <c r="M53" s="408">
        <f>(1+$F42)*'V4'!M53</f>
        <v>148.83750000000001</v>
      </c>
      <c r="N53" s="408">
        <f>(1+$F42)*'V4'!N53</f>
        <v>154.35</v>
      </c>
      <c r="O53" s="408">
        <f>(1+$F42)*'V4'!O53</f>
        <v>159.86250000000001</v>
      </c>
      <c r="P53" s="408">
        <f>(1+$F42)*'V4'!P53</f>
        <v>165.375</v>
      </c>
      <c r="Q53" s="408">
        <f>(1+$F42)*'V4'!Q53</f>
        <v>170.88750000000002</v>
      </c>
      <c r="R53" s="73">
        <f>SUM(F53:Q53)</f>
        <v>1686.825</v>
      </c>
    </row>
    <row r="54" spans="1:18" s="43" customFormat="1" ht="13.5" thickBot="1">
      <c r="C54" s="48" t="s">
        <v>491</v>
      </c>
      <c r="D54" s="237"/>
      <c r="E54" s="237"/>
      <c r="F54" s="247">
        <f t="shared" ref="F54:Q54" si="18">F53*$D52</f>
        <v>1653.75</v>
      </c>
      <c r="G54" s="247">
        <f t="shared" si="18"/>
        <v>1736.4375</v>
      </c>
      <c r="H54" s="247">
        <f t="shared" si="18"/>
        <v>1819.125</v>
      </c>
      <c r="I54" s="247">
        <f t="shared" si="18"/>
        <v>1901.8125000000002</v>
      </c>
      <c r="J54" s="247">
        <f t="shared" si="18"/>
        <v>1984.5000000000002</v>
      </c>
      <c r="K54" s="247">
        <f t="shared" si="18"/>
        <v>2067.1875</v>
      </c>
      <c r="L54" s="247">
        <f t="shared" si="18"/>
        <v>2149.8750000000005</v>
      </c>
      <c r="M54" s="247">
        <f t="shared" si="18"/>
        <v>2232.5625</v>
      </c>
      <c r="N54" s="247">
        <f t="shared" si="18"/>
        <v>2315.25</v>
      </c>
      <c r="O54" s="247">
        <f t="shared" si="18"/>
        <v>2397.9375</v>
      </c>
      <c r="P54" s="247">
        <f t="shared" si="18"/>
        <v>2480.625</v>
      </c>
      <c r="Q54" s="248">
        <f t="shared" si="18"/>
        <v>2563.3125000000005</v>
      </c>
      <c r="R54" s="73">
        <f>SUM(F54:Q54)</f>
        <v>25302.375</v>
      </c>
    </row>
    <row r="55" spans="1:18" s="43" customFormat="1" ht="13.5" thickBot="1">
      <c r="C55" s="48"/>
      <c r="D55" s="237"/>
      <c r="E55" s="237"/>
      <c r="F55" s="249"/>
      <c r="G55" s="249"/>
      <c r="H55" s="249"/>
      <c r="I55" s="249"/>
      <c r="J55" s="249"/>
      <c r="K55" s="249"/>
      <c r="L55" s="249"/>
      <c r="M55" s="249"/>
      <c r="N55" s="249"/>
      <c r="O55" s="249"/>
      <c r="P55" s="249"/>
      <c r="Q55" s="249"/>
      <c r="R55" s="249"/>
    </row>
    <row r="56" spans="1:18" s="43" customFormat="1" ht="13.5" thickBot="1">
      <c r="A56" s="900" t="s">
        <v>315</v>
      </c>
      <c r="B56" s="901"/>
      <c r="C56" s="898"/>
      <c r="D56" s="902"/>
      <c r="E56" s="903"/>
      <c r="F56" s="848">
        <v>0</v>
      </c>
      <c r="G56" s="1181" t="str">
        <f>A58</f>
        <v>Produit/service 4</v>
      </c>
      <c r="H56" s="1182"/>
      <c r="I56" s="1182"/>
      <c r="J56" s="1182"/>
      <c r="K56" s="1182"/>
      <c r="L56" s="1182"/>
      <c r="M56" s="1182"/>
      <c r="N56" s="1182"/>
      <c r="O56" s="1182"/>
      <c r="P56" s="1182"/>
      <c r="Q56" s="1182"/>
      <c r="R56" s="1182"/>
    </row>
    <row r="57" spans="1:18" s="43" customFormat="1" ht="13">
      <c r="B57" s="739" t="s">
        <v>328</v>
      </c>
      <c r="C57" s="739" t="s">
        <v>329</v>
      </c>
      <c r="D57" s="739" t="s">
        <v>448</v>
      </c>
      <c r="E57" s="739" t="s">
        <v>330</v>
      </c>
      <c r="F57" s="741"/>
    </row>
    <row r="58" spans="1:18" s="43" customFormat="1" ht="13">
      <c r="A58" s="906" t="str">
        <f>'V4'!A58</f>
        <v>Produit/service 4</v>
      </c>
      <c r="B58" s="742">
        <f>'V4'!B58</f>
        <v>1</v>
      </c>
      <c r="C58" s="742">
        <f>'V4'!C58</f>
        <v>0</v>
      </c>
      <c r="D58" s="742">
        <f>'V4'!D58</f>
        <v>0</v>
      </c>
      <c r="E58" s="742">
        <f>'V4'!E58</f>
        <v>0</v>
      </c>
      <c r="F58" s="740" t="str">
        <f>IF(SUM(B58:E58)=100%,"","&gt; 100 % &lt;")</f>
        <v/>
      </c>
    </row>
    <row r="59" spans="1:18" s="43" customFormat="1" ht="16.5" hidden="1" customHeight="1">
      <c r="B59" s="739"/>
      <c r="C59" s="239"/>
      <c r="E59" s="239"/>
      <c r="F59" s="743">
        <f t="shared" ref="F59:Q59" si="19">F68*$B$58</f>
        <v>0</v>
      </c>
      <c r="G59" s="743">
        <f t="shared" si="19"/>
        <v>0</v>
      </c>
      <c r="H59" s="743">
        <f t="shared" si="19"/>
        <v>0</v>
      </c>
      <c r="I59" s="743">
        <f t="shared" si="19"/>
        <v>0</v>
      </c>
      <c r="J59" s="743">
        <f t="shared" si="19"/>
        <v>0</v>
      </c>
      <c r="K59" s="743">
        <f t="shared" si="19"/>
        <v>0</v>
      </c>
      <c r="L59" s="743">
        <f t="shared" si="19"/>
        <v>0</v>
      </c>
      <c r="M59" s="743">
        <f t="shared" si="19"/>
        <v>0</v>
      </c>
      <c r="N59" s="743">
        <f t="shared" si="19"/>
        <v>0</v>
      </c>
      <c r="O59" s="743">
        <f t="shared" si="19"/>
        <v>0</v>
      </c>
      <c r="P59" s="743">
        <f t="shared" si="19"/>
        <v>0</v>
      </c>
      <c r="Q59" s="743">
        <f t="shared" si="19"/>
        <v>0</v>
      </c>
    </row>
    <row r="60" spans="1:18" s="43" customFormat="1" ht="16.5" hidden="1" customHeight="1">
      <c r="A60" s="241"/>
      <c r="B60" s="739"/>
      <c r="C60" s="239"/>
      <c r="E60" s="239"/>
      <c r="F60" s="744">
        <f>'V4'!Q68*'V4'!$C$58</f>
        <v>0</v>
      </c>
      <c r="G60" s="743">
        <f t="shared" ref="G60:Q60" si="20">F68*$C$58</f>
        <v>0</v>
      </c>
      <c r="H60" s="743">
        <f t="shared" si="20"/>
        <v>0</v>
      </c>
      <c r="I60" s="743">
        <f t="shared" si="20"/>
        <v>0</v>
      </c>
      <c r="J60" s="743">
        <f t="shared" si="20"/>
        <v>0</v>
      </c>
      <c r="K60" s="743">
        <f t="shared" si="20"/>
        <v>0</v>
      </c>
      <c r="L60" s="743">
        <f t="shared" si="20"/>
        <v>0</v>
      </c>
      <c r="M60" s="743">
        <f t="shared" si="20"/>
        <v>0</v>
      </c>
      <c r="N60" s="743">
        <f t="shared" si="20"/>
        <v>0</v>
      </c>
      <c r="O60" s="743">
        <f t="shared" si="20"/>
        <v>0</v>
      </c>
      <c r="P60" s="743">
        <f t="shared" si="20"/>
        <v>0</v>
      </c>
      <c r="Q60" s="743">
        <f t="shared" si="20"/>
        <v>0</v>
      </c>
    </row>
    <row r="61" spans="1:18" s="43" customFormat="1" ht="13" hidden="1">
      <c r="A61" s="241"/>
      <c r="B61" s="739"/>
      <c r="C61" s="239"/>
      <c r="E61" s="239"/>
      <c r="F61" s="744">
        <f>'V4'!P68*'V4'!$D$58</f>
        <v>0</v>
      </c>
      <c r="G61" s="744">
        <f>'V4'!Q68*'V4'!$D$58</f>
        <v>0</v>
      </c>
      <c r="H61" s="743">
        <f t="shared" ref="H61:Q61" si="21">F68*$D$58</f>
        <v>0</v>
      </c>
      <c r="I61" s="743">
        <f t="shared" si="21"/>
        <v>0</v>
      </c>
      <c r="J61" s="743">
        <f t="shared" si="21"/>
        <v>0</v>
      </c>
      <c r="K61" s="743">
        <f t="shared" si="21"/>
        <v>0</v>
      </c>
      <c r="L61" s="743">
        <f t="shared" si="21"/>
        <v>0</v>
      </c>
      <c r="M61" s="743">
        <f t="shared" si="21"/>
        <v>0</v>
      </c>
      <c r="N61" s="743">
        <f t="shared" si="21"/>
        <v>0</v>
      </c>
      <c r="O61" s="743">
        <f t="shared" si="21"/>
        <v>0</v>
      </c>
      <c r="P61" s="743">
        <f t="shared" si="21"/>
        <v>0</v>
      </c>
      <c r="Q61" s="743">
        <f t="shared" si="21"/>
        <v>0</v>
      </c>
    </row>
    <row r="62" spans="1:18" s="43" customFormat="1" ht="13" hidden="1">
      <c r="A62" s="241"/>
      <c r="B62" s="739"/>
      <c r="C62" s="239"/>
      <c r="E62" s="239"/>
      <c r="F62" s="744">
        <f>'V4'!O68*'V4'!$E$58</f>
        <v>0</v>
      </c>
      <c r="G62" s="744">
        <f>'V4'!P68*'V4'!$E$58</f>
        <v>0</v>
      </c>
      <c r="H62" s="744">
        <f>'V4'!Q68*'V4'!$E$58</f>
        <v>0</v>
      </c>
      <c r="I62" s="743">
        <f t="shared" ref="I62:Q62" si="22">F68*$E$58</f>
        <v>0</v>
      </c>
      <c r="J62" s="743">
        <f t="shared" si="22"/>
        <v>0</v>
      </c>
      <c r="K62" s="743">
        <f t="shared" si="22"/>
        <v>0</v>
      </c>
      <c r="L62" s="743">
        <f t="shared" si="22"/>
        <v>0</v>
      </c>
      <c r="M62" s="743">
        <f t="shared" si="22"/>
        <v>0</v>
      </c>
      <c r="N62" s="743">
        <f t="shared" si="22"/>
        <v>0</v>
      </c>
      <c r="O62" s="743">
        <f t="shared" si="22"/>
        <v>0</v>
      </c>
      <c r="P62" s="743">
        <f t="shared" si="22"/>
        <v>0</v>
      </c>
      <c r="Q62" s="743">
        <f t="shared" si="22"/>
        <v>0</v>
      </c>
    </row>
    <row r="63" spans="1:18" s="43" customFormat="1" ht="13" hidden="1">
      <c r="A63" s="241"/>
      <c r="D63" s="65"/>
      <c r="F63" s="483"/>
      <c r="G63" s="483"/>
      <c r="H63" s="483"/>
      <c r="I63" s="483"/>
      <c r="J63" s="483"/>
      <c r="K63" s="483"/>
      <c r="L63" s="483"/>
      <c r="M63" s="483"/>
      <c r="N63" s="483"/>
      <c r="O63" s="483"/>
      <c r="P63" s="483"/>
      <c r="Q63" s="483"/>
    </row>
    <row r="64" spans="1:18" s="43" customFormat="1" ht="13" hidden="1">
      <c r="A64" s="241"/>
      <c r="D64" s="740"/>
      <c r="F64" s="745">
        <f t="shared" ref="F64:Q64" si="23">SUM(F59:F62)</f>
        <v>0</v>
      </c>
      <c r="G64" s="745">
        <f t="shared" si="23"/>
        <v>0</v>
      </c>
      <c r="H64" s="745">
        <f t="shared" si="23"/>
        <v>0</v>
      </c>
      <c r="I64" s="745">
        <f t="shared" si="23"/>
        <v>0</v>
      </c>
      <c r="J64" s="745">
        <f t="shared" si="23"/>
        <v>0</v>
      </c>
      <c r="K64" s="745">
        <f t="shared" si="23"/>
        <v>0</v>
      </c>
      <c r="L64" s="745">
        <f t="shared" si="23"/>
        <v>0</v>
      </c>
      <c r="M64" s="745">
        <f t="shared" si="23"/>
        <v>0</v>
      </c>
      <c r="N64" s="745">
        <f t="shared" si="23"/>
        <v>0</v>
      </c>
      <c r="O64" s="745">
        <f t="shared" si="23"/>
        <v>0</v>
      </c>
      <c r="P64" s="745">
        <f t="shared" si="23"/>
        <v>0</v>
      </c>
      <c r="Q64" s="745">
        <f t="shared" si="23"/>
        <v>0</v>
      </c>
      <c r="R64" s="240"/>
    </row>
    <row r="65" spans="1:18" s="43" customFormat="1" ht="13">
      <c r="C65" s="241"/>
      <c r="D65" s="243"/>
      <c r="E65" s="243"/>
      <c r="F65" s="237"/>
      <c r="G65" s="237"/>
      <c r="H65" s="237"/>
      <c r="I65" s="237"/>
      <c r="J65" s="237"/>
      <c r="K65" s="237"/>
      <c r="L65" s="237"/>
      <c r="M65" s="237"/>
      <c r="N65" s="237"/>
      <c r="O65" s="237"/>
      <c r="P65" s="237"/>
      <c r="Q65" s="237"/>
      <c r="R65" s="240"/>
    </row>
    <row r="66" spans="1:18" s="43" customFormat="1" ht="13.5" thickBot="1">
      <c r="C66" s="48" t="s">
        <v>490</v>
      </c>
      <c r="D66" s="407">
        <f>'V4'!D66</f>
        <v>1</v>
      </c>
      <c r="E66" s="245"/>
      <c r="R66" s="238"/>
    </row>
    <row r="67" spans="1:18" s="43" customFormat="1" ht="13.5" thickBot="1">
      <c r="C67" s="48" t="s">
        <v>389</v>
      </c>
      <c r="D67" s="254"/>
      <c r="E67" s="254"/>
      <c r="F67" s="408">
        <f>(1+$F56)*'V4'!F67</f>
        <v>0</v>
      </c>
      <c r="G67" s="408">
        <f>(1+$F56)*'V4'!G67</f>
        <v>0</v>
      </c>
      <c r="H67" s="408">
        <f>(1+$F56)*'V4'!H67</f>
        <v>0</v>
      </c>
      <c r="I67" s="408">
        <f>(1+$F56)*'V4'!I67</f>
        <v>0</v>
      </c>
      <c r="J67" s="408">
        <f>(1+$F56)*'V4'!J67</f>
        <v>0</v>
      </c>
      <c r="K67" s="408">
        <f>(1+$F56)*'V4'!K67</f>
        <v>0</v>
      </c>
      <c r="L67" s="408">
        <f>(1+$F56)*'V4'!L67</f>
        <v>0</v>
      </c>
      <c r="M67" s="408">
        <f>(1+$F56)*'V4'!M67</f>
        <v>0</v>
      </c>
      <c r="N67" s="408">
        <f>(1+$F56)*'V4'!N67</f>
        <v>0</v>
      </c>
      <c r="O67" s="408">
        <f>(1+$F56)*'V4'!O67</f>
        <v>0</v>
      </c>
      <c r="P67" s="408">
        <f>(1+$F56)*'V4'!P67</f>
        <v>0</v>
      </c>
      <c r="Q67" s="408">
        <f>(1+$F56)*'V4'!Q67</f>
        <v>0</v>
      </c>
      <c r="R67" s="73">
        <f>SUM(F67:Q67)</f>
        <v>0</v>
      </c>
    </row>
    <row r="68" spans="1:18" s="43" customFormat="1" ht="13.5" thickBot="1">
      <c r="C68" s="48" t="s">
        <v>491</v>
      </c>
      <c r="D68" s="246"/>
      <c r="E68" s="246"/>
      <c r="F68" s="247">
        <f t="shared" ref="F68:Q68" si="24">F67*$D66</f>
        <v>0</v>
      </c>
      <c r="G68" s="247">
        <f t="shared" si="24"/>
        <v>0</v>
      </c>
      <c r="H68" s="247">
        <f t="shared" si="24"/>
        <v>0</v>
      </c>
      <c r="I68" s="247">
        <f t="shared" si="24"/>
        <v>0</v>
      </c>
      <c r="J68" s="247">
        <f t="shared" si="24"/>
        <v>0</v>
      </c>
      <c r="K68" s="247">
        <f t="shared" si="24"/>
        <v>0</v>
      </c>
      <c r="L68" s="247">
        <f t="shared" si="24"/>
        <v>0</v>
      </c>
      <c r="M68" s="247">
        <f t="shared" si="24"/>
        <v>0</v>
      </c>
      <c r="N68" s="247">
        <f t="shared" si="24"/>
        <v>0</v>
      </c>
      <c r="O68" s="247">
        <f t="shared" si="24"/>
        <v>0</v>
      </c>
      <c r="P68" s="247">
        <f t="shared" si="24"/>
        <v>0</v>
      </c>
      <c r="Q68" s="248">
        <f t="shared" si="24"/>
        <v>0</v>
      </c>
      <c r="R68" s="73">
        <f>SUM(F68:Q68)</f>
        <v>0</v>
      </c>
    </row>
    <row r="69" spans="1:18" s="43" customFormat="1" ht="13.5" thickBot="1">
      <c r="C69" s="48"/>
      <c r="D69" s="246"/>
      <c r="E69" s="246"/>
      <c r="F69" s="249"/>
      <c r="G69" s="249"/>
      <c r="H69" s="249"/>
      <c r="I69" s="249"/>
      <c r="J69" s="249"/>
      <c r="K69" s="249"/>
      <c r="L69" s="249"/>
      <c r="M69" s="249"/>
      <c r="N69" s="249"/>
      <c r="O69" s="249"/>
      <c r="P69" s="249"/>
      <c r="Q69" s="249"/>
      <c r="R69" s="249"/>
    </row>
    <row r="70" spans="1:18" s="43" customFormat="1" ht="13.5" thickBot="1">
      <c r="A70" s="900" t="s">
        <v>315</v>
      </c>
      <c r="B70" s="901"/>
      <c r="C70" s="898"/>
      <c r="D70" s="902"/>
      <c r="E70" s="903"/>
      <c r="F70" s="848">
        <v>0</v>
      </c>
      <c r="G70" s="1181" t="str">
        <f>A72</f>
        <v>Produit/service 5</v>
      </c>
      <c r="H70" s="1182"/>
      <c r="I70" s="1182"/>
      <c r="J70" s="1182"/>
      <c r="K70" s="1182"/>
      <c r="L70" s="1182"/>
      <c r="M70" s="1182"/>
      <c r="N70" s="1182"/>
      <c r="O70" s="1182"/>
      <c r="P70" s="1182"/>
      <c r="Q70" s="1182"/>
      <c r="R70" s="1182"/>
    </row>
    <row r="71" spans="1:18" s="43" customFormat="1" ht="13">
      <c r="B71" s="739" t="s">
        <v>328</v>
      </c>
      <c r="C71" s="739" t="s">
        <v>329</v>
      </c>
      <c r="D71" s="739" t="s">
        <v>448</v>
      </c>
      <c r="E71" s="739" t="s">
        <v>330</v>
      </c>
      <c r="F71" s="741"/>
    </row>
    <row r="72" spans="1:18" s="43" customFormat="1" ht="13">
      <c r="A72" s="906" t="str">
        <f>'V4'!A72</f>
        <v>Produit/service 5</v>
      </c>
      <c r="B72" s="742">
        <f>'V4'!B72</f>
        <v>1</v>
      </c>
      <c r="C72" s="742">
        <f>'V4'!C72</f>
        <v>0</v>
      </c>
      <c r="D72" s="742">
        <f>'V4'!D72</f>
        <v>0</v>
      </c>
      <c r="E72" s="742">
        <f>'V4'!E72</f>
        <v>0</v>
      </c>
      <c r="F72" s="740" t="str">
        <f>IF(SUM(B72:E72)=100%,"","&gt; 100 % &lt;")</f>
        <v/>
      </c>
    </row>
    <row r="73" spans="1:18" s="43" customFormat="1" ht="16.5" hidden="1" customHeight="1">
      <c r="B73" s="739"/>
      <c r="C73" s="239"/>
      <c r="E73" s="239"/>
      <c r="F73" s="743">
        <f t="shared" ref="F73:Q73" si="25">F82*$B$72</f>
        <v>0</v>
      </c>
      <c r="G73" s="743">
        <f t="shared" si="25"/>
        <v>0</v>
      </c>
      <c r="H73" s="743">
        <f t="shared" si="25"/>
        <v>0</v>
      </c>
      <c r="I73" s="743">
        <f t="shared" si="25"/>
        <v>0</v>
      </c>
      <c r="J73" s="743">
        <f t="shared" si="25"/>
        <v>0</v>
      </c>
      <c r="K73" s="743">
        <f t="shared" si="25"/>
        <v>0</v>
      </c>
      <c r="L73" s="743">
        <f t="shared" si="25"/>
        <v>0</v>
      </c>
      <c r="M73" s="743">
        <f t="shared" si="25"/>
        <v>0</v>
      </c>
      <c r="N73" s="743">
        <f t="shared" si="25"/>
        <v>0</v>
      </c>
      <c r="O73" s="743">
        <f t="shared" si="25"/>
        <v>0</v>
      </c>
      <c r="P73" s="743">
        <f t="shared" si="25"/>
        <v>0</v>
      </c>
      <c r="Q73" s="743">
        <f t="shared" si="25"/>
        <v>0</v>
      </c>
    </row>
    <row r="74" spans="1:18" s="43" customFormat="1" ht="16.5" hidden="1" customHeight="1">
      <c r="A74" s="241"/>
      <c r="B74" s="739"/>
      <c r="C74" s="239"/>
      <c r="E74" s="239"/>
      <c r="F74" s="744">
        <f>'V4'!Q82*'V4'!$C$72</f>
        <v>0</v>
      </c>
      <c r="G74" s="743">
        <f t="shared" ref="G74:Q74" si="26">F82*$C$72</f>
        <v>0</v>
      </c>
      <c r="H74" s="743">
        <f t="shared" si="26"/>
        <v>0</v>
      </c>
      <c r="I74" s="743">
        <f t="shared" si="26"/>
        <v>0</v>
      </c>
      <c r="J74" s="743">
        <f t="shared" si="26"/>
        <v>0</v>
      </c>
      <c r="K74" s="743">
        <f t="shared" si="26"/>
        <v>0</v>
      </c>
      <c r="L74" s="743">
        <f t="shared" si="26"/>
        <v>0</v>
      </c>
      <c r="M74" s="743">
        <f t="shared" si="26"/>
        <v>0</v>
      </c>
      <c r="N74" s="743">
        <f t="shared" si="26"/>
        <v>0</v>
      </c>
      <c r="O74" s="743">
        <f t="shared" si="26"/>
        <v>0</v>
      </c>
      <c r="P74" s="743">
        <f t="shared" si="26"/>
        <v>0</v>
      </c>
      <c r="Q74" s="743">
        <f t="shared" si="26"/>
        <v>0</v>
      </c>
    </row>
    <row r="75" spans="1:18" s="43" customFormat="1" ht="13" hidden="1">
      <c r="A75" s="241"/>
      <c r="B75" s="739"/>
      <c r="C75" s="239"/>
      <c r="E75" s="239"/>
      <c r="F75" s="744">
        <f>'V4'!P82*'V4'!$D$72</f>
        <v>0</v>
      </c>
      <c r="G75" s="744">
        <f>'V4'!Q82*'V4'!$D$72</f>
        <v>0</v>
      </c>
      <c r="H75" s="743">
        <f t="shared" ref="H75:Q75" si="27">F82*$D$72</f>
        <v>0</v>
      </c>
      <c r="I75" s="743">
        <f t="shared" si="27"/>
        <v>0</v>
      </c>
      <c r="J75" s="743">
        <f t="shared" si="27"/>
        <v>0</v>
      </c>
      <c r="K75" s="743">
        <f t="shared" si="27"/>
        <v>0</v>
      </c>
      <c r="L75" s="743">
        <f t="shared" si="27"/>
        <v>0</v>
      </c>
      <c r="M75" s="743">
        <f t="shared" si="27"/>
        <v>0</v>
      </c>
      <c r="N75" s="743">
        <f t="shared" si="27"/>
        <v>0</v>
      </c>
      <c r="O75" s="743">
        <f t="shared" si="27"/>
        <v>0</v>
      </c>
      <c r="P75" s="743">
        <f t="shared" si="27"/>
        <v>0</v>
      </c>
      <c r="Q75" s="743">
        <f t="shared" si="27"/>
        <v>0</v>
      </c>
    </row>
    <row r="76" spans="1:18" s="43" customFormat="1" ht="13" hidden="1">
      <c r="A76" s="241"/>
      <c r="B76" s="739"/>
      <c r="C76" s="239"/>
      <c r="E76" s="239"/>
      <c r="F76" s="744">
        <f>'V4'!O82*'V4'!$E$72</f>
        <v>0</v>
      </c>
      <c r="G76" s="744">
        <f>'V4'!P82*'V4'!$E$72</f>
        <v>0</v>
      </c>
      <c r="H76" s="744">
        <f>'V4'!Q82*'V4'!$E$72</f>
        <v>0</v>
      </c>
      <c r="I76" s="743">
        <f t="shared" ref="I76:Q76" si="28">F82*$E$72</f>
        <v>0</v>
      </c>
      <c r="J76" s="743">
        <f t="shared" si="28"/>
        <v>0</v>
      </c>
      <c r="K76" s="743">
        <f t="shared" si="28"/>
        <v>0</v>
      </c>
      <c r="L76" s="743">
        <f t="shared" si="28"/>
        <v>0</v>
      </c>
      <c r="M76" s="743">
        <f t="shared" si="28"/>
        <v>0</v>
      </c>
      <c r="N76" s="743">
        <f t="shared" si="28"/>
        <v>0</v>
      </c>
      <c r="O76" s="743">
        <f t="shared" si="28"/>
        <v>0</v>
      </c>
      <c r="P76" s="743">
        <f t="shared" si="28"/>
        <v>0</v>
      </c>
      <c r="Q76" s="743">
        <f t="shared" si="28"/>
        <v>0</v>
      </c>
    </row>
    <row r="77" spans="1:18" s="43" customFormat="1" ht="13" hidden="1">
      <c r="A77" s="241"/>
      <c r="D77" s="65"/>
      <c r="F77" s="483"/>
      <c r="G77" s="483"/>
      <c r="H77" s="483"/>
      <c r="I77" s="483"/>
      <c r="J77" s="483"/>
      <c r="K77" s="483"/>
      <c r="L77" s="483"/>
      <c r="M77" s="483"/>
      <c r="N77" s="483"/>
      <c r="O77" s="483"/>
      <c r="P77" s="483"/>
      <c r="Q77" s="483"/>
    </row>
    <row r="78" spans="1:18" s="43" customFormat="1" ht="13" hidden="1">
      <c r="A78" s="241"/>
      <c r="D78" s="740"/>
      <c r="F78" s="745">
        <f t="shared" ref="F78:Q78" si="29">SUM(F73:F76)</f>
        <v>0</v>
      </c>
      <c r="G78" s="745">
        <f t="shared" si="29"/>
        <v>0</v>
      </c>
      <c r="H78" s="745">
        <f t="shared" si="29"/>
        <v>0</v>
      </c>
      <c r="I78" s="745">
        <f t="shared" si="29"/>
        <v>0</v>
      </c>
      <c r="J78" s="745">
        <f t="shared" si="29"/>
        <v>0</v>
      </c>
      <c r="K78" s="745">
        <f t="shared" si="29"/>
        <v>0</v>
      </c>
      <c r="L78" s="745">
        <f t="shared" si="29"/>
        <v>0</v>
      </c>
      <c r="M78" s="745">
        <f t="shared" si="29"/>
        <v>0</v>
      </c>
      <c r="N78" s="745">
        <f t="shared" si="29"/>
        <v>0</v>
      </c>
      <c r="O78" s="745">
        <f t="shared" si="29"/>
        <v>0</v>
      </c>
      <c r="P78" s="745">
        <f t="shared" si="29"/>
        <v>0</v>
      </c>
      <c r="Q78" s="745">
        <f t="shared" si="29"/>
        <v>0</v>
      </c>
      <c r="R78" s="240"/>
    </row>
    <row r="79" spans="1:18" s="43" customFormat="1" ht="13">
      <c r="C79" s="241"/>
      <c r="D79" s="243"/>
      <c r="E79" s="243"/>
      <c r="F79" s="237"/>
      <c r="G79" s="237"/>
      <c r="H79" s="237"/>
      <c r="I79" s="237"/>
      <c r="J79" s="237"/>
      <c r="K79" s="237"/>
      <c r="L79" s="237"/>
      <c r="M79" s="237"/>
      <c r="N79" s="237"/>
      <c r="O79" s="237"/>
      <c r="P79" s="237"/>
      <c r="Q79" s="237"/>
      <c r="R79" s="240"/>
    </row>
    <row r="80" spans="1:18" s="43" customFormat="1" ht="13.5" thickBot="1">
      <c r="C80" s="48" t="s">
        <v>490</v>
      </c>
      <c r="D80" s="407">
        <f>'V4'!D80</f>
        <v>1</v>
      </c>
      <c r="E80" s="245"/>
      <c r="R80" s="249"/>
    </row>
    <row r="81" spans="1:18" s="43" customFormat="1" ht="13.5" thickBot="1">
      <c r="C81" s="48" t="s">
        <v>389</v>
      </c>
      <c r="D81" s="246"/>
      <c r="E81" s="246"/>
      <c r="F81" s="408">
        <f>(1+$F70)*'V4'!F81</f>
        <v>0</v>
      </c>
      <c r="G81" s="408">
        <f>(1+$F70)*'V4'!G81</f>
        <v>0</v>
      </c>
      <c r="H81" s="408">
        <f>(1+$F70)*'V4'!H81</f>
        <v>0</v>
      </c>
      <c r="I81" s="408">
        <f>(1+$F70)*'V4'!I81</f>
        <v>0</v>
      </c>
      <c r="J81" s="408">
        <f>(1+$F70)*'V4'!J81</f>
        <v>0</v>
      </c>
      <c r="K81" s="408">
        <f>(1+$F70)*'V4'!K81</f>
        <v>0</v>
      </c>
      <c r="L81" s="408">
        <f>(1+$F70)*'V4'!L81</f>
        <v>0</v>
      </c>
      <c r="M81" s="408">
        <f>(1+$F70)*'V4'!M81</f>
        <v>0</v>
      </c>
      <c r="N81" s="408">
        <f>(1+$F70)*'V4'!N81</f>
        <v>0</v>
      </c>
      <c r="O81" s="408">
        <f>(1+$F70)*'V4'!O81</f>
        <v>0</v>
      </c>
      <c r="P81" s="408">
        <f>(1+$F70)*'V4'!P81</f>
        <v>0</v>
      </c>
      <c r="Q81" s="408">
        <f>(1+$F70)*'V4'!Q81</f>
        <v>0</v>
      </c>
      <c r="R81" s="73">
        <f>SUM(F81:Q81)</f>
        <v>0</v>
      </c>
    </row>
    <row r="82" spans="1:18" s="43" customFormat="1" ht="13.5" thickBot="1">
      <c r="C82" s="48" t="s">
        <v>491</v>
      </c>
      <c r="D82" s="246"/>
      <c r="E82" s="246"/>
      <c r="F82" s="247">
        <f t="shared" ref="F82:Q82" si="30">F81*$D80</f>
        <v>0</v>
      </c>
      <c r="G82" s="247">
        <f t="shared" si="30"/>
        <v>0</v>
      </c>
      <c r="H82" s="247">
        <f t="shared" si="30"/>
        <v>0</v>
      </c>
      <c r="I82" s="247">
        <f t="shared" si="30"/>
        <v>0</v>
      </c>
      <c r="J82" s="247">
        <f t="shared" si="30"/>
        <v>0</v>
      </c>
      <c r="K82" s="247">
        <f t="shared" si="30"/>
        <v>0</v>
      </c>
      <c r="L82" s="247">
        <f t="shared" si="30"/>
        <v>0</v>
      </c>
      <c r="M82" s="247">
        <f t="shared" si="30"/>
        <v>0</v>
      </c>
      <c r="N82" s="247">
        <f t="shared" si="30"/>
        <v>0</v>
      </c>
      <c r="O82" s="247">
        <f t="shared" si="30"/>
        <v>0</v>
      </c>
      <c r="P82" s="247">
        <f t="shared" si="30"/>
        <v>0</v>
      </c>
      <c r="Q82" s="248">
        <f t="shared" si="30"/>
        <v>0</v>
      </c>
      <c r="R82" s="73">
        <f>SUM(F82:Q82)</f>
        <v>0</v>
      </c>
    </row>
    <row r="83" spans="1:18" s="43" customFormat="1" ht="13.5" thickBot="1">
      <c r="C83" s="48"/>
      <c r="D83" s="246"/>
      <c r="E83" s="246"/>
      <c r="F83" s="249"/>
      <c r="G83" s="249"/>
      <c r="H83" s="249"/>
      <c r="I83" s="249"/>
      <c r="J83" s="249"/>
      <c r="K83" s="249"/>
      <c r="L83" s="249"/>
      <c r="M83" s="249"/>
      <c r="N83" s="249"/>
      <c r="O83" s="249"/>
      <c r="P83" s="249"/>
      <c r="Q83" s="249"/>
      <c r="R83" s="249"/>
    </row>
    <row r="84" spans="1:18" s="43" customFormat="1" ht="13.5" thickBot="1">
      <c r="A84" s="900" t="s">
        <v>315</v>
      </c>
      <c r="B84" s="901"/>
      <c r="C84" s="898"/>
      <c r="D84" s="902"/>
      <c r="E84" s="903"/>
      <c r="F84" s="848">
        <v>0</v>
      </c>
      <c r="G84" s="1181" t="str">
        <f>A86</f>
        <v>Produit/service 6</v>
      </c>
      <c r="H84" s="1182"/>
      <c r="I84" s="1182"/>
      <c r="J84" s="1182"/>
      <c r="K84" s="1182"/>
      <c r="L84" s="1182"/>
      <c r="M84" s="1182"/>
      <c r="N84" s="1182"/>
      <c r="O84" s="1182"/>
      <c r="P84" s="1182"/>
      <c r="Q84" s="1182"/>
      <c r="R84" s="1182"/>
    </row>
    <row r="85" spans="1:18" s="43" customFormat="1" ht="13">
      <c r="B85" s="739" t="s">
        <v>328</v>
      </c>
      <c r="C85" s="739" t="s">
        <v>329</v>
      </c>
      <c r="D85" s="739" t="s">
        <v>448</v>
      </c>
      <c r="E85" s="739" t="s">
        <v>330</v>
      </c>
      <c r="F85" s="741"/>
    </row>
    <row r="86" spans="1:18" s="43" customFormat="1" ht="13">
      <c r="A86" s="906" t="str">
        <f>'V4'!A86</f>
        <v>Produit/service 6</v>
      </c>
      <c r="B86" s="742">
        <f>'V4'!B86</f>
        <v>1</v>
      </c>
      <c r="C86" s="742">
        <f>'V4'!C86</f>
        <v>0</v>
      </c>
      <c r="D86" s="742">
        <f>'V4'!D86</f>
        <v>0</v>
      </c>
      <c r="E86" s="742">
        <f>'V4'!E86</f>
        <v>0</v>
      </c>
      <c r="F86" s="740" t="str">
        <f>IF(SUM(B86:E86)=100%,"","&gt; 100 % &lt;")</f>
        <v/>
      </c>
    </row>
    <row r="87" spans="1:18" s="43" customFormat="1" ht="16.5" hidden="1" customHeight="1">
      <c r="C87" s="239"/>
      <c r="E87" s="239"/>
      <c r="F87" s="743">
        <f t="shared" ref="F87:Q87" si="31">F96*$B$86</f>
        <v>0</v>
      </c>
      <c r="G87" s="743">
        <f t="shared" si="31"/>
        <v>0</v>
      </c>
      <c r="H87" s="743">
        <f t="shared" si="31"/>
        <v>0</v>
      </c>
      <c r="I87" s="743">
        <f t="shared" si="31"/>
        <v>0</v>
      </c>
      <c r="J87" s="743">
        <f t="shared" si="31"/>
        <v>0</v>
      </c>
      <c r="K87" s="743">
        <f t="shared" si="31"/>
        <v>0</v>
      </c>
      <c r="L87" s="743">
        <f t="shared" si="31"/>
        <v>0</v>
      </c>
      <c r="M87" s="743">
        <f t="shared" si="31"/>
        <v>0</v>
      </c>
      <c r="N87" s="743">
        <f t="shared" si="31"/>
        <v>0</v>
      </c>
      <c r="O87" s="743">
        <f t="shared" si="31"/>
        <v>0</v>
      </c>
      <c r="P87" s="743">
        <f t="shared" si="31"/>
        <v>0</v>
      </c>
      <c r="Q87" s="743">
        <f t="shared" si="31"/>
        <v>0</v>
      </c>
    </row>
    <row r="88" spans="1:18" s="43" customFormat="1" ht="16.5" hidden="1" customHeight="1">
      <c r="A88" s="241"/>
      <c r="C88" s="239"/>
      <c r="E88" s="239"/>
      <c r="F88" s="744">
        <f>'V4'!Q96*'V4'!$C$86</f>
        <v>0</v>
      </c>
      <c r="G88" s="743">
        <f t="shared" ref="G88:Q88" si="32">F96*$C$86</f>
        <v>0</v>
      </c>
      <c r="H88" s="743">
        <f t="shared" si="32"/>
        <v>0</v>
      </c>
      <c r="I88" s="743">
        <f t="shared" si="32"/>
        <v>0</v>
      </c>
      <c r="J88" s="743">
        <f t="shared" si="32"/>
        <v>0</v>
      </c>
      <c r="K88" s="743">
        <f t="shared" si="32"/>
        <v>0</v>
      </c>
      <c r="L88" s="743">
        <f t="shared" si="32"/>
        <v>0</v>
      </c>
      <c r="M88" s="743">
        <f t="shared" si="32"/>
        <v>0</v>
      </c>
      <c r="N88" s="743">
        <f t="shared" si="32"/>
        <v>0</v>
      </c>
      <c r="O88" s="743">
        <f t="shared" si="32"/>
        <v>0</v>
      </c>
      <c r="P88" s="743">
        <f t="shared" si="32"/>
        <v>0</v>
      </c>
      <c r="Q88" s="743">
        <f t="shared" si="32"/>
        <v>0</v>
      </c>
    </row>
    <row r="89" spans="1:18" s="43" customFormat="1" ht="13" hidden="1">
      <c r="A89" s="241"/>
      <c r="C89" s="239"/>
      <c r="E89" s="239"/>
      <c r="F89" s="744">
        <f>'V4'!P96*'V4'!$D$86</f>
        <v>0</v>
      </c>
      <c r="G89" s="744">
        <f>'V4'!Q96*'V4'!$D$86</f>
        <v>0</v>
      </c>
      <c r="H89" s="743">
        <f t="shared" ref="H89:Q89" si="33">F96*$D$86</f>
        <v>0</v>
      </c>
      <c r="I89" s="743">
        <f t="shared" si="33"/>
        <v>0</v>
      </c>
      <c r="J89" s="743">
        <f t="shared" si="33"/>
        <v>0</v>
      </c>
      <c r="K89" s="743">
        <f t="shared" si="33"/>
        <v>0</v>
      </c>
      <c r="L89" s="743">
        <f t="shared" si="33"/>
        <v>0</v>
      </c>
      <c r="M89" s="743">
        <f t="shared" si="33"/>
        <v>0</v>
      </c>
      <c r="N89" s="743">
        <f t="shared" si="33"/>
        <v>0</v>
      </c>
      <c r="O89" s="743">
        <f t="shared" si="33"/>
        <v>0</v>
      </c>
      <c r="P89" s="743">
        <f t="shared" si="33"/>
        <v>0</v>
      </c>
      <c r="Q89" s="743">
        <f t="shared" si="33"/>
        <v>0</v>
      </c>
    </row>
    <row r="90" spans="1:18" s="43" customFormat="1" ht="13" hidden="1">
      <c r="A90" s="241"/>
      <c r="C90" s="239"/>
      <c r="E90" s="239"/>
      <c r="F90" s="744">
        <f>'V4'!O96*'V4'!$E$86</f>
        <v>0</v>
      </c>
      <c r="G90" s="744">
        <f>'V4'!P96*'V4'!$E$86</f>
        <v>0</v>
      </c>
      <c r="H90" s="744">
        <f>'V4'!Q96*'V4'!$E$86</f>
        <v>0</v>
      </c>
      <c r="I90" s="743">
        <f t="shared" ref="I90:Q90" si="34">F96*$E$86</f>
        <v>0</v>
      </c>
      <c r="J90" s="743">
        <f t="shared" si="34"/>
        <v>0</v>
      </c>
      <c r="K90" s="743">
        <f t="shared" si="34"/>
        <v>0</v>
      </c>
      <c r="L90" s="743">
        <f t="shared" si="34"/>
        <v>0</v>
      </c>
      <c r="M90" s="743">
        <f t="shared" si="34"/>
        <v>0</v>
      </c>
      <c r="N90" s="743">
        <f t="shared" si="34"/>
        <v>0</v>
      </c>
      <c r="O90" s="743">
        <f t="shared" si="34"/>
        <v>0</v>
      </c>
      <c r="P90" s="743">
        <f t="shared" si="34"/>
        <v>0</v>
      </c>
      <c r="Q90" s="743">
        <f t="shared" si="34"/>
        <v>0</v>
      </c>
    </row>
    <row r="91" spans="1:18" s="43" customFormat="1" ht="13" hidden="1">
      <c r="A91" s="241"/>
      <c r="D91" s="65"/>
      <c r="F91" s="483"/>
      <c r="G91" s="483"/>
      <c r="H91" s="483"/>
      <c r="I91" s="483"/>
      <c r="J91" s="483"/>
      <c r="K91" s="483"/>
      <c r="L91" s="483"/>
      <c r="M91" s="483"/>
      <c r="N91" s="483"/>
      <c r="O91" s="483"/>
      <c r="P91" s="483"/>
      <c r="Q91" s="483"/>
    </row>
    <row r="92" spans="1:18" s="43" customFormat="1" ht="13" hidden="1">
      <c r="A92" s="241"/>
      <c r="D92" s="740"/>
      <c r="F92" s="745">
        <f t="shared" ref="F92:Q92" si="35">SUM(F87:F90)</f>
        <v>0</v>
      </c>
      <c r="G92" s="745">
        <f t="shared" si="35"/>
        <v>0</v>
      </c>
      <c r="H92" s="745">
        <f t="shared" si="35"/>
        <v>0</v>
      </c>
      <c r="I92" s="745">
        <f t="shared" si="35"/>
        <v>0</v>
      </c>
      <c r="J92" s="745">
        <f t="shared" si="35"/>
        <v>0</v>
      </c>
      <c r="K92" s="745">
        <f t="shared" si="35"/>
        <v>0</v>
      </c>
      <c r="L92" s="745">
        <f t="shared" si="35"/>
        <v>0</v>
      </c>
      <c r="M92" s="745">
        <f t="shared" si="35"/>
        <v>0</v>
      </c>
      <c r="N92" s="745">
        <f t="shared" si="35"/>
        <v>0</v>
      </c>
      <c r="O92" s="745">
        <f t="shared" si="35"/>
        <v>0</v>
      </c>
      <c r="P92" s="745">
        <f t="shared" si="35"/>
        <v>0</v>
      </c>
      <c r="Q92" s="745">
        <f t="shared" si="35"/>
        <v>0</v>
      </c>
      <c r="R92" s="240"/>
    </row>
    <row r="93" spans="1:18" s="43" customFormat="1" ht="13">
      <c r="C93" s="241"/>
      <c r="D93" s="243"/>
      <c r="E93" s="243"/>
      <c r="F93" s="237"/>
      <c r="G93" s="237"/>
      <c r="H93" s="237"/>
      <c r="I93" s="237"/>
      <c r="J93" s="237"/>
      <c r="K93" s="237"/>
      <c r="L93" s="237"/>
      <c r="M93" s="237"/>
      <c r="N93" s="237"/>
      <c r="O93" s="237"/>
      <c r="P93" s="237"/>
      <c r="Q93" s="237"/>
      <c r="R93" s="240"/>
    </row>
    <row r="94" spans="1:18" s="43" customFormat="1" ht="13.5" thickBot="1">
      <c r="C94" s="48" t="s">
        <v>490</v>
      </c>
      <c r="D94" s="407">
        <f>'V4'!D94</f>
        <v>1</v>
      </c>
      <c r="E94" s="245"/>
      <c r="R94" s="249"/>
    </row>
    <row r="95" spans="1:18" s="43" customFormat="1" ht="13.5" thickBot="1">
      <c r="C95" s="48" t="s">
        <v>389</v>
      </c>
      <c r="D95" s="237"/>
      <c r="E95" s="237"/>
      <c r="F95" s="408">
        <f>(1+$F84)*'V4'!F95</f>
        <v>0</v>
      </c>
      <c r="G95" s="408">
        <f>(1+$F84)*'V4'!G95</f>
        <v>0</v>
      </c>
      <c r="H95" s="408">
        <f>(1+$F84)*'V4'!H95</f>
        <v>0</v>
      </c>
      <c r="I95" s="408">
        <f>(1+$F84)*'V4'!I95</f>
        <v>0</v>
      </c>
      <c r="J95" s="408">
        <f>(1+$F84)*'V4'!J95</f>
        <v>0</v>
      </c>
      <c r="K95" s="408">
        <f>(1+$F84)*'V4'!K95</f>
        <v>0</v>
      </c>
      <c r="L95" s="408">
        <f>(1+$F84)*'V4'!L95</f>
        <v>0</v>
      </c>
      <c r="M95" s="408">
        <f>(1+$F84)*'V4'!M95</f>
        <v>0</v>
      </c>
      <c r="N95" s="408">
        <f>(1+$F84)*'V4'!N95</f>
        <v>0</v>
      </c>
      <c r="O95" s="408">
        <f>(1+$F84)*'V4'!O95</f>
        <v>0</v>
      </c>
      <c r="P95" s="408">
        <f>(1+$F84)*'V4'!P95</f>
        <v>0</v>
      </c>
      <c r="Q95" s="408">
        <f>(1+$F84)*'V4'!Q95</f>
        <v>0</v>
      </c>
      <c r="R95" s="73">
        <f>SUM(F95:Q95)</f>
        <v>0</v>
      </c>
    </row>
    <row r="96" spans="1:18" s="43" customFormat="1" ht="13.5" thickBot="1">
      <c r="C96" s="48" t="s">
        <v>491</v>
      </c>
      <c r="D96" s="237"/>
      <c r="E96" s="237"/>
      <c r="F96" s="247">
        <f t="shared" ref="F96:Q96" si="36">F95*$D94</f>
        <v>0</v>
      </c>
      <c r="G96" s="247">
        <f t="shared" si="36"/>
        <v>0</v>
      </c>
      <c r="H96" s="247">
        <f t="shared" si="36"/>
        <v>0</v>
      </c>
      <c r="I96" s="247">
        <f t="shared" si="36"/>
        <v>0</v>
      </c>
      <c r="J96" s="247">
        <f t="shared" si="36"/>
        <v>0</v>
      </c>
      <c r="K96" s="247">
        <f t="shared" si="36"/>
        <v>0</v>
      </c>
      <c r="L96" s="247">
        <f t="shared" si="36"/>
        <v>0</v>
      </c>
      <c r="M96" s="247">
        <f t="shared" si="36"/>
        <v>0</v>
      </c>
      <c r="N96" s="247">
        <f t="shared" si="36"/>
        <v>0</v>
      </c>
      <c r="O96" s="247">
        <f t="shared" si="36"/>
        <v>0</v>
      </c>
      <c r="P96" s="247">
        <f t="shared" si="36"/>
        <v>0</v>
      </c>
      <c r="Q96" s="248">
        <f t="shared" si="36"/>
        <v>0</v>
      </c>
      <c r="R96" s="73">
        <f>SUM(F96:Q96)</f>
        <v>0</v>
      </c>
    </row>
    <row r="97" spans="3:18" s="43" customFormat="1" ht="13">
      <c r="C97" s="143"/>
      <c r="D97" s="237"/>
      <c r="E97" s="237"/>
      <c r="F97" s="787">
        <f t="shared" ref="F97:Q97" si="37">F92+F78+F64+F50+F36+F22</f>
        <v>3583.125</v>
      </c>
      <c r="G97" s="787">
        <f t="shared" si="37"/>
        <v>3748.5</v>
      </c>
      <c r="H97" s="787">
        <f t="shared" si="37"/>
        <v>3913.875</v>
      </c>
      <c r="I97" s="787">
        <f t="shared" si="37"/>
        <v>4079.25</v>
      </c>
      <c r="J97" s="787">
        <f t="shared" si="37"/>
        <v>4244.625</v>
      </c>
      <c r="K97" s="787">
        <f t="shared" si="37"/>
        <v>4410</v>
      </c>
      <c r="L97" s="787">
        <f t="shared" si="37"/>
        <v>4575.3750000000009</v>
      </c>
      <c r="M97" s="787">
        <f t="shared" si="37"/>
        <v>4740.75</v>
      </c>
      <c r="N97" s="787">
        <f t="shared" si="37"/>
        <v>4906.125</v>
      </c>
      <c r="O97" s="787">
        <f t="shared" si="37"/>
        <v>5071.5</v>
      </c>
      <c r="P97" s="787">
        <f t="shared" si="37"/>
        <v>5236.875</v>
      </c>
      <c r="Q97" s="787">
        <f t="shared" si="37"/>
        <v>5402.2500000000009</v>
      </c>
      <c r="R97" s="788">
        <f>SUM(F97:Q97)</f>
        <v>53912.25</v>
      </c>
    </row>
    <row r="98" spans="3:18" ht="13.5" thickBot="1">
      <c r="C98" s="255"/>
    </row>
    <row r="99" spans="3:18" ht="13.5" thickBot="1">
      <c r="C99" s="48" t="s">
        <v>163</v>
      </c>
      <c r="F99" s="329">
        <f>F26+F40+F54+F68+F82+F96</f>
        <v>3583.125</v>
      </c>
      <c r="G99" s="329">
        <f t="shared" ref="G99:R99" si="38">G26+G40+G54+G68+G82+G96</f>
        <v>3748.5</v>
      </c>
      <c r="H99" s="329">
        <f t="shared" si="38"/>
        <v>3913.875</v>
      </c>
      <c r="I99" s="329">
        <f t="shared" si="38"/>
        <v>4079.25</v>
      </c>
      <c r="J99" s="329">
        <f t="shared" si="38"/>
        <v>4244.625</v>
      </c>
      <c r="K99" s="329">
        <f t="shared" si="38"/>
        <v>4410</v>
      </c>
      <c r="L99" s="329">
        <f t="shared" si="38"/>
        <v>4575.3750000000009</v>
      </c>
      <c r="M99" s="329">
        <f t="shared" si="38"/>
        <v>4740.75</v>
      </c>
      <c r="N99" s="329">
        <f t="shared" si="38"/>
        <v>4906.125</v>
      </c>
      <c r="O99" s="329">
        <f t="shared" si="38"/>
        <v>5071.5</v>
      </c>
      <c r="P99" s="329">
        <f t="shared" si="38"/>
        <v>5236.875</v>
      </c>
      <c r="Q99" s="329">
        <f t="shared" si="38"/>
        <v>5402.25</v>
      </c>
      <c r="R99" s="329">
        <f t="shared" si="38"/>
        <v>53912.25</v>
      </c>
    </row>
    <row r="100" spans="3:18" ht="13">
      <c r="C100" s="255"/>
    </row>
    <row r="101" spans="3:18" ht="13">
      <c r="C101" s="255"/>
    </row>
  </sheetData>
  <sheetProtection password="E242" sheet="1" objects="1" scenarios="1"/>
  <customSheetViews>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8">
    <pageSetUpPr fitToPage="1"/>
  </sheetPr>
  <dimension ref="A1:P31"/>
  <sheetViews>
    <sheetView showGridLines="0" showRowColHeaders="0" showOutlineSymbols="0" zoomScale="90" zoomScaleNormal="90" workbookViewId="0">
      <selection activeCell="D16" sqref="D16"/>
    </sheetView>
  </sheetViews>
  <sheetFormatPr baseColWidth="10" defaultColWidth="11.453125" defaultRowHeight="12.5"/>
  <cols>
    <col min="1" max="2" width="19" style="251" customWidth="1"/>
    <col min="3" max="3" width="11.453125" style="251"/>
    <col min="4" max="16" width="15.453125" style="251" customWidth="1"/>
    <col min="17" max="16384" width="11.453125" style="251"/>
  </cols>
  <sheetData>
    <row r="1" spans="1:16" customFormat="1"/>
    <row r="2" spans="1:16" customFormat="1"/>
    <row r="3" spans="1:16" customFormat="1"/>
    <row r="4" spans="1:16" customFormat="1"/>
    <row r="5" spans="1:16" customFormat="1"/>
    <row r="6" spans="1:16" customFormat="1"/>
    <row r="7" spans="1:16" customFormat="1"/>
    <row r="8" spans="1:16" ht="25">
      <c r="A8" s="235" t="str">
        <f>RG!D17</f>
        <v>Jhon Wesly inc.</v>
      </c>
    </row>
    <row r="10" spans="1:16" ht="17.5">
      <c r="A10" s="256" t="s">
        <v>745</v>
      </c>
      <c r="B10" s="261"/>
      <c r="C10" s="261"/>
      <c r="D10" s="261"/>
      <c r="E10" s="72"/>
    </row>
    <row r="11" spans="1:16" ht="15.5" thickBot="1">
      <c r="A11" s="257"/>
      <c r="E11" s="72"/>
    </row>
    <row r="12" spans="1:16" s="261" customFormat="1" ht="15" customHeight="1" thickBot="1">
      <c r="A12" s="1186" t="s">
        <v>555</v>
      </c>
      <c r="B12" s="1187"/>
      <c r="C12" s="820"/>
      <c r="D12" s="817">
        <f>RG!D27</f>
        <v>45292</v>
      </c>
      <c r="E12" s="818">
        <f t="shared" ref="E12:O12" si="0">D12+31</f>
        <v>45323</v>
      </c>
      <c r="F12" s="818">
        <f t="shared" si="0"/>
        <v>45354</v>
      </c>
      <c r="G12" s="818">
        <f t="shared" si="0"/>
        <v>45385</v>
      </c>
      <c r="H12" s="818">
        <f t="shared" si="0"/>
        <v>45416</v>
      </c>
      <c r="I12" s="818">
        <f t="shared" si="0"/>
        <v>45447</v>
      </c>
      <c r="J12" s="818">
        <f t="shared" si="0"/>
        <v>45478</v>
      </c>
      <c r="K12" s="818">
        <f t="shared" si="0"/>
        <v>45509</v>
      </c>
      <c r="L12" s="818">
        <f t="shared" si="0"/>
        <v>45540</v>
      </c>
      <c r="M12" s="818">
        <f t="shared" si="0"/>
        <v>45571</v>
      </c>
      <c r="N12" s="818">
        <f t="shared" si="0"/>
        <v>45602</v>
      </c>
      <c r="O12" s="818">
        <f t="shared" si="0"/>
        <v>45633</v>
      </c>
      <c r="P12" s="819" t="s">
        <v>489</v>
      </c>
    </row>
    <row r="13" spans="1:16" ht="15" customHeight="1">
      <c r="A13" s="116"/>
      <c r="B13" s="237"/>
      <c r="D13" s="65"/>
      <c r="E13" s="65"/>
      <c r="F13" s="65"/>
      <c r="G13" s="65"/>
      <c r="H13" s="65"/>
      <c r="I13" s="65"/>
      <c r="J13" s="65"/>
      <c r="K13" s="65"/>
      <c r="L13" s="65"/>
      <c r="M13" s="65"/>
      <c r="N13" s="65"/>
      <c r="O13" s="65"/>
      <c r="P13" s="65"/>
    </row>
    <row r="14" spans="1:16" ht="13">
      <c r="A14" s="257" t="s">
        <v>346</v>
      </c>
      <c r="D14" s="1183" t="str">
        <f>A14</f>
        <v>Autres revenus</v>
      </c>
      <c r="E14" s="1183"/>
      <c r="F14" s="1183"/>
      <c r="G14" s="1183"/>
      <c r="H14" s="1183"/>
      <c r="I14" s="1183"/>
      <c r="J14" s="1183"/>
      <c r="K14" s="1183"/>
      <c r="L14" s="1183"/>
      <c r="M14" s="1183"/>
      <c r="N14" s="1183"/>
      <c r="O14" s="1183"/>
      <c r="P14" s="1183"/>
    </row>
    <row r="15" spans="1:16" ht="13" thickBot="1"/>
    <row r="16" spans="1:16" s="261" customFormat="1" ht="15" customHeight="1" thickBot="1">
      <c r="A16" s="1184" t="str">
        <f>IF(RG!$A$78=5,"Autres revenus animaux","Autres revenus 1")</f>
        <v>Autres revenus 1</v>
      </c>
      <c r="B16" s="1185"/>
      <c r="C16" s="251"/>
      <c r="D16" s="846"/>
      <c r="E16" s="846"/>
      <c r="F16" s="846"/>
      <c r="G16" s="846"/>
      <c r="H16" s="846"/>
      <c r="I16" s="846"/>
      <c r="J16" s="846"/>
      <c r="K16" s="846"/>
      <c r="L16" s="846"/>
      <c r="M16" s="846"/>
      <c r="N16" s="846"/>
      <c r="O16" s="846"/>
      <c r="P16" s="385">
        <f>SUM(D16:O16)</f>
        <v>0</v>
      </c>
    </row>
    <row r="17" spans="1:16" s="261" customFormat="1" ht="15" customHeight="1" thickBot="1">
      <c r="A17" s="1184" t="str">
        <f>IF(RG!$A$78=5,"Assurance stabilisation animaux","Autres revenus 2")</f>
        <v>Autres revenus 2</v>
      </c>
      <c r="B17" s="1185"/>
      <c r="C17" s="251"/>
      <c r="D17" s="846"/>
      <c r="E17" s="846"/>
      <c r="F17" s="846"/>
      <c r="G17" s="846"/>
      <c r="H17" s="846"/>
      <c r="I17" s="846"/>
      <c r="J17" s="846"/>
      <c r="K17" s="846"/>
      <c r="L17" s="846"/>
      <c r="M17" s="846"/>
      <c r="N17" s="846"/>
      <c r="O17" s="846"/>
      <c r="P17" s="384">
        <f>SUM(D17:O17)</f>
        <v>0</v>
      </c>
    </row>
    <row r="18" spans="1:16" s="261" customFormat="1" ht="15" customHeight="1" thickBot="1">
      <c r="A18" s="1184" t="str">
        <f>IF(RG!$A$78=5,"Fourrage/paille/céréales","Autres revenus 3")</f>
        <v>Autres revenus 3</v>
      </c>
      <c r="B18" s="1185"/>
      <c r="C18" s="251"/>
      <c r="D18" s="846"/>
      <c r="E18" s="846"/>
      <c r="F18" s="846"/>
      <c r="G18" s="846"/>
      <c r="H18" s="846"/>
      <c r="I18" s="846"/>
      <c r="J18" s="846"/>
      <c r="K18" s="846"/>
      <c r="L18" s="846"/>
      <c r="M18" s="846"/>
      <c r="N18" s="846"/>
      <c r="O18" s="846"/>
      <c r="P18" s="384">
        <f>SUM(D18:O18)</f>
        <v>0</v>
      </c>
    </row>
    <row r="19" spans="1:16" s="261" customFormat="1" ht="15" customHeight="1" thickBot="1">
      <c r="A19" s="1184" t="str">
        <f>IF(RG!$A$78=5,"Assurance récolte","Autres revenus 4")</f>
        <v>Autres revenus 4</v>
      </c>
      <c r="B19" s="1185"/>
      <c r="C19" s="251"/>
      <c r="D19" s="846"/>
      <c r="E19" s="846"/>
      <c r="F19" s="846"/>
      <c r="G19" s="846"/>
      <c r="H19" s="846"/>
      <c r="I19" s="846"/>
      <c r="J19" s="846"/>
      <c r="K19" s="846"/>
      <c r="L19" s="846"/>
      <c r="M19" s="846"/>
      <c r="N19" s="846"/>
      <c r="O19" s="846"/>
      <c r="P19" s="384">
        <f>SUM(D19:O19)</f>
        <v>0</v>
      </c>
    </row>
    <row r="20" spans="1:16" s="261" customFormat="1" ht="15" customHeight="1" thickBot="1">
      <c r="A20" s="1184" t="str">
        <f>IF(RG!$A$78=5,"Travail à forfait","Autres revenus 5")</f>
        <v>Autres revenus 5</v>
      </c>
      <c r="B20" s="1185"/>
      <c r="C20" s="251"/>
      <c r="D20" s="846"/>
      <c r="E20" s="846"/>
      <c r="F20" s="846"/>
      <c r="G20" s="846"/>
      <c r="H20" s="846"/>
      <c r="I20" s="846"/>
      <c r="J20" s="846"/>
      <c r="K20" s="846"/>
      <c r="L20" s="846"/>
      <c r="M20" s="846"/>
      <c r="N20" s="846"/>
      <c r="O20" s="846"/>
      <c r="P20" s="384">
        <f>SUM(D20:O20)</f>
        <v>0</v>
      </c>
    </row>
    <row r="21" spans="1:16">
      <c r="D21" s="952">
        <f>SUM(D16:D20)</f>
        <v>0</v>
      </c>
      <c r="E21" s="952">
        <f t="shared" ref="E21:P21" si="1">SUM(E16:E20)</f>
        <v>0</v>
      </c>
      <c r="F21" s="952">
        <f t="shared" si="1"/>
        <v>0</v>
      </c>
      <c r="G21" s="952">
        <f t="shared" si="1"/>
        <v>0</v>
      </c>
      <c r="H21" s="952">
        <f t="shared" si="1"/>
        <v>0</v>
      </c>
      <c r="I21" s="952">
        <f t="shared" si="1"/>
        <v>0</v>
      </c>
      <c r="J21" s="952">
        <f t="shared" si="1"/>
        <v>0</v>
      </c>
      <c r="K21" s="952">
        <f t="shared" si="1"/>
        <v>0</v>
      </c>
      <c r="L21" s="952">
        <f t="shared" si="1"/>
        <v>0</v>
      </c>
      <c r="M21" s="952">
        <f t="shared" si="1"/>
        <v>0</v>
      </c>
      <c r="N21" s="952">
        <f t="shared" si="1"/>
        <v>0</v>
      </c>
      <c r="O21" s="952">
        <f t="shared" si="1"/>
        <v>0</v>
      </c>
      <c r="P21" s="952">
        <f t="shared" si="1"/>
        <v>0</v>
      </c>
    </row>
    <row r="22" spans="1:16" ht="13">
      <c r="A22" s="257" t="s">
        <v>864</v>
      </c>
      <c r="D22" s="1183" t="str">
        <f>A22</f>
        <v>Autres entrées d'argent</v>
      </c>
      <c r="E22" s="1183"/>
      <c r="F22" s="1183"/>
      <c r="G22" s="1183"/>
      <c r="H22" s="1183"/>
      <c r="I22" s="1183"/>
      <c r="J22" s="1183"/>
      <c r="K22" s="1183"/>
      <c r="L22" s="1183"/>
      <c r="M22" s="1183"/>
      <c r="N22" s="1183"/>
      <c r="O22" s="1183"/>
      <c r="P22" s="1183"/>
    </row>
    <row r="23" spans="1:16" ht="13" thickBot="1">
      <c r="A23" s="234"/>
    </row>
    <row r="24" spans="1:16" s="261" customFormat="1" ht="15" customHeight="1" thickBot="1">
      <c r="A24" s="1188" t="str">
        <f>'BC1'!A21</f>
        <v>Emprunts</v>
      </c>
      <c r="B24" s="1188"/>
      <c r="C24" s="251"/>
      <c r="D24" s="950"/>
      <c r="E24" s="950"/>
      <c r="F24" s="950">
        <f>DG!G138</f>
        <v>0</v>
      </c>
      <c r="G24" s="950"/>
      <c r="H24" s="950"/>
      <c r="I24" s="950">
        <f>DG!H138</f>
        <v>0</v>
      </c>
      <c r="J24" s="950"/>
      <c r="K24" s="950"/>
      <c r="L24" s="950">
        <f>DG!I138</f>
        <v>0</v>
      </c>
      <c r="M24" s="950"/>
      <c r="N24" s="950"/>
      <c r="O24" s="951">
        <f>DG!J138</f>
        <v>0</v>
      </c>
      <c r="P24" s="502">
        <f>SUM(D24:O24)</f>
        <v>0</v>
      </c>
    </row>
    <row r="25" spans="1:16" s="261" customFormat="1" ht="15" customHeight="1" thickBot="1">
      <c r="A25" s="1188" t="str">
        <f>'BC1'!A20</f>
        <v>Émission d'actions</v>
      </c>
      <c r="B25" s="1188"/>
      <c r="C25" s="251"/>
      <c r="D25" s="950">
        <f>IF(RG!$A$74&gt;2,0,IF(SUBV!$A$80=1,SUBV!N23,0))</f>
        <v>0</v>
      </c>
      <c r="E25" s="950">
        <f>IF(RG!$A$74&gt;2,0,IF(SUBV!$A$80=1,SUBV!O23,0))</f>
        <v>0</v>
      </c>
      <c r="F25" s="950">
        <f>IF(RG!$A$74&gt;2,0,IF(SUBV!$A$80=1,SUBV!P23,0))</f>
        <v>0</v>
      </c>
      <c r="G25" s="950">
        <f>IF(RG!$A$74&gt;2,0,IF(SUBV!$A$80=1,SUBV!Q23,0))</f>
        <v>0</v>
      </c>
      <c r="H25" s="950">
        <f>IF(RG!$A$74&gt;2,0,IF(SUBV!$A$80=1,SUBV!R23,0))</f>
        <v>0</v>
      </c>
      <c r="I25" s="950">
        <f>IF(RG!$A$74&gt;2,0,IF(SUBV!$A$80=1,SUBV!S23,0))</f>
        <v>0</v>
      </c>
      <c r="J25" s="950">
        <f>IF(RG!$A$74&gt;2,0,IF(SUBV!$A$80=1,SUBV!T23,0))</f>
        <v>0</v>
      </c>
      <c r="K25" s="950">
        <f>IF(RG!$A$74&gt;2,0,IF(SUBV!$A$80=1,SUBV!U23,0))</f>
        <v>0</v>
      </c>
      <c r="L25" s="950">
        <f>IF(RG!$A$74&gt;2,0,IF(SUBV!$A$80=1,SUBV!V23,0))</f>
        <v>0</v>
      </c>
      <c r="M25" s="950">
        <f>IF(RG!$A$74&gt;2,0,IF(SUBV!$A$80=1,SUBV!W23,0))</f>
        <v>0</v>
      </c>
      <c r="N25" s="950">
        <f>IF(RG!$A$74&gt;2,0,IF(SUBV!$A$80=1,SUBV!X23,0))</f>
        <v>0</v>
      </c>
      <c r="O25" s="951">
        <f>IF(RG!$A$74&gt;2,0,IF(SUBV!$A$80=1,SUBV!Y23,0))</f>
        <v>0</v>
      </c>
      <c r="P25" s="384">
        <f>SUM(D25:O25)</f>
        <v>0</v>
      </c>
    </row>
    <row r="26" spans="1:16" s="261" customFormat="1" ht="15" customHeight="1" thickBot="1">
      <c r="A26" s="1188" t="str">
        <f>'BC1'!A24</f>
        <v>Subventions</v>
      </c>
      <c r="B26" s="1188"/>
      <c r="C26" s="251"/>
      <c r="D26" s="659">
        <f>SUBV!D31+SUBV!D44+SUBV!D57</f>
        <v>0</v>
      </c>
      <c r="E26" s="659"/>
      <c r="F26" s="659"/>
      <c r="G26" s="659"/>
      <c r="H26" s="659"/>
      <c r="I26" s="659"/>
      <c r="J26" s="659"/>
      <c r="K26" s="659"/>
      <c r="L26" s="659"/>
      <c r="M26" s="659"/>
      <c r="N26" s="659"/>
      <c r="O26" s="660"/>
      <c r="P26" s="385">
        <f>SUM(D26:O26)</f>
        <v>0</v>
      </c>
    </row>
    <row r="27" spans="1:16" s="261" customFormat="1" ht="15" customHeight="1" thickBot="1">
      <c r="A27" s="78" t="s">
        <v>133</v>
      </c>
      <c r="B27" s="78"/>
      <c r="C27" s="251"/>
      <c r="D27" s="950"/>
      <c r="E27" s="950"/>
      <c r="F27" s="950"/>
      <c r="G27" s="950"/>
      <c r="H27" s="950"/>
      <c r="I27" s="950"/>
      <c r="J27" s="950"/>
      <c r="K27" s="950"/>
      <c r="L27" s="950"/>
      <c r="M27" s="950"/>
      <c r="N27" s="950"/>
      <c r="O27" s="951"/>
      <c r="P27" s="385">
        <f>SUM(D27:O27)</f>
        <v>0</v>
      </c>
    </row>
    <row r="28" spans="1:16" ht="15" customHeight="1" thickBot="1">
      <c r="A28" s="259"/>
      <c r="B28" s="259"/>
      <c r="D28" s="260"/>
      <c r="E28" s="260"/>
      <c r="F28" s="260"/>
      <c r="G28" s="260"/>
      <c r="H28" s="260"/>
      <c r="I28" s="260"/>
      <c r="J28" s="260"/>
      <c r="K28" s="260"/>
      <c r="L28" s="260"/>
      <c r="M28" s="260"/>
      <c r="N28" s="260"/>
      <c r="O28" s="260"/>
      <c r="P28" s="238"/>
    </row>
    <row r="29" spans="1:16" ht="15" customHeight="1" thickBot="1">
      <c r="A29" s="79" t="s">
        <v>753</v>
      </c>
      <c r="B29" s="259"/>
      <c r="D29" s="330">
        <f>D21+D24+D25+D26+D27</f>
        <v>0</v>
      </c>
      <c r="E29" s="330">
        <f t="shared" ref="E29:P29" si="2">E21+E24+E25+E26+E27</f>
        <v>0</v>
      </c>
      <c r="F29" s="330">
        <f t="shared" si="2"/>
        <v>0</v>
      </c>
      <c r="G29" s="330">
        <f t="shared" si="2"/>
        <v>0</v>
      </c>
      <c r="H29" s="330">
        <f t="shared" si="2"/>
        <v>0</v>
      </c>
      <c r="I29" s="330">
        <f t="shared" si="2"/>
        <v>0</v>
      </c>
      <c r="J29" s="330">
        <f t="shared" si="2"/>
        <v>0</v>
      </c>
      <c r="K29" s="330">
        <f t="shared" si="2"/>
        <v>0</v>
      </c>
      <c r="L29" s="330">
        <f t="shared" si="2"/>
        <v>0</v>
      </c>
      <c r="M29" s="330">
        <f t="shared" si="2"/>
        <v>0</v>
      </c>
      <c r="N29" s="330">
        <f t="shared" si="2"/>
        <v>0</v>
      </c>
      <c r="O29" s="330">
        <f t="shared" si="2"/>
        <v>0</v>
      </c>
      <c r="P29" s="330">
        <f t="shared" si="2"/>
        <v>0</v>
      </c>
    </row>
    <row r="30" spans="1:16" ht="15" customHeight="1">
      <c r="A30" s="259"/>
      <c r="B30" s="259"/>
      <c r="D30" s="260"/>
      <c r="E30" s="260"/>
      <c r="F30" s="260"/>
      <c r="G30" s="260"/>
      <c r="H30" s="260"/>
      <c r="I30" s="260"/>
      <c r="J30" s="260"/>
      <c r="K30" s="260"/>
      <c r="L30" s="260"/>
      <c r="M30" s="260"/>
      <c r="N30" s="260"/>
      <c r="O30" s="260"/>
      <c r="P30" s="238"/>
    </row>
    <row r="31" spans="1:16" ht="15" customHeight="1">
      <c r="A31" s="259"/>
      <c r="B31" s="259"/>
      <c r="D31" s="260"/>
      <c r="E31" s="260"/>
      <c r="F31" s="260"/>
      <c r="G31" s="260"/>
      <c r="H31" s="260"/>
      <c r="I31" s="260"/>
      <c r="J31" s="260"/>
      <c r="K31" s="260"/>
      <c r="L31" s="260"/>
      <c r="M31" s="260"/>
      <c r="N31" s="260"/>
      <c r="O31" s="260"/>
      <c r="P31" s="238"/>
    </row>
  </sheetData>
  <sheetProtection password="E242" sheet="1" objects="1" scenarios="1"/>
  <customSheetViews>
    <customSheetView guid="{30D0538C-360A-4CDF-8D89-584CED1967CC}" scale="80" showGridLines="0" outlineSymbols="0" fitToPage="1">
      <selection activeCell="F10" sqref="F10"/>
      <pageMargins left="0.78740157480314965" right="0.78740157480314965" top="0" bottom="0.59055118110236227" header="0" footer="0"/>
      <pageSetup scale="49" fitToHeight="0" orientation="landscape" horizontalDpi="300" verticalDpi="300" r:id="rId1"/>
      <headerFooter alignWithMargins="0"/>
    </customSheetView>
    <customSheetView guid="{4F3169C3-3348-49DE-A6DC-8AA4D2A9D7A1}" scale="80" showGridLines="0" outlineSymbols="0" fitToPage="1">
      <selection activeCell="F10" sqref="F10"/>
      <pageMargins left="0.78740157480314965" right="0.78740157480314965" top="0" bottom="0.59055118110236227" header="0" footer="0"/>
      <pageSetup scale="49" fitToHeight="0" orientation="landscape" horizontalDpi="300" verticalDpi="300" r:id="rId2"/>
      <headerFooter alignWithMargins="0"/>
    </customSheetView>
  </customSheetViews>
  <mergeCells count="11">
    <mergeCell ref="A12:B12"/>
    <mergeCell ref="A25:B25"/>
    <mergeCell ref="A24:B24"/>
    <mergeCell ref="A26:B26"/>
    <mergeCell ref="A16:B16"/>
    <mergeCell ref="D14:P14"/>
    <mergeCell ref="D22:P22"/>
    <mergeCell ref="A19:B19"/>
    <mergeCell ref="A20:B20"/>
    <mergeCell ref="A17:B17"/>
    <mergeCell ref="A18:B18"/>
  </mergeCells>
  <phoneticPr fontId="0" type="noConversion"/>
  <pageMargins left="0.78740157480314965" right="0.78740157480314965" top="0" bottom="0.59055118110236227" header="0" footer="0"/>
  <pageSetup scale="49" fitToHeight="0" orientation="landscape" horizontalDpi="300" verticalDpi="300" r:id="rId3"/>
  <headerFooter alignWithMargins="0"/>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50">
    <pageSetUpPr fitToPage="1"/>
  </sheetPr>
  <dimension ref="A1:P29"/>
  <sheetViews>
    <sheetView showGridLines="0" showRowColHeaders="0" zoomScale="75" zoomScaleNormal="75" workbookViewId="0">
      <selection activeCell="J2" sqref="J2"/>
    </sheetView>
  </sheetViews>
  <sheetFormatPr baseColWidth="10" defaultColWidth="11.453125" defaultRowHeight="12.5"/>
  <cols>
    <col min="1" max="1" width="19" style="251" customWidth="1"/>
    <col min="2" max="2" width="16.08984375" style="251" customWidth="1"/>
    <col min="3" max="3" width="8.36328125" style="251" customWidth="1"/>
    <col min="4" max="16" width="15.453125" style="251" customWidth="1"/>
    <col min="17" max="16384" width="11.453125" style="251"/>
  </cols>
  <sheetData>
    <row r="1" spans="1:16" customFormat="1"/>
    <row r="2" spans="1:16" customFormat="1"/>
    <row r="3" spans="1:16" customFormat="1"/>
    <row r="4" spans="1:16" customFormat="1"/>
    <row r="5" spans="1:16" customFormat="1"/>
    <row r="6" spans="1:16" customFormat="1"/>
    <row r="7" spans="1:16" customFormat="1"/>
    <row r="8" spans="1:16" ht="25">
      <c r="A8" s="235" t="str">
        <f>RG!D17</f>
        <v>Jhon Wesly inc.</v>
      </c>
    </row>
    <row r="10" spans="1:16" ht="17.5">
      <c r="A10" s="256" t="s">
        <v>752</v>
      </c>
      <c r="B10" s="261"/>
      <c r="C10" s="261"/>
      <c r="D10" s="261"/>
      <c r="E10" s="72"/>
    </row>
    <row r="11" spans="1:16" ht="15.5" thickBot="1">
      <c r="A11" s="257"/>
      <c r="E11" s="72"/>
    </row>
    <row r="12" spans="1:16" s="43" customFormat="1" ht="15" customHeight="1" thickBot="1">
      <c r="A12" s="1186" t="s">
        <v>557</v>
      </c>
      <c r="B12" s="1187"/>
      <c r="C12" s="820"/>
      <c r="D12" s="817">
        <f>'AE1'!D12+365</f>
        <v>45657</v>
      </c>
      <c r="E12" s="818">
        <f t="shared" ref="E12:O12" si="0">D12+31</f>
        <v>45688</v>
      </c>
      <c r="F12" s="818">
        <f t="shared" si="0"/>
        <v>45719</v>
      </c>
      <c r="G12" s="818">
        <f t="shared" si="0"/>
        <v>45750</v>
      </c>
      <c r="H12" s="818">
        <f t="shared" si="0"/>
        <v>45781</v>
      </c>
      <c r="I12" s="818">
        <f t="shared" si="0"/>
        <v>45812</v>
      </c>
      <c r="J12" s="818">
        <f t="shared" si="0"/>
        <v>45843</v>
      </c>
      <c r="K12" s="818">
        <f t="shared" si="0"/>
        <v>45874</v>
      </c>
      <c r="L12" s="818">
        <f t="shared" si="0"/>
        <v>45905</v>
      </c>
      <c r="M12" s="818">
        <f t="shared" si="0"/>
        <v>45936</v>
      </c>
      <c r="N12" s="818">
        <f t="shared" si="0"/>
        <v>45967</v>
      </c>
      <c r="O12" s="818">
        <f t="shared" si="0"/>
        <v>45998</v>
      </c>
      <c r="P12" s="819" t="s">
        <v>489</v>
      </c>
    </row>
    <row r="13" spans="1:16" ht="15" customHeight="1">
      <c r="A13" s="116"/>
      <c r="B13" s="237"/>
      <c r="D13" s="65"/>
      <c r="E13" s="65"/>
      <c r="F13" s="65"/>
      <c r="G13" s="65"/>
      <c r="H13" s="65"/>
      <c r="I13" s="65"/>
      <c r="J13" s="65"/>
      <c r="K13" s="65"/>
      <c r="L13" s="65"/>
      <c r="M13" s="65"/>
      <c r="N13" s="65"/>
      <c r="O13" s="65"/>
      <c r="P13" s="65"/>
    </row>
    <row r="14" spans="1:16" ht="13">
      <c r="A14" s="257" t="s">
        <v>346</v>
      </c>
      <c r="D14" s="1183" t="str">
        <f>A14</f>
        <v>Autres revenus</v>
      </c>
      <c r="E14" s="1183"/>
      <c r="F14" s="1183"/>
      <c r="G14" s="1183"/>
      <c r="H14" s="1183"/>
      <c r="I14" s="1183"/>
      <c r="J14" s="1183"/>
      <c r="K14" s="1183"/>
      <c r="L14" s="1183"/>
      <c r="M14" s="1183"/>
      <c r="N14" s="1183"/>
      <c r="O14" s="1183"/>
      <c r="P14" s="1183"/>
    </row>
    <row r="15" spans="1:16" ht="13" thickBot="1"/>
    <row r="16" spans="1:16" s="261" customFormat="1" ht="15" customHeight="1" thickBot="1">
      <c r="A16" s="1184" t="str">
        <f>'AE1'!A16:B16</f>
        <v>Autres revenus 1</v>
      </c>
      <c r="B16" s="1185"/>
      <c r="C16" s="251"/>
      <c r="D16" s="846"/>
      <c r="E16" s="846"/>
      <c r="F16" s="846"/>
      <c r="G16" s="846"/>
      <c r="H16" s="846"/>
      <c r="I16" s="846"/>
      <c r="J16" s="846"/>
      <c r="K16" s="846"/>
      <c r="L16" s="846"/>
      <c r="M16" s="846"/>
      <c r="N16" s="846"/>
      <c r="O16" s="846"/>
      <c r="P16" s="385">
        <f>SUM(D16:O16)</f>
        <v>0</v>
      </c>
    </row>
    <row r="17" spans="1:16" s="261" customFormat="1" ht="15" customHeight="1" thickBot="1">
      <c r="A17" s="1184" t="str">
        <f>'AE1'!A17:B17</f>
        <v>Autres revenus 2</v>
      </c>
      <c r="B17" s="1185"/>
      <c r="C17" s="251"/>
      <c r="D17" s="846"/>
      <c r="E17" s="846"/>
      <c r="F17" s="846"/>
      <c r="G17" s="846"/>
      <c r="H17" s="846"/>
      <c r="I17" s="846"/>
      <c r="J17" s="846"/>
      <c r="K17" s="846"/>
      <c r="L17" s="846"/>
      <c r="M17" s="846"/>
      <c r="N17" s="846"/>
      <c r="O17" s="846"/>
      <c r="P17" s="384">
        <f>SUM(D17:O17)</f>
        <v>0</v>
      </c>
    </row>
    <row r="18" spans="1:16" s="261" customFormat="1" ht="15" customHeight="1" thickBot="1">
      <c r="A18" s="1184" t="str">
        <f>'AE1'!A18:B18</f>
        <v>Autres revenus 3</v>
      </c>
      <c r="B18" s="1185"/>
      <c r="C18" s="251"/>
      <c r="D18" s="846"/>
      <c r="E18" s="846"/>
      <c r="F18" s="846"/>
      <c r="G18" s="846"/>
      <c r="H18" s="846"/>
      <c r="I18" s="846"/>
      <c r="J18" s="846"/>
      <c r="K18" s="846"/>
      <c r="L18" s="846"/>
      <c r="M18" s="846"/>
      <c r="N18" s="846"/>
      <c r="O18" s="846"/>
      <c r="P18" s="384">
        <f>SUM(D18:O18)</f>
        <v>0</v>
      </c>
    </row>
    <row r="19" spans="1:16" s="261" customFormat="1" ht="15" customHeight="1" thickBot="1">
      <c r="A19" s="1184" t="str">
        <f>'AE1'!A19:B19</f>
        <v>Autres revenus 4</v>
      </c>
      <c r="B19" s="1185"/>
      <c r="C19" s="251"/>
      <c r="D19" s="846"/>
      <c r="E19" s="846"/>
      <c r="F19" s="846"/>
      <c r="G19" s="846"/>
      <c r="H19" s="846"/>
      <c r="I19" s="846"/>
      <c r="J19" s="846"/>
      <c r="K19" s="846"/>
      <c r="L19" s="846"/>
      <c r="M19" s="846"/>
      <c r="N19" s="846"/>
      <c r="O19" s="846"/>
      <c r="P19" s="384">
        <f>SUM(D19:O19)</f>
        <v>0</v>
      </c>
    </row>
    <row r="20" spans="1:16" s="261" customFormat="1" ht="15" customHeight="1" thickBot="1">
      <c r="A20" s="1184" t="str">
        <f>'AE1'!A20:B20</f>
        <v>Autres revenus 5</v>
      </c>
      <c r="B20" s="1185"/>
      <c r="C20" s="251"/>
      <c r="D20" s="846"/>
      <c r="E20" s="846"/>
      <c r="F20" s="846"/>
      <c r="G20" s="846"/>
      <c r="H20" s="846"/>
      <c r="I20" s="846"/>
      <c r="J20" s="846"/>
      <c r="K20" s="846"/>
      <c r="L20" s="846"/>
      <c r="M20" s="846"/>
      <c r="N20" s="846"/>
      <c r="O20" s="846"/>
      <c r="P20" s="384">
        <f>SUM(D20:O20)</f>
        <v>0</v>
      </c>
    </row>
    <row r="21" spans="1:16">
      <c r="D21" s="952">
        <f>SUM(D16:D20)</f>
        <v>0</v>
      </c>
      <c r="E21" s="952">
        <f t="shared" ref="E21:O21" si="1">SUM(E16:E20)</f>
        <v>0</v>
      </c>
      <c r="F21" s="952">
        <f t="shared" si="1"/>
        <v>0</v>
      </c>
      <c r="G21" s="952">
        <f t="shared" si="1"/>
        <v>0</v>
      </c>
      <c r="H21" s="952">
        <f t="shared" si="1"/>
        <v>0</v>
      </c>
      <c r="I21" s="952">
        <f t="shared" si="1"/>
        <v>0</v>
      </c>
      <c r="J21" s="952">
        <f t="shared" si="1"/>
        <v>0</v>
      </c>
      <c r="K21" s="952">
        <f t="shared" si="1"/>
        <v>0</v>
      </c>
      <c r="L21" s="952">
        <f t="shared" si="1"/>
        <v>0</v>
      </c>
      <c r="M21" s="952">
        <f t="shared" si="1"/>
        <v>0</v>
      </c>
      <c r="N21" s="952">
        <f t="shared" si="1"/>
        <v>0</v>
      </c>
      <c r="O21" s="952">
        <f t="shared" si="1"/>
        <v>0</v>
      </c>
      <c r="P21" s="952">
        <f t="shared" ref="P21" si="2">SUM(P16:P20)</f>
        <v>0</v>
      </c>
    </row>
    <row r="22" spans="1:16" ht="13">
      <c r="A22" s="257" t="s">
        <v>864</v>
      </c>
      <c r="D22" s="1183" t="str">
        <f>A22</f>
        <v>Autres entrées d'argent</v>
      </c>
      <c r="E22" s="1183"/>
      <c r="F22" s="1183"/>
      <c r="G22" s="1183"/>
      <c r="H22" s="1183"/>
      <c r="I22" s="1183"/>
      <c r="J22" s="1183"/>
      <c r="K22" s="1183"/>
      <c r="L22" s="1183"/>
      <c r="M22" s="1183"/>
      <c r="N22" s="1183"/>
      <c r="O22" s="1183"/>
      <c r="P22" s="1183"/>
    </row>
    <row r="23" spans="1:16" ht="13" thickBot="1">
      <c r="A23" s="234"/>
    </row>
    <row r="24" spans="1:16" s="261" customFormat="1" ht="15" customHeight="1" thickBot="1">
      <c r="A24" s="1188" t="str">
        <f>'BC1'!A21</f>
        <v>Emprunts</v>
      </c>
      <c r="B24" s="1188"/>
      <c r="C24" s="251"/>
      <c r="D24" s="950"/>
      <c r="E24" s="950"/>
      <c r="F24" s="950">
        <f>DG!K138</f>
        <v>0</v>
      </c>
      <c r="G24" s="950"/>
      <c r="H24" s="950"/>
      <c r="I24" s="950">
        <f>DG!L138</f>
        <v>0</v>
      </c>
      <c r="J24" s="950"/>
      <c r="K24" s="950"/>
      <c r="L24" s="950">
        <f>DG!M138</f>
        <v>0</v>
      </c>
      <c r="M24" s="950"/>
      <c r="N24" s="950"/>
      <c r="O24" s="951">
        <f>DG!N138</f>
        <v>0</v>
      </c>
      <c r="P24" s="502">
        <f>SUM(D24:O24)</f>
        <v>0</v>
      </c>
    </row>
    <row r="25" spans="1:16" s="261" customFormat="1" ht="15" customHeight="1" thickBot="1">
      <c r="A25" s="1188" t="str">
        <f>'BC1'!A20</f>
        <v>Émission d'actions</v>
      </c>
      <c r="B25" s="1188"/>
      <c r="C25" s="251"/>
      <c r="D25" s="950">
        <v>0</v>
      </c>
      <c r="E25" s="950">
        <v>0</v>
      </c>
      <c r="F25" s="950">
        <v>0</v>
      </c>
      <c r="G25" s="950">
        <v>0</v>
      </c>
      <c r="H25" s="950">
        <v>0</v>
      </c>
      <c r="I25" s="950">
        <v>0</v>
      </c>
      <c r="J25" s="950">
        <v>0</v>
      </c>
      <c r="K25" s="950">
        <v>0</v>
      </c>
      <c r="L25" s="950">
        <v>0</v>
      </c>
      <c r="M25" s="950">
        <v>0</v>
      </c>
      <c r="N25" s="950">
        <v>0</v>
      </c>
      <c r="O25" s="951">
        <v>0</v>
      </c>
      <c r="P25" s="384">
        <f>SUM(D25:O25)</f>
        <v>0</v>
      </c>
    </row>
    <row r="26" spans="1:16" s="261" customFormat="1" ht="15" customHeight="1" thickBot="1">
      <c r="A26" s="1188" t="str">
        <f>'BC1'!A24</f>
        <v>Subventions</v>
      </c>
      <c r="B26" s="1188"/>
      <c r="C26" s="251"/>
      <c r="D26" s="659">
        <f>SUBV!F31+SUBV!F44+SUBV!F57</f>
        <v>0</v>
      </c>
      <c r="E26" s="659"/>
      <c r="F26" s="659"/>
      <c r="G26" s="659"/>
      <c r="H26" s="659"/>
      <c r="I26" s="659"/>
      <c r="J26" s="659"/>
      <c r="K26" s="659"/>
      <c r="L26" s="659"/>
      <c r="M26" s="659"/>
      <c r="N26" s="659"/>
      <c r="O26" s="660"/>
      <c r="P26" s="385">
        <f>SUM(D26:O26)</f>
        <v>0</v>
      </c>
    </row>
    <row r="27" spans="1:16" s="261" customFormat="1" ht="15" customHeight="1" thickBot="1">
      <c r="A27" s="78" t="s">
        <v>133</v>
      </c>
      <c r="B27" s="78"/>
      <c r="C27" s="251"/>
      <c r="D27" s="950"/>
      <c r="E27" s="950"/>
      <c r="F27" s="950"/>
      <c r="G27" s="950"/>
      <c r="H27" s="950"/>
      <c r="I27" s="950"/>
      <c r="J27" s="950"/>
      <c r="K27" s="950"/>
      <c r="L27" s="950"/>
      <c r="M27" s="950"/>
      <c r="N27" s="950"/>
      <c r="O27" s="951"/>
      <c r="P27" s="385">
        <f>SUM(D27:O27)</f>
        <v>0</v>
      </c>
    </row>
    <row r="28" spans="1:16" ht="15" customHeight="1" thickBot="1">
      <c r="A28" s="259"/>
      <c r="B28" s="259"/>
      <c r="D28" s="260"/>
      <c r="E28" s="260"/>
      <c r="F28" s="260"/>
      <c r="G28" s="260"/>
      <c r="H28" s="260"/>
      <c r="I28" s="260"/>
      <c r="J28" s="260"/>
      <c r="K28" s="260"/>
      <c r="L28" s="260"/>
      <c r="M28" s="260"/>
      <c r="N28" s="260"/>
      <c r="O28" s="260"/>
      <c r="P28" s="238"/>
    </row>
    <row r="29" spans="1:16" ht="15" customHeight="1" thickBot="1">
      <c r="A29" s="79" t="s">
        <v>751</v>
      </c>
      <c r="B29" s="259"/>
      <c r="D29" s="330">
        <f>D21+D24+D25+D26+D27</f>
        <v>0</v>
      </c>
      <c r="E29" s="330">
        <f t="shared" ref="E29:P29" si="3">E21+E24+E25+E26+E27</f>
        <v>0</v>
      </c>
      <c r="F29" s="330">
        <f t="shared" si="3"/>
        <v>0</v>
      </c>
      <c r="G29" s="330">
        <f t="shared" si="3"/>
        <v>0</v>
      </c>
      <c r="H29" s="330">
        <f t="shared" si="3"/>
        <v>0</v>
      </c>
      <c r="I29" s="330">
        <f t="shared" si="3"/>
        <v>0</v>
      </c>
      <c r="J29" s="330">
        <f t="shared" si="3"/>
        <v>0</v>
      </c>
      <c r="K29" s="330">
        <f t="shared" si="3"/>
        <v>0</v>
      </c>
      <c r="L29" s="330">
        <f t="shared" si="3"/>
        <v>0</v>
      </c>
      <c r="M29" s="330">
        <f t="shared" si="3"/>
        <v>0</v>
      </c>
      <c r="N29" s="330">
        <f t="shared" si="3"/>
        <v>0</v>
      </c>
      <c r="O29" s="330">
        <f t="shared" si="3"/>
        <v>0</v>
      </c>
      <c r="P29" s="330">
        <f t="shared" si="3"/>
        <v>0</v>
      </c>
    </row>
  </sheetData>
  <sheetProtection password="E242" sheet="1" objects="1" scenarios="1"/>
  <customSheetViews>
    <customSheetView guid="{30D0538C-360A-4CDF-8D89-584CED1967CC}" scale="80" showGridLines="0">
      <selection activeCell="D29" sqref="D29:D30"/>
      <pageMargins left="0.7" right="0.7" top="0.75" bottom="0.75" header="0.3" footer="0.3"/>
    </customSheetView>
    <customSheetView guid="{4F3169C3-3348-49DE-A6DC-8AA4D2A9D7A1}" scale="80" showGridLines="0">
      <selection activeCell="D29" sqref="D29:D30"/>
      <pageMargins left="0.7" right="0.7" top="0.75" bottom="0.75" header="0.3" footer="0.3"/>
    </customSheetView>
  </customSheetViews>
  <mergeCells count="11">
    <mergeCell ref="A12:B12"/>
    <mergeCell ref="A16:B16"/>
    <mergeCell ref="A18:B18"/>
    <mergeCell ref="A19:B19"/>
    <mergeCell ref="A26:B26"/>
    <mergeCell ref="D14:P14"/>
    <mergeCell ref="A17:B17"/>
    <mergeCell ref="D22:P22"/>
    <mergeCell ref="A24:B24"/>
    <mergeCell ref="A25:B25"/>
    <mergeCell ref="A20:B20"/>
  </mergeCells>
  <pageMargins left="0.7" right="0.7" top="0.75" bottom="0.75" header="0.3" footer="0.3"/>
  <pageSetup scale="51" fitToHeight="0"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51">
    <pageSetUpPr fitToPage="1"/>
  </sheetPr>
  <dimension ref="A1:P29"/>
  <sheetViews>
    <sheetView showGridLines="0" showRowColHeaders="0" zoomScale="75" zoomScaleNormal="75" workbookViewId="0">
      <selection activeCell="J2" sqref="J2"/>
    </sheetView>
  </sheetViews>
  <sheetFormatPr baseColWidth="10" defaultColWidth="11.453125" defaultRowHeight="12.5"/>
  <cols>
    <col min="1" max="2" width="19" style="251" customWidth="1"/>
    <col min="3" max="3" width="11.453125" style="251"/>
    <col min="4" max="16" width="15.453125" style="251" customWidth="1"/>
    <col min="17" max="16384" width="11.453125" style="251"/>
  </cols>
  <sheetData>
    <row r="1" spans="1:16" customFormat="1"/>
    <row r="2" spans="1:16" customFormat="1"/>
    <row r="3" spans="1:16" customFormat="1"/>
    <row r="4" spans="1:16" customFormat="1"/>
    <row r="5" spans="1:16" customFormat="1"/>
    <row r="6" spans="1:16" customFormat="1"/>
    <row r="7" spans="1:16" customFormat="1"/>
    <row r="8" spans="1:16" ht="25">
      <c r="A8" s="235" t="str">
        <f>RG!D17</f>
        <v>Jhon Wesly inc.</v>
      </c>
    </row>
    <row r="10" spans="1:16" ht="17.5">
      <c r="A10" s="256" t="s">
        <v>750</v>
      </c>
      <c r="B10" s="261"/>
      <c r="C10" s="261"/>
      <c r="D10" s="261"/>
      <c r="E10" s="72"/>
    </row>
    <row r="11" spans="1:16" ht="15.5" thickBot="1">
      <c r="A11" s="257"/>
      <c r="E11" s="72"/>
    </row>
    <row r="12" spans="1:16" s="261" customFormat="1" ht="15" customHeight="1" thickBot="1">
      <c r="A12" s="1186" t="s">
        <v>559</v>
      </c>
      <c r="B12" s="1187"/>
      <c r="C12" s="820"/>
      <c r="D12" s="817">
        <f>'AE2'!D12+366</f>
        <v>46023</v>
      </c>
      <c r="E12" s="818">
        <f t="shared" ref="E12:O12" si="0">D12+31</f>
        <v>46054</v>
      </c>
      <c r="F12" s="818">
        <f t="shared" si="0"/>
        <v>46085</v>
      </c>
      <c r="G12" s="818">
        <f t="shared" si="0"/>
        <v>46116</v>
      </c>
      <c r="H12" s="818">
        <f t="shared" si="0"/>
        <v>46147</v>
      </c>
      <c r="I12" s="818">
        <f t="shared" si="0"/>
        <v>46178</v>
      </c>
      <c r="J12" s="818">
        <f t="shared" si="0"/>
        <v>46209</v>
      </c>
      <c r="K12" s="818">
        <f t="shared" si="0"/>
        <v>46240</v>
      </c>
      <c r="L12" s="818">
        <f t="shared" si="0"/>
        <v>46271</v>
      </c>
      <c r="M12" s="818">
        <f t="shared" si="0"/>
        <v>46302</v>
      </c>
      <c r="N12" s="818">
        <f t="shared" si="0"/>
        <v>46333</v>
      </c>
      <c r="O12" s="818">
        <f t="shared" si="0"/>
        <v>46364</v>
      </c>
      <c r="P12" s="819" t="s">
        <v>489</v>
      </c>
    </row>
    <row r="13" spans="1:16" ht="15" customHeight="1">
      <c r="A13" s="116"/>
      <c r="B13" s="237"/>
      <c r="D13" s="65"/>
      <c r="E13" s="65"/>
      <c r="F13" s="65"/>
      <c r="G13" s="65"/>
      <c r="H13" s="65"/>
      <c r="I13" s="65"/>
      <c r="J13" s="65"/>
      <c r="K13" s="65"/>
      <c r="L13" s="65"/>
      <c r="M13" s="65"/>
      <c r="N13" s="65"/>
      <c r="O13" s="65"/>
      <c r="P13" s="65"/>
    </row>
    <row r="14" spans="1:16" ht="13">
      <c r="A14" s="257" t="s">
        <v>346</v>
      </c>
      <c r="D14" s="1183" t="str">
        <f>A14</f>
        <v>Autres revenus</v>
      </c>
      <c r="E14" s="1183"/>
      <c r="F14" s="1183"/>
      <c r="G14" s="1183"/>
      <c r="H14" s="1183"/>
      <c r="I14" s="1183"/>
      <c r="J14" s="1183"/>
      <c r="K14" s="1183"/>
      <c r="L14" s="1183"/>
      <c r="M14" s="1183"/>
      <c r="N14" s="1183"/>
      <c r="O14" s="1183"/>
      <c r="P14" s="1183"/>
    </row>
    <row r="15" spans="1:16" ht="13" thickBot="1"/>
    <row r="16" spans="1:16" s="261" customFormat="1" ht="15" customHeight="1" thickBot="1">
      <c r="A16" s="1184" t="str">
        <f>'AE2'!A16:B16</f>
        <v>Autres revenus 1</v>
      </c>
      <c r="B16" s="1185"/>
      <c r="C16" s="251"/>
      <c r="D16" s="846"/>
      <c r="E16" s="846"/>
      <c r="F16" s="846"/>
      <c r="G16" s="846"/>
      <c r="H16" s="846"/>
      <c r="I16" s="846"/>
      <c r="J16" s="846"/>
      <c r="K16" s="846"/>
      <c r="L16" s="846"/>
      <c r="M16" s="846"/>
      <c r="N16" s="846"/>
      <c r="O16" s="846"/>
      <c r="P16" s="385">
        <f>SUM(D16:O16)</f>
        <v>0</v>
      </c>
    </row>
    <row r="17" spans="1:16" s="261" customFormat="1" ht="15" customHeight="1" thickBot="1">
      <c r="A17" s="1184" t="str">
        <f>'AE2'!A17:B17</f>
        <v>Autres revenus 2</v>
      </c>
      <c r="B17" s="1185"/>
      <c r="C17" s="251"/>
      <c r="D17" s="846"/>
      <c r="E17" s="846"/>
      <c r="F17" s="846"/>
      <c r="G17" s="846"/>
      <c r="H17" s="846"/>
      <c r="I17" s="846"/>
      <c r="J17" s="846"/>
      <c r="K17" s="846"/>
      <c r="L17" s="846"/>
      <c r="M17" s="846"/>
      <c r="N17" s="846"/>
      <c r="O17" s="846"/>
      <c r="P17" s="384">
        <f>SUM(D17:O17)</f>
        <v>0</v>
      </c>
    </row>
    <row r="18" spans="1:16" s="261" customFormat="1" ht="15" customHeight="1" thickBot="1">
      <c r="A18" s="1184" t="str">
        <f>'AE2'!A18:B18</f>
        <v>Autres revenus 3</v>
      </c>
      <c r="B18" s="1185"/>
      <c r="C18" s="251"/>
      <c r="D18" s="846"/>
      <c r="E18" s="846"/>
      <c r="F18" s="846"/>
      <c r="G18" s="846"/>
      <c r="H18" s="846"/>
      <c r="I18" s="846"/>
      <c r="J18" s="846"/>
      <c r="K18" s="846"/>
      <c r="L18" s="846"/>
      <c r="M18" s="846"/>
      <c r="N18" s="846"/>
      <c r="O18" s="846"/>
      <c r="P18" s="384">
        <f>SUM(D18:O18)</f>
        <v>0</v>
      </c>
    </row>
    <row r="19" spans="1:16" s="261" customFormat="1" ht="15" customHeight="1" thickBot="1">
      <c r="A19" s="1184" t="str">
        <f>'AE2'!A19:B19</f>
        <v>Autres revenus 4</v>
      </c>
      <c r="B19" s="1185"/>
      <c r="C19" s="251"/>
      <c r="D19" s="846"/>
      <c r="E19" s="846"/>
      <c r="F19" s="846"/>
      <c r="G19" s="846"/>
      <c r="H19" s="846"/>
      <c r="I19" s="846"/>
      <c r="J19" s="846"/>
      <c r="K19" s="846"/>
      <c r="L19" s="846"/>
      <c r="M19" s="846"/>
      <c r="N19" s="846"/>
      <c r="O19" s="846"/>
      <c r="P19" s="384">
        <f>SUM(D19:O19)</f>
        <v>0</v>
      </c>
    </row>
    <row r="20" spans="1:16" s="261" customFormat="1" ht="15" customHeight="1" thickBot="1">
      <c r="A20" s="1184" t="str">
        <f>'AE2'!A20:B20</f>
        <v>Autres revenus 5</v>
      </c>
      <c r="B20" s="1185"/>
      <c r="C20" s="251"/>
      <c r="D20" s="846"/>
      <c r="E20" s="846"/>
      <c r="F20" s="846"/>
      <c r="G20" s="846"/>
      <c r="H20" s="846"/>
      <c r="I20" s="846"/>
      <c r="J20" s="846"/>
      <c r="K20" s="846"/>
      <c r="L20" s="846"/>
      <c r="M20" s="846"/>
      <c r="N20" s="846"/>
      <c r="O20" s="846"/>
      <c r="P20" s="384">
        <f>SUM(D20:O20)</f>
        <v>0</v>
      </c>
    </row>
    <row r="21" spans="1:16">
      <c r="D21" s="952">
        <f>SUM(D16:D20)</f>
        <v>0</v>
      </c>
      <c r="E21" s="952">
        <f t="shared" ref="E21:O21" si="1">SUM(E16:E20)</f>
        <v>0</v>
      </c>
      <c r="F21" s="952">
        <f t="shared" si="1"/>
        <v>0</v>
      </c>
      <c r="G21" s="952">
        <f t="shared" si="1"/>
        <v>0</v>
      </c>
      <c r="H21" s="952">
        <f t="shared" si="1"/>
        <v>0</v>
      </c>
      <c r="I21" s="952">
        <f t="shared" si="1"/>
        <v>0</v>
      </c>
      <c r="J21" s="952">
        <f t="shared" si="1"/>
        <v>0</v>
      </c>
      <c r="K21" s="952">
        <f t="shared" si="1"/>
        <v>0</v>
      </c>
      <c r="L21" s="952">
        <f t="shared" si="1"/>
        <v>0</v>
      </c>
      <c r="M21" s="952">
        <f t="shared" si="1"/>
        <v>0</v>
      </c>
      <c r="N21" s="952">
        <f t="shared" si="1"/>
        <v>0</v>
      </c>
      <c r="O21" s="952">
        <f t="shared" si="1"/>
        <v>0</v>
      </c>
      <c r="P21" s="952">
        <f t="shared" ref="P21" si="2">SUM(P16:P20)</f>
        <v>0</v>
      </c>
    </row>
    <row r="22" spans="1:16" ht="13">
      <c r="A22" s="257" t="s">
        <v>864</v>
      </c>
      <c r="D22" s="1183" t="str">
        <f>A22</f>
        <v>Autres entrées d'argent</v>
      </c>
      <c r="E22" s="1183"/>
      <c r="F22" s="1183"/>
      <c r="G22" s="1183"/>
      <c r="H22" s="1183"/>
      <c r="I22" s="1183"/>
      <c r="J22" s="1183"/>
      <c r="K22" s="1183"/>
      <c r="L22" s="1183"/>
      <c r="M22" s="1183"/>
      <c r="N22" s="1183"/>
      <c r="O22" s="1183"/>
      <c r="P22" s="1183"/>
    </row>
    <row r="23" spans="1:16" ht="13" thickBot="1">
      <c r="A23" s="234"/>
    </row>
    <row r="24" spans="1:16" s="261" customFormat="1" ht="15" customHeight="1" thickBot="1">
      <c r="A24" s="1188" t="str">
        <f>'BC1'!A21</f>
        <v>Emprunts</v>
      </c>
      <c r="B24" s="1188"/>
      <c r="C24" s="251"/>
      <c r="D24" s="950">
        <f>DG!O138</f>
        <v>0</v>
      </c>
      <c r="E24" s="950"/>
      <c r="F24" s="950"/>
      <c r="G24" s="950"/>
      <c r="H24" s="950"/>
      <c r="I24" s="950"/>
      <c r="J24" s="950"/>
      <c r="K24" s="950"/>
      <c r="L24" s="950"/>
      <c r="M24" s="950"/>
      <c r="N24" s="950"/>
      <c r="O24" s="951"/>
      <c r="P24" s="502">
        <f>SUM(D24:O24)</f>
        <v>0</v>
      </c>
    </row>
    <row r="25" spans="1:16" s="261" customFormat="1" ht="15" customHeight="1" thickBot="1">
      <c r="A25" s="1188" t="str">
        <f>'BC1'!A20</f>
        <v>Émission d'actions</v>
      </c>
      <c r="B25" s="1188"/>
      <c r="C25" s="251"/>
      <c r="D25" s="950">
        <v>0</v>
      </c>
      <c r="E25" s="950">
        <v>0</v>
      </c>
      <c r="F25" s="950">
        <v>0</v>
      </c>
      <c r="G25" s="950">
        <v>0</v>
      </c>
      <c r="H25" s="950">
        <v>0</v>
      </c>
      <c r="I25" s="950">
        <v>0</v>
      </c>
      <c r="J25" s="950">
        <v>0</v>
      </c>
      <c r="K25" s="950">
        <v>0</v>
      </c>
      <c r="L25" s="950">
        <v>0</v>
      </c>
      <c r="M25" s="950">
        <v>0</v>
      </c>
      <c r="N25" s="950">
        <v>0</v>
      </c>
      <c r="O25" s="951">
        <v>0</v>
      </c>
      <c r="P25" s="384">
        <f>SUM(D25:O25)</f>
        <v>0</v>
      </c>
    </row>
    <row r="26" spans="1:16" s="261" customFormat="1" ht="15" customHeight="1" thickBot="1">
      <c r="A26" s="1188" t="str">
        <f>'BC1'!A24</f>
        <v>Subventions</v>
      </c>
      <c r="B26" s="1188"/>
      <c r="C26" s="251"/>
      <c r="D26" s="659">
        <f>SUBV!H31+SUBV!H44+SUBV!H57</f>
        <v>0</v>
      </c>
      <c r="E26" s="659"/>
      <c r="F26" s="659"/>
      <c r="G26" s="659"/>
      <c r="H26" s="659"/>
      <c r="I26" s="659"/>
      <c r="J26" s="659"/>
      <c r="K26" s="659"/>
      <c r="L26" s="659"/>
      <c r="M26" s="659"/>
      <c r="N26" s="659"/>
      <c r="O26" s="660"/>
      <c r="P26" s="385">
        <f>SUM(D26:O26)</f>
        <v>0</v>
      </c>
    </row>
    <row r="27" spans="1:16" s="261" customFormat="1" ht="15" customHeight="1" thickBot="1">
      <c r="A27" s="78" t="s">
        <v>133</v>
      </c>
      <c r="B27" s="78"/>
      <c r="C27" s="251"/>
      <c r="D27" s="950"/>
      <c r="E27" s="950"/>
      <c r="F27" s="950"/>
      <c r="G27" s="950"/>
      <c r="H27" s="950"/>
      <c r="I27" s="950"/>
      <c r="J27" s="950"/>
      <c r="K27" s="950"/>
      <c r="L27" s="950"/>
      <c r="M27" s="950"/>
      <c r="N27" s="950"/>
      <c r="O27" s="951"/>
      <c r="P27" s="385">
        <f>SUM(D27:O27)</f>
        <v>0</v>
      </c>
    </row>
    <row r="28" spans="1:16" ht="15" customHeight="1" thickBot="1">
      <c r="A28" s="259"/>
      <c r="B28" s="259"/>
      <c r="D28" s="260"/>
      <c r="E28" s="260"/>
      <c r="F28" s="260"/>
      <c r="G28" s="260"/>
      <c r="H28" s="260"/>
      <c r="I28" s="260"/>
      <c r="J28" s="260"/>
      <c r="K28" s="260"/>
      <c r="L28" s="260"/>
      <c r="M28" s="260"/>
      <c r="N28" s="260"/>
      <c r="O28" s="260"/>
      <c r="P28" s="238"/>
    </row>
    <row r="29" spans="1:16" ht="15" customHeight="1" thickBot="1">
      <c r="A29" s="79" t="s">
        <v>749</v>
      </c>
      <c r="B29" s="259"/>
      <c r="D29" s="330">
        <f>D21+D24+D25+D26+D27</f>
        <v>0</v>
      </c>
      <c r="E29" s="330">
        <f t="shared" ref="E29:P29" si="3">E21+E24+E25+E26+E27</f>
        <v>0</v>
      </c>
      <c r="F29" s="330">
        <f t="shared" si="3"/>
        <v>0</v>
      </c>
      <c r="G29" s="330">
        <f t="shared" si="3"/>
        <v>0</v>
      </c>
      <c r="H29" s="330">
        <f t="shared" si="3"/>
        <v>0</v>
      </c>
      <c r="I29" s="330">
        <f t="shared" si="3"/>
        <v>0</v>
      </c>
      <c r="J29" s="330">
        <f t="shared" si="3"/>
        <v>0</v>
      </c>
      <c r="K29" s="330">
        <f t="shared" si="3"/>
        <v>0</v>
      </c>
      <c r="L29" s="330">
        <f t="shared" si="3"/>
        <v>0</v>
      </c>
      <c r="M29" s="330">
        <f t="shared" si="3"/>
        <v>0</v>
      </c>
      <c r="N29" s="330">
        <f t="shared" si="3"/>
        <v>0</v>
      </c>
      <c r="O29" s="330">
        <f t="shared" si="3"/>
        <v>0</v>
      </c>
      <c r="P29" s="330">
        <f t="shared" si="3"/>
        <v>0</v>
      </c>
    </row>
  </sheetData>
  <sheetProtection password="E242" sheet="1" objects="1" scenarios="1"/>
  <customSheetViews>
    <customSheetView guid="{30D0538C-360A-4CDF-8D89-584CED1967CC}" scale="80" showGridLines="0">
      <selection activeCell="G9" sqref="G9"/>
      <pageMargins left="0.7" right="0.7" top="0.75" bottom="0.75" header="0.3" footer="0.3"/>
    </customSheetView>
    <customSheetView guid="{4F3169C3-3348-49DE-A6DC-8AA4D2A9D7A1}" scale="80" showGridLines="0">
      <selection activeCell="G9" sqref="G9"/>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52">
    <pageSetUpPr fitToPage="1"/>
  </sheetPr>
  <dimension ref="A1:P29"/>
  <sheetViews>
    <sheetView showGridLines="0" showRowColHeaders="0" zoomScale="75" zoomScaleNormal="75" workbookViewId="0">
      <selection activeCell="J2" sqref="J2"/>
    </sheetView>
  </sheetViews>
  <sheetFormatPr baseColWidth="10" defaultColWidth="11.453125" defaultRowHeight="12.5"/>
  <cols>
    <col min="1" max="2" width="19" style="251" customWidth="1"/>
    <col min="3" max="3" width="11.453125" style="251"/>
    <col min="4" max="16" width="15.453125" style="251" customWidth="1"/>
    <col min="17" max="16384" width="11.453125" style="251"/>
  </cols>
  <sheetData>
    <row r="1" spans="1:16" customFormat="1"/>
    <row r="2" spans="1:16" customFormat="1"/>
    <row r="3" spans="1:16" customFormat="1"/>
    <row r="4" spans="1:16" customFormat="1"/>
    <row r="5" spans="1:16" customFormat="1"/>
    <row r="6" spans="1:16" customFormat="1"/>
    <row r="7" spans="1:16" customFormat="1"/>
    <row r="8" spans="1:16" ht="25">
      <c r="A8" s="235" t="str">
        <f>RG!D17</f>
        <v>Jhon Wesly inc.</v>
      </c>
    </row>
    <row r="10" spans="1:16" ht="17.5">
      <c r="A10" s="256" t="s">
        <v>748</v>
      </c>
      <c r="B10" s="261"/>
      <c r="C10" s="261"/>
      <c r="D10" s="261"/>
      <c r="E10" s="72"/>
    </row>
    <row r="11" spans="1:16" ht="15.5" thickBot="1">
      <c r="A11" s="257"/>
      <c r="E11" s="72"/>
    </row>
    <row r="12" spans="1:16" s="43" customFormat="1" ht="15" customHeight="1" thickBot="1">
      <c r="A12" s="1186" t="s">
        <v>3</v>
      </c>
      <c r="B12" s="1187"/>
      <c r="C12" s="820"/>
      <c r="D12" s="817">
        <f>'AE3'!D12+366</f>
        <v>46389</v>
      </c>
      <c r="E12" s="818">
        <f t="shared" ref="E12:O12" si="0">D12+31</f>
        <v>46420</v>
      </c>
      <c r="F12" s="818">
        <f t="shared" si="0"/>
        <v>46451</v>
      </c>
      <c r="G12" s="818">
        <f t="shared" si="0"/>
        <v>46482</v>
      </c>
      <c r="H12" s="818">
        <f t="shared" si="0"/>
        <v>46513</v>
      </c>
      <c r="I12" s="818">
        <f t="shared" si="0"/>
        <v>46544</v>
      </c>
      <c r="J12" s="818">
        <f t="shared" si="0"/>
        <v>46575</v>
      </c>
      <c r="K12" s="818">
        <f t="shared" si="0"/>
        <v>46606</v>
      </c>
      <c r="L12" s="818">
        <f t="shared" si="0"/>
        <v>46637</v>
      </c>
      <c r="M12" s="818">
        <f t="shared" si="0"/>
        <v>46668</v>
      </c>
      <c r="N12" s="818">
        <f t="shared" si="0"/>
        <v>46699</v>
      </c>
      <c r="O12" s="818">
        <f t="shared" si="0"/>
        <v>46730</v>
      </c>
      <c r="P12" s="819" t="s">
        <v>489</v>
      </c>
    </row>
    <row r="13" spans="1:16" ht="15" customHeight="1">
      <c r="A13" s="116"/>
      <c r="B13" s="237"/>
      <c r="D13" s="65"/>
      <c r="E13" s="65"/>
      <c r="F13" s="65"/>
      <c r="G13" s="65"/>
      <c r="H13" s="65"/>
      <c r="I13" s="65"/>
      <c r="J13" s="65"/>
      <c r="K13" s="65"/>
      <c r="L13" s="65"/>
      <c r="M13" s="65"/>
      <c r="N13" s="65"/>
      <c r="O13" s="65"/>
      <c r="P13" s="65"/>
    </row>
    <row r="14" spans="1:16" ht="13">
      <c r="A14" s="257" t="s">
        <v>346</v>
      </c>
      <c r="D14" s="1183" t="str">
        <f>A14</f>
        <v>Autres revenus</v>
      </c>
      <c r="E14" s="1183"/>
      <c r="F14" s="1183"/>
      <c r="G14" s="1183"/>
      <c r="H14" s="1183"/>
      <c r="I14" s="1183"/>
      <c r="J14" s="1183"/>
      <c r="K14" s="1183"/>
      <c r="L14" s="1183"/>
      <c r="M14" s="1183"/>
      <c r="N14" s="1183"/>
      <c r="O14" s="1183"/>
      <c r="P14" s="1183"/>
    </row>
    <row r="15" spans="1:16" ht="13" thickBot="1"/>
    <row r="16" spans="1:16" s="261" customFormat="1" ht="15" customHeight="1" thickBot="1">
      <c r="A16" s="1184" t="str">
        <f>'AE3'!A16:B16</f>
        <v>Autres revenus 1</v>
      </c>
      <c r="B16" s="1185"/>
      <c r="C16" s="251"/>
      <c r="D16" s="846"/>
      <c r="E16" s="846"/>
      <c r="F16" s="846"/>
      <c r="G16" s="846"/>
      <c r="H16" s="846"/>
      <c r="I16" s="846"/>
      <c r="J16" s="846"/>
      <c r="K16" s="846"/>
      <c r="L16" s="846"/>
      <c r="M16" s="846"/>
      <c r="N16" s="846"/>
      <c r="O16" s="846"/>
      <c r="P16" s="385">
        <f>SUM(D16:O16)</f>
        <v>0</v>
      </c>
    </row>
    <row r="17" spans="1:16" s="261" customFormat="1" ht="15" customHeight="1" thickBot="1">
      <c r="A17" s="1184" t="str">
        <f>'AE3'!A17:B17</f>
        <v>Autres revenus 2</v>
      </c>
      <c r="B17" s="1185"/>
      <c r="C17" s="251"/>
      <c r="D17" s="846"/>
      <c r="E17" s="846"/>
      <c r="F17" s="846"/>
      <c r="G17" s="846"/>
      <c r="H17" s="846"/>
      <c r="I17" s="846"/>
      <c r="J17" s="846"/>
      <c r="K17" s="846"/>
      <c r="L17" s="846"/>
      <c r="M17" s="846"/>
      <c r="N17" s="846"/>
      <c r="O17" s="846"/>
      <c r="P17" s="384">
        <f>SUM(D17:O17)</f>
        <v>0</v>
      </c>
    </row>
    <row r="18" spans="1:16" s="261" customFormat="1" ht="15" customHeight="1" thickBot="1">
      <c r="A18" s="1184" t="str">
        <f>'AE3'!A18:B18</f>
        <v>Autres revenus 3</v>
      </c>
      <c r="B18" s="1185"/>
      <c r="C18" s="251"/>
      <c r="D18" s="846"/>
      <c r="E18" s="846"/>
      <c r="F18" s="846"/>
      <c r="G18" s="846"/>
      <c r="H18" s="846"/>
      <c r="I18" s="846"/>
      <c r="J18" s="846"/>
      <c r="K18" s="846"/>
      <c r="L18" s="846"/>
      <c r="M18" s="846"/>
      <c r="N18" s="846"/>
      <c r="O18" s="846"/>
      <c r="P18" s="384">
        <f>SUM(D18:O18)</f>
        <v>0</v>
      </c>
    </row>
    <row r="19" spans="1:16" s="261" customFormat="1" ht="15" customHeight="1" thickBot="1">
      <c r="A19" s="1184" t="str">
        <f>'AE3'!A19:B19</f>
        <v>Autres revenus 4</v>
      </c>
      <c r="B19" s="1185"/>
      <c r="C19" s="251"/>
      <c r="D19" s="846"/>
      <c r="E19" s="846"/>
      <c r="F19" s="846"/>
      <c r="G19" s="846"/>
      <c r="H19" s="846"/>
      <c r="I19" s="846"/>
      <c r="J19" s="846"/>
      <c r="K19" s="846"/>
      <c r="L19" s="846"/>
      <c r="M19" s="846"/>
      <c r="N19" s="846"/>
      <c r="O19" s="846"/>
      <c r="P19" s="384">
        <f>SUM(D19:O19)</f>
        <v>0</v>
      </c>
    </row>
    <row r="20" spans="1:16" s="261" customFormat="1" ht="15" customHeight="1" thickBot="1">
      <c r="A20" s="1184" t="str">
        <f>'AE3'!A20:B20</f>
        <v>Autres revenus 5</v>
      </c>
      <c r="B20" s="1185"/>
      <c r="C20" s="251"/>
      <c r="D20" s="846"/>
      <c r="E20" s="846"/>
      <c r="F20" s="846"/>
      <c r="G20" s="846"/>
      <c r="H20" s="846"/>
      <c r="I20" s="846"/>
      <c r="J20" s="846"/>
      <c r="K20" s="846"/>
      <c r="L20" s="846"/>
      <c r="M20" s="846"/>
      <c r="N20" s="846"/>
      <c r="O20" s="846"/>
      <c r="P20" s="384">
        <f>SUM(D20:O20)</f>
        <v>0</v>
      </c>
    </row>
    <row r="21" spans="1:16">
      <c r="D21" s="952">
        <f>SUM(D16:D20)</f>
        <v>0</v>
      </c>
      <c r="E21" s="952">
        <f t="shared" ref="E21:O21" si="1">SUM(E16:E20)</f>
        <v>0</v>
      </c>
      <c r="F21" s="952">
        <f t="shared" si="1"/>
        <v>0</v>
      </c>
      <c r="G21" s="952">
        <f t="shared" si="1"/>
        <v>0</v>
      </c>
      <c r="H21" s="952">
        <f t="shared" si="1"/>
        <v>0</v>
      </c>
      <c r="I21" s="952">
        <f t="shared" si="1"/>
        <v>0</v>
      </c>
      <c r="J21" s="952">
        <f t="shared" si="1"/>
        <v>0</v>
      </c>
      <c r="K21" s="952">
        <f t="shared" si="1"/>
        <v>0</v>
      </c>
      <c r="L21" s="952">
        <f t="shared" si="1"/>
        <v>0</v>
      </c>
      <c r="M21" s="952">
        <f t="shared" si="1"/>
        <v>0</v>
      </c>
      <c r="N21" s="952">
        <f t="shared" si="1"/>
        <v>0</v>
      </c>
      <c r="O21" s="952">
        <f t="shared" si="1"/>
        <v>0</v>
      </c>
      <c r="P21" s="952">
        <f t="shared" ref="P21" si="2">SUM(P16:P20)</f>
        <v>0</v>
      </c>
    </row>
    <row r="22" spans="1:16" ht="13">
      <c r="A22" s="257" t="s">
        <v>864</v>
      </c>
      <c r="D22" s="1183" t="str">
        <f>A22</f>
        <v>Autres entrées d'argent</v>
      </c>
      <c r="E22" s="1183"/>
      <c r="F22" s="1183"/>
      <c r="G22" s="1183"/>
      <c r="H22" s="1183"/>
      <c r="I22" s="1183"/>
      <c r="J22" s="1183"/>
      <c r="K22" s="1183"/>
      <c r="L22" s="1183"/>
      <c r="M22" s="1183"/>
      <c r="N22" s="1183"/>
      <c r="O22" s="1183"/>
      <c r="P22" s="1183"/>
    </row>
    <row r="23" spans="1:16" ht="13" thickBot="1">
      <c r="A23" s="234"/>
    </row>
    <row r="24" spans="1:16" s="261" customFormat="1" ht="15" customHeight="1" thickBot="1">
      <c r="A24" s="1188" t="str">
        <f>'BC1'!A21</f>
        <v>Emprunts</v>
      </c>
      <c r="B24" s="1188"/>
      <c r="C24" s="251"/>
      <c r="D24" s="950">
        <f>DG!P138</f>
        <v>0</v>
      </c>
      <c r="E24" s="950"/>
      <c r="F24" s="950"/>
      <c r="G24" s="950"/>
      <c r="H24" s="950"/>
      <c r="I24" s="950"/>
      <c r="J24" s="950"/>
      <c r="K24" s="950"/>
      <c r="L24" s="950"/>
      <c r="M24" s="950"/>
      <c r="N24" s="950"/>
      <c r="O24" s="951"/>
      <c r="P24" s="502">
        <f>SUM(D24:O24)</f>
        <v>0</v>
      </c>
    </row>
    <row r="25" spans="1:16" s="261" customFormat="1" ht="15" customHeight="1" thickBot="1">
      <c r="A25" s="1188" t="str">
        <f>'BC1'!A20</f>
        <v>Émission d'actions</v>
      </c>
      <c r="B25" s="1188"/>
      <c r="C25" s="251"/>
      <c r="D25" s="950">
        <v>0</v>
      </c>
      <c r="E25" s="950">
        <v>0</v>
      </c>
      <c r="F25" s="950">
        <v>0</v>
      </c>
      <c r="G25" s="950">
        <v>0</v>
      </c>
      <c r="H25" s="950">
        <v>0</v>
      </c>
      <c r="I25" s="950">
        <v>0</v>
      </c>
      <c r="J25" s="950">
        <v>0</v>
      </c>
      <c r="K25" s="950">
        <v>0</v>
      </c>
      <c r="L25" s="950">
        <v>0</v>
      </c>
      <c r="M25" s="950">
        <v>0</v>
      </c>
      <c r="N25" s="950">
        <v>0</v>
      </c>
      <c r="O25" s="951">
        <v>0</v>
      </c>
      <c r="P25" s="384">
        <f>SUM(D25:O25)</f>
        <v>0</v>
      </c>
    </row>
    <row r="26" spans="1:16" s="261" customFormat="1" ht="15" customHeight="1" thickBot="1">
      <c r="A26" s="1188" t="str">
        <f>'BC1'!A24</f>
        <v>Subventions</v>
      </c>
      <c r="B26" s="1188"/>
      <c r="C26" s="251"/>
      <c r="D26" s="659">
        <f>SUBV!J31+SUBV!J44+SUBV!J57</f>
        <v>0</v>
      </c>
      <c r="E26" s="659"/>
      <c r="F26" s="659"/>
      <c r="G26" s="659"/>
      <c r="H26" s="659"/>
      <c r="I26" s="659"/>
      <c r="J26" s="659"/>
      <c r="K26" s="659"/>
      <c r="L26" s="659"/>
      <c r="M26" s="659"/>
      <c r="N26" s="659"/>
      <c r="O26" s="660"/>
      <c r="P26" s="385">
        <f>SUM(D26:O26)</f>
        <v>0</v>
      </c>
    </row>
    <row r="27" spans="1:16" s="261" customFormat="1" ht="15" customHeight="1" thickBot="1">
      <c r="A27" s="78" t="s">
        <v>133</v>
      </c>
      <c r="B27" s="78"/>
      <c r="C27" s="251"/>
      <c r="D27" s="950"/>
      <c r="E27" s="950"/>
      <c r="F27" s="950"/>
      <c r="G27" s="950"/>
      <c r="H27" s="950"/>
      <c r="I27" s="950"/>
      <c r="J27" s="950"/>
      <c r="K27" s="950"/>
      <c r="L27" s="950"/>
      <c r="M27" s="950"/>
      <c r="N27" s="950"/>
      <c r="O27" s="951"/>
      <c r="P27" s="385">
        <f>SUM(D27:O27)</f>
        <v>0</v>
      </c>
    </row>
    <row r="28" spans="1:16" ht="15" customHeight="1" thickBot="1">
      <c r="A28" s="259"/>
      <c r="B28" s="259"/>
      <c r="D28" s="260"/>
      <c r="E28" s="260"/>
      <c r="F28" s="260"/>
      <c r="G28" s="260"/>
      <c r="H28" s="260"/>
      <c r="I28" s="260"/>
      <c r="J28" s="260"/>
      <c r="K28" s="260"/>
      <c r="L28" s="260"/>
      <c r="M28" s="260"/>
      <c r="N28" s="260"/>
      <c r="O28" s="260"/>
      <c r="P28" s="238"/>
    </row>
    <row r="29" spans="1:16" ht="15" customHeight="1" thickBot="1">
      <c r="A29" s="79" t="s">
        <v>747</v>
      </c>
      <c r="B29" s="259"/>
      <c r="D29" s="330">
        <f>D21+D24+D25+D26+D27</f>
        <v>0</v>
      </c>
      <c r="E29" s="330">
        <f t="shared" ref="E29:P29" si="3">E21+E24+E25+E26+E27</f>
        <v>0</v>
      </c>
      <c r="F29" s="330">
        <f t="shared" si="3"/>
        <v>0</v>
      </c>
      <c r="G29" s="330">
        <f t="shared" si="3"/>
        <v>0</v>
      </c>
      <c r="H29" s="330">
        <f t="shared" si="3"/>
        <v>0</v>
      </c>
      <c r="I29" s="330">
        <f t="shared" si="3"/>
        <v>0</v>
      </c>
      <c r="J29" s="330">
        <f t="shared" si="3"/>
        <v>0</v>
      </c>
      <c r="K29" s="330">
        <f t="shared" si="3"/>
        <v>0</v>
      </c>
      <c r="L29" s="330">
        <f t="shared" si="3"/>
        <v>0</v>
      </c>
      <c r="M29" s="330">
        <f t="shared" si="3"/>
        <v>0</v>
      </c>
      <c r="N29" s="330">
        <f t="shared" si="3"/>
        <v>0</v>
      </c>
      <c r="O29" s="330">
        <f t="shared" si="3"/>
        <v>0</v>
      </c>
      <c r="P29" s="330">
        <f t="shared" si="3"/>
        <v>0</v>
      </c>
    </row>
  </sheetData>
  <sheetProtection password="E242" sheet="1" objects="1" scenarios="1"/>
  <customSheetViews>
    <customSheetView guid="{30D0538C-360A-4CDF-8D89-584CED1967CC}" scale="80" showGridLines="0">
      <selection activeCell="E8" sqref="E8"/>
      <pageMargins left="0.7" right="0.7" top="0.75" bottom="0.75" header="0.3" footer="0.3"/>
    </customSheetView>
    <customSheetView guid="{4F3169C3-3348-49DE-A6DC-8AA4D2A9D7A1}" scale="80" showGridLines="0">
      <selection activeCell="E8" sqref="E8"/>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53">
    <pageSetUpPr fitToPage="1"/>
  </sheetPr>
  <dimension ref="A1:P29"/>
  <sheetViews>
    <sheetView showGridLines="0" showRowColHeaders="0" zoomScale="75" zoomScaleNormal="75" workbookViewId="0">
      <selection activeCell="J2" sqref="J2"/>
    </sheetView>
  </sheetViews>
  <sheetFormatPr baseColWidth="10" defaultColWidth="11.453125" defaultRowHeight="12.5"/>
  <cols>
    <col min="1" max="2" width="19" style="251" customWidth="1"/>
    <col min="3" max="3" width="11.453125" style="251"/>
    <col min="4" max="16" width="15.453125" style="251" customWidth="1"/>
    <col min="17" max="16384" width="11.453125" style="251"/>
  </cols>
  <sheetData>
    <row r="1" spans="1:16" customFormat="1"/>
    <row r="2" spans="1:16" customFormat="1"/>
    <row r="3" spans="1:16" customFormat="1"/>
    <row r="4" spans="1:16" customFormat="1"/>
    <row r="5" spans="1:16" customFormat="1"/>
    <row r="6" spans="1:16" customFormat="1"/>
    <row r="7" spans="1:16" customFormat="1"/>
    <row r="8" spans="1:16" ht="25">
      <c r="A8" s="235" t="str">
        <f>RG!D17</f>
        <v>Jhon Wesly inc.</v>
      </c>
    </row>
    <row r="10" spans="1:16" ht="17.5">
      <c r="A10" s="256" t="s">
        <v>744</v>
      </c>
      <c r="B10" s="261"/>
      <c r="C10" s="261"/>
      <c r="D10" s="261"/>
      <c r="E10" s="72"/>
    </row>
    <row r="11" spans="1:16" ht="15.5" thickBot="1">
      <c r="A11" s="257"/>
      <c r="E11" s="72"/>
    </row>
    <row r="12" spans="1:16" s="43" customFormat="1" ht="15" customHeight="1" thickBot="1">
      <c r="A12" s="1186" t="s">
        <v>4</v>
      </c>
      <c r="B12" s="1187"/>
      <c r="C12" s="820"/>
      <c r="D12" s="817">
        <f>'AE4'!D12+366</f>
        <v>46755</v>
      </c>
      <c r="E12" s="818">
        <f t="shared" ref="E12:O12" si="0">D12+31</f>
        <v>46786</v>
      </c>
      <c r="F12" s="818">
        <f t="shared" si="0"/>
        <v>46817</v>
      </c>
      <c r="G12" s="818">
        <f t="shared" si="0"/>
        <v>46848</v>
      </c>
      <c r="H12" s="818">
        <f t="shared" si="0"/>
        <v>46879</v>
      </c>
      <c r="I12" s="818">
        <f t="shared" si="0"/>
        <v>46910</v>
      </c>
      <c r="J12" s="818">
        <f t="shared" si="0"/>
        <v>46941</v>
      </c>
      <c r="K12" s="818">
        <f t="shared" si="0"/>
        <v>46972</v>
      </c>
      <c r="L12" s="818">
        <f t="shared" si="0"/>
        <v>47003</v>
      </c>
      <c r="M12" s="818">
        <f t="shared" si="0"/>
        <v>47034</v>
      </c>
      <c r="N12" s="818">
        <f t="shared" si="0"/>
        <v>47065</v>
      </c>
      <c r="O12" s="818">
        <f t="shared" si="0"/>
        <v>47096</v>
      </c>
      <c r="P12" s="819" t="s">
        <v>489</v>
      </c>
    </row>
    <row r="13" spans="1:16" ht="15" customHeight="1">
      <c r="A13" s="116"/>
      <c r="B13" s="237"/>
      <c r="D13" s="65"/>
      <c r="E13" s="65"/>
      <c r="F13" s="65"/>
      <c r="G13" s="65"/>
      <c r="H13" s="65"/>
      <c r="I13" s="65"/>
      <c r="J13" s="65"/>
      <c r="K13" s="65"/>
      <c r="L13" s="65"/>
      <c r="M13" s="65"/>
      <c r="N13" s="65"/>
      <c r="O13" s="65"/>
      <c r="P13" s="65"/>
    </row>
    <row r="14" spans="1:16" ht="13">
      <c r="A14" s="257" t="s">
        <v>346</v>
      </c>
      <c r="D14" s="1183" t="str">
        <f>A14</f>
        <v>Autres revenus</v>
      </c>
      <c r="E14" s="1183"/>
      <c r="F14" s="1183"/>
      <c r="G14" s="1183"/>
      <c r="H14" s="1183"/>
      <c r="I14" s="1183"/>
      <c r="J14" s="1183"/>
      <c r="K14" s="1183"/>
      <c r="L14" s="1183"/>
      <c r="M14" s="1183"/>
      <c r="N14" s="1183"/>
      <c r="O14" s="1183"/>
      <c r="P14" s="1183"/>
    </row>
    <row r="15" spans="1:16" ht="13" thickBot="1"/>
    <row r="16" spans="1:16" s="261" customFormat="1" ht="15" customHeight="1" thickBot="1">
      <c r="A16" s="1184" t="str">
        <f>'AE4'!A16:B16</f>
        <v>Autres revenus 1</v>
      </c>
      <c r="B16" s="1185"/>
      <c r="C16" s="251"/>
      <c r="D16" s="846"/>
      <c r="E16" s="846"/>
      <c r="F16" s="846"/>
      <c r="G16" s="846"/>
      <c r="H16" s="846"/>
      <c r="I16" s="846"/>
      <c r="J16" s="846"/>
      <c r="K16" s="846"/>
      <c r="L16" s="846"/>
      <c r="M16" s="846"/>
      <c r="N16" s="846"/>
      <c r="O16" s="846"/>
      <c r="P16" s="385">
        <f>SUM(D16:O16)</f>
        <v>0</v>
      </c>
    </row>
    <row r="17" spans="1:16" s="261" customFormat="1" ht="15" customHeight="1" thickBot="1">
      <c r="A17" s="1184" t="str">
        <f>'AE4'!A17:B17</f>
        <v>Autres revenus 2</v>
      </c>
      <c r="B17" s="1185"/>
      <c r="C17" s="251"/>
      <c r="D17" s="846"/>
      <c r="E17" s="846"/>
      <c r="F17" s="846"/>
      <c r="G17" s="846"/>
      <c r="H17" s="846"/>
      <c r="I17" s="846"/>
      <c r="J17" s="846"/>
      <c r="K17" s="846"/>
      <c r="L17" s="846"/>
      <c r="M17" s="846"/>
      <c r="N17" s="846"/>
      <c r="O17" s="846"/>
      <c r="P17" s="384">
        <f>SUM(D17:O17)</f>
        <v>0</v>
      </c>
    </row>
    <row r="18" spans="1:16" s="261" customFormat="1" ht="15" customHeight="1" thickBot="1">
      <c r="A18" s="1184" t="str">
        <f>'AE4'!A18:B18</f>
        <v>Autres revenus 3</v>
      </c>
      <c r="B18" s="1185"/>
      <c r="C18" s="251"/>
      <c r="D18" s="846"/>
      <c r="E18" s="846"/>
      <c r="F18" s="846"/>
      <c r="G18" s="846"/>
      <c r="H18" s="846"/>
      <c r="I18" s="846"/>
      <c r="J18" s="846"/>
      <c r="K18" s="846"/>
      <c r="L18" s="846"/>
      <c r="M18" s="846"/>
      <c r="N18" s="846"/>
      <c r="O18" s="846"/>
      <c r="P18" s="384">
        <f>SUM(D18:O18)</f>
        <v>0</v>
      </c>
    </row>
    <row r="19" spans="1:16" s="261" customFormat="1" ht="15" customHeight="1" thickBot="1">
      <c r="A19" s="1184" t="str">
        <f>'AE4'!A19:B19</f>
        <v>Autres revenus 4</v>
      </c>
      <c r="B19" s="1185"/>
      <c r="C19" s="251"/>
      <c r="D19" s="846"/>
      <c r="E19" s="846"/>
      <c r="F19" s="846"/>
      <c r="G19" s="846"/>
      <c r="H19" s="846"/>
      <c r="I19" s="846"/>
      <c r="J19" s="846"/>
      <c r="K19" s="846"/>
      <c r="L19" s="846"/>
      <c r="M19" s="846"/>
      <c r="N19" s="846"/>
      <c r="O19" s="846"/>
      <c r="P19" s="384">
        <f>SUM(D19:O19)</f>
        <v>0</v>
      </c>
    </row>
    <row r="20" spans="1:16" s="261" customFormat="1" ht="15" customHeight="1" thickBot="1">
      <c r="A20" s="1184" t="str">
        <f>'AE4'!A20:B20</f>
        <v>Autres revenus 5</v>
      </c>
      <c r="B20" s="1185"/>
      <c r="C20" s="251"/>
      <c r="D20" s="846"/>
      <c r="E20" s="846"/>
      <c r="F20" s="846"/>
      <c r="G20" s="846"/>
      <c r="H20" s="846"/>
      <c r="I20" s="846"/>
      <c r="J20" s="846"/>
      <c r="K20" s="846"/>
      <c r="L20" s="846"/>
      <c r="M20" s="846"/>
      <c r="N20" s="846"/>
      <c r="O20" s="846"/>
      <c r="P20" s="384">
        <f>SUM(D20:O20)</f>
        <v>0</v>
      </c>
    </row>
    <row r="21" spans="1:16">
      <c r="D21" s="952">
        <f>SUM(D16:D20)</f>
        <v>0</v>
      </c>
      <c r="E21" s="952">
        <f t="shared" ref="E21:O21" si="1">SUM(E16:E20)</f>
        <v>0</v>
      </c>
      <c r="F21" s="952">
        <f t="shared" si="1"/>
        <v>0</v>
      </c>
      <c r="G21" s="952">
        <f t="shared" si="1"/>
        <v>0</v>
      </c>
      <c r="H21" s="952">
        <f t="shared" si="1"/>
        <v>0</v>
      </c>
      <c r="I21" s="952">
        <f t="shared" si="1"/>
        <v>0</v>
      </c>
      <c r="J21" s="952">
        <f t="shared" si="1"/>
        <v>0</v>
      </c>
      <c r="K21" s="952">
        <f t="shared" si="1"/>
        <v>0</v>
      </c>
      <c r="L21" s="952">
        <f t="shared" si="1"/>
        <v>0</v>
      </c>
      <c r="M21" s="952">
        <f t="shared" si="1"/>
        <v>0</v>
      </c>
      <c r="N21" s="952">
        <f t="shared" si="1"/>
        <v>0</v>
      </c>
      <c r="O21" s="952">
        <f t="shared" si="1"/>
        <v>0</v>
      </c>
      <c r="P21" s="952">
        <f t="shared" ref="P21" si="2">SUM(P16:P20)</f>
        <v>0</v>
      </c>
    </row>
    <row r="22" spans="1:16" ht="13">
      <c r="A22" s="257" t="s">
        <v>864</v>
      </c>
      <c r="D22" s="1183" t="str">
        <f>A22</f>
        <v>Autres entrées d'argent</v>
      </c>
      <c r="E22" s="1183"/>
      <c r="F22" s="1183"/>
      <c r="G22" s="1183"/>
      <c r="H22" s="1183"/>
      <c r="I22" s="1183"/>
      <c r="J22" s="1183"/>
      <c r="K22" s="1183"/>
      <c r="L22" s="1183"/>
      <c r="M22" s="1183"/>
      <c r="N22" s="1183"/>
      <c r="O22" s="1183"/>
      <c r="P22" s="1183"/>
    </row>
    <row r="23" spans="1:16" ht="13" thickBot="1">
      <c r="A23" s="234"/>
    </row>
    <row r="24" spans="1:16" s="261" customFormat="1" ht="15" customHeight="1" thickBot="1">
      <c r="A24" s="1188" t="str">
        <f>'BC1'!A21</f>
        <v>Emprunts</v>
      </c>
      <c r="B24" s="1188"/>
      <c r="C24" s="251"/>
      <c r="D24" s="950">
        <f>DG!Q138</f>
        <v>0</v>
      </c>
      <c r="E24" s="950"/>
      <c r="F24" s="950"/>
      <c r="G24" s="950"/>
      <c r="H24" s="950"/>
      <c r="I24" s="950"/>
      <c r="J24" s="950"/>
      <c r="K24" s="950"/>
      <c r="L24" s="950"/>
      <c r="M24" s="950"/>
      <c r="N24" s="950"/>
      <c r="O24" s="951"/>
      <c r="P24" s="502">
        <f>SUM(D24:O24)</f>
        <v>0</v>
      </c>
    </row>
    <row r="25" spans="1:16" s="261" customFormat="1" ht="15" customHeight="1" thickBot="1">
      <c r="A25" s="1188" t="str">
        <f>'BC1'!A20</f>
        <v>Émission d'actions</v>
      </c>
      <c r="B25" s="1188"/>
      <c r="C25" s="251"/>
      <c r="D25" s="950">
        <v>0</v>
      </c>
      <c r="E25" s="950">
        <v>0</v>
      </c>
      <c r="F25" s="950">
        <v>0</v>
      </c>
      <c r="G25" s="950">
        <v>0</v>
      </c>
      <c r="H25" s="950">
        <v>0</v>
      </c>
      <c r="I25" s="950">
        <v>0</v>
      </c>
      <c r="J25" s="950">
        <v>0</v>
      </c>
      <c r="K25" s="950">
        <v>0</v>
      </c>
      <c r="L25" s="950">
        <v>0</v>
      </c>
      <c r="M25" s="950">
        <v>0</v>
      </c>
      <c r="N25" s="950">
        <v>0</v>
      </c>
      <c r="O25" s="951">
        <v>0</v>
      </c>
      <c r="P25" s="384">
        <f>SUM(D25:O25)</f>
        <v>0</v>
      </c>
    </row>
    <row r="26" spans="1:16" s="261" customFormat="1" ht="15" customHeight="1" thickBot="1">
      <c r="A26" s="1188" t="str">
        <f>'BC1'!A24</f>
        <v>Subventions</v>
      </c>
      <c r="B26" s="1188"/>
      <c r="C26" s="251"/>
      <c r="D26" s="659">
        <f>SUBV!L31+SUBV!L44+SUBV!L57</f>
        <v>0</v>
      </c>
      <c r="E26" s="659"/>
      <c r="F26" s="659"/>
      <c r="G26" s="659"/>
      <c r="H26" s="659"/>
      <c r="I26" s="659"/>
      <c r="J26" s="659"/>
      <c r="K26" s="659"/>
      <c r="L26" s="659"/>
      <c r="M26" s="659"/>
      <c r="N26" s="659"/>
      <c r="O26" s="660"/>
      <c r="P26" s="385">
        <f>SUM(D26:O26)</f>
        <v>0</v>
      </c>
    </row>
    <row r="27" spans="1:16" s="261" customFormat="1" ht="15" customHeight="1" thickBot="1">
      <c r="A27" s="78" t="s">
        <v>133</v>
      </c>
      <c r="B27" s="78"/>
      <c r="C27" s="251"/>
      <c r="D27" s="950"/>
      <c r="E27" s="950"/>
      <c r="F27" s="950"/>
      <c r="G27" s="950"/>
      <c r="H27" s="950"/>
      <c r="I27" s="950"/>
      <c r="J27" s="950"/>
      <c r="K27" s="950"/>
      <c r="L27" s="950"/>
      <c r="M27" s="950"/>
      <c r="N27" s="950"/>
      <c r="O27" s="951"/>
      <c r="P27" s="385">
        <f>SUM(D27:O27)</f>
        <v>0</v>
      </c>
    </row>
    <row r="28" spans="1:16" ht="15" customHeight="1" thickBot="1">
      <c r="A28" s="259"/>
      <c r="B28" s="259"/>
      <c r="D28" s="260"/>
      <c r="E28" s="260"/>
      <c r="F28" s="260"/>
      <c r="G28" s="260"/>
      <c r="H28" s="260"/>
      <c r="I28" s="260"/>
      <c r="J28" s="260"/>
      <c r="K28" s="260"/>
      <c r="L28" s="260"/>
      <c r="M28" s="260"/>
      <c r="N28" s="260"/>
      <c r="O28" s="260"/>
      <c r="P28" s="238"/>
    </row>
    <row r="29" spans="1:16" ht="15" customHeight="1" thickBot="1">
      <c r="A29" s="79" t="s">
        <v>746</v>
      </c>
      <c r="B29" s="259"/>
      <c r="D29" s="330">
        <f>D21+D24+D25+D26+D27</f>
        <v>0</v>
      </c>
      <c r="E29" s="330">
        <f t="shared" ref="E29:P29" si="3">E21+E24+E25+E26+E27</f>
        <v>0</v>
      </c>
      <c r="F29" s="330">
        <f t="shared" si="3"/>
        <v>0</v>
      </c>
      <c r="G29" s="330">
        <f t="shared" si="3"/>
        <v>0</v>
      </c>
      <c r="H29" s="330">
        <f t="shared" si="3"/>
        <v>0</v>
      </c>
      <c r="I29" s="330">
        <f t="shared" si="3"/>
        <v>0</v>
      </c>
      <c r="J29" s="330">
        <f t="shared" si="3"/>
        <v>0</v>
      </c>
      <c r="K29" s="330">
        <f t="shared" si="3"/>
        <v>0</v>
      </c>
      <c r="L29" s="330">
        <f t="shared" si="3"/>
        <v>0</v>
      </c>
      <c r="M29" s="330">
        <f t="shared" si="3"/>
        <v>0</v>
      </c>
      <c r="N29" s="330">
        <f t="shared" si="3"/>
        <v>0</v>
      </c>
      <c r="O29" s="330">
        <f t="shared" si="3"/>
        <v>0</v>
      </c>
      <c r="P29" s="330">
        <f t="shared" si="3"/>
        <v>0</v>
      </c>
    </row>
  </sheetData>
  <sheetProtection password="E242" sheet="1" objects="1" scenarios="1"/>
  <customSheetViews>
    <customSheetView guid="{30D0538C-360A-4CDF-8D89-584CED1967CC}" scale="80" showGridLines="0">
      <selection activeCell="F12" sqref="F11:F12"/>
      <pageMargins left="0.7" right="0.7" top="0.75" bottom="0.75" header="0.3" footer="0.3"/>
    </customSheetView>
    <customSheetView guid="{4F3169C3-3348-49DE-A6DC-8AA4D2A9D7A1}" scale="80" showGridLines="0">
      <selection activeCell="F12" sqref="F11:F12"/>
      <pageMargins left="0.7" right="0.7" top="0.75" bottom="0.75" header="0.3" footer="0.3"/>
    </customSheetView>
  </customSheetViews>
  <mergeCells count="11">
    <mergeCell ref="A12:B12"/>
    <mergeCell ref="D14:P14"/>
    <mergeCell ref="A16:B16"/>
    <mergeCell ref="A17:B17"/>
    <mergeCell ref="A18:B18"/>
    <mergeCell ref="A26:B26"/>
    <mergeCell ref="A19:B19"/>
    <mergeCell ref="A20:B20"/>
    <mergeCell ref="D22:P22"/>
    <mergeCell ref="A24:B24"/>
    <mergeCell ref="A25:B25"/>
  </mergeCells>
  <pageMargins left="0.7" right="0.7" top="0.75" bottom="0.75" header="0.3" footer="0.3"/>
  <pageSetup scale="49" fitToHeight="0" orientation="landscape"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A1">
    <pageSetUpPr fitToPage="1"/>
  </sheetPr>
  <dimension ref="A1:Q219"/>
  <sheetViews>
    <sheetView showGridLines="0" showOutlineSymbols="0" topLeftCell="C1" zoomScale="110" zoomScaleNormal="110" workbookViewId="0">
      <pane ySplit="14" topLeftCell="A15" activePane="bottomLeft" state="frozen"/>
      <selection activeCell="G24" sqref="G24"/>
      <selection pane="bottomLeft" activeCell="E24" sqref="E24"/>
    </sheetView>
  </sheetViews>
  <sheetFormatPr baseColWidth="10" defaultColWidth="11.453125" defaultRowHeight="13"/>
  <cols>
    <col min="1" max="2" width="0" style="48" hidden="1" customWidth="1"/>
    <col min="3" max="3" width="37" style="48" customWidth="1"/>
    <col min="4" max="4" width="12.81640625" style="106" customWidth="1"/>
    <col min="5" max="16" width="12.81640625" style="107" customWidth="1"/>
    <col min="17" max="17" width="14" style="107" customWidth="1"/>
    <col min="18" max="16384" width="11.453125" style="48"/>
  </cols>
  <sheetData>
    <row r="1" spans="3:17" customFormat="1" ht="12.5"/>
    <row r="2" spans="3:17" customFormat="1" ht="12.5"/>
    <row r="3" spans="3:17" customFormat="1" ht="12.5"/>
    <row r="4" spans="3:17" customFormat="1" ht="12.5"/>
    <row r="5" spans="3:17" customFormat="1" ht="12.5"/>
    <row r="6" spans="3:17" customFormat="1" ht="12.5"/>
    <row r="7" spans="3:17" customFormat="1" ht="12.5"/>
    <row r="8" spans="3:17" customFormat="1" ht="12.5"/>
    <row r="9" spans="3:17" customFormat="1" ht="12.5"/>
    <row r="10" spans="3:17" ht="27" customHeight="1">
      <c r="C10" s="105" t="str">
        <f>RG!D17</f>
        <v>Jhon Wesly inc.</v>
      </c>
      <c r="D10" s="262"/>
      <c r="E10" s="262"/>
      <c r="F10" s="262"/>
      <c r="G10" s="262"/>
      <c r="H10" s="262"/>
      <c r="I10" s="262"/>
      <c r="J10" s="262"/>
      <c r="K10" s="262"/>
      <c r="L10" s="262"/>
      <c r="M10" s="262"/>
      <c r="N10" s="262"/>
      <c r="O10" s="262"/>
      <c r="P10" s="262"/>
      <c r="Q10" s="262"/>
    </row>
    <row r="11" spans="3:17" ht="12.75" customHeight="1" thickBot="1">
      <c r="C11" s="263"/>
      <c r="D11" s="263"/>
      <c r="E11" s="263"/>
      <c r="F11" s="263"/>
      <c r="G11" s="263"/>
      <c r="H11" s="263"/>
      <c r="I11" s="263"/>
      <c r="J11" s="263"/>
      <c r="K11" s="263"/>
      <c r="L11" s="263"/>
      <c r="M11" s="263"/>
      <c r="N11" s="263"/>
      <c r="O11" s="263"/>
      <c r="P11" s="263"/>
      <c r="Q11" s="263"/>
    </row>
    <row r="12" spans="3:17" ht="15" hidden="1">
      <c r="C12" s="72"/>
      <c r="D12" s="255"/>
      <c r="E12" s="48"/>
    </row>
    <row r="13" spans="3:17" ht="13.5" hidden="1" thickBot="1">
      <c r="C13" s="143"/>
    </row>
    <row r="14" spans="3:17" ht="15.5" thickBot="1">
      <c r="C14" s="1177" t="s">
        <v>313</v>
      </c>
      <c r="D14" s="1179"/>
      <c r="E14" s="837">
        <f>RG!D27</f>
        <v>45292</v>
      </c>
      <c r="F14" s="837">
        <f t="shared" ref="F14:P14" si="0">E14+31</f>
        <v>45323</v>
      </c>
      <c r="G14" s="837">
        <f t="shared" si="0"/>
        <v>45354</v>
      </c>
      <c r="H14" s="837">
        <f t="shared" si="0"/>
        <v>45385</v>
      </c>
      <c r="I14" s="837">
        <f t="shared" si="0"/>
        <v>45416</v>
      </c>
      <c r="J14" s="837">
        <f t="shared" si="0"/>
        <v>45447</v>
      </c>
      <c r="K14" s="837">
        <f t="shared" si="0"/>
        <v>45478</v>
      </c>
      <c r="L14" s="837">
        <f t="shared" si="0"/>
        <v>45509</v>
      </c>
      <c r="M14" s="837">
        <f t="shared" si="0"/>
        <v>45540</v>
      </c>
      <c r="N14" s="837">
        <f t="shared" si="0"/>
        <v>45571</v>
      </c>
      <c r="O14" s="837">
        <f t="shared" si="0"/>
        <v>45602</v>
      </c>
      <c r="P14" s="837">
        <f t="shared" si="0"/>
        <v>45633</v>
      </c>
      <c r="Q14" s="838" t="s">
        <v>489</v>
      </c>
    </row>
    <row r="15" spans="3:17" ht="13.5" thickBot="1">
      <c r="C15" s="143"/>
      <c r="E15" s="264"/>
      <c r="F15" s="264"/>
      <c r="G15" s="264"/>
      <c r="H15" s="264"/>
      <c r="I15" s="264"/>
      <c r="J15" s="264"/>
      <c r="K15" s="264"/>
      <c r="L15" s="264"/>
      <c r="M15" s="264"/>
      <c r="N15" s="264"/>
      <c r="O15" s="264"/>
      <c r="P15" s="264"/>
      <c r="Q15" s="265"/>
    </row>
    <row r="16" spans="3:17" ht="16.5" customHeight="1" thickBot="1">
      <c r="C16" s="1071" t="str">
        <f>IF(RG!$A$78=5,"Achats d'animaux ",'V1'!A15)</f>
        <v>Produit/service 1</v>
      </c>
      <c r="D16" s="910"/>
      <c r="E16" s="1181" t="str">
        <f>C16</f>
        <v>Produit/service 1</v>
      </c>
      <c r="F16" s="1182"/>
      <c r="G16" s="1182"/>
      <c r="H16" s="1182"/>
      <c r="I16" s="1182"/>
      <c r="J16" s="1182"/>
      <c r="K16" s="1182"/>
      <c r="L16" s="1182"/>
      <c r="M16" s="1182"/>
      <c r="N16" s="1182"/>
      <c r="O16" s="1182"/>
      <c r="P16" s="1182"/>
      <c r="Q16" s="1182"/>
    </row>
    <row r="17" spans="1:17" ht="16.5" hidden="1" customHeight="1">
      <c r="B17" s="265" t="s">
        <v>328</v>
      </c>
      <c r="E17" s="106">
        <f>IF($A20=1,E26,0)</f>
        <v>0</v>
      </c>
      <c r="F17" s="106">
        <f>IF($A20=1,F26,0)</f>
        <v>0</v>
      </c>
      <c r="G17" s="106">
        <f>IF($A20=1,G26,0)</f>
        <v>0</v>
      </c>
      <c r="H17" s="106">
        <f>IF($A20=1,H26,0)</f>
        <v>0</v>
      </c>
      <c r="I17" s="106">
        <f t="shared" ref="I17:P17" si="1">IF($A20=1,I26,0)</f>
        <v>0</v>
      </c>
      <c r="J17" s="106">
        <f t="shared" si="1"/>
        <v>0</v>
      </c>
      <c r="K17" s="106">
        <f t="shared" si="1"/>
        <v>0</v>
      </c>
      <c r="L17" s="106">
        <f t="shared" si="1"/>
        <v>0</v>
      </c>
      <c r="M17" s="106">
        <f t="shared" si="1"/>
        <v>0</v>
      </c>
      <c r="N17" s="106">
        <f t="shared" si="1"/>
        <v>0</v>
      </c>
      <c r="O17" s="106">
        <f t="shared" si="1"/>
        <v>0</v>
      </c>
      <c r="P17" s="106">
        <f t="shared" si="1"/>
        <v>0</v>
      </c>
      <c r="Q17" s="48"/>
    </row>
    <row r="18" spans="1:17" hidden="1">
      <c r="B18" s="264" t="s">
        <v>329</v>
      </c>
      <c r="E18" s="270"/>
      <c r="F18" s="106">
        <f t="shared" ref="F18:P18" si="2">IF($A20=2,E26,0)</f>
        <v>0</v>
      </c>
      <c r="G18" s="106">
        <f t="shared" si="2"/>
        <v>0</v>
      </c>
      <c r="H18" s="106">
        <f t="shared" si="2"/>
        <v>0</v>
      </c>
      <c r="I18" s="106">
        <f t="shared" si="2"/>
        <v>0</v>
      </c>
      <c r="J18" s="106">
        <f t="shared" si="2"/>
        <v>0</v>
      </c>
      <c r="K18" s="106">
        <f t="shared" si="2"/>
        <v>0</v>
      </c>
      <c r="L18" s="106">
        <f t="shared" si="2"/>
        <v>0</v>
      </c>
      <c r="M18" s="106">
        <f t="shared" si="2"/>
        <v>0</v>
      </c>
      <c r="N18" s="106">
        <f t="shared" si="2"/>
        <v>0</v>
      </c>
      <c r="O18" s="106">
        <f t="shared" si="2"/>
        <v>0</v>
      </c>
      <c r="P18" s="106">
        <f t="shared" si="2"/>
        <v>0</v>
      </c>
      <c r="Q18" s="48"/>
    </row>
    <row r="19" spans="1:17" hidden="1">
      <c r="B19" s="264" t="s">
        <v>448</v>
      </c>
      <c r="E19" s="270"/>
      <c r="F19" s="264"/>
      <c r="G19" s="106">
        <f t="shared" ref="G19:P19" si="3">IF($A20=3,E26,0)</f>
        <v>0</v>
      </c>
      <c r="H19" s="106">
        <f t="shared" si="3"/>
        <v>0</v>
      </c>
      <c r="I19" s="106">
        <f t="shared" si="3"/>
        <v>0</v>
      </c>
      <c r="J19" s="106">
        <f t="shared" si="3"/>
        <v>0</v>
      </c>
      <c r="K19" s="106">
        <f t="shared" si="3"/>
        <v>0</v>
      </c>
      <c r="L19" s="106">
        <f t="shared" si="3"/>
        <v>0</v>
      </c>
      <c r="M19" s="106">
        <f t="shared" si="3"/>
        <v>0</v>
      </c>
      <c r="N19" s="106">
        <f t="shared" si="3"/>
        <v>0</v>
      </c>
      <c r="O19" s="106">
        <f t="shared" si="3"/>
        <v>0</v>
      </c>
      <c r="P19" s="106">
        <f t="shared" si="3"/>
        <v>0</v>
      </c>
      <c r="Q19" s="48"/>
    </row>
    <row r="20" spans="1:17" hidden="1">
      <c r="A20" s="271">
        <v>2</v>
      </c>
      <c r="B20" s="264" t="s">
        <v>330</v>
      </c>
      <c r="D20" s="48"/>
      <c r="E20" s="270"/>
      <c r="F20" s="264"/>
      <c r="G20" s="264"/>
      <c r="H20" s="106">
        <f t="shared" ref="H20:P20" si="4">IF($A20=4,E26,0)</f>
        <v>0</v>
      </c>
      <c r="I20" s="106">
        <f t="shared" si="4"/>
        <v>0</v>
      </c>
      <c r="J20" s="106">
        <f t="shared" si="4"/>
        <v>0</v>
      </c>
      <c r="K20" s="106">
        <f t="shared" si="4"/>
        <v>0</v>
      </c>
      <c r="L20" s="106">
        <f t="shared" si="4"/>
        <v>0</v>
      </c>
      <c r="M20" s="106">
        <f t="shared" si="4"/>
        <v>0</v>
      </c>
      <c r="N20" s="106">
        <f t="shared" si="4"/>
        <v>0</v>
      </c>
      <c r="O20" s="106">
        <f t="shared" si="4"/>
        <v>0</v>
      </c>
      <c r="P20" s="106">
        <f t="shared" si="4"/>
        <v>0</v>
      </c>
      <c r="Q20" s="48"/>
    </row>
    <row r="21" spans="1:17" hidden="1">
      <c r="D21" s="271"/>
      <c r="E21" s="272">
        <f t="shared" ref="E21:P21" si="5">SUM(E17:E20)</f>
        <v>0</v>
      </c>
      <c r="F21" s="272">
        <f t="shared" si="5"/>
        <v>0</v>
      </c>
      <c r="G21" s="272">
        <f t="shared" si="5"/>
        <v>0</v>
      </c>
      <c r="H21" s="272">
        <f t="shared" si="5"/>
        <v>0</v>
      </c>
      <c r="I21" s="272">
        <f t="shared" si="5"/>
        <v>0</v>
      </c>
      <c r="J21" s="272">
        <f t="shared" si="5"/>
        <v>0</v>
      </c>
      <c r="K21" s="272">
        <f t="shared" si="5"/>
        <v>0</v>
      </c>
      <c r="L21" s="272">
        <f t="shared" si="5"/>
        <v>0</v>
      </c>
      <c r="M21" s="272">
        <f t="shared" si="5"/>
        <v>0</v>
      </c>
      <c r="N21" s="272">
        <f t="shared" si="5"/>
        <v>0</v>
      </c>
      <c r="O21" s="272">
        <f t="shared" si="5"/>
        <v>0</v>
      </c>
      <c r="P21" s="272">
        <f t="shared" si="5"/>
        <v>0</v>
      </c>
      <c r="Q21" s="265"/>
    </row>
    <row r="22" spans="1:17" ht="13.5" thickBot="1">
      <c r="D22" s="271"/>
      <c r="E22" s="270"/>
      <c r="F22" s="264"/>
      <c r="G22" s="264"/>
      <c r="H22" s="106"/>
      <c r="I22" s="106"/>
      <c r="J22" s="106"/>
      <c r="K22" s="106"/>
      <c r="L22" s="106"/>
      <c r="M22" s="106"/>
      <c r="N22" s="106"/>
      <c r="O22" s="106"/>
      <c r="P22" s="106"/>
      <c r="Q22" s="264"/>
    </row>
    <row r="23" spans="1:17" ht="13.5" thickBot="1">
      <c r="C23" s="48" t="str">
        <f>IF(RG!$A$78=5,"Achats d'animaux ",IF(RG!$A$78=6,"Coût des matériaux","Coût des marchandises"))</f>
        <v>Coût des marchandises</v>
      </c>
      <c r="D23" s="907">
        <v>0</v>
      </c>
      <c r="E23" s="48"/>
      <c r="F23" s="48"/>
      <c r="G23" s="48"/>
      <c r="H23" s="48"/>
      <c r="I23" s="48"/>
      <c r="J23" s="48"/>
      <c r="K23" s="48"/>
      <c r="L23" s="48"/>
      <c r="M23" s="48"/>
      <c r="N23" s="48"/>
      <c r="O23" s="48"/>
      <c r="P23" s="48"/>
      <c r="Q23" s="48"/>
    </row>
    <row r="24" spans="1:17" ht="13.5" thickBot="1">
      <c r="C24" s="48" t="s">
        <v>450</v>
      </c>
      <c r="D24" s="266"/>
      <c r="E24" s="388">
        <f>'V1'!G25</f>
        <v>750</v>
      </c>
      <c r="F24" s="388">
        <f>'V1'!H25</f>
        <v>775</v>
      </c>
      <c r="G24" s="388">
        <f>'V1'!I25</f>
        <v>800</v>
      </c>
      <c r="H24" s="388">
        <f>'V1'!J25</f>
        <v>825</v>
      </c>
      <c r="I24" s="388">
        <f>'V1'!K25</f>
        <v>850</v>
      </c>
      <c r="J24" s="388">
        <f>'V1'!L25</f>
        <v>875</v>
      </c>
      <c r="K24" s="388">
        <f>'V1'!M25</f>
        <v>900</v>
      </c>
      <c r="L24" s="388">
        <f>'V1'!N25</f>
        <v>925</v>
      </c>
      <c r="M24" s="388">
        <f>'V1'!O25</f>
        <v>950</v>
      </c>
      <c r="N24" s="388">
        <f>'V1'!P25</f>
        <v>975</v>
      </c>
      <c r="O24" s="388">
        <f>'V1'!Q25</f>
        <v>1000</v>
      </c>
      <c r="P24" s="389">
        <f>'V1'!R25</f>
        <v>1025</v>
      </c>
      <c r="Q24" s="76">
        <f>SUM(E24:P24)</f>
        <v>10650</v>
      </c>
    </row>
    <row r="25" spans="1:17" ht="13.5" thickBot="1">
      <c r="C25" s="48" t="s">
        <v>14</v>
      </c>
      <c r="D25" s="266"/>
      <c r="E25" s="908"/>
      <c r="F25" s="908"/>
      <c r="G25" s="908"/>
      <c r="H25" s="908"/>
      <c r="I25" s="908"/>
      <c r="J25" s="908"/>
      <c r="K25" s="908"/>
      <c r="L25" s="908"/>
      <c r="M25" s="908"/>
      <c r="N25" s="908"/>
      <c r="O25" s="908"/>
      <c r="P25" s="908"/>
      <c r="Q25" s="76">
        <f>SUM(E25:P25)</f>
        <v>0</v>
      </c>
    </row>
    <row r="26" spans="1:17" ht="13.5" thickBot="1">
      <c r="C26" s="48" t="s">
        <v>449</v>
      </c>
      <c r="D26" s="266"/>
      <c r="E26" s="394">
        <f>(E24*$D$23)+E25</f>
        <v>0</v>
      </c>
      <c r="F26" s="394">
        <f t="shared" ref="F26:P26" si="6">(F24*$D$23)+F25</f>
        <v>0</v>
      </c>
      <c r="G26" s="394">
        <f t="shared" si="6"/>
        <v>0</v>
      </c>
      <c r="H26" s="394">
        <f t="shared" si="6"/>
        <v>0</v>
      </c>
      <c r="I26" s="394">
        <f t="shared" si="6"/>
        <v>0</v>
      </c>
      <c r="J26" s="394">
        <f t="shared" si="6"/>
        <v>0</v>
      </c>
      <c r="K26" s="394">
        <f t="shared" si="6"/>
        <v>0</v>
      </c>
      <c r="L26" s="394">
        <f t="shared" si="6"/>
        <v>0</v>
      </c>
      <c r="M26" s="394">
        <f t="shared" si="6"/>
        <v>0</v>
      </c>
      <c r="N26" s="394">
        <f t="shared" si="6"/>
        <v>0</v>
      </c>
      <c r="O26" s="394">
        <f t="shared" si="6"/>
        <v>0</v>
      </c>
      <c r="P26" s="394">
        <f t="shared" si="6"/>
        <v>0</v>
      </c>
      <c r="Q26" s="76">
        <f>SUM(E26:P26)</f>
        <v>0</v>
      </c>
    </row>
    <row r="27" spans="1:17" hidden="1">
      <c r="D27" s="266"/>
      <c r="E27" s="77"/>
      <c r="F27" s="77"/>
      <c r="G27" s="77"/>
      <c r="H27" s="77"/>
      <c r="I27" s="77"/>
      <c r="J27" s="77"/>
      <c r="K27" s="77"/>
      <c r="L27" s="77"/>
      <c r="M27" s="77"/>
      <c r="N27" s="77"/>
      <c r="O27" s="77"/>
      <c r="P27" s="77"/>
      <c r="Q27" s="77"/>
    </row>
    <row r="28" spans="1:17" ht="13.5" thickBot="1">
      <c r="D28" s="266"/>
      <c r="E28" s="77"/>
      <c r="F28" s="77"/>
      <c r="G28" s="77"/>
      <c r="H28" s="77"/>
      <c r="I28" s="77"/>
      <c r="J28" s="77"/>
      <c r="K28" s="77"/>
      <c r="L28" s="77"/>
      <c r="M28" s="77"/>
      <c r="N28" s="77"/>
      <c r="O28" s="77"/>
      <c r="P28" s="77"/>
      <c r="Q28" s="77"/>
    </row>
    <row r="29" spans="1:17" ht="16.5" customHeight="1" thickBot="1">
      <c r="C29" s="1071" t="str">
        <f>IF(RG!$A$78=5,"Achats de moulée ",'V1'!A28)</f>
        <v>Produit/service 2</v>
      </c>
      <c r="D29" s="910"/>
      <c r="E29" s="1181" t="str">
        <f>C29</f>
        <v>Produit/service 2</v>
      </c>
      <c r="F29" s="1182"/>
      <c r="G29" s="1182"/>
      <c r="H29" s="1182"/>
      <c r="I29" s="1182"/>
      <c r="J29" s="1182"/>
      <c r="K29" s="1182"/>
      <c r="L29" s="1182"/>
      <c r="M29" s="1182"/>
      <c r="N29" s="1182"/>
      <c r="O29" s="1182"/>
      <c r="P29" s="1182"/>
      <c r="Q29" s="1182"/>
    </row>
    <row r="30" spans="1:17" ht="16.5" hidden="1" customHeight="1">
      <c r="B30" s="265" t="s">
        <v>328</v>
      </c>
      <c r="E30" s="106">
        <f t="shared" ref="E30:P30" si="7">IF($A33=1,E39,0)</f>
        <v>0</v>
      </c>
      <c r="F30" s="106">
        <f t="shared" si="7"/>
        <v>0</v>
      </c>
      <c r="G30" s="106">
        <f t="shared" si="7"/>
        <v>0</v>
      </c>
      <c r="H30" s="106">
        <f t="shared" si="7"/>
        <v>0</v>
      </c>
      <c r="I30" s="106">
        <f t="shared" si="7"/>
        <v>0</v>
      </c>
      <c r="J30" s="106">
        <f t="shared" si="7"/>
        <v>0</v>
      </c>
      <c r="K30" s="106">
        <f t="shared" si="7"/>
        <v>0</v>
      </c>
      <c r="L30" s="106">
        <f t="shared" si="7"/>
        <v>0</v>
      </c>
      <c r="M30" s="106">
        <f t="shared" si="7"/>
        <v>0</v>
      </c>
      <c r="N30" s="106">
        <f t="shared" si="7"/>
        <v>0</v>
      </c>
      <c r="O30" s="106">
        <f t="shared" si="7"/>
        <v>0</v>
      </c>
      <c r="P30" s="106">
        <f t="shared" si="7"/>
        <v>0</v>
      </c>
      <c r="Q30" s="48"/>
    </row>
    <row r="31" spans="1:17" hidden="1">
      <c r="B31" s="264" t="s">
        <v>329</v>
      </c>
      <c r="E31" s="270"/>
      <c r="F31" s="106">
        <f t="shared" ref="F31:P31" si="8">IF($A33=2,E39,0)</f>
        <v>0</v>
      </c>
      <c r="G31" s="106">
        <f t="shared" si="8"/>
        <v>0</v>
      </c>
      <c r="H31" s="106">
        <f t="shared" si="8"/>
        <v>0</v>
      </c>
      <c r="I31" s="106">
        <f t="shared" si="8"/>
        <v>0</v>
      </c>
      <c r="J31" s="106">
        <f t="shared" si="8"/>
        <v>0</v>
      </c>
      <c r="K31" s="106">
        <f t="shared" si="8"/>
        <v>0</v>
      </c>
      <c r="L31" s="106">
        <f t="shared" si="8"/>
        <v>0</v>
      </c>
      <c r="M31" s="106">
        <f t="shared" si="8"/>
        <v>0</v>
      </c>
      <c r="N31" s="106">
        <f t="shared" si="8"/>
        <v>0</v>
      </c>
      <c r="O31" s="106">
        <f t="shared" si="8"/>
        <v>0</v>
      </c>
      <c r="P31" s="106">
        <f t="shared" si="8"/>
        <v>0</v>
      </c>
      <c r="Q31" s="48"/>
    </row>
    <row r="32" spans="1:17" hidden="1">
      <c r="B32" s="264" t="s">
        <v>448</v>
      </c>
      <c r="E32" s="270"/>
      <c r="F32" s="264"/>
      <c r="G32" s="106">
        <f t="shared" ref="G32:P32" si="9">IF($A33=3,E39,0)</f>
        <v>0</v>
      </c>
      <c r="H32" s="106">
        <f t="shared" si="9"/>
        <v>0</v>
      </c>
      <c r="I32" s="106">
        <f t="shared" si="9"/>
        <v>0</v>
      </c>
      <c r="J32" s="106">
        <f t="shared" si="9"/>
        <v>0</v>
      </c>
      <c r="K32" s="106">
        <f t="shared" si="9"/>
        <v>0</v>
      </c>
      <c r="L32" s="106">
        <f t="shared" si="9"/>
        <v>0</v>
      </c>
      <c r="M32" s="106">
        <f t="shared" si="9"/>
        <v>0</v>
      </c>
      <c r="N32" s="106">
        <f t="shared" si="9"/>
        <v>0</v>
      </c>
      <c r="O32" s="106">
        <f t="shared" si="9"/>
        <v>0</v>
      </c>
      <c r="P32" s="106">
        <f t="shared" si="9"/>
        <v>0</v>
      </c>
      <c r="Q32" s="48"/>
    </row>
    <row r="33" spans="1:17" hidden="1">
      <c r="A33" s="271">
        <v>1</v>
      </c>
      <c r="B33" s="264" t="s">
        <v>330</v>
      </c>
      <c r="D33" s="48"/>
      <c r="E33" s="270"/>
      <c r="F33" s="264"/>
      <c r="G33" s="264"/>
      <c r="H33" s="106">
        <f t="shared" ref="H33:P33" si="10">IF($A33=4,E39,0)</f>
        <v>0</v>
      </c>
      <c r="I33" s="106">
        <f t="shared" si="10"/>
        <v>0</v>
      </c>
      <c r="J33" s="106">
        <f t="shared" si="10"/>
        <v>0</v>
      </c>
      <c r="K33" s="106">
        <f t="shared" si="10"/>
        <v>0</v>
      </c>
      <c r="L33" s="106">
        <f t="shared" si="10"/>
        <v>0</v>
      </c>
      <c r="M33" s="106">
        <f t="shared" si="10"/>
        <v>0</v>
      </c>
      <c r="N33" s="106">
        <f t="shared" si="10"/>
        <v>0</v>
      </c>
      <c r="O33" s="106">
        <f t="shared" si="10"/>
        <v>0</v>
      </c>
      <c r="P33" s="106">
        <f t="shared" si="10"/>
        <v>0</v>
      </c>
      <c r="Q33" s="48"/>
    </row>
    <row r="34" spans="1:17" hidden="1">
      <c r="D34" s="271"/>
      <c r="E34" s="272">
        <f t="shared" ref="E34:P34" si="11">SUM(E30:E33)</f>
        <v>0</v>
      </c>
      <c r="F34" s="272">
        <f t="shared" si="11"/>
        <v>0</v>
      </c>
      <c r="G34" s="272">
        <f t="shared" si="11"/>
        <v>0</v>
      </c>
      <c r="H34" s="272">
        <f t="shared" si="11"/>
        <v>0</v>
      </c>
      <c r="I34" s="272">
        <f t="shared" si="11"/>
        <v>0</v>
      </c>
      <c r="J34" s="272">
        <f t="shared" si="11"/>
        <v>0</v>
      </c>
      <c r="K34" s="272">
        <f t="shared" si="11"/>
        <v>0</v>
      </c>
      <c r="L34" s="272">
        <f t="shared" si="11"/>
        <v>0</v>
      </c>
      <c r="M34" s="272">
        <f t="shared" si="11"/>
        <v>0</v>
      </c>
      <c r="N34" s="272">
        <f t="shared" si="11"/>
        <v>0</v>
      </c>
      <c r="O34" s="272">
        <f t="shared" si="11"/>
        <v>0</v>
      </c>
      <c r="P34" s="272">
        <f t="shared" si="11"/>
        <v>0</v>
      </c>
      <c r="Q34" s="77"/>
    </row>
    <row r="35" spans="1:17" ht="13.5" thickBot="1">
      <c r="D35" s="271"/>
      <c r="E35" s="270"/>
      <c r="F35" s="264"/>
      <c r="G35" s="264"/>
      <c r="H35" s="106"/>
      <c r="I35" s="106"/>
      <c r="J35" s="106"/>
      <c r="K35" s="106"/>
      <c r="L35" s="106"/>
      <c r="M35" s="106"/>
      <c r="N35" s="106"/>
      <c r="O35" s="106"/>
      <c r="P35" s="106"/>
      <c r="Q35" s="264"/>
    </row>
    <row r="36" spans="1:17" ht="12.75" customHeight="1" thickBot="1">
      <c r="C36" s="48" t="str">
        <f>IF(RG!$A$78=5,"Moulée ",IF(RG!$A$78=6,"Coût des matériaux","Coût des marchandises"))</f>
        <v>Coût des marchandises</v>
      </c>
      <c r="D36" s="907">
        <v>0</v>
      </c>
      <c r="E36" s="48"/>
      <c r="F36" s="48"/>
      <c r="G36" s="48"/>
      <c r="H36" s="48"/>
      <c r="I36" s="48"/>
      <c r="J36" s="48"/>
      <c r="K36" s="48"/>
      <c r="L36" s="48"/>
      <c r="M36" s="48"/>
      <c r="N36" s="48"/>
      <c r="O36" s="48"/>
      <c r="P36" s="48"/>
      <c r="Q36" s="48"/>
    </row>
    <row r="37" spans="1:17" ht="13.5" thickBot="1">
      <c r="C37" s="48" t="s">
        <v>450</v>
      </c>
      <c r="D37" s="266"/>
      <c r="E37" s="388">
        <f>'V1'!G38</f>
        <v>1000</v>
      </c>
      <c r="F37" s="388">
        <f>'V1'!H38</f>
        <v>1050</v>
      </c>
      <c r="G37" s="388">
        <f>'V1'!I38</f>
        <v>1100</v>
      </c>
      <c r="H37" s="388">
        <f>'V1'!J38</f>
        <v>1150</v>
      </c>
      <c r="I37" s="388">
        <f>'V1'!K38</f>
        <v>1200</v>
      </c>
      <c r="J37" s="388">
        <f>'V1'!L38</f>
        <v>1250</v>
      </c>
      <c r="K37" s="388">
        <f>'V1'!M38</f>
        <v>1300</v>
      </c>
      <c r="L37" s="388">
        <f>'V1'!N38</f>
        <v>1350</v>
      </c>
      <c r="M37" s="388">
        <f>'V1'!O38</f>
        <v>1400</v>
      </c>
      <c r="N37" s="388">
        <f>'V1'!P38</f>
        <v>1450</v>
      </c>
      <c r="O37" s="388">
        <f>'V1'!Q38</f>
        <v>1500</v>
      </c>
      <c r="P37" s="389">
        <f>'V1'!R38</f>
        <v>1550</v>
      </c>
      <c r="Q37" s="76">
        <f>SUM(E37:P37)</f>
        <v>15300</v>
      </c>
    </row>
    <row r="38" spans="1:17" ht="13.5" thickBot="1">
      <c r="C38" s="48" t="s">
        <v>14</v>
      </c>
      <c r="D38" s="266"/>
      <c r="E38" s="908"/>
      <c r="F38" s="908"/>
      <c r="G38" s="908"/>
      <c r="H38" s="908"/>
      <c r="I38" s="908"/>
      <c r="J38" s="908"/>
      <c r="K38" s="908"/>
      <c r="L38" s="908"/>
      <c r="M38" s="908"/>
      <c r="N38" s="908"/>
      <c r="O38" s="908"/>
      <c r="P38" s="908"/>
      <c r="Q38" s="76">
        <f>SUM(E38:P38)</f>
        <v>0</v>
      </c>
    </row>
    <row r="39" spans="1:17" ht="13.5" thickBot="1">
      <c r="C39" s="48" t="s">
        <v>449</v>
      </c>
      <c r="D39" s="266"/>
      <c r="E39" s="394">
        <f>(E37*$D36)+E38</f>
        <v>0</v>
      </c>
      <c r="F39" s="394">
        <f t="shared" ref="F39:P39" si="12">(F37*$D36)+F38</f>
        <v>0</v>
      </c>
      <c r="G39" s="394">
        <f t="shared" si="12"/>
        <v>0</v>
      </c>
      <c r="H39" s="394">
        <f t="shared" si="12"/>
        <v>0</v>
      </c>
      <c r="I39" s="394">
        <f t="shared" si="12"/>
        <v>0</v>
      </c>
      <c r="J39" s="394">
        <f t="shared" si="12"/>
        <v>0</v>
      </c>
      <c r="K39" s="394">
        <f t="shared" si="12"/>
        <v>0</v>
      </c>
      <c r="L39" s="394">
        <f t="shared" si="12"/>
        <v>0</v>
      </c>
      <c r="M39" s="394">
        <f t="shared" si="12"/>
        <v>0</v>
      </c>
      <c r="N39" s="394">
        <f t="shared" si="12"/>
        <v>0</v>
      </c>
      <c r="O39" s="394">
        <f t="shared" si="12"/>
        <v>0</v>
      </c>
      <c r="P39" s="394">
        <f t="shared" si="12"/>
        <v>0</v>
      </c>
      <c r="Q39" s="76">
        <f>SUM(E39:P39)</f>
        <v>0</v>
      </c>
    </row>
    <row r="40" spans="1:17" hidden="1">
      <c r="D40" s="266"/>
      <c r="E40" s="77"/>
      <c r="F40" s="77"/>
      <c r="G40" s="77"/>
      <c r="H40" s="77"/>
      <c r="I40" s="77"/>
      <c r="J40" s="77"/>
      <c r="K40" s="77"/>
      <c r="L40" s="77"/>
      <c r="M40" s="77"/>
      <c r="N40" s="77"/>
      <c r="O40" s="77"/>
      <c r="P40" s="77"/>
      <c r="Q40" s="77"/>
    </row>
    <row r="41" spans="1:17" ht="13.5" thickBot="1">
      <c r="D41" s="266"/>
      <c r="E41" s="77"/>
      <c r="F41" s="77"/>
      <c r="G41" s="77"/>
      <c r="H41" s="77"/>
      <c r="I41" s="77"/>
      <c r="J41" s="77"/>
      <c r="K41" s="77"/>
      <c r="L41" s="77"/>
      <c r="M41" s="77"/>
      <c r="N41" s="77"/>
      <c r="O41" s="77"/>
      <c r="P41" s="77"/>
      <c r="Q41" s="77"/>
    </row>
    <row r="42" spans="1:17" ht="16.5" customHeight="1" thickBot="1">
      <c r="C42" s="1071" t="str">
        <f>IF(RG!$A$78=5,"Achats de suppléments et minéraux ",'V1'!A41)</f>
        <v>Produit/service 3</v>
      </c>
      <c r="D42" s="910"/>
      <c r="E42" s="1181" t="str">
        <f>C42</f>
        <v>Produit/service 3</v>
      </c>
      <c r="F42" s="1182"/>
      <c r="G42" s="1182"/>
      <c r="H42" s="1182"/>
      <c r="I42" s="1182"/>
      <c r="J42" s="1182"/>
      <c r="K42" s="1182"/>
      <c r="L42" s="1182"/>
      <c r="M42" s="1182"/>
      <c r="N42" s="1182"/>
      <c r="O42" s="1182"/>
      <c r="P42" s="1182"/>
      <c r="Q42" s="1182"/>
    </row>
    <row r="43" spans="1:17" ht="16.5" hidden="1" customHeight="1">
      <c r="B43" s="265" t="s">
        <v>328</v>
      </c>
      <c r="E43" s="106">
        <f t="shared" ref="E43:P43" si="13">IF($A46=1,E52,0)</f>
        <v>0</v>
      </c>
      <c r="F43" s="106">
        <f t="shared" si="13"/>
        <v>0</v>
      </c>
      <c r="G43" s="106">
        <f t="shared" si="13"/>
        <v>0</v>
      </c>
      <c r="H43" s="106">
        <f t="shared" si="13"/>
        <v>0</v>
      </c>
      <c r="I43" s="106">
        <f t="shared" si="13"/>
        <v>0</v>
      </c>
      <c r="J43" s="106">
        <f t="shared" si="13"/>
        <v>0</v>
      </c>
      <c r="K43" s="106">
        <f t="shared" si="13"/>
        <v>0</v>
      </c>
      <c r="L43" s="106">
        <f t="shared" si="13"/>
        <v>0</v>
      </c>
      <c r="M43" s="106">
        <f t="shared" si="13"/>
        <v>0</v>
      </c>
      <c r="N43" s="106">
        <f t="shared" si="13"/>
        <v>0</v>
      </c>
      <c r="O43" s="106">
        <f t="shared" si="13"/>
        <v>0</v>
      </c>
      <c r="P43" s="106">
        <f t="shared" si="13"/>
        <v>0</v>
      </c>
      <c r="Q43" s="48"/>
    </row>
    <row r="44" spans="1:17" hidden="1">
      <c r="B44" s="264" t="s">
        <v>329</v>
      </c>
      <c r="E44" s="270"/>
      <c r="F44" s="106">
        <f t="shared" ref="F44:P44" si="14">IF($A46=2,E52,0)</f>
        <v>0</v>
      </c>
      <c r="G44" s="106">
        <f t="shared" si="14"/>
        <v>0</v>
      </c>
      <c r="H44" s="106">
        <f t="shared" si="14"/>
        <v>0</v>
      </c>
      <c r="I44" s="106">
        <f t="shared" si="14"/>
        <v>0</v>
      </c>
      <c r="J44" s="106">
        <f t="shared" si="14"/>
        <v>0</v>
      </c>
      <c r="K44" s="106">
        <f t="shared" si="14"/>
        <v>0</v>
      </c>
      <c r="L44" s="106">
        <f t="shared" si="14"/>
        <v>0</v>
      </c>
      <c r="M44" s="106">
        <f t="shared" si="14"/>
        <v>0</v>
      </c>
      <c r="N44" s="106">
        <f t="shared" si="14"/>
        <v>0</v>
      </c>
      <c r="O44" s="106">
        <f t="shared" si="14"/>
        <v>0</v>
      </c>
      <c r="P44" s="106">
        <f t="shared" si="14"/>
        <v>0</v>
      </c>
      <c r="Q44" s="48"/>
    </row>
    <row r="45" spans="1:17" hidden="1">
      <c r="B45" s="264" t="s">
        <v>448</v>
      </c>
      <c r="E45" s="270"/>
      <c r="F45" s="264"/>
      <c r="G45" s="106">
        <f t="shared" ref="G45:P45" si="15">IF($A46=3,E52,0)</f>
        <v>0</v>
      </c>
      <c r="H45" s="106">
        <f t="shared" si="15"/>
        <v>0</v>
      </c>
      <c r="I45" s="106">
        <f t="shared" si="15"/>
        <v>0</v>
      </c>
      <c r="J45" s="106">
        <f t="shared" si="15"/>
        <v>0</v>
      </c>
      <c r="K45" s="106">
        <f t="shared" si="15"/>
        <v>0</v>
      </c>
      <c r="L45" s="106">
        <f t="shared" si="15"/>
        <v>0</v>
      </c>
      <c r="M45" s="106">
        <f t="shared" si="15"/>
        <v>0</v>
      </c>
      <c r="N45" s="106">
        <f t="shared" si="15"/>
        <v>0</v>
      </c>
      <c r="O45" s="106">
        <f t="shared" si="15"/>
        <v>0</v>
      </c>
      <c r="P45" s="106">
        <f t="shared" si="15"/>
        <v>0</v>
      </c>
      <c r="Q45" s="48"/>
    </row>
    <row r="46" spans="1:17" hidden="1">
      <c r="A46" s="271">
        <v>1</v>
      </c>
      <c r="B46" s="264" t="s">
        <v>330</v>
      </c>
      <c r="D46" s="48"/>
      <c r="E46" s="270"/>
      <c r="F46" s="264"/>
      <c r="G46" s="264"/>
      <c r="H46" s="106">
        <f t="shared" ref="H46:P46" si="16">IF($A46=4,E52,0)</f>
        <v>0</v>
      </c>
      <c r="I46" s="106">
        <f t="shared" si="16"/>
        <v>0</v>
      </c>
      <c r="J46" s="106">
        <f t="shared" si="16"/>
        <v>0</v>
      </c>
      <c r="K46" s="106">
        <f t="shared" si="16"/>
        <v>0</v>
      </c>
      <c r="L46" s="106">
        <f t="shared" si="16"/>
        <v>0</v>
      </c>
      <c r="M46" s="106">
        <f t="shared" si="16"/>
        <v>0</v>
      </c>
      <c r="N46" s="106">
        <f t="shared" si="16"/>
        <v>0</v>
      </c>
      <c r="O46" s="106">
        <f t="shared" si="16"/>
        <v>0</v>
      </c>
      <c r="P46" s="106">
        <f t="shared" si="16"/>
        <v>0</v>
      </c>
      <c r="Q46" s="48"/>
    </row>
    <row r="47" spans="1:17" hidden="1">
      <c r="D47" s="271"/>
      <c r="E47" s="272">
        <f t="shared" ref="E47:P47" si="17">SUM(E43:E46)</f>
        <v>0</v>
      </c>
      <c r="F47" s="272">
        <f t="shared" si="17"/>
        <v>0</v>
      </c>
      <c r="G47" s="272">
        <f t="shared" si="17"/>
        <v>0</v>
      </c>
      <c r="H47" s="272">
        <f t="shared" si="17"/>
        <v>0</v>
      </c>
      <c r="I47" s="272">
        <f t="shared" si="17"/>
        <v>0</v>
      </c>
      <c r="J47" s="272">
        <f t="shared" si="17"/>
        <v>0</v>
      </c>
      <c r="K47" s="272">
        <f t="shared" si="17"/>
        <v>0</v>
      </c>
      <c r="L47" s="272">
        <f t="shared" si="17"/>
        <v>0</v>
      </c>
      <c r="M47" s="272">
        <f t="shared" si="17"/>
        <v>0</v>
      </c>
      <c r="N47" s="272">
        <f t="shared" si="17"/>
        <v>0</v>
      </c>
      <c r="O47" s="272">
        <f t="shared" si="17"/>
        <v>0</v>
      </c>
      <c r="P47" s="272">
        <f t="shared" si="17"/>
        <v>0</v>
      </c>
      <c r="Q47" s="77"/>
    </row>
    <row r="48" spans="1:17" ht="13.5" thickBot="1">
      <c r="D48" s="271"/>
      <c r="E48" s="270"/>
      <c r="F48" s="264"/>
      <c r="G48" s="264"/>
      <c r="H48" s="106"/>
      <c r="I48" s="106"/>
      <c r="J48" s="106"/>
      <c r="K48" s="106"/>
      <c r="L48" s="106"/>
      <c r="M48" s="106"/>
      <c r="N48" s="106"/>
      <c r="O48" s="106"/>
      <c r="P48" s="106"/>
      <c r="Q48" s="264"/>
    </row>
    <row r="49" spans="1:17" ht="13.5" thickBot="1">
      <c r="C49" s="48" t="str">
        <f>IF(RG!$A$78=5,"Suppléments et minéraux ",IF(RG!$A$78=6,"Coût des matériaux","Coût des marchandises"))</f>
        <v>Coût des marchandises</v>
      </c>
      <c r="D49" s="907">
        <v>0</v>
      </c>
      <c r="E49" s="48"/>
      <c r="F49" s="48"/>
      <c r="G49" s="48"/>
      <c r="H49" s="48"/>
      <c r="I49" s="48"/>
      <c r="J49" s="48"/>
      <c r="K49" s="48"/>
      <c r="L49" s="48"/>
      <c r="M49" s="48"/>
      <c r="N49" s="48"/>
      <c r="O49" s="48"/>
      <c r="P49" s="48"/>
      <c r="Q49" s="48"/>
    </row>
    <row r="50" spans="1:17" ht="13.5" thickBot="1">
      <c r="C50" s="48" t="s">
        <v>450</v>
      </c>
      <c r="E50" s="388">
        <f>'V1'!G51</f>
        <v>1500</v>
      </c>
      <c r="F50" s="388">
        <f>'V1'!H51</f>
        <v>1575</v>
      </c>
      <c r="G50" s="388">
        <f>'V1'!I51</f>
        <v>1650</v>
      </c>
      <c r="H50" s="388">
        <f>'V1'!J51</f>
        <v>1725</v>
      </c>
      <c r="I50" s="388">
        <f>'V1'!K51</f>
        <v>1800</v>
      </c>
      <c r="J50" s="388">
        <f>'V1'!L51</f>
        <v>1875</v>
      </c>
      <c r="K50" s="388">
        <f>'V1'!M51</f>
        <v>1950</v>
      </c>
      <c r="L50" s="388">
        <f>'V1'!N51</f>
        <v>2025</v>
      </c>
      <c r="M50" s="388">
        <f>'V1'!O51</f>
        <v>2100</v>
      </c>
      <c r="N50" s="388">
        <f>'V1'!P51</f>
        <v>2175</v>
      </c>
      <c r="O50" s="388">
        <f>'V1'!Q51</f>
        <v>2250</v>
      </c>
      <c r="P50" s="388">
        <f>'V1'!R51</f>
        <v>2325</v>
      </c>
      <c r="Q50" s="76">
        <f>SUM(E50:P50)</f>
        <v>22950</v>
      </c>
    </row>
    <row r="51" spans="1:17" ht="13.5" thickBot="1">
      <c r="C51" s="48" t="s">
        <v>14</v>
      </c>
      <c r="D51" s="266"/>
      <c r="E51" s="908"/>
      <c r="F51" s="908"/>
      <c r="G51" s="908"/>
      <c r="H51" s="908"/>
      <c r="I51" s="908"/>
      <c r="J51" s="908"/>
      <c r="K51" s="908"/>
      <c r="L51" s="908"/>
      <c r="M51" s="908"/>
      <c r="N51" s="908"/>
      <c r="O51" s="908"/>
      <c r="P51" s="908"/>
      <c r="Q51" s="76">
        <f>SUM(E51:P51)</f>
        <v>0</v>
      </c>
    </row>
    <row r="52" spans="1:17" ht="13.5" thickBot="1">
      <c r="C52" s="48" t="s">
        <v>449</v>
      </c>
      <c r="E52" s="394">
        <f>(E50*$D49)+E51</f>
        <v>0</v>
      </c>
      <c r="F52" s="394">
        <f t="shared" ref="F52" si="18">(F50*$D49)+F51</f>
        <v>0</v>
      </c>
      <c r="G52" s="394">
        <f t="shared" ref="G52" si="19">(G50*$D49)+G51</f>
        <v>0</v>
      </c>
      <c r="H52" s="394">
        <f t="shared" ref="H52" si="20">(H50*$D49)+H51</f>
        <v>0</v>
      </c>
      <c r="I52" s="394">
        <f t="shared" ref="I52" si="21">(I50*$D49)+I51</f>
        <v>0</v>
      </c>
      <c r="J52" s="394">
        <f t="shared" ref="J52" si="22">(J50*$D49)+J51</f>
        <v>0</v>
      </c>
      <c r="K52" s="394">
        <f t="shared" ref="K52" si="23">(K50*$D49)+K51</f>
        <v>0</v>
      </c>
      <c r="L52" s="394">
        <f t="shared" ref="L52" si="24">(L50*$D49)+L51</f>
        <v>0</v>
      </c>
      <c r="M52" s="394">
        <f t="shared" ref="M52" si="25">(M50*$D49)+M51</f>
        <v>0</v>
      </c>
      <c r="N52" s="394">
        <f t="shared" ref="N52" si="26">(N50*$D49)+N51</f>
        <v>0</v>
      </c>
      <c r="O52" s="394">
        <f t="shared" ref="O52" si="27">(O50*$D49)+O51</f>
        <v>0</v>
      </c>
      <c r="P52" s="394">
        <f t="shared" ref="P52" si="28">(P50*$D49)+P51</f>
        <v>0</v>
      </c>
      <c r="Q52" s="76">
        <f>SUM(E52:P52)</f>
        <v>0</v>
      </c>
    </row>
    <row r="53" spans="1:17" hidden="1">
      <c r="E53" s="77"/>
      <c r="F53" s="77"/>
      <c r="G53" s="77"/>
      <c r="H53" s="77"/>
      <c r="I53" s="77"/>
      <c r="J53" s="77"/>
      <c r="K53" s="77"/>
      <c r="L53" s="77"/>
      <c r="M53" s="77"/>
      <c r="N53" s="77"/>
      <c r="O53" s="77"/>
      <c r="P53" s="77"/>
      <c r="Q53" s="77"/>
    </row>
    <row r="54" spans="1:17" ht="13.5" thickBot="1">
      <c r="E54" s="77"/>
      <c r="F54" s="77"/>
      <c r="G54" s="77"/>
      <c r="H54" s="77"/>
      <c r="I54" s="77"/>
      <c r="J54" s="77"/>
      <c r="K54" s="77"/>
      <c r="L54" s="77"/>
      <c r="M54" s="77"/>
      <c r="N54" s="77"/>
      <c r="O54" s="77"/>
      <c r="P54" s="77"/>
      <c r="Q54" s="77"/>
    </row>
    <row r="55" spans="1:17" ht="16.5" customHeight="1" thickBot="1">
      <c r="C55" s="1071" t="str">
        <f>IF(RG!$A$78=5,"Achats de fourrage",'V1'!A54)</f>
        <v>Produit/service 4</v>
      </c>
      <c r="D55" s="910"/>
      <c r="E55" s="1181" t="str">
        <f>C55</f>
        <v>Produit/service 4</v>
      </c>
      <c r="F55" s="1182"/>
      <c r="G55" s="1182"/>
      <c r="H55" s="1182"/>
      <c r="I55" s="1182"/>
      <c r="J55" s="1182"/>
      <c r="K55" s="1182"/>
      <c r="L55" s="1182"/>
      <c r="M55" s="1182"/>
      <c r="N55" s="1182"/>
      <c r="O55" s="1182"/>
      <c r="P55" s="1182"/>
      <c r="Q55" s="1182"/>
    </row>
    <row r="56" spans="1:17" ht="16.5" hidden="1" customHeight="1">
      <c r="B56" s="265" t="s">
        <v>328</v>
      </c>
      <c r="E56" s="106">
        <f t="shared" ref="E56:P56" si="29">IF($A59=1,E65,0)</f>
        <v>0</v>
      </c>
      <c r="F56" s="106">
        <f t="shared" si="29"/>
        <v>0</v>
      </c>
      <c r="G56" s="106">
        <f t="shared" si="29"/>
        <v>0</v>
      </c>
      <c r="H56" s="106">
        <f t="shared" si="29"/>
        <v>0</v>
      </c>
      <c r="I56" s="106">
        <f t="shared" si="29"/>
        <v>0</v>
      </c>
      <c r="J56" s="106">
        <f t="shared" si="29"/>
        <v>0</v>
      </c>
      <c r="K56" s="106">
        <f t="shared" si="29"/>
        <v>0</v>
      </c>
      <c r="L56" s="106">
        <f t="shared" si="29"/>
        <v>0</v>
      </c>
      <c r="M56" s="106">
        <f t="shared" si="29"/>
        <v>0</v>
      </c>
      <c r="N56" s="106">
        <f t="shared" si="29"/>
        <v>0</v>
      </c>
      <c r="O56" s="106">
        <f t="shared" si="29"/>
        <v>0</v>
      </c>
      <c r="P56" s="106">
        <f t="shared" si="29"/>
        <v>0</v>
      </c>
      <c r="Q56" s="48"/>
    </row>
    <row r="57" spans="1:17" hidden="1">
      <c r="B57" s="264" t="s">
        <v>329</v>
      </c>
      <c r="E57" s="270"/>
      <c r="F57" s="106">
        <f t="shared" ref="F57:P57" si="30">IF($A59=2,E65,0)</f>
        <v>0</v>
      </c>
      <c r="G57" s="106">
        <f t="shared" si="30"/>
        <v>0</v>
      </c>
      <c r="H57" s="106">
        <f t="shared" si="30"/>
        <v>0</v>
      </c>
      <c r="I57" s="106">
        <f t="shared" si="30"/>
        <v>0</v>
      </c>
      <c r="J57" s="106">
        <f t="shared" si="30"/>
        <v>0</v>
      </c>
      <c r="K57" s="106">
        <f t="shared" si="30"/>
        <v>0</v>
      </c>
      <c r="L57" s="106">
        <f t="shared" si="30"/>
        <v>0</v>
      </c>
      <c r="M57" s="106">
        <f t="shared" si="30"/>
        <v>0</v>
      </c>
      <c r="N57" s="106">
        <f t="shared" si="30"/>
        <v>0</v>
      </c>
      <c r="O57" s="106">
        <f t="shared" si="30"/>
        <v>0</v>
      </c>
      <c r="P57" s="106">
        <f t="shared" si="30"/>
        <v>0</v>
      </c>
      <c r="Q57" s="48"/>
    </row>
    <row r="58" spans="1:17" hidden="1">
      <c r="B58" s="264" t="s">
        <v>448</v>
      </c>
      <c r="E58" s="270"/>
      <c r="F58" s="264"/>
      <c r="G58" s="106">
        <f t="shared" ref="G58:P58" si="31">IF($A59=3,E65,0)</f>
        <v>0</v>
      </c>
      <c r="H58" s="106">
        <f t="shared" si="31"/>
        <v>0</v>
      </c>
      <c r="I58" s="106">
        <f t="shared" si="31"/>
        <v>0</v>
      </c>
      <c r="J58" s="106">
        <f t="shared" si="31"/>
        <v>0</v>
      </c>
      <c r="K58" s="106">
        <f t="shared" si="31"/>
        <v>0</v>
      </c>
      <c r="L58" s="106">
        <f t="shared" si="31"/>
        <v>0</v>
      </c>
      <c r="M58" s="106">
        <f t="shared" si="31"/>
        <v>0</v>
      </c>
      <c r="N58" s="106">
        <f t="shared" si="31"/>
        <v>0</v>
      </c>
      <c r="O58" s="106">
        <f t="shared" si="31"/>
        <v>0</v>
      </c>
      <c r="P58" s="106">
        <f t="shared" si="31"/>
        <v>0</v>
      </c>
      <c r="Q58" s="48"/>
    </row>
    <row r="59" spans="1:17" hidden="1">
      <c r="A59" s="271">
        <v>1</v>
      </c>
      <c r="B59" s="264" t="s">
        <v>330</v>
      </c>
      <c r="D59" s="48"/>
      <c r="E59" s="270"/>
      <c r="F59" s="264"/>
      <c r="G59" s="264"/>
      <c r="H59" s="106">
        <f t="shared" ref="H59:P59" si="32">IF($A59=4,E65,0)</f>
        <v>0</v>
      </c>
      <c r="I59" s="106">
        <f t="shared" si="32"/>
        <v>0</v>
      </c>
      <c r="J59" s="106">
        <f t="shared" si="32"/>
        <v>0</v>
      </c>
      <c r="K59" s="106">
        <f t="shared" si="32"/>
        <v>0</v>
      </c>
      <c r="L59" s="106">
        <f t="shared" si="32"/>
        <v>0</v>
      </c>
      <c r="M59" s="106">
        <f t="shared" si="32"/>
        <v>0</v>
      </c>
      <c r="N59" s="106">
        <f t="shared" si="32"/>
        <v>0</v>
      </c>
      <c r="O59" s="106">
        <f t="shared" si="32"/>
        <v>0</v>
      </c>
      <c r="P59" s="106">
        <f t="shared" si="32"/>
        <v>0</v>
      </c>
      <c r="Q59" s="48"/>
    </row>
    <row r="60" spans="1:17" hidden="1">
      <c r="D60" s="271"/>
      <c r="E60" s="272">
        <f t="shared" ref="E60:P60" si="33">SUM(E56:E59)</f>
        <v>0</v>
      </c>
      <c r="F60" s="272">
        <f t="shared" si="33"/>
        <v>0</v>
      </c>
      <c r="G60" s="272">
        <f t="shared" si="33"/>
        <v>0</v>
      </c>
      <c r="H60" s="272">
        <f t="shared" si="33"/>
        <v>0</v>
      </c>
      <c r="I60" s="272">
        <f t="shared" si="33"/>
        <v>0</v>
      </c>
      <c r="J60" s="272">
        <f t="shared" si="33"/>
        <v>0</v>
      </c>
      <c r="K60" s="272">
        <f t="shared" si="33"/>
        <v>0</v>
      </c>
      <c r="L60" s="272">
        <f t="shared" si="33"/>
        <v>0</v>
      </c>
      <c r="M60" s="272">
        <f t="shared" si="33"/>
        <v>0</v>
      </c>
      <c r="N60" s="272">
        <f t="shared" si="33"/>
        <v>0</v>
      </c>
      <c r="O60" s="272">
        <f t="shared" si="33"/>
        <v>0</v>
      </c>
      <c r="P60" s="272">
        <f t="shared" si="33"/>
        <v>0</v>
      </c>
      <c r="Q60" s="265"/>
    </row>
    <row r="61" spans="1:17" ht="13.5" thickBot="1">
      <c r="D61" s="271"/>
      <c r="E61" s="270"/>
      <c r="F61" s="264"/>
      <c r="G61" s="264"/>
      <c r="H61" s="106"/>
      <c r="I61" s="106"/>
      <c r="J61" s="106"/>
      <c r="K61" s="106"/>
      <c r="L61" s="106"/>
      <c r="M61" s="106"/>
      <c r="N61" s="106"/>
      <c r="O61" s="106"/>
      <c r="P61" s="106"/>
      <c r="Q61" s="264"/>
    </row>
    <row r="62" spans="1:17" ht="13.5" thickBot="1">
      <c r="C62" s="48" t="str">
        <f>IF(RG!$A$78=5,"Fourrage ",IF(RG!$A$78=6,"Coût des matériaux","Coût des marchandises"))</f>
        <v>Coût des marchandises</v>
      </c>
      <c r="D62" s="907">
        <v>0</v>
      </c>
      <c r="E62" s="48"/>
      <c r="F62" s="48"/>
      <c r="G62" s="48"/>
      <c r="H62" s="48"/>
      <c r="I62" s="48"/>
      <c r="J62" s="48"/>
      <c r="K62" s="48"/>
      <c r="L62" s="48"/>
      <c r="M62" s="48"/>
      <c r="N62" s="48"/>
      <c r="O62" s="48"/>
      <c r="P62" s="48"/>
      <c r="Q62" s="48"/>
    </row>
    <row r="63" spans="1:17" ht="13.5" thickBot="1">
      <c r="C63" s="48" t="s">
        <v>450</v>
      </c>
      <c r="D63" s="266"/>
      <c r="E63" s="388">
        <f>'V1'!G64</f>
        <v>0</v>
      </c>
      <c r="F63" s="388">
        <f>'V1'!H64</f>
        <v>0</v>
      </c>
      <c r="G63" s="388">
        <f>'V1'!I64</f>
        <v>0</v>
      </c>
      <c r="H63" s="388">
        <f>'V1'!J64</f>
        <v>0</v>
      </c>
      <c r="I63" s="388">
        <f>'V1'!K64</f>
        <v>0</v>
      </c>
      <c r="J63" s="388">
        <f>'V1'!L64</f>
        <v>0</v>
      </c>
      <c r="K63" s="388">
        <f>'V1'!M64</f>
        <v>0</v>
      </c>
      <c r="L63" s="388">
        <f>'V1'!N64</f>
        <v>0</v>
      </c>
      <c r="M63" s="388">
        <f>'V1'!O64</f>
        <v>0</v>
      </c>
      <c r="N63" s="388">
        <f>'V1'!P64</f>
        <v>0</v>
      </c>
      <c r="O63" s="388">
        <f>'V1'!Q64</f>
        <v>0</v>
      </c>
      <c r="P63" s="388">
        <f>'V1'!R64</f>
        <v>0</v>
      </c>
      <c r="Q63" s="76">
        <f>SUM(E63:P63)</f>
        <v>0</v>
      </c>
    </row>
    <row r="64" spans="1:17" ht="13.5" thickBot="1">
      <c r="C64" s="48" t="s">
        <v>14</v>
      </c>
      <c r="D64" s="266"/>
      <c r="E64" s="390"/>
      <c r="F64" s="390"/>
      <c r="G64" s="390"/>
      <c r="H64" s="390"/>
      <c r="I64" s="390"/>
      <c r="J64" s="390"/>
      <c r="K64" s="390"/>
      <c r="L64" s="390"/>
      <c r="M64" s="390"/>
      <c r="N64" s="390"/>
      <c r="O64" s="390"/>
      <c r="P64" s="390"/>
      <c r="Q64" s="76">
        <f>SUM(E64:P64)</f>
        <v>0</v>
      </c>
    </row>
    <row r="65" spans="1:17" ht="13.5" thickBot="1">
      <c r="C65" s="48" t="s">
        <v>449</v>
      </c>
      <c r="D65" s="266"/>
      <c r="E65" s="394">
        <f>(E63*$D62)+E64</f>
        <v>0</v>
      </c>
      <c r="F65" s="394">
        <f t="shared" ref="F65" si="34">(F63*$D62)+F64</f>
        <v>0</v>
      </c>
      <c r="G65" s="394">
        <f t="shared" ref="G65" si="35">(G63*$D62)+G64</f>
        <v>0</v>
      </c>
      <c r="H65" s="394">
        <f t="shared" ref="H65" si="36">(H63*$D62)+H64</f>
        <v>0</v>
      </c>
      <c r="I65" s="394">
        <f t="shared" ref="I65" si="37">(I63*$D62)+I64</f>
        <v>0</v>
      </c>
      <c r="J65" s="394">
        <f t="shared" ref="J65" si="38">(J63*$D62)+J64</f>
        <v>0</v>
      </c>
      <c r="K65" s="394">
        <f t="shared" ref="K65" si="39">(K63*$D62)+K64</f>
        <v>0</v>
      </c>
      <c r="L65" s="394">
        <f t="shared" ref="L65" si="40">(L63*$D62)+L64</f>
        <v>0</v>
      </c>
      <c r="M65" s="394">
        <f t="shared" ref="M65" si="41">(M63*$D62)+M64</f>
        <v>0</v>
      </c>
      <c r="N65" s="394">
        <f t="shared" ref="N65" si="42">(N63*$D62)+N64</f>
        <v>0</v>
      </c>
      <c r="O65" s="394">
        <f t="shared" ref="O65" si="43">(O63*$D62)+O64</f>
        <v>0</v>
      </c>
      <c r="P65" s="394">
        <f t="shared" ref="P65" si="44">(P63*$D62)+P64</f>
        <v>0</v>
      </c>
      <c r="Q65" s="76">
        <f>SUM(E65:P65)</f>
        <v>0</v>
      </c>
    </row>
    <row r="66" spans="1:17" hidden="1">
      <c r="D66" s="266"/>
      <c r="E66" s="77"/>
      <c r="F66" s="77"/>
      <c r="G66" s="77"/>
      <c r="H66" s="77"/>
      <c r="I66" s="77"/>
      <c r="J66" s="77"/>
      <c r="K66" s="77"/>
      <c r="L66" s="77"/>
      <c r="M66" s="77"/>
      <c r="N66" s="77"/>
      <c r="O66" s="77"/>
      <c r="P66" s="77"/>
      <c r="Q66" s="77"/>
    </row>
    <row r="67" spans="1:17" ht="13.5" thickBot="1">
      <c r="D67" s="266"/>
      <c r="E67" s="77"/>
      <c r="F67" s="77"/>
      <c r="G67" s="77"/>
      <c r="H67" s="77"/>
      <c r="I67" s="77"/>
      <c r="J67" s="77"/>
      <c r="K67" s="77"/>
      <c r="L67" s="77"/>
      <c r="M67" s="77"/>
      <c r="N67" s="77"/>
      <c r="O67" s="77"/>
      <c r="P67" s="77"/>
      <c r="Q67" s="77"/>
    </row>
    <row r="68" spans="1:17" ht="16.5" customHeight="1" thickBot="1">
      <c r="C68" s="1071" t="str">
        <f>IF(RG!$A$78=5,"Achats de litière",'V1'!A67)</f>
        <v>Produit/service 5</v>
      </c>
      <c r="D68" s="910"/>
      <c r="E68" s="1181" t="str">
        <f>C68</f>
        <v>Produit/service 5</v>
      </c>
      <c r="F68" s="1182"/>
      <c r="G68" s="1182"/>
      <c r="H68" s="1182"/>
      <c r="I68" s="1182"/>
      <c r="J68" s="1182"/>
      <c r="K68" s="1182"/>
      <c r="L68" s="1182"/>
      <c r="M68" s="1182"/>
      <c r="N68" s="1182"/>
      <c r="O68" s="1182"/>
      <c r="P68" s="1182"/>
      <c r="Q68" s="1182"/>
    </row>
    <row r="69" spans="1:17" ht="16.5" hidden="1" customHeight="1">
      <c r="B69" s="265" t="s">
        <v>328</v>
      </c>
      <c r="E69" s="106">
        <f t="shared" ref="E69:P69" si="45">IF($A72=1,E78,0)</f>
        <v>0</v>
      </c>
      <c r="F69" s="106">
        <f t="shared" si="45"/>
        <v>0</v>
      </c>
      <c r="G69" s="106">
        <f t="shared" si="45"/>
        <v>0</v>
      </c>
      <c r="H69" s="106">
        <f t="shared" si="45"/>
        <v>0</v>
      </c>
      <c r="I69" s="106">
        <f t="shared" si="45"/>
        <v>0</v>
      </c>
      <c r="J69" s="106">
        <f t="shared" si="45"/>
        <v>0</v>
      </c>
      <c r="K69" s="106">
        <f t="shared" si="45"/>
        <v>0</v>
      </c>
      <c r="L69" s="106">
        <f t="shared" si="45"/>
        <v>0</v>
      </c>
      <c r="M69" s="106">
        <f t="shared" si="45"/>
        <v>0</v>
      </c>
      <c r="N69" s="106">
        <f t="shared" si="45"/>
        <v>0</v>
      </c>
      <c r="O69" s="106">
        <f t="shared" si="45"/>
        <v>0</v>
      </c>
      <c r="P69" s="106">
        <f t="shared" si="45"/>
        <v>0</v>
      </c>
      <c r="Q69" s="48"/>
    </row>
    <row r="70" spans="1:17" hidden="1">
      <c r="B70" s="264" t="s">
        <v>329</v>
      </c>
      <c r="E70" s="270"/>
      <c r="F70" s="106">
        <f t="shared" ref="F70:P70" si="46">IF($A72=2,E78,0)</f>
        <v>0</v>
      </c>
      <c r="G70" s="106">
        <f t="shared" si="46"/>
        <v>0</v>
      </c>
      <c r="H70" s="106">
        <f t="shared" si="46"/>
        <v>0</v>
      </c>
      <c r="I70" s="106">
        <f t="shared" si="46"/>
        <v>0</v>
      </c>
      <c r="J70" s="106">
        <f t="shared" si="46"/>
        <v>0</v>
      </c>
      <c r="K70" s="106">
        <f t="shared" si="46"/>
        <v>0</v>
      </c>
      <c r="L70" s="106">
        <f t="shared" si="46"/>
        <v>0</v>
      </c>
      <c r="M70" s="106">
        <f t="shared" si="46"/>
        <v>0</v>
      </c>
      <c r="N70" s="106">
        <f t="shared" si="46"/>
        <v>0</v>
      </c>
      <c r="O70" s="106">
        <f t="shared" si="46"/>
        <v>0</v>
      </c>
      <c r="P70" s="106">
        <f t="shared" si="46"/>
        <v>0</v>
      </c>
      <c r="Q70" s="48"/>
    </row>
    <row r="71" spans="1:17" hidden="1">
      <c r="B71" s="264" t="s">
        <v>448</v>
      </c>
      <c r="E71" s="270"/>
      <c r="F71" s="264"/>
      <c r="G71" s="106">
        <f t="shared" ref="G71:P71" si="47">IF($A72=3,E78,0)</f>
        <v>0</v>
      </c>
      <c r="H71" s="106">
        <f t="shared" si="47"/>
        <v>0</v>
      </c>
      <c r="I71" s="106">
        <f t="shared" si="47"/>
        <v>0</v>
      </c>
      <c r="J71" s="106">
        <f t="shared" si="47"/>
        <v>0</v>
      </c>
      <c r="K71" s="106">
        <f t="shared" si="47"/>
        <v>0</v>
      </c>
      <c r="L71" s="106">
        <f t="shared" si="47"/>
        <v>0</v>
      </c>
      <c r="M71" s="106">
        <f t="shared" si="47"/>
        <v>0</v>
      </c>
      <c r="N71" s="106">
        <f t="shared" si="47"/>
        <v>0</v>
      </c>
      <c r="O71" s="106">
        <f t="shared" si="47"/>
        <v>0</v>
      </c>
      <c r="P71" s="106">
        <f t="shared" si="47"/>
        <v>0</v>
      </c>
      <c r="Q71" s="48"/>
    </row>
    <row r="72" spans="1:17" hidden="1">
      <c r="A72" s="271">
        <v>1</v>
      </c>
      <c r="B72" s="264" t="s">
        <v>330</v>
      </c>
      <c r="D72" s="48"/>
      <c r="E72" s="270"/>
      <c r="F72" s="264"/>
      <c r="G72" s="264"/>
      <c r="H72" s="106">
        <f t="shared" ref="H72:P72" si="48">IF($A72=4,E78,0)</f>
        <v>0</v>
      </c>
      <c r="I72" s="106">
        <f t="shared" si="48"/>
        <v>0</v>
      </c>
      <c r="J72" s="106">
        <f t="shared" si="48"/>
        <v>0</v>
      </c>
      <c r="K72" s="106">
        <f t="shared" si="48"/>
        <v>0</v>
      </c>
      <c r="L72" s="106">
        <f t="shared" si="48"/>
        <v>0</v>
      </c>
      <c r="M72" s="106">
        <f t="shared" si="48"/>
        <v>0</v>
      </c>
      <c r="N72" s="106">
        <f t="shared" si="48"/>
        <v>0</v>
      </c>
      <c r="O72" s="106">
        <f t="shared" si="48"/>
        <v>0</v>
      </c>
      <c r="P72" s="106">
        <f t="shared" si="48"/>
        <v>0</v>
      </c>
      <c r="Q72" s="48"/>
    </row>
    <row r="73" spans="1:17" hidden="1">
      <c r="D73" s="271"/>
      <c r="E73" s="272">
        <f t="shared" ref="E73:P73" si="49">SUM(E69:E72)</f>
        <v>0</v>
      </c>
      <c r="F73" s="272">
        <f t="shared" si="49"/>
        <v>0</v>
      </c>
      <c r="G73" s="272">
        <f t="shared" si="49"/>
        <v>0</v>
      </c>
      <c r="H73" s="272">
        <f t="shared" si="49"/>
        <v>0</v>
      </c>
      <c r="I73" s="272">
        <f t="shared" si="49"/>
        <v>0</v>
      </c>
      <c r="J73" s="272">
        <f t="shared" si="49"/>
        <v>0</v>
      </c>
      <c r="K73" s="272">
        <f t="shared" si="49"/>
        <v>0</v>
      </c>
      <c r="L73" s="272">
        <f t="shared" si="49"/>
        <v>0</v>
      </c>
      <c r="M73" s="272">
        <f t="shared" si="49"/>
        <v>0</v>
      </c>
      <c r="N73" s="272">
        <f t="shared" si="49"/>
        <v>0</v>
      </c>
      <c r="O73" s="272">
        <f t="shared" si="49"/>
        <v>0</v>
      </c>
      <c r="P73" s="272">
        <f t="shared" si="49"/>
        <v>0</v>
      </c>
      <c r="Q73" s="77"/>
    </row>
    <row r="74" spans="1:17" ht="13.5" thickBot="1">
      <c r="D74" s="271"/>
      <c r="E74" s="270"/>
      <c r="F74" s="264"/>
      <c r="G74" s="264"/>
      <c r="H74" s="106"/>
      <c r="I74" s="106"/>
      <c r="J74" s="106"/>
      <c r="K74" s="106"/>
      <c r="L74" s="106"/>
      <c r="M74" s="106"/>
      <c r="N74" s="106"/>
      <c r="O74" s="106"/>
      <c r="P74" s="106"/>
      <c r="Q74" s="264"/>
    </row>
    <row r="75" spans="1:17" ht="13.5" thickBot="1">
      <c r="C75" s="48" t="str">
        <f>IF(RG!$A$78=5,"Litière ",IF(RG!$A$78=6,"Coût des matériaux","Coût des marchandises"))</f>
        <v>Coût des marchandises</v>
      </c>
      <c r="D75" s="907">
        <v>0</v>
      </c>
      <c r="E75" s="48"/>
      <c r="F75" s="48"/>
      <c r="G75" s="48"/>
      <c r="H75" s="48"/>
      <c r="I75" s="48"/>
      <c r="J75" s="48"/>
      <c r="K75" s="48"/>
      <c r="L75" s="48"/>
      <c r="M75" s="48"/>
      <c r="N75" s="48"/>
      <c r="O75" s="48"/>
      <c r="P75" s="48"/>
      <c r="Q75" s="48"/>
    </row>
    <row r="76" spans="1:17" ht="13.5" thickBot="1">
      <c r="C76" s="48" t="s">
        <v>450</v>
      </c>
      <c r="D76" s="266"/>
      <c r="E76" s="388">
        <f>'V1'!G77</f>
        <v>0</v>
      </c>
      <c r="F76" s="388">
        <f>'V1'!H77</f>
        <v>0</v>
      </c>
      <c r="G76" s="388">
        <f>'V1'!I77</f>
        <v>0</v>
      </c>
      <c r="H76" s="388">
        <f>'V1'!J77</f>
        <v>0</v>
      </c>
      <c r="I76" s="388">
        <f>'V1'!K77</f>
        <v>0</v>
      </c>
      <c r="J76" s="388">
        <f>'V1'!L77</f>
        <v>0</v>
      </c>
      <c r="K76" s="388">
        <f>'V1'!M77</f>
        <v>0</v>
      </c>
      <c r="L76" s="388">
        <f>'V1'!N77</f>
        <v>0</v>
      </c>
      <c r="M76" s="388">
        <f>'V1'!O77</f>
        <v>0</v>
      </c>
      <c r="N76" s="388">
        <f>'V1'!P77</f>
        <v>0</v>
      </c>
      <c r="O76" s="388">
        <f>'V1'!Q77</f>
        <v>0</v>
      </c>
      <c r="P76" s="388">
        <f>'V1'!R77</f>
        <v>0</v>
      </c>
      <c r="Q76" s="76">
        <f>SUM(E76:P76)</f>
        <v>0</v>
      </c>
    </row>
    <row r="77" spans="1:17" ht="13.5" thickBot="1">
      <c r="C77" s="48" t="s">
        <v>14</v>
      </c>
      <c r="D77" s="266"/>
      <c r="E77" s="908"/>
      <c r="F77" s="908"/>
      <c r="G77" s="908"/>
      <c r="H77" s="908"/>
      <c r="I77" s="908"/>
      <c r="J77" s="908"/>
      <c r="K77" s="908"/>
      <c r="L77" s="908"/>
      <c r="M77" s="908"/>
      <c r="N77" s="908"/>
      <c r="O77" s="908"/>
      <c r="P77" s="908"/>
      <c r="Q77" s="76">
        <f>SUM(E77:P77)</f>
        <v>0</v>
      </c>
    </row>
    <row r="78" spans="1:17" ht="13.5" thickBot="1">
      <c r="C78" s="48" t="s">
        <v>449</v>
      </c>
      <c r="D78" s="266"/>
      <c r="E78" s="394">
        <f>(E76*$D75)+E77</f>
        <v>0</v>
      </c>
      <c r="F78" s="394">
        <f t="shared" ref="F78" si="50">(F76*$D75)+F77</f>
        <v>0</v>
      </c>
      <c r="G78" s="394">
        <f t="shared" ref="G78" si="51">(G76*$D75)+G77</f>
        <v>0</v>
      </c>
      <c r="H78" s="394">
        <f t="shared" ref="H78" si="52">(H76*$D75)+H77</f>
        <v>0</v>
      </c>
      <c r="I78" s="394">
        <f t="shared" ref="I78" si="53">(I76*$D75)+I77</f>
        <v>0</v>
      </c>
      <c r="J78" s="394">
        <f t="shared" ref="J78" si="54">(J76*$D75)+J77</f>
        <v>0</v>
      </c>
      <c r="K78" s="394">
        <f t="shared" ref="K78" si="55">(K76*$D75)+K77</f>
        <v>0</v>
      </c>
      <c r="L78" s="394">
        <f t="shared" ref="L78" si="56">(L76*$D75)+L77</f>
        <v>0</v>
      </c>
      <c r="M78" s="394">
        <f t="shared" ref="M78" si="57">(M76*$D75)+M77</f>
        <v>0</v>
      </c>
      <c r="N78" s="394">
        <f t="shared" ref="N78" si="58">(N76*$D75)+N77</f>
        <v>0</v>
      </c>
      <c r="O78" s="394">
        <f t="shared" ref="O78" si="59">(O76*$D75)+O77</f>
        <v>0</v>
      </c>
      <c r="P78" s="394">
        <f t="shared" ref="P78" si="60">(P76*$D75)+P77</f>
        <v>0</v>
      </c>
      <c r="Q78" s="76">
        <f>SUM(E78:P78)</f>
        <v>0</v>
      </c>
    </row>
    <row r="79" spans="1:17" hidden="1">
      <c r="D79" s="266"/>
      <c r="E79" s="77"/>
      <c r="F79" s="77"/>
      <c r="G79" s="77"/>
      <c r="H79" s="77"/>
      <c r="I79" s="77"/>
      <c r="J79" s="77"/>
      <c r="K79" s="77"/>
      <c r="L79" s="77"/>
      <c r="M79" s="77"/>
      <c r="N79" s="77"/>
      <c r="O79" s="77"/>
      <c r="P79" s="77"/>
      <c r="Q79" s="77"/>
    </row>
    <row r="80" spans="1:17" ht="13.5" thickBot="1">
      <c r="D80" s="266"/>
      <c r="E80" s="77"/>
      <c r="F80" s="77"/>
      <c r="G80" s="77"/>
      <c r="H80" s="77"/>
      <c r="I80" s="77"/>
      <c r="J80" s="77"/>
      <c r="K80" s="77"/>
      <c r="L80" s="77"/>
      <c r="M80" s="77"/>
      <c r="N80" s="77"/>
      <c r="O80" s="77"/>
      <c r="P80" s="77"/>
      <c r="Q80" s="77"/>
    </row>
    <row r="81" spans="1:17" ht="16.5" customHeight="1" thickBot="1">
      <c r="C81" s="1071" t="str">
        <f>IF(RG!$A$78=5,"Achats de semences",'V1'!A80)</f>
        <v>Produit/service 6</v>
      </c>
      <c r="D81" s="910"/>
      <c r="E81" s="1181" t="str">
        <f>C81</f>
        <v>Produit/service 6</v>
      </c>
      <c r="F81" s="1182"/>
      <c r="G81" s="1182"/>
      <c r="H81" s="1182"/>
      <c r="I81" s="1182"/>
      <c r="J81" s="1182"/>
      <c r="K81" s="1182"/>
      <c r="L81" s="1182"/>
      <c r="M81" s="1182"/>
      <c r="N81" s="1182"/>
      <c r="O81" s="1182"/>
      <c r="P81" s="1182"/>
      <c r="Q81" s="1182"/>
    </row>
    <row r="82" spans="1:17" ht="16.5" hidden="1" customHeight="1">
      <c r="B82" s="265" t="s">
        <v>328</v>
      </c>
      <c r="E82" s="106">
        <f t="shared" ref="E82:P82" si="61">IF($A85=1,E91,0)</f>
        <v>0</v>
      </c>
      <c r="F82" s="106">
        <f t="shared" si="61"/>
        <v>0</v>
      </c>
      <c r="G82" s="106">
        <f t="shared" si="61"/>
        <v>0</v>
      </c>
      <c r="H82" s="106">
        <f t="shared" si="61"/>
        <v>0</v>
      </c>
      <c r="I82" s="106">
        <f t="shared" si="61"/>
        <v>0</v>
      </c>
      <c r="J82" s="106">
        <f t="shared" si="61"/>
        <v>0</v>
      </c>
      <c r="K82" s="106">
        <f t="shared" si="61"/>
        <v>0</v>
      </c>
      <c r="L82" s="106">
        <f t="shared" si="61"/>
        <v>0</v>
      </c>
      <c r="M82" s="106">
        <f t="shared" si="61"/>
        <v>0</v>
      </c>
      <c r="N82" s="106">
        <f t="shared" si="61"/>
        <v>0</v>
      </c>
      <c r="O82" s="106">
        <f t="shared" si="61"/>
        <v>0</v>
      </c>
      <c r="P82" s="106">
        <f t="shared" si="61"/>
        <v>0</v>
      </c>
      <c r="Q82" s="48"/>
    </row>
    <row r="83" spans="1:17" hidden="1">
      <c r="B83" s="264" t="s">
        <v>329</v>
      </c>
      <c r="E83" s="270"/>
      <c r="F83" s="106">
        <f t="shared" ref="F83:P83" si="62">IF($A85=2,E91,0)</f>
        <v>0</v>
      </c>
      <c r="G83" s="106">
        <f t="shared" si="62"/>
        <v>0</v>
      </c>
      <c r="H83" s="106">
        <f t="shared" si="62"/>
        <v>0</v>
      </c>
      <c r="I83" s="106">
        <f t="shared" si="62"/>
        <v>0</v>
      </c>
      <c r="J83" s="106">
        <f t="shared" si="62"/>
        <v>0</v>
      </c>
      <c r="K83" s="106">
        <f t="shared" si="62"/>
        <v>0</v>
      </c>
      <c r="L83" s="106">
        <f t="shared" si="62"/>
        <v>0</v>
      </c>
      <c r="M83" s="106">
        <f t="shared" si="62"/>
        <v>0</v>
      </c>
      <c r="N83" s="106">
        <f t="shared" si="62"/>
        <v>0</v>
      </c>
      <c r="O83" s="106">
        <f t="shared" si="62"/>
        <v>0</v>
      </c>
      <c r="P83" s="106">
        <f t="shared" si="62"/>
        <v>0</v>
      </c>
      <c r="Q83" s="48"/>
    </row>
    <row r="84" spans="1:17" hidden="1">
      <c r="B84" s="264" t="s">
        <v>448</v>
      </c>
      <c r="E84" s="270"/>
      <c r="F84" s="264"/>
      <c r="G84" s="106">
        <f t="shared" ref="G84:P84" si="63">IF($A85=3,E91,0)</f>
        <v>0</v>
      </c>
      <c r="H84" s="106">
        <f t="shared" si="63"/>
        <v>0</v>
      </c>
      <c r="I84" s="106">
        <f t="shared" si="63"/>
        <v>0</v>
      </c>
      <c r="J84" s="106">
        <f t="shared" si="63"/>
        <v>0</v>
      </c>
      <c r="K84" s="106">
        <f t="shared" si="63"/>
        <v>0</v>
      </c>
      <c r="L84" s="106">
        <f t="shared" si="63"/>
        <v>0</v>
      </c>
      <c r="M84" s="106">
        <f t="shared" si="63"/>
        <v>0</v>
      </c>
      <c r="N84" s="106">
        <f t="shared" si="63"/>
        <v>0</v>
      </c>
      <c r="O84" s="106">
        <f t="shared" si="63"/>
        <v>0</v>
      </c>
      <c r="P84" s="106">
        <f t="shared" si="63"/>
        <v>0</v>
      </c>
      <c r="Q84" s="48"/>
    </row>
    <row r="85" spans="1:17" hidden="1">
      <c r="A85" s="271">
        <v>1</v>
      </c>
      <c r="B85" s="264" t="s">
        <v>330</v>
      </c>
      <c r="D85" s="48"/>
      <c r="E85" s="270"/>
      <c r="F85" s="264"/>
      <c r="G85" s="264"/>
      <c r="H85" s="106">
        <f t="shared" ref="H85:P85" si="64">IF($A85=4,E91,0)</f>
        <v>0</v>
      </c>
      <c r="I85" s="106">
        <f t="shared" si="64"/>
        <v>0</v>
      </c>
      <c r="J85" s="106">
        <f t="shared" si="64"/>
        <v>0</v>
      </c>
      <c r="K85" s="106">
        <f t="shared" si="64"/>
        <v>0</v>
      </c>
      <c r="L85" s="106">
        <f t="shared" si="64"/>
        <v>0</v>
      </c>
      <c r="M85" s="106">
        <f t="shared" si="64"/>
        <v>0</v>
      </c>
      <c r="N85" s="106">
        <f t="shared" si="64"/>
        <v>0</v>
      </c>
      <c r="O85" s="106">
        <f t="shared" si="64"/>
        <v>0</v>
      </c>
      <c r="P85" s="106">
        <f t="shared" si="64"/>
        <v>0</v>
      </c>
      <c r="Q85" s="48"/>
    </row>
    <row r="86" spans="1:17" hidden="1">
      <c r="D86" s="271"/>
      <c r="E86" s="272">
        <f t="shared" ref="E86:P86" si="65">SUM(E82:E85)</f>
        <v>0</v>
      </c>
      <c r="F86" s="272">
        <f t="shared" si="65"/>
        <v>0</v>
      </c>
      <c r="G86" s="272">
        <f t="shared" si="65"/>
        <v>0</v>
      </c>
      <c r="H86" s="272">
        <f t="shared" si="65"/>
        <v>0</v>
      </c>
      <c r="I86" s="272">
        <f t="shared" si="65"/>
        <v>0</v>
      </c>
      <c r="J86" s="272">
        <f t="shared" si="65"/>
        <v>0</v>
      </c>
      <c r="K86" s="272">
        <f t="shared" si="65"/>
        <v>0</v>
      </c>
      <c r="L86" s="272">
        <f t="shared" si="65"/>
        <v>0</v>
      </c>
      <c r="M86" s="272">
        <f t="shared" si="65"/>
        <v>0</v>
      </c>
      <c r="N86" s="272">
        <f t="shared" si="65"/>
        <v>0</v>
      </c>
      <c r="O86" s="272">
        <f t="shared" si="65"/>
        <v>0</v>
      </c>
      <c r="P86" s="272">
        <f t="shared" si="65"/>
        <v>0</v>
      </c>
      <c r="Q86" s="77"/>
    </row>
    <row r="87" spans="1:17" ht="13.5" thickBot="1">
      <c r="D87" s="271"/>
      <c r="E87" s="270"/>
      <c r="F87" s="264"/>
      <c r="G87" s="264"/>
      <c r="H87" s="106"/>
      <c r="I87" s="106"/>
      <c r="J87" s="106"/>
      <c r="K87" s="106"/>
      <c r="L87" s="106"/>
      <c r="M87" s="106"/>
      <c r="N87" s="106"/>
      <c r="O87" s="106"/>
      <c r="P87" s="106"/>
      <c r="Q87" s="264"/>
    </row>
    <row r="88" spans="1:17" ht="13.5" thickBot="1">
      <c r="C88" s="48" t="str">
        <f>IF(RG!$A$78=5,"Semences",IF(RG!$A$78=6,"Coût des matériaux","Coût des marchandises"))</f>
        <v>Coût des marchandises</v>
      </c>
      <c r="D88" s="907">
        <v>0</v>
      </c>
      <c r="E88" s="48"/>
      <c r="F88" s="48"/>
      <c r="G88" s="48"/>
      <c r="H88" s="48"/>
      <c r="I88" s="48"/>
      <c r="J88" s="48"/>
      <c r="K88" s="48"/>
      <c r="L88" s="48"/>
      <c r="M88" s="48"/>
      <c r="N88" s="48"/>
      <c r="O88" s="48"/>
      <c r="P88" s="48"/>
      <c r="Q88" s="48"/>
    </row>
    <row r="89" spans="1:17" ht="13.5" thickBot="1">
      <c r="C89" s="48" t="s">
        <v>450</v>
      </c>
      <c r="E89" s="388">
        <f>'V1'!G90</f>
        <v>0</v>
      </c>
      <c r="F89" s="388">
        <f>'V1'!H90</f>
        <v>0</v>
      </c>
      <c r="G89" s="388">
        <f>'V1'!I90</f>
        <v>0</v>
      </c>
      <c r="H89" s="388">
        <f>'V1'!J90</f>
        <v>0</v>
      </c>
      <c r="I89" s="388">
        <f>'V1'!K90</f>
        <v>0</v>
      </c>
      <c r="J89" s="388">
        <f>'V1'!L90</f>
        <v>0</v>
      </c>
      <c r="K89" s="388">
        <f>'V1'!M90</f>
        <v>0</v>
      </c>
      <c r="L89" s="388">
        <f>'V1'!N90</f>
        <v>0</v>
      </c>
      <c r="M89" s="388">
        <f>'V1'!O90</f>
        <v>0</v>
      </c>
      <c r="N89" s="388">
        <f>'V1'!P90</f>
        <v>0</v>
      </c>
      <c r="O89" s="388">
        <f>'V1'!Q90</f>
        <v>0</v>
      </c>
      <c r="P89" s="388">
        <f>'V1'!R90</f>
        <v>0</v>
      </c>
      <c r="Q89" s="76">
        <f>SUM(E89:P89)</f>
        <v>0</v>
      </c>
    </row>
    <row r="90" spans="1:17" ht="13.5" thickBot="1">
      <c r="C90" s="48" t="s">
        <v>14</v>
      </c>
      <c r="D90" s="266"/>
      <c r="E90" s="908"/>
      <c r="F90" s="908"/>
      <c r="G90" s="908"/>
      <c r="H90" s="908"/>
      <c r="I90" s="908"/>
      <c r="J90" s="908"/>
      <c r="K90" s="908"/>
      <c r="L90" s="908"/>
      <c r="M90" s="908"/>
      <c r="N90" s="908"/>
      <c r="O90" s="908"/>
      <c r="P90" s="908"/>
      <c r="Q90" s="76">
        <f>SUM(E90:P90)</f>
        <v>0</v>
      </c>
    </row>
    <row r="91" spans="1:17" ht="13.5" thickBot="1">
      <c r="C91" s="48" t="s">
        <v>449</v>
      </c>
      <c r="E91" s="394">
        <f>(E89*$D88)+E90</f>
        <v>0</v>
      </c>
      <c r="F91" s="394">
        <f t="shared" ref="F91" si="66">(F89*$D88)+F90</f>
        <v>0</v>
      </c>
      <c r="G91" s="394">
        <f t="shared" ref="G91" si="67">(G89*$D88)+G90</f>
        <v>0</v>
      </c>
      <c r="H91" s="394">
        <f t="shared" ref="H91" si="68">(H89*$D88)+H90</f>
        <v>0</v>
      </c>
      <c r="I91" s="394">
        <f t="shared" ref="I91" si="69">(I89*$D88)+I90</f>
        <v>0</v>
      </c>
      <c r="J91" s="394">
        <f t="shared" ref="J91" si="70">(J89*$D88)+J90</f>
        <v>0</v>
      </c>
      <c r="K91" s="394">
        <f t="shared" ref="K91" si="71">(K89*$D88)+K90</f>
        <v>0</v>
      </c>
      <c r="L91" s="394">
        <f t="shared" ref="L91" si="72">(L89*$D88)+L90</f>
        <v>0</v>
      </c>
      <c r="M91" s="394">
        <f t="shared" ref="M91" si="73">(M89*$D88)+M90</f>
        <v>0</v>
      </c>
      <c r="N91" s="394">
        <f t="shared" ref="N91" si="74">(N89*$D88)+N90</f>
        <v>0</v>
      </c>
      <c r="O91" s="394">
        <f t="shared" ref="O91" si="75">(O89*$D88)+O90</f>
        <v>0</v>
      </c>
      <c r="P91" s="394">
        <f t="shared" ref="P91" si="76">(P89*$D88)+P90</f>
        <v>0</v>
      </c>
      <c r="Q91" s="76">
        <f>SUM(E91:P91)</f>
        <v>0</v>
      </c>
    </row>
    <row r="92" spans="1:17" hidden="1">
      <c r="C92" s="143"/>
      <c r="E92" s="273"/>
      <c r="F92" s="273"/>
      <c r="G92" s="273"/>
      <c r="H92" s="273"/>
      <c r="I92" s="273"/>
      <c r="J92" s="273"/>
      <c r="K92" s="273"/>
      <c r="L92" s="273"/>
      <c r="M92" s="273"/>
      <c r="N92" s="273"/>
      <c r="O92" s="273"/>
      <c r="P92" s="273"/>
      <c r="Q92" s="268"/>
    </row>
    <row r="93" spans="1:17" ht="13.5" thickBot="1">
      <c r="C93" s="143"/>
      <c r="E93" s="1058">
        <f>E90+E77+E64+E51+E38+E25</f>
        <v>0</v>
      </c>
      <c r="F93" s="1058">
        <f t="shared" ref="F93:Q93" si="77">F90+F77+F64+F51+F38+F25</f>
        <v>0</v>
      </c>
      <c r="G93" s="1058">
        <f t="shared" si="77"/>
        <v>0</v>
      </c>
      <c r="H93" s="1058">
        <f t="shared" si="77"/>
        <v>0</v>
      </c>
      <c r="I93" s="1058">
        <f t="shared" si="77"/>
        <v>0</v>
      </c>
      <c r="J93" s="1058">
        <f t="shared" si="77"/>
        <v>0</v>
      </c>
      <c r="K93" s="1058">
        <f t="shared" si="77"/>
        <v>0</v>
      </c>
      <c r="L93" s="1058">
        <f t="shared" si="77"/>
        <v>0</v>
      </c>
      <c r="M93" s="1058">
        <f t="shared" si="77"/>
        <v>0</v>
      </c>
      <c r="N93" s="1058">
        <f t="shared" si="77"/>
        <v>0</v>
      </c>
      <c r="O93" s="1058">
        <f t="shared" si="77"/>
        <v>0</v>
      </c>
      <c r="P93" s="1058">
        <f t="shared" si="77"/>
        <v>0</v>
      </c>
      <c r="Q93" s="1058">
        <f t="shared" si="77"/>
        <v>0</v>
      </c>
    </row>
    <row r="94" spans="1:17" ht="13.5" thickBot="1">
      <c r="C94" s="143" t="s">
        <v>252</v>
      </c>
      <c r="E94" s="76">
        <f>E26+E39+E52+E65+E78+E91</f>
        <v>0</v>
      </c>
      <c r="F94" s="76">
        <f t="shared" ref="F94:Q94" si="78">F26+F39+F52+F65+F78+F91</f>
        <v>0</v>
      </c>
      <c r="G94" s="76">
        <f t="shared" si="78"/>
        <v>0</v>
      </c>
      <c r="H94" s="76">
        <f t="shared" si="78"/>
        <v>0</v>
      </c>
      <c r="I94" s="76">
        <f t="shared" si="78"/>
        <v>0</v>
      </c>
      <c r="J94" s="76">
        <f t="shared" si="78"/>
        <v>0</v>
      </c>
      <c r="K94" s="76">
        <f t="shared" si="78"/>
        <v>0</v>
      </c>
      <c r="L94" s="76">
        <f t="shared" si="78"/>
        <v>0</v>
      </c>
      <c r="M94" s="76">
        <f t="shared" si="78"/>
        <v>0</v>
      </c>
      <c r="N94" s="76">
        <f t="shared" si="78"/>
        <v>0</v>
      </c>
      <c r="O94" s="76">
        <f t="shared" si="78"/>
        <v>0</v>
      </c>
      <c r="P94" s="76">
        <f t="shared" si="78"/>
        <v>0</v>
      </c>
      <c r="Q94" s="76">
        <f t="shared" si="78"/>
        <v>0</v>
      </c>
    </row>
    <row r="95" spans="1:17">
      <c r="D95" s="48"/>
      <c r="E95" s="664">
        <f>E86+E73+E60+E47+E34+E21</f>
        <v>0</v>
      </c>
      <c r="F95" s="664">
        <f t="shared" ref="F95:P95" si="79">F86+F73+F60+F47+F34+F21</f>
        <v>0</v>
      </c>
      <c r="G95" s="664">
        <f t="shared" si="79"/>
        <v>0</v>
      </c>
      <c r="H95" s="664">
        <f t="shared" si="79"/>
        <v>0</v>
      </c>
      <c r="I95" s="664">
        <f t="shared" si="79"/>
        <v>0</v>
      </c>
      <c r="J95" s="664">
        <f t="shared" si="79"/>
        <v>0</v>
      </c>
      <c r="K95" s="664">
        <f t="shared" si="79"/>
        <v>0</v>
      </c>
      <c r="L95" s="664">
        <f t="shared" si="79"/>
        <v>0</v>
      </c>
      <c r="M95" s="664">
        <f t="shared" si="79"/>
        <v>0</v>
      </c>
      <c r="N95" s="664">
        <f t="shared" si="79"/>
        <v>0</v>
      </c>
      <c r="O95" s="664">
        <f t="shared" si="79"/>
        <v>0</v>
      </c>
      <c r="P95" s="664">
        <f t="shared" si="79"/>
        <v>0</v>
      </c>
      <c r="Q95" s="664">
        <f>SUM(E95:P95)</f>
        <v>0</v>
      </c>
    </row>
    <row r="96" spans="1:17">
      <c r="D96" s="48"/>
      <c r="E96" s="48"/>
      <c r="F96" s="48"/>
      <c r="G96" s="48"/>
      <c r="H96" s="48"/>
      <c r="I96" s="48"/>
      <c r="J96" s="48"/>
      <c r="K96" s="48"/>
      <c r="L96" s="48"/>
      <c r="M96" s="48"/>
      <c r="N96" s="48"/>
      <c r="O96" s="48"/>
      <c r="P96" s="48"/>
      <c r="Q96" s="48"/>
    </row>
    <row r="97" spans="3:17">
      <c r="D97" s="48"/>
      <c r="E97" s="48"/>
      <c r="F97" s="48"/>
      <c r="G97" s="48"/>
      <c r="H97" s="48"/>
      <c r="I97" s="48"/>
      <c r="J97" s="48"/>
      <c r="K97" s="48"/>
      <c r="L97" s="48"/>
      <c r="M97" s="48"/>
      <c r="N97" s="48"/>
      <c r="O97" s="48"/>
      <c r="P97" s="48"/>
      <c r="Q97" s="48"/>
    </row>
    <row r="98" spans="3:17">
      <c r="D98" s="48"/>
      <c r="E98" s="48"/>
      <c r="F98" s="48"/>
      <c r="G98" s="48"/>
      <c r="H98" s="48"/>
      <c r="I98" s="48"/>
      <c r="J98" s="48"/>
      <c r="K98" s="48"/>
      <c r="L98" s="48"/>
      <c r="M98" s="48"/>
      <c r="N98" s="48"/>
      <c r="O98" s="48"/>
      <c r="P98" s="48"/>
      <c r="Q98" s="48"/>
    </row>
    <row r="99" spans="3:17">
      <c r="D99" s="48"/>
      <c r="E99" s="48"/>
      <c r="F99" s="48"/>
      <c r="G99" s="48"/>
      <c r="H99" s="48"/>
      <c r="I99" s="48"/>
      <c r="J99" s="48"/>
      <c r="K99" s="48"/>
      <c r="L99" s="48"/>
      <c r="M99" s="48"/>
      <c r="N99" s="48"/>
      <c r="O99" s="48"/>
      <c r="P99" s="48"/>
      <c r="Q99" s="48"/>
    </row>
    <row r="100" spans="3:17">
      <c r="D100" s="48"/>
      <c r="E100" s="48"/>
      <c r="F100" s="48"/>
      <c r="G100" s="48"/>
      <c r="H100" s="48"/>
      <c r="I100" s="48"/>
      <c r="J100" s="48"/>
      <c r="K100" s="48"/>
      <c r="L100" s="48"/>
      <c r="M100" s="48"/>
      <c r="N100" s="48"/>
      <c r="O100" s="48"/>
      <c r="P100" s="48"/>
      <c r="Q100" s="48"/>
    </row>
    <row r="101" spans="3:17">
      <c r="D101" s="48"/>
      <c r="E101" s="48"/>
      <c r="F101" s="48"/>
      <c r="G101" s="48"/>
      <c r="H101" s="48"/>
      <c r="I101" s="48"/>
      <c r="J101" s="48"/>
      <c r="K101" s="48"/>
      <c r="L101" s="48"/>
      <c r="M101" s="48"/>
      <c r="N101" s="48"/>
      <c r="O101" s="48"/>
      <c r="P101" s="48"/>
      <c r="Q101" s="48"/>
    </row>
    <row r="102" spans="3:17">
      <c r="D102" s="48"/>
      <c r="E102" s="48"/>
      <c r="F102" s="48"/>
      <c r="G102" s="48"/>
      <c r="H102" s="48"/>
      <c r="I102" s="48"/>
      <c r="J102" s="48"/>
      <c r="K102" s="48"/>
      <c r="L102" s="48"/>
      <c r="M102" s="48"/>
      <c r="N102" s="48"/>
      <c r="O102" s="48"/>
      <c r="P102" s="48"/>
      <c r="Q102" s="48"/>
    </row>
    <row r="103" spans="3:17">
      <c r="D103" s="48"/>
      <c r="E103" s="48"/>
      <c r="F103" s="48"/>
      <c r="G103" s="48"/>
      <c r="H103" s="48"/>
      <c r="I103" s="48"/>
      <c r="J103" s="48"/>
      <c r="K103" s="48"/>
      <c r="L103" s="48"/>
      <c r="M103" s="48"/>
      <c r="N103" s="48"/>
      <c r="O103" s="48"/>
      <c r="P103" s="48"/>
      <c r="Q103" s="48"/>
    </row>
    <row r="104" spans="3:17">
      <c r="D104" s="48"/>
      <c r="E104" s="48"/>
      <c r="F104" s="48"/>
      <c r="G104" s="48"/>
      <c r="H104" s="48"/>
      <c r="I104" s="48"/>
      <c r="J104" s="48"/>
      <c r="K104" s="48"/>
      <c r="L104" s="48"/>
      <c r="M104" s="48"/>
      <c r="N104" s="48"/>
      <c r="O104" s="48"/>
      <c r="P104" s="48"/>
      <c r="Q104" s="48"/>
    </row>
    <row r="105" spans="3:17">
      <c r="D105" s="48"/>
      <c r="E105" s="48"/>
      <c r="F105" s="48"/>
      <c r="G105" s="48"/>
      <c r="H105" s="48"/>
      <c r="I105" s="48"/>
      <c r="J105" s="48"/>
      <c r="K105" s="48"/>
      <c r="L105" s="48"/>
      <c r="M105" s="48"/>
      <c r="N105" s="48"/>
      <c r="O105" s="48"/>
      <c r="P105" s="48"/>
      <c r="Q105" s="48"/>
    </row>
    <row r="106" spans="3:17">
      <c r="D106" s="48"/>
      <c r="E106" s="48"/>
      <c r="F106" s="48"/>
      <c r="G106" s="48"/>
      <c r="H106" s="48"/>
      <c r="I106" s="48"/>
      <c r="J106" s="48"/>
      <c r="K106" s="48"/>
      <c r="L106" s="48"/>
      <c r="M106" s="48"/>
      <c r="N106" s="48"/>
      <c r="O106" s="48"/>
      <c r="P106" s="48"/>
      <c r="Q106" s="48"/>
    </row>
    <row r="107" spans="3:17">
      <c r="D107" s="48"/>
      <c r="E107" s="48"/>
      <c r="F107" s="48"/>
      <c r="G107" s="48"/>
      <c r="H107" s="48"/>
      <c r="I107" s="48"/>
      <c r="J107" s="48"/>
      <c r="K107" s="48"/>
      <c r="L107" s="48"/>
      <c r="M107" s="48"/>
      <c r="N107" s="48"/>
      <c r="O107" s="48"/>
      <c r="P107" s="48"/>
      <c r="Q107" s="48"/>
    </row>
    <row r="108" spans="3:17">
      <c r="D108" s="48"/>
      <c r="E108" s="48"/>
      <c r="F108" s="48"/>
      <c r="G108" s="48"/>
      <c r="H108" s="48"/>
      <c r="I108" s="48"/>
      <c r="J108" s="48"/>
      <c r="K108" s="48"/>
      <c r="L108" s="48"/>
      <c r="M108" s="48"/>
      <c r="N108" s="48"/>
      <c r="O108" s="48"/>
      <c r="P108" s="48"/>
      <c r="Q108" s="48"/>
    </row>
    <row r="109" spans="3:17">
      <c r="D109" s="48"/>
      <c r="E109" s="48"/>
      <c r="F109" s="48"/>
      <c r="G109" s="48"/>
      <c r="H109" s="48"/>
      <c r="I109" s="48"/>
      <c r="J109" s="48"/>
      <c r="K109" s="48"/>
      <c r="L109" s="48"/>
      <c r="M109" s="48"/>
      <c r="N109" s="48"/>
      <c r="O109" s="48"/>
      <c r="P109" s="48"/>
      <c r="Q109" s="48"/>
    </row>
    <row r="110" spans="3:17">
      <c r="D110" s="48"/>
      <c r="E110" s="48"/>
      <c r="F110" s="48"/>
      <c r="G110" s="48"/>
      <c r="H110" s="48"/>
      <c r="I110" s="48"/>
      <c r="J110" s="48"/>
      <c r="K110" s="48"/>
      <c r="L110" s="48"/>
      <c r="M110" s="48"/>
      <c r="N110" s="48"/>
      <c r="O110" s="48"/>
      <c r="P110" s="48"/>
      <c r="Q110" s="48"/>
    </row>
    <row r="111" spans="3:17">
      <c r="C111" s="267"/>
      <c r="D111" s="88"/>
      <c r="E111" s="268"/>
      <c r="F111" s="268"/>
      <c r="G111" s="268"/>
      <c r="H111" s="268"/>
      <c r="I111" s="268"/>
      <c r="J111" s="268"/>
      <c r="K111" s="268"/>
      <c r="L111" s="268"/>
      <c r="M111" s="268"/>
      <c r="N111" s="268"/>
      <c r="O111" s="268"/>
      <c r="P111" s="268"/>
      <c r="Q111" s="268"/>
    </row>
    <row r="112" spans="3:17">
      <c r="D112" s="48"/>
      <c r="E112" s="48"/>
      <c r="F112" s="48"/>
      <c r="G112" s="48"/>
      <c r="H112" s="48"/>
      <c r="I112" s="48"/>
      <c r="J112" s="48"/>
      <c r="K112" s="48"/>
      <c r="L112" s="48"/>
      <c r="M112" s="48"/>
      <c r="N112" s="48"/>
      <c r="O112" s="48"/>
      <c r="P112" s="48"/>
      <c r="Q112" s="48"/>
    </row>
    <row r="113" s="48" customFormat="1"/>
    <row r="114" s="48" customFormat="1"/>
    <row r="115" s="48" customFormat="1"/>
    <row r="116" s="48" customFormat="1"/>
    <row r="117" s="48" customFormat="1"/>
    <row r="118" s="48" customFormat="1"/>
    <row r="119" s="48" customFormat="1"/>
    <row r="120" s="48" customFormat="1"/>
    <row r="121" s="48" customFormat="1"/>
    <row r="122" s="48" customFormat="1"/>
    <row r="123" s="48" customFormat="1"/>
    <row r="124" s="48" customFormat="1"/>
    <row r="125" s="48" customFormat="1"/>
    <row r="126" s="48" customFormat="1"/>
    <row r="127" s="48" customFormat="1"/>
    <row r="128" s="48" customFormat="1"/>
    <row r="129" spans="3:17">
      <c r="D129" s="48"/>
      <c r="E129" s="48"/>
      <c r="F129" s="48"/>
      <c r="G129" s="48"/>
      <c r="H129" s="48"/>
      <c r="I129" s="48"/>
      <c r="J129" s="48"/>
      <c r="K129" s="48"/>
      <c r="L129" s="48"/>
      <c r="M129" s="48"/>
      <c r="N129" s="48"/>
      <c r="O129" s="48"/>
      <c r="P129" s="48"/>
      <c r="Q129" s="48"/>
    </row>
    <row r="130" spans="3:17">
      <c r="D130" s="48"/>
      <c r="E130" s="48"/>
      <c r="F130" s="48"/>
      <c r="G130" s="48"/>
      <c r="H130" s="48"/>
      <c r="I130" s="48"/>
      <c r="J130" s="48"/>
      <c r="K130" s="48"/>
      <c r="L130" s="48"/>
      <c r="M130" s="48"/>
      <c r="N130" s="48"/>
      <c r="O130" s="48"/>
      <c r="P130" s="48"/>
      <c r="Q130" s="48"/>
    </row>
    <row r="131" spans="3:17">
      <c r="D131" s="48"/>
      <c r="E131" s="48"/>
      <c r="F131" s="48"/>
      <c r="G131" s="48"/>
      <c r="H131" s="48"/>
      <c r="I131" s="48"/>
      <c r="J131" s="48"/>
      <c r="K131" s="48"/>
      <c r="L131" s="48"/>
      <c r="M131" s="48"/>
      <c r="N131" s="48"/>
      <c r="O131" s="48"/>
      <c r="P131" s="48"/>
      <c r="Q131" s="48"/>
    </row>
    <row r="132" spans="3:17">
      <c r="C132" s="78"/>
      <c r="D132" s="78"/>
      <c r="E132" s="109"/>
      <c r="F132" s="109"/>
      <c r="G132" s="109"/>
      <c r="H132" s="109"/>
      <c r="I132" s="109"/>
      <c r="J132" s="109"/>
      <c r="K132" s="109"/>
      <c r="L132" s="109"/>
      <c r="M132" s="109"/>
      <c r="N132" s="109"/>
      <c r="O132" s="109"/>
      <c r="P132" s="109"/>
      <c r="Q132" s="77"/>
    </row>
    <row r="133" spans="3:17">
      <c r="C133" s="78"/>
      <c r="D133" s="78"/>
      <c r="E133" s="269"/>
      <c r="F133" s="269"/>
      <c r="G133" s="269"/>
      <c r="H133" s="269"/>
      <c r="I133" s="269"/>
      <c r="J133" s="269"/>
      <c r="K133" s="269"/>
      <c r="L133" s="269"/>
      <c r="M133" s="269"/>
      <c r="N133" s="269"/>
      <c r="O133" s="269"/>
      <c r="P133" s="269"/>
      <c r="Q133" s="77"/>
    </row>
    <row r="134" spans="3:17" ht="15.75" customHeight="1">
      <c r="D134" s="48"/>
      <c r="E134" s="48"/>
      <c r="F134" s="48"/>
      <c r="G134" s="48"/>
      <c r="H134" s="48"/>
      <c r="I134" s="48"/>
      <c r="J134" s="48"/>
      <c r="K134" s="48"/>
      <c r="L134" s="48"/>
      <c r="M134" s="48"/>
      <c r="N134" s="48"/>
      <c r="O134" s="48"/>
      <c r="P134" s="48"/>
      <c r="Q134" s="48"/>
    </row>
    <row r="135" spans="3:17" s="59" customFormat="1" ht="15"/>
    <row r="136" spans="3:17">
      <c r="D136" s="48"/>
      <c r="E136" s="48"/>
      <c r="F136" s="48"/>
      <c r="G136" s="48"/>
      <c r="H136" s="48"/>
      <c r="I136" s="48"/>
      <c r="J136" s="48"/>
      <c r="K136" s="48"/>
      <c r="L136" s="48"/>
      <c r="M136" s="48"/>
      <c r="N136" s="48"/>
      <c r="O136" s="48"/>
      <c r="P136" s="48"/>
      <c r="Q136" s="48"/>
    </row>
    <row r="137" spans="3:17">
      <c r="D137" s="48"/>
      <c r="E137" s="48"/>
      <c r="F137" s="48"/>
      <c r="G137" s="48"/>
      <c r="H137" s="48"/>
      <c r="I137" s="48"/>
      <c r="J137" s="48"/>
      <c r="K137" s="48"/>
      <c r="L137" s="48"/>
      <c r="M137" s="48"/>
      <c r="N137" s="48"/>
      <c r="O137" s="48"/>
      <c r="P137" s="48"/>
      <c r="Q137" s="48"/>
    </row>
    <row r="138" spans="3:17">
      <c r="D138" s="48"/>
      <c r="E138" s="48"/>
      <c r="F138" s="48"/>
      <c r="G138" s="48"/>
      <c r="H138" s="48"/>
      <c r="I138" s="48"/>
      <c r="J138" s="48"/>
      <c r="K138" s="48"/>
      <c r="L138" s="48"/>
      <c r="M138" s="48"/>
      <c r="N138" s="48"/>
      <c r="O138" s="48"/>
      <c r="P138" s="48"/>
      <c r="Q138" s="48"/>
    </row>
    <row r="139" spans="3:17">
      <c r="D139" s="48"/>
      <c r="E139" s="48"/>
      <c r="F139" s="48"/>
      <c r="G139" s="48"/>
      <c r="H139" s="48"/>
      <c r="I139" s="48"/>
      <c r="J139" s="48"/>
      <c r="K139" s="48"/>
      <c r="L139" s="48"/>
      <c r="M139" s="48"/>
      <c r="N139" s="48"/>
      <c r="O139" s="48"/>
      <c r="P139" s="48"/>
      <c r="Q139" s="48"/>
    </row>
    <row r="140" spans="3:17" ht="16.5" customHeight="1">
      <c r="D140" s="48"/>
      <c r="E140" s="48"/>
      <c r="F140" s="48"/>
      <c r="G140" s="48"/>
      <c r="H140" s="48"/>
      <c r="I140" s="48"/>
      <c r="J140" s="48"/>
      <c r="K140" s="48"/>
      <c r="L140" s="48"/>
      <c r="M140" s="48"/>
      <c r="N140" s="48"/>
      <c r="O140" s="48"/>
      <c r="P140" s="48"/>
      <c r="Q140" s="48"/>
    </row>
    <row r="141" spans="3:17">
      <c r="D141" s="48"/>
      <c r="E141" s="48"/>
      <c r="F141" s="48"/>
      <c r="G141" s="48"/>
      <c r="H141" s="48"/>
      <c r="I141" s="48"/>
      <c r="J141" s="48"/>
      <c r="K141" s="48"/>
      <c r="L141" s="48"/>
      <c r="M141" s="48"/>
      <c r="N141" s="48"/>
      <c r="O141" s="48"/>
      <c r="P141" s="48"/>
      <c r="Q141" s="48"/>
    </row>
    <row r="142" spans="3:17">
      <c r="D142" s="48"/>
      <c r="E142" s="48"/>
      <c r="F142" s="48"/>
      <c r="G142" s="48"/>
      <c r="H142" s="48"/>
      <c r="I142" s="48"/>
      <c r="J142" s="48"/>
      <c r="K142" s="48"/>
      <c r="L142" s="48"/>
      <c r="M142" s="48"/>
      <c r="N142" s="48"/>
      <c r="O142" s="48"/>
      <c r="P142" s="48"/>
      <c r="Q142" s="48"/>
    </row>
    <row r="143" spans="3:17">
      <c r="D143" s="48"/>
      <c r="E143" s="48"/>
      <c r="F143" s="48"/>
      <c r="G143" s="48"/>
      <c r="H143" s="48"/>
      <c r="I143" s="48"/>
      <c r="J143" s="48"/>
      <c r="K143" s="48"/>
      <c r="L143" s="48"/>
      <c r="M143" s="48"/>
      <c r="N143" s="48"/>
      <c r="O143" s="48"/>
      <c r="P143" s="48"/>
      <c r="Q143" s="48"/>
    </row>
    <row r="144" spans="3:17">
      <c r="D144" s="48"/>
      <c r="E144" s="48"/>
      <c r="F144" s="48"/>
      <c r="G144" s="48"/>
      <c r="H144" s="48"/>
      <c r="I144" s="48"/>
      <c r="J144" s="48"/>
      <c r="K144" s="48"/>
      <c r="L144" s="48"/>
      <c r="M144" s="48"/>
      <c r="N144" s="48"/>
      <c r="O144" s="48"/>
      <c r="P144" s="48"/>
      <c r="Q144" s="48"/>
    </row>
    <row r="145" s="48" customFormat="1"/>
    <row r="146" s="48" customFormat="1"/>
    <row r="147" s="48" customFormat="1" ht="16.5" customHeight="1"/>
    <row r="148" s="48" customFormat="1"/>
    <row r="149" s="48" customFormat="1"/>
    <row r="150" s="48" customFormat="1"/>
    <row r="151" s="48" customFormat="1"/>
    <row r="152" s="48" customFormat="1"/>
    <row r="153" s="48" customFormat="1"/>
    <row r="154" s="48" customFormat="1" ht="16.5" customHeight="1"/>
    <row r="155" s="48" customFormat="1"/>
    <row r="156" s="48" customFormat="1"/>
    <row r="157" s="48" customFormat="1"/>
    <row r="158" s="48" customFormat="1"/>
    <row r="159" s="48" customFormat="1"/>
    <row r="160" s="48" customFormat="1"/>
    <row r="161" s="48" customFormat="1" ht="16.5" customHeight="1"/>
    <row r="162" s="48" customFormat="1"/>
    <row r="163" s="48" customFormat="1"/>
    <row r="164" s="48" customFormat="1"/>
    <row r="165" s="48" customFormat="1"/>
    <row r="166" s="48" customFormat="1"/>
    <row r="167" s="48" customFormat="1"/>
    <row r="168" s="48" customFormat="1" ht="16.5" customHeight="1"/>
    <row r="169" s="48" customFormat="1"/>
    <row r="170" s="48" customFormat="1"/>
    <row r="171" s="48" customFormat="1"/>
    <row r="172" s="48" customFormat="1"/>
    <row r="173" s="48" customFormat="1"/>
    <row r="174" s="48" customFormat="1"/>
    <row r="175" s="48" customFormat="1" ht="16.5" customHeight="1"/>
    <row r="176" s="48" customFormat="1"/>
    <row r="177" spans="3:17">
      <c r="D177" s="48"/>
      <c r="E177" s="48"/>
      <c r="F177" s="48"/>
      <c r="G177" s="48"/>
      <c r="H177" s="48"/>
      <c r="I177" s="48"/>
      <c r="J177" s="48"/>
      <c r="K177" s="48"/>
      <c r="L177" s="48"/>
      <c r="M177" s="48"/>
      <c r="N177" s="48"/>
      <c r="O177" s="48"/>
      <c r="P177" s="48"/>
      <c r="Q177" s="48"/>
    </row>
    <row r="178" spans="3:17">
      <c r="D178" s="48"/>
      <c r="E178" s="48"/>
      <c r="F178" s="48"/>
      <c r="G178" s="48"/>
      <c r="H178" s="48"/>
      <c r="I178" s="48"/>
      <c r="J178" s="48"/>
      <c r="K178" s="48"/>
      <c r="L178" s="48"/>
      <c r="M178" s="48"/>
      <c r="N178" s="48"/>
      <c r="O178" s="48"/>
      <c r="P178" s="48"/>
      <c r="Q178" s="48"/>
    </row>
    <row r="179" spans="3:17">
      <c r="D179" s="48"/>
      <c r="E179" s="48"/>
      <c r="F179" s="48"/>
      <c r="G179" s="48"/>
      <c r="H179" s="48"/>
      <c r="I179" s="48"/>
      <c r="J179" s="48"/>
      <c r="K179" s="48"/>
      <c r="L179" s="48"/>
      <c r="M179" s="48"/>
      <c r="N179" s="48"/>
      <c r="O179" s="48"/>
      <c r="P179" s="48"/>
      <c r="Q179" s="48"/>
    </row>
    <row r="180" spans="3:17">
      <c r="D180" s="48"/>
      <c r="E180" s="48"/>
      <c r="F180" s="48"/>
      <c r="G180" s="48"/>
      <c r="H180" s="48"/>
      <c r="I180" s="48"/>
      <c r="J180" s="48"/>
      <c r="K180" s="48"/>
      <c r="L180" s="48"/>
      <c r="M180" s="48"/>
      <c r="N180" s="48"/>
      <c r="O180" s="48"/>
      <c r="P180" s="48"/>
      <c r="Q180" s="48"/>
    </row>
    <row r="181" spans="3:17">
      <c r="D181" s="48"/>
      <c r="E181" s="48"/>
      <c r="F181" s="48"/>
      <c r="G181" s="48"/>
      <c r="H181" s="48"/>
      <c r="I181" s="48"/>
      <c r="J181" s="48"/>
      <c r="K181" s="48"/>
      <c r="L181" s="48"/>
      <c r="M181" s="48"/>
      <c r="N181" s="48"/>
      <c r="O181" s="48"/>
      <c r="P181" s="48"/>
      <c r="Q181" s="48"/>
    </row>
    <row r="182" spans="3:17">
      <c r="D182" s="48"/>
      <c r="E182" s="48"/>
      <c r="F182" s="48"/>
      <c r="G182" s="48"/>
      <c r="H182" s="48"/>
      <c r="I182" s="48"/>
      <c r="J182" s="48"/>
      <c r="K182" s="48"/>
      <c r="L182" s="48"/>
      <c r="M182" s="48"/>
      <c r="N182" s="48"/>
      <c r="O182" s="48"/>
      <c r="P182" s="48"/>
      <c r="Q182" s="48"/>
    </row>
    <row r="183" spans="3:17">
      <c r="C183" s="143"/>
      <c r="E183" s="273"/>
      <c r="F183" s="273"/>
      <c r="G183" s="273"/>
      <c r="H183" s="273"/>
      <c r="I183" s="273"/>
      <c r="J183" s="273"/>
      <c r="K183" s="273"/>
      <c r="L183" s="273"/>
      <c r="M183" s="273"/>
      <c r="N183" s="273"/>
      <c r="O183" s="273"/>
      <c r="P183" s="273"/>
      <c r="Q183" s="268"/>
    </row>
    <row r="184" spans="3:17">
      <c r="D184" s="48"/>
      <c r="E184" s="48"/>
      <c r="F184" s="48"/>
      <c r="G184" s="48"/>
      <c r="H184" s="48"/>
      <c r="I184" s="48"/>
      <c r="J184" s="48"/>
      <c r="K184" s="48"/>
      <c r="L184" s="48"/>
      <c r="M184" s="48"/>
      <c r="N184" s="48"/>
      <c r="O184" s="48"/>
      <c r="P184" s="48"/>
      <c r="Q184" s="48"/>
    </row>
    <row r="185" spans="3:17">
      <c r="D185" s="48"/>
      <c r="E185" s="48"/>
      <c r="F185" s="48"/>
      <c r="G185" s="48"/>
      <c r="H185" s="48"/>
      <c r="I185" s="48"/>
      <c r="J185" s="48"/>
      <c r="K185" s="48"/>
      <c r="L185" s="48"/>
      <c r="M185" s="48"/>
      <c r="N185" s="48"/>
      <c r="O185" s="48"/>
      <c r="P185" s="48"/>
      <c r="Q185" s="48"/>
    </row>
    <row r="186" spans="3:17">
      <c r="D186" s="48"/>
      <c r="E186" s="48"/>
      <c r="F186" s="48"/>
      <c r="G186" s="48"/>
      <c r="H186" s="48"/>
      <c r="I186" s="48"/>
      <c r="J186" s="48"/>
      <c r="K186" s="48"/>
      <c r="L186" s="48"/>
      <c r="M186" s="48"/>
      <c r="N186" s="48"/>
      <c r="O186" s="48"/>
      <c r="P186" s="48"/>
      <c r="Q186" s="48"/>
    </row>
    <row r="187" spans="3:17">
      <c r="D187" s="48"/>
      <c r="E187" s="48"/>
      <c r="F187" s="48"/>
      <c r="G187" s="48"/>
      <c r="H187" s="48"/>
      <c r="I187" s="48"/>
      <c r="J187" s="48"/>
      <c r="K187" s="48"/>
      <c r="L187" s="48"/>
      <c r="M187" s="48"/>
      <c r="N187" s="48"/>
      <c r="O187" s="48"/>
      <c r="P187" s="48"/>
      <c r="Q187" s="48"/>
    </row>
    <row r="188" spans="3:17">
      <c r="D188" s="48"/>
      <c r="E188" s="48"/>
      <c r="F188" s="48"/>
      <c r="G188" s="48"/>
      <c r="H188" s="48"/>
      <c r="I188" s="48"/>
      <c r="J188" s="48"/>
      <c r="K188" s="48"/>
      <c r="L188" s="48"/>
      <c r="M188" s="48"/>
      <c r="N188" s="48"/>
      <c r="O188" s="48"/>
      <c r="P188" s="48"/>
      <c r="Q188" s="48"/>
    </row>
    <row r="189" spans="3:17">
      <c r="D189" s="48"/>
      <c r="E189" s="48"/>
      <c r="F189" s="48"/>
      <c r="G189" s="48"/>
      <c r="H189" s="48"/>
      <c r="I189" s="48"/>
      <c r="J189" s="48"/>
      <c r="K189" s="48"/>
      <c r="L189" s="48"/>
      <c r="M189" s="48"/>
      <c r="N189" s="48"/>
      <c r="O189" s="48"/>
      <c r="P189" s="48"/>
      <c r="Q189" s="48"/>
    </row>
    <row r="190" spans="3:17">
      <c r="D190" s="48"/>
      <c r="E190" s="48"/>
      <c r="F190" s="48"/>
      <c r="G190" s="48"/>
      <c r="H190" s="48"/>
      <c r="I190" s="48"/>
      <c r="J190" s="48"/>
      <c r="K190" s="48"/>
      <c r="L190" s="48"/>
      <c r="M190" s="48"/>
      <c r="N190" s="48"/>
      <c r="O190" s="48"/>
      <c r="P190" s="48"/>
      <c r="Q190" s="48"/>
    </row>
    <row r="191" spans="3:17">
      <c r="D191" s="48"/>
      <c r="E191" s="48"/>
      <c r="F191" s="48"/>
      <c r="G191" s="48"/>
      <c r="H191" s="48"/>
      <c r="I191" s="48"/>
      <c r="J191" s="48"/>
      <c r="K191" s="48"/>
      <c r="L191" s="48"/>
      <c r="M191" s="48"/>
      <c r="N191" s="48"/>
      <c r="O191" s="48"/>
      <c r="P191" s="48"/>
      <c r="Q191" s="48"/>
    </row>
    <row r="192" spans="3:17">
      <c r="D192" s="48"/>
      <c r="E192" s="48"/>
      <c r="F192" s="48"/>
      <c r="G192" s="48"/>
      <c r="H192" s="48"/>
      <c r="I192" s="48"/>
      <c r="J192" s="48"/>
      <c r="K192" s="48"/>
      <c r="L192" s="48"/>
      <c r="M192" s="48"/>
      <c r="N192" s="48"/>
      <c r="O192" s="48"/>
      <c r="P192" s="48"/>
      <c r="Q192" s="48"/>
    </row>
    <row r="193" s="48" customFormat="1"/>
    <row r="194" s="48" customFormat="1"/>
    <row r="195" s="48" customFormat="1"/>
    <row r="196" s="48" customFormat="1"/>
    <row r="197" s="48" customFormat="1"/>
    <row r="198" s="48" customFormat="1"/>
    <row r="200" s="48" customFormat="1"/>
    <row r="201" s="48" customFormat="1"/>
    <row r="202" s="48" customFormat="1"/>
    <row r="203" s="48" customFormat="1"/>
    <row r="204" s="48" customFormat="1"/>
    <row r="205" s="48" customFormat="1"/>
    <row r="206" s="48" customFormat="1"/>
    <row r="207" s="48" customFormat="1"/>
    <row r="208" s="48" customFormat="1"/>
    <row r="209" s="48" customFormat="1"/>
    <row r="210" s="48" customFormat="1"/>
    <row r="211" s="48" customFormat="1"/>
    <row r="212" s="48" customFormat="1"/>
    <row r="213" s="48" customFormat="1"/>
    <row r="214" s="48" customFormat="1"/>
    <row r="215" s="48" customFormat="1"/>
    <row r="216" s="48" customFormat="1"/>
    <row r="217" s="48" customFormat="1"/>
    <row r="218" s="48" customFormat="1"/>
    <row r="219" s="48" customFormat="1"/>
  </sheetData>
  <sheetProtection password="E242" sheet="1" objects="1" scenarios="1"/>
  <customSheetViews>
    <customSheetView guid="{30D0538C-360A-4CDF-8D89-584CED1967CC}"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1"/>
      <headerFooter alignWithMargins="0"/>
    </customSheetView>
    <customSheetView guid="{4F3169C3-3348-49DE-A6DC-8AA4D2A9D7A1}"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2"/>
      <headerFooter alignWithMargins="0"/>
    </customSheetView>
  </customSheetViews>
  <mergeCells count="7">
    <mergeCell ref="E55:Q55"/>
    <mergeCell ref="E68:Q68"/>
    <mergeCell ref="E81:Q81"/>
    <mergeCell ref="C14:D14"/>
    <mergeCell ref="E16:Q16"/>
    <mergeCell ref="E29:Q29"/>
    <mergeCell ref="E42:Q42"/>
  </mergeCells>
  <phoneticPr fontId="0" type="noConversion"/>
  <pageMargins left="0.25" right="0.24" top="0.61" bottom="0.51" header="0.32" footer="0.4921259845"/>
  <pageSetup scale="60" fitToHeight="2" orientation="landscape" horizontalDpi="4294967293" r:id="rId3"/>
  <headerFooter alignWithMargins="0"/>
  <rowBreaks count="1" manualBreakCount="1">
    <brk id="218"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4148" r:id="rId6" name="Drop Down 52">
              <controlPr defaultSize="0" autoFill="0" autoLine="0" autoPict="0">
                <anchor moveWithCells="1">
                  <from>
                    <xdr:col>3</xdr:col>
                    <xdr:colOff>25400</xdr:colOff>
                    <xdr:row>15</xdr:row>
                    <xdr:rowOff>25400</xdr:rowOff>
                  </from>
                  <to>
                    <xdr:col>3</xdr:col>
                    <xdr:colOff>850900</xdr:colOff>
                    <xdr:row>15</xdr:row>
                    <xdr:rowOff>190500</xdr:rowOff>
                  </to>
                </anchor>
              </controlPr>
            </control>
          </mc:Choice>
        </mc:AlternateContent>
        <mc:AlternateContent xmlns:mc="http://schemas.openxmlformats.org/markup-compatibility/2006">
          <mc:Choice Requires="x14">
            <control shapeId="4164" r:id="rId7" name="Drop Down 68">
              <controlPr defaultSize="0" autoFill="0" autoLine="0" autoPict="0">
                <anchor moveWithCells="1">
                  <from>
                    <xdr:col>3</xdr:col>
                    <xdr:colOff>50800</xdr:colOff>
                    <xdr:row>28</xdr:row>
                    <xdr:rowOff>25400</xdr:rowOff>
                  </from>
                  <to>
                    <xdr:col>4</xdr:col>
                    <xdr:colOff>0</xdr:colOff>
                    <xdr:row>28</xdr:row>
                    <xdr:rowOff>190500</xdr:rowOff>
                  </to>
                </anchor>
              </controlPr>
            </control>
          </mc:Choice>
        </mc:AlternateContent>
        <mc:AlternateContent xmlns:mc="http://schemas.openxmlformats.org/markup-compatibility/2006">
          <mc:Choice Requires="x14">
            <control shapeId="4165" r:id="rId8" name="Drop Down 69">
              <controlPr defaultSize="0" autoFill="0" autoLine="0" autoPict="0">
                <anchor moveWithCells="1">
                  <from>
                    <xdr:col>3</xdr:col>
                    <xdr:colOff>50800</xdr:colOff>
                    <xdr:row>40</xdr:row>
                    <xdr:rowOff>152400</xdr:rowOff>
                  </from>
                  <to>
                    <xdr:col>4</xdr:col>
                    <xdr:colOff>12700</xdr:colOff>
                    <xdr:row>41</xdr:row>
                    <xdr:rowOff>177800</xdr:rowOff>
                  </to>
                </anchor>
              </controlPr>
            </control>
          </mc:Choice>
        </mc:AlternateContent>
        <mc:AlternateContent xmlns:mc="http://schemas.openxmlformats.org/markup-compatibility/2006">
          <mc:Choice Requires="x14">
            <control shapeId="4166" r:id="rId9" name="Drop Down 70">
              <controlPr defaultSize="0" autoFill="0" autoLine="0" autoPict="0">
                <anchor moveWithCells="1">
                  <from>
                    <xdr:col>3</xdr:col>
                    <xdr:colOff>25400</xdr:colOff>
                    <xdr:row>54</xdr:row>
                    <xdr:rowOff>12700</xdr:rowOff>
                  </from>
                  <to>
                    <xdr:col>3</xdr:col>
                    <xdr:colOff>850900</xdr:colOff>
                    <xdr:row>54</xdr:row>
                    <xdr:rowOff>190500</xdr:rowOff>
                  </to>
                </anchor>
              </controlPr>
            </control>
          </mc:Choice>
        </mc:AlternateContent>
        <mc:AlternateContent xmlns:mc="http://schemas.openxmlformats.org/markup-compatibility/2006">
          <mc:Choice Requires="x14">
            <control shapeId="4167" r:id="rId10" name="Drop Down 71">
              <controlPr defaultSize="0" autoFill="0" autoLine="0" autoPict="0">
                <anchor moveWithCells="1">
                  <from>
                    <xdr:col>3</xdr:col>
                    <xdr:colOff>25400</xdr:colOff>
                    <xdr:row>67</xdr:row>
                    <xdr:rowOff>12700</xdr:rowOff>
                  </from>
                  <to>
                    <xdr:col>3</xdr:col>
                    <xdr:colOff>838200</xdr:colOff>
                    <xdr:row>67</xdr:row>
                    <xdr:rowOff>203200</xdr:rowOff>
                  </to>
                </anchor>
              </controlPr>
            </control>
          </mc:Choice>
        </mc:AlternateContent>
        <mc:AlternateContent xmlns:mc="http://schemas.openxmlformats.org/markup-compatibility/2006">
          <mc:Choice Requires="x14">
            <control shapeId="4168" r:id="rId11" name="Drop Down 72">
              <controlPr defaultSize="0" autoFill="0" autoLine="0" autoPict="0">
                <anchor moveWithCells="1">
                  <from>
                    <xdr:col>3</xdr:col>
                    <xdr:colOff>25400</xdr:colOff>
                    <xdr:row>80</xdr:row>
                    <xdr:rowOff>25400</xdr:rowOff>
                  </from>
                  <to>
                    <xdr:col>3</xdr:col>
                    <xdr:colOff>850900</xdr:colOff>
                    <xdr:row>80</xdr:row>
                    <xdr:rowOff>203200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A2">
    <pageSetUpPr fitToPage="1"/>
  </sheetPr>
  <dimension ref="A1:Q183"/>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ColWidth="11.453125" defaultRowHeight="13"/>
  <cols>
    <col min="1" max="2" width="0" style="255" hidden="1" customWidth="1"/>
    <col min="3" max="3" width="38.36328125" style="48" customWidth="1"/>
    <col min="4" max="4" width="12.6328125" style="255" customWidth="1"/>
    <col min="5" max="17" width="12.81640625" style="255" customWidth="1"/>
    <col min="18" max="16384" width="11.453125" style="255"/>
  </cols>
  <sheetData>
    <row r="1" spans="3:17" customFormat="1" ht="12.5"/>
    <row r="2" spans="3:17" customFormat="1" ht="12.5"/>
    <row r="3" spans="3:17" customFormat="1" ht="12.5"/>
    <row r="4" spans="3:17" customFormat="1" ht="12.5"/>
    <row r="5" spans="3:17" customFormat="1" ht="12.5"/>
    <row r="6" spans="3:17" customFormat="1" ht="12.5"/>
    <row r="7" spans="3:17" customFormat="1" ht="12.5"/>
    <row r="8" spans="3:17" customFormat="1" ht="12.5"/>
    <row r="9" spans="3:17" customFormat="1" ht="12.5"/>
    <row r="10" spans="3:17" s="48" customFormat="1" ht="27" customHeight="1">
      <c r="C10" s="105" t="str">
        <f>RG!D17</f>
        <v>Jhon Wesly inc.</v>
      </c>
      <c r="D10" s="262"/>
      <c r="E10" s="262"/>
      <c r="F10" s="262"/>
      <c r="G10" s="262"/>
      <c r="H10" s="262"/>
      <c r="I10" s="262"/>
      <c r="J10" s="262"/>
      <c r="K10" s="262"/>
      <c r="L10" s="262"/>
      <c r="M10" s="262"/>
      <c r="N10" s="262"/>
      <c r="O10" s="262"/>
      <c r="P10" s="262"/>
      <c r="Q10" s="262"/>
    </row>
    <row r="11" spans="3:17" s="48" customFormat="1" ht="12.75" customHeight="1" thickBot="1">
      <c r="C11" s="263"/>
      <c r="D11" s="263"/>
      <c r="E11" s="263"/>
      <c r="F11" s="263"/>
      <c r="G11" s="263"/>
      <c r="H11" s="263"/>
      <c r="I11" s="263"/>
      <c r="J11" s="263"/>
      <c r="K11" s="263"/>
      <c r="L11" s="263"/>
      <c r="M11" s="263"/>
      <c r="N11" s="263"/>
      <c r="O11" s="263"/>
      <c r="P11" s="263"/>
      <c r="Q11" s="263"/>
    </row>
    <row r="12" spans="3:17" s="48" customFormat="1" ht="15.5" hidden="1" thickBot="1">
      <c r="C12" s="72" t="s">
        <v>213</v>
      </c>
      <c r="D12" s="255"/>
      <c r="F12" s="107"/>
      <c r="G12" s="107"/>
      <c r="H12" s="107"/>
      <c r="I12" s="107"/>
      <c r="J12" s="107"/>
      <c r="K12" s="107"/>
      <c r="L12" s="107"/>
      <c r="M12" s="107"/>
      <c r="N12" s="107"/>
      <c r="O12" s="107"/>
      <c r="P12" s="107"/>
      <c r="Q12" s="107"/>
    </row>
    <row r="13" spans="3:17" s="48" customFormat="1" ht="13.5" hidden="1" thickBot="1">
      <c r="C13" s="143"/>
      <c r="D13" s="106"/>
      <c r="E13" s="107"/>
      <c r="F13" s="107"/>
      <c r="G13" s="107"/>
      <c r="H13" s="107"/>
      <c r="I13" s="107"/>
      <c r="J13" s="107"/>
      <c r="K13" s="107"/>
      <c r="L13" s="107"/>
      <c r="M13" s="107"/>
      <c r="N13" s="107"/>
      <c r="O13" s="107"/>
      <c r="P13" s="107"/>
      <c r="Q13" s="107"/>
    </row>
    <row r="14" spans="3:17" s="48" customFormat="1" ht="15.5" thickBot="1">
      <c r="C14" s="1177" t="s">
        <v>213</v>
      </c>
      <c r="D14" s="1179"/>
      <c r="E14" s="837">
        <f>'A1'!E14+366</f>
        <v>45658</v>
      </c>
      <c r="F14" s="837">
        <f t="shared" ref="F14:P14" si="0">E14+31</f>
        <v>45689</v>
      </c>
      <c r="G14" s="837">
        <f t="shared" si="0"/>
        <v>45720</v>
      </c>
      <c r="H14" s="837">
        <f t="shared" si="0"/>
        <v>45751</v>
      </c>
      <c r="I14" s="837">
        <f t="shared" si="0"/>
        <v>45782</v>
      </c>
      <c r="J14" s="837">
        <f t="shared" si="0"/>
        <v>45813</v>
      </c>
      <c r="K14" s="837">
        <f t="shared" si="0"/>
        <v>45844</v>
      </c>
      <c r="L14" s="837">
        <f t="shared" si="0"/>
        <v>45875</v>
      </c>
      <c r="M14" s="837">
        <f t="shared" si="0"/>
        <v>45906</v>
      </c>
      <c r="N14" s="837">
        <f t="shared" si="0"/>
        <v>45937</v>
      </c>
      <c r="O14" s="837">
        <f t="shared" si="0"/>
        <v>45968</v>
      </c>
      <c r="P14" s="837">
        <f t="shared" si="0"/>
        <v>45999</v>
      </c>
      <c r="Q14" s="838" t="s">
        <v>489</v>
      </c>
    </row>
    <row r="15" spans="3:17">
      <c r="C15" s="143"/>
      <c r="D15" s="106"/>
      <c r="E15" s="264"/>
      <c r="F15" s="264"/>
      <c r="G15" s="264"/>
      <c r="H15" s="264"/>
      <c r="I15" s="264"/>
      <c r="J15" s="264"/>
      <c r="K15" s="264"/>
      <c r="L15" s="264"/>
      <c r="M15" s="264"/>
      <c r="N15" s="264"/>
      <c r="O15" s="264"/>
      <c r="P15" s="264"/>
      <c r="Q15" s="265"/>
    </row>
    <row r="16" spans="3:17" ht="17.25" customHeight="1">
      <c r="C16" s="909" t="str">
        <f>'A1'!C16</f>
        <v>Produit/service 1</v>
      </c>
      <c r="D16" s="910"/>
      <c r="E16" s="1181" t="str">
        <f>C16</f>
        <v>Produit/service 1</v>
      </c>
      <c r="F16" s="1182"/>
      <c r="G16" s="1182"/>
      <c r="H16" s="1182"/>
      <c r="I16" s="1182"/>
      <c r="J16" s="1182"/>
      <c r="K16" s="1182"/>
      <c r="L16" s="1182"/>
      <c r="M16" s="1182"/>
      <c r="N16" s="1182"/>
      <c r="O16" s="1182"/>
      <c r="P16" s="1182"/>
      <c r="Q16" s="1182"/>
    </row>
    <row r="17" spans="1:17" hidden="1">
      <c r="B17" s="265" t="s">
        <v>328</v>
      </c>
      <c r="D17" s="106"/>
      <c r="E17" s="106">
        <f>IF($A20=1,E26,0)</f>
        <v>0</v>
      </c>
      <c r="F17" s="106">
        <f>IF($A20=1,F26,0)</f>
        <v>0</v>
      </c>
      <c r="G17" s="106">
        <f>IF($A20=1,G26,0)</f>
        <v>0</v>
      </c>
      <c r="H17" s="106">
        <f>IF($A20=1,H26,0)</f>
        <v>0</v>
      </c>
      <c r="I17" s="106">
        <f t="shared" ref="I17:P17" si="1">IF($A20=1,I26,0)</f>
        <v>0</v>
      </c>
      <c r="J17" s="106">
        <f t="shared" si="1"/>
        <v>0</v>
      </c>
      <c r="K17" s="106">
        <f t="shared" si="1"/>
        <v>0</v>
      </c>
      <c r="L17" s="106">
        <f t="shared" si="1"/>
        <v>0</v>
      </c>
      <c r="M17" s="106">
        <f t="shared" si="1"/>
        <v>0</v>
      </c>
      <c r="N17" s="106">
        <f t="shared" si="1"/>
        <v>0</v>
      </c>
      <c r="O17" s="106">
        <f t="shared" si="1"/>
        <v>0</v>
      </c>
      <c r="P17" s="106">
        <f t="shared" si="1"/>
        <v>0</v>
      </c>
      <c r="Q17" s="48"/>
    </row>
    <row r="18" spans="1:17" hidden="1">
      <c r="B18" s="264" t="s">
        <v>329</v>
      </c>
      <c r="D18" s="106"/>
      <c r="E18" s="270">
        <f>IF('A1'!$A20=2,'A1'!P26,0)</f>
        <v>0</v>
      </c>
      <c r="F18" s="106">
        <f>IF($A20=2,E26,0)</f>
        <v>0</v>
      </c>
      <c r="G18" s="106">
        <f>IF($A20=2,F26,0)</f>
        <v>0</v>
      </c>
      <c r="H18" s="106">
        <f>IF($A20=2,G26,0)</f>
        <v>0</v>
      </c>
      <c r="I18" s="106">
        <f t="shared" ref="I18:P18" si="2">IF($A20=2,H26,0)</f>
        <v>0</v>
      </c>
      <c r="J18" s="106">
        <f t="shared" si="2"/>
        <v>0</v>
      </c>
      <c r="K18" s="106">
        <f t="shared" si="2"/>
        <v>0</v>
      </c>
      <c r="L18" s="106">
        <f t="shared" si="2"/>
        <v>0</v>
      </c>
      <c r="M18" s="106">
        <f t="shared" si="2"/>
        <v>0</v>
      </c>
      <c r="N18" s="106">
        <f t="shared" si="2"/>
        <v>0</v>
      </c>
      <c r="O18" s="106">
        <f t="shared" si="2"/>
        <v>0</v>
      </c>
      <c r="P18" s="106">
        <f t="shared" si="2"/>
        <v>0</v>
      </c>
      <c r="Q18" s="48"/>
    </row>
    <row r="19" spans="1:17" hidden="1">
      <c r="B19" s="264" t="s">
        <v>448</v>
      </c>
      <c r="D19" s="106"/>
      <c r="E19" s="270">
        <f>IF('A1'!$A20=3,'A1'!O26,0)</f>
        <v>0</v>
      </c>
      <c r="F19" s="264">
        <f>IF('A1'!$A20=3,'A1'!P26,0)</f>
        <v>0</v>
      </c>
      <c r="G19" s="106">
        <f>IF($A20=3,E26,0)</f>
        <v>0</v>
      </c>
      <c r="H19" s="106">
        <f>IF($A20=3,F26,0)</f>
        <v>0</v>
      </c>
      <c r="I19" s="106">
        <f t="shared" ref="I19:P19" si="3">IF($A20=3,G26,0)</f>
        <v>0</v>
      </c>
      <c r="J19" s="106">
        <f t="shared" si="3"/>
        <v>0</v>
      </c>
      <c r="K19" s="106">
        <f t="shared" si="3"/>
        <v>0</v>
      </c>
      <c r="L19" s="106">
        <f t="shared" si="3"/>
        <v>0</v>
      </c>
      <c r="M19" s="106">
        <f t="shared" si="3"/>
        <v>0</v>
      </c>
      <c r="N19" s="106">
        <f t="shared" si="3"/>
        <v>0</v>
      </c>
      <c r="O19" s="106">
        <f t="shared" si="3"/>
        <v>0</v>
      </c>
      <c r="P19" s="106">
        <f t="shared" si="3"/>
        <v>0</v>
      </c>
      <c r="Q19" s="48"/>
    </row>
    <row r="20" spans="1:17" hidden="1">
      <c r="A20" s="243">
        <v>1</v>
      </c>
      <c r="B20" s="264" t="s">
        <v>330</v>
      </c>
      <c r="D20" s="48"/>
      <c r="E20" s="270">
        <f>IF('A1'!$A20=4,'A1'!N26,0)</f>
        <v>0</v>
      </c>
      <c r="F20" s="264">
        <f>IF('A1'!$A20=4,'A1'!O26,0)</f>
        <v>0</v>
      </c>
      <c r="G20" s="264">
        <f>IF('A1'!$A20=4,'A1'!P26,0)</f>
        <v>0</v>
      </c>
      <c r="H20" s="106">
        <f>IF($A20=4,E26,0)</f>
        <v>0</v>
      </c>
      <c r="I20" s="106">
        <f t="shared" ref="I20:P20" si="4">IF($A20=4,F26,0)</f>
        <v>0</v>
      </c>
      <c r="J20" s="106">
        <f t="shared" si="4"/>
        <v>0</v>
      </c>
      <c r="K20" s="106">
        <f t="shared" si="4"/>
        <v>0</v>
      </c>
      <c r="L20" s="106">
        <f t="shared" si="4"/>
        <v>0</v>
      </c>
      <c r="M20" s="106">
        <f t="shared" si="4"/>
        <v>0</v>
      </c>
      <c r="N20" s="106">
        <f t="shared" si="4"/>
        <v>0</v>
      </c>
      <c r="O20" s="106">
        <f t="shared" si="4"/>
        <v>0</v>
      </c>
      <c r="P20" s="106">
        <f t="shared" si="4"/>
        <v>0</v>
      </c>
      <c r="Q20" s="48"/>
    </row>
    <row r="21" spans="1:17" hidden="1">
      <c r="A21" s="243"/>
      <c r="B21" s="264"/>
      <c r="D21" s="271"/>
      <c r="E21" s="272">
        <f t="shared" ref="E21:P21" si="5">SUM(E17:E20)</f>
        <v>0</v>
      </c>
      <c r="F21" s="272">
        <f t="shared" si="5"/>
        <v>0</v>
      </c>
      <c r="G21" s="272">
        <f t="shared" si="5"/>
        <v>0</v>
      </c>
      <c r="H21" s="272">
        <f t="shared" si="5"/>
        <v>0</v>
      </c>
      <c r="I21" s="272">
        <f t="shared" si="5"/>
        <v>0</v>
      </c>
      <c r="J21" s="272">
        <f t="shared" si="5"/>
        <v>0</v>
      </c>
      <c r="K21" s="272">
        <f t="shared" si="5"/>
        <v>0</v>
      </c>
      <c r="L21" s="272">
        <f t="shared" si="5"/>
        <v>0</v>
      </c>
      <c r="M21" s="272">
        <f t="shared" si="5"/>
        <v>0</v>
      </c>
      <c r="N21" s="272">
        <f t="shared" si="5"/>
        <v>0</v>
      </c>
      <c r="O21" s="272">
        <f t="shared" si="5"/>
        <v>0</v>
      </c>
      <c r="P21" s="272">
        <f t="shared" si="5"/>
        <v>0</v>
      </c>
      <c r="Q21" s="265"/>
    </row>
    <row r="22" spans="1:17" ht="13.5" thickBot="1">
      <c r="A22" s="243"/>
      <c r="B22" s="264"/>
      <c r="D22" s="271"/>
      <c r="E22" s="270"/>
      <c r="F22" s="264"/>
      <c r="G22" s="264"/>
      <c r="H22" s="106"/>
      <c r="I22" s="106"/>
      <c r="J22" s="106"/>
      <c r="K22" s="106"/>
      <c r="L22" s="106"/>
      <c r="M22" s="106"/>
      <c r="N22" s="106"/>
      <c r="O22" s="106"/>
      <c r="P22" s="106"/>
      <c r="Q22" s="264"/>
    </row>
    <row r="23" spans="1:17" ht="13.5" thickBot="1">
      <c r="C23" s="48" t="str">
        <f>'A1'!C23</f>
        <v>Coût des marchandises</v>
      </c>
      <c r="D23" s="907">
        <f>'A1'!D23</f>
        <v>0</v>
      </c>
      <c r="E23" s="48"/>
      <c r="F23" s="48"/>
      <c r="G23" s="48"/>
      <c r="H23" s="48"/>
      <c r="I23" s="48"/>
      <c r="J23" s="48"/>
      <c r="K23" s="48"/>
      <c r="L23" s="48"/>
      <c r="M23" s="48"/>
      <c r="N23" s="48"/>
      <c r="O23" s="48"/>
      <c r="P23" s="48"/>
      <c r="Q23" s="48"/>
    </row>
    <row r="24" spans="1:17" ht="13.5" thickBot="1">
      <c r="C24" s="48" t="str">
        <f>'A1'!C24</f>
        <v>Ventes estimées</v>
      </c>
      <c r="D24" s="266"/>
      <c r="E24" s="388">
        <f>'V2'!F26</f>
        <v>787.5</v>
      </c>
      <c r="F24" s="388">
        <f>'V2'!G26</f>
        <v>813.75</v>
      </c>
      <c r="G24" s="388">
        <f>'V2'!H26</f>
        <v>840</v>
      </c>
      <c r="H24" s="388">
        <f>'V2'!I26</f>
        <v>866.25</v>
      </c>
      <c r="I24" s="388">
        <f>'V2'!J26</f>
        <v>892.5</v>
      </c>
      <c r="J24" s="388">
        <f>'V2'!K26</f>
        <v>918.75</v>
      </c>
      <c r="K24" s="388">
        <f>'V2'!L26</f>
        <v>945</v>
      </c>
      <c r="L24" s="388">
        <f>'V2'!M26</f>
        <v>971.25</v>
      </c>
      <c r="M24" s="388">
        <f>'V2'!N26</f>
        <v>997.5</v>
      </c>
      <c r="N24" s="388">
        <f>'V2'!O26</f>
        <v>1023.75</v>
      </c>
      <c r="O24" s="388">
        <f>'V2'!P26</f>
        <v>1050</v>
      </c>
      <c r="P24" s="389">
        <f>'V2'!Q26</f>
        <v>1076.25</v>
      </c>
      <c r="Q24" s="76">
        <f>SUM(E24:P24)</f>
        <v>11182.5</v>
      </c>
    </row>
    <row r="25" spans="1:17" ht="13.5" thickBot="1">
      <c r="C25" s="48" t="s">
        <v>14</v>
      </c>
      <c r="D25" s="266"/>
      <c r="E25" s="908"/>
      <c r="F25" s="908"/>
      <c r="G25" s="908"/>
      <c r="H25" s="908"/>
      <c r="I25" s="908"/>
      <c r="J25" s="908"/>
      <c r="K25" s="908"/>
      <c r="L25" s="908"/>
      <c r="M25" s="908"/>
      <c r="N25" s="908"/>
      <c r="O25" s="908"/>
      <c r="P25" s="908"/>
      <c r="Q25" s="76">
        <f>SUM(E25:P25)</f>
        <v>0</v>
      </c>
    </row>
    <row r="26" spans="1:17" ht="13.5" thickBot="1">
      <c r="C26" s="48" t="str">
        <f>'A1'!C26</f>
        <v>Achats prévus</v>
      </c>
      <c r="D26" s="266"/>
      <c r="E26" s="394">
        <f>IF(RG!$A$78=5,0,E24*$D23)</f>
        <v>0</v>
      </c>
      <c r="F26" s="394">
        <f>IF(RG!$A$78=5,0,F24*$D23)</f>
        <v>0</v>
      </c>
      <c r="G26" s="394">
        <f>IF(RG!$A$78=5,0,G24*$D23)</f>
        <v>0</v>
      </c>
      <c r="H26" s="394">
        <f>IF(RG!$A$78=5,0,H24*$D23)</f>
        <v>0</v>
      </c>
      <c r="I26" s="394">
        <f>IF(RG!$A$78=5,0,I24*$D23)</f>
        <v>0</v>
      </c>
      <c r="J26" s="394">
        <f>IF(RG!$A$78=5,0,J24*$D23)</f>
        <v>0</v>
      </c>
      <c r="K26" s="394">
        <f>IF(RG!$A$78=5,0,K24*$D23)</f>
        <v>0</v>
      </c>
      <c r="L26" s="394">
        <f>IF(RG!$A$78=5,0,L24*$D23)</f>
        <v>0</v>
      </c>
      <c r="M26" s="394">
        <f>IF(RG!$A$78=5,0,M24*$D23)</f>
        <v>0</v>
      </c>
      <c r="N26" s="394">
        <f>IF(RG!$A$78=5,0,N24*$D23)</f>
        <v>0</v>
      </c>
      <c r="O26" s="394">
        <f>IF(RG!$A$78=5,0,O24*$D23)</f>
        <v>0</v>
      </c>
      <c r="P26" s="394">
        <f>IF(RG!$A$78=5,0,P24*$D23)</f>
        <v>0</v>
      </c>
      <c r="Q26" s="76">
        <f>SUM(E26:P26)</f>
        <v>0</v>
      </c>
    </row>
    <row r="27" spans="1:17" hidden="1">
      <c r="D27" s="266"/>
      <c r="E27" s="77"/>
      <c r="F27" s="77"/>
      <c r="G27" s="77"/>
      <c r="H27" s="77"/>
      <c r="I27" s="77"/>
      <c r="J27" s="77"/>
      <c r="K27" s="77"/>
      <c r="L27" s="77"/>
      <c r="M27" s="77"/>
      <c r="N27" s="77"/>
      <c r="O27" s="77"/>
      <c r="P27" s="77"/>
      <c r="Q27" s="77"/>
    </row>
    <row r="28" spans="1:17">
      <c r="D28" s="266"/>
      <c r="E28" s="77"/>
      <c r="F28" s="77"/>
      <c r="G28" s="77"/>
      <c r="H28" s="77"/>
      <c r="I28" s="77"/>
      <c r="J28" s="77"/>
      <c r="K28" s="77"/>
      <c r="L28" s="77"/>
      <c r="M28" s="77"/>
      <c r="N28" s="77"/>
      <c r="O28" s="77"/>
      <c r="P28" s="77"/>
      <c r="Q28" s="77"/>
    </row>
    <row r="29" spans="1:17" ht="17.25" customHeight="1">
      <c r="C29" s="909" t="str">
        <f>'A1'!C29</f>
        <v>Produit/service 2</v>
      </c>
      <c r="D29" s="910"/>
      <c r="E29" s="1181" t="str">
        <f>C29</f>
        <v>Produit/service 2</v>
      </c>
      <c r="F29" s="1182"/>
      <c r="G29" s="1182"/>
      <c r="H29" s="1182"/>
      <c r="I29" s="1182"/>
      <c r="J29" s="1182"/>
      <c r="K29" s="1182"/>
      <c r="L29" s="1182"/>
      <c r="M29" s="1182"/>
      <c r="N29" s="1182"/>
      <c r="O29" s="1182"/>
      <c r="P29" s="1182"/>
      <c r="Q29" s="1182"/>
    </row>
    <row r="30" spans="1:17" hidden="1">
      <c r="B30" s="265" t="s">
        <v>328</v>
      </c>
      <c r="D30" s="106"/>
      <c r="E30" s="106">
        <f t="shared" ref="E30:P30" si="6">IF($A33=1,E39,0)</f>
        <v>0</v>
      </c>
      <c r="F30" s="106">
        <f t="shared" si="6"/>
        <v>0</v>
      </c>
      <c r="G30" s="106">
        <f t="shared" si="6"/>
        <v>0</v>
      </c>
      <c r="H30" s="106">
        <f t="shared" si="6"/>
        <v>0</v>
      </c>
      <c r="I30" s="106">
        <f t="shared" si="6"/>
        <v>0</v>
      </c>
      <c r="J30" s="106">
        <f t="shared" si="6"/>
        <v>0</v>
      </c>
      <c r="K30" s="106">
        <f t="shared" si="6"/>
        <v>0</v>
      </c>
      <c r="L30" s="106">
        <f t="shared" si="6"/>
        <v>0</v>
      </c>
      <c r="M30" s="106">
        <f t="shared" si="6"/>
        <v>0</v>
      </c>
      <c r="N30" s="106">
        <f t="shared" si="6"/>
        <v>0</v>
      </c>
      <c r="O30" s="106">
        <f t="shared" si="6"/>
        <v>0</v>
      </c>
      <c r="P30" s="106">
        <f t="shared" si="6"/>
        <v>0</v>
      </c>
      <c r="Q30" s="48"/>
    </row>
    <row r="31" spans="1:17" hidden="1">
      <c r="B31" s="264" t="s">
        <v>329</v>
      </c>
      <c r="D31" s="106"/>
      <c r="E31" s="270">
        <f>IF('A1'!$A33=2,'A1'!P39,0)</f>
        <v>0</v>
      </c>
      <c r="F31" s="106">
        <f>IF($A33=2,E39,0)</f>
        <v>0</v>
      </c>
      <c r="G31" s="106">
        <f>IF($A33=2,F39,0)</f>
        <v>0</v>
      </c>
      <c r="H31" s="106">
        <f>IF($A33=2,G39,0)</f>
        <v>0</v>
      </c>
      <c r="I31" s="106">
        <f t="shared" ref="I31:P31" si="7">IF($A33=2,H39,0)</f>
        <v>0</v>
      </c>
      <c r="J31" s="106">
        <f t="shared" si="7"/>
        <v>0</v>
      </c>
      <c r="K31" s="106">
        <f t="shared" si="7"/>
        <v>0</v>
      </c>
      <c r="L31" s="106">
        <f t="shared" si="7"/>
        <v>0</v>
      </c>
      <c r="M31" s="106">
        <f t="shared" si="7"/>
        <v>0</v>
      </c>
      <c r="N31" s="106">
        <f t="shared" si="7"/>
        <v>0</v>
      </c>
      <c r="O31" s="106">
        <f t="shared" si="7"/>
        <v>0</v>
      </c>
      <c r="P31" s="106">
        <f t="shared" si="7"/>
        <v>0</v>
      </c>
      <c r="Q31" s="48"/>
    </row>
    <row r="32" spans="1:17" hidden="1">
      <c r="B32" s="264" t="s">
        <v>448</v>
      </c>
      <c r="D32" s="106"/>
      <c r="E32" s="270">
        <f>IF('A1'!$A33=3,'A1'!O39,0)</f>
        <v>0</v>
      </c>
      <c r="F32" s="264">
        <f>IF('A1'!$A33=3,'A1'!P39,0)</f>
        <v>0</v>
      </c>
      <c r="G32" s="106">
        <f t="shared" ref="G32:P32" si="8">IF($A33=3,E39,0)</f>
        <v>0</v>
      </c>
      <c r="H32" s="106">
        <f t="shared" si="8"/>
        <v>0</v>
      </c>
      <c r="I32" s="106">
        <f t="shared" si="8"/>
        <v>0</v>
      </c>
      <c r="J32" s="106">
        <f t="shared" si="8"/>
        <v>0</v>
      </c>
      <c r="K32" s="106">
        <f t="shared" si="8"/>
        <v>0</v>
      </c>
      <c r="L32" s="106">
        <f t="shared" si="8"/>
        <v>0</v>
      </c>
      <c r="M32" s="106">
        <f t="shared" si="8"/>
        <v>0</v>
      </c>
      <c r="N32" s="106">
        <f t="shared" si="8"/>
        <v>0</v>
      </c>
      <c r="O32" s="106">
        <f t="shared" si="8"/>
        <v>0</v>
      </c>
      <c r="P32" s="106">
        <f t="shared" si="8"/>
        <v>0</v>
      </c>
      <c r="Q32" s="48"/>
    </row>
    <row r="33" spans="1:17" hidden="1">
      <c r="A33" s="243">
        <v>1</v>
      </c>
      <c r="B33" s="264" t="s">
        <v>330</v>
      </c>
      <c r="D33" s="48"/>
      <c r="E33" s="270">
        <f>IF('A1'!$A33=4,'A1'!N39,0)</f>
        <v>0</v>
      </c>
      <c r="F33" s="264">
        <f>IF('A1'!$A33=4,'A1'!O39,0)</f>
        <v>0</v>
      </c>
      <c r="G33" s="264">
        <f>IF('A1'!$A33=4,'A1'!P39,0)</f>
        <v>0</v>
      </c>
      <c r="H33" s="106">
        <f t="shared" ref="H33:P33" si="9">IF($A33=4,E39,0)</f>
        <v>0</v>
      </c>
      <c r="I33" s="106">
        <f t="shared" si="9"/>
        <v>0</v>
      </c>
      <c r="J33" s="106">
        <f t="shared" si="9"/>
        <v>0</v>
      </c>
      <c r="K33" s="106">
        <f t="shared" si="9"/>
        <v>0</v>
      </c>
      <c r="L33" s="106">
        <f t="shared" si="9"/>
        <v>0</v>
      </c>
      <c r="M33" s="106">
        <f t="shared" si="9"/>
        <v>0</v>
      </c>
      <c r="N33" s="106">
        <f t="shared" si="9"/>
        <v>0</v>
      </c>
      <c r="O33" s="106">
        <f t="shared" si="9"/>
        <v>0</v>
      </c>
      <c r="P33" s="106">
        <f t="shared" si="9"/>
        <v>0</v>
      </c>
      <c r="Q33" s="48"/>
    </row>
    <row r="34" spans="1:17" hidden="1">
      <c r="A34" s="243"/>
      <c r="B34" s="264"/>
      <c r="D34" s="271"/>
      <c r="E34" s="272">
        <f t="shared" ref="E34:P34" si="10">SUM(E30:E33)</f>
        <v>0</v>
      </c>
      <c r="F34" s="272">
        <f t="shared" si="10"/>
        <v>0</v>
      </c>
      <c r="G34" s="272">
        <f t="shared" si="10"/>
        <v>0</v>
      </c>
      <c r="H34" s="272">
        <f t="shared" si="10"/>
        <v>0</v>
      </c>
      <c r="I34" s="272">
        <f t="shared" si="10"/>
        <v>0</v>
      </c>
      <c r="J34" s="272">
        <f t="shared" si="10"/>
        <v>0</v>
      </c>
      <c r="K34" s="272">
        <f t="shared" si="10"/>
        <v>0</v>
      </c>
      <c r="L34" s="272">
        <f t="shared" si="10"/>
        <v>0</v>
      </c>
      <c r="M34" s="272">
        <f t="shared" si="10"/>
        <v>0</v>
      </c>
      <c r="N34" s="272">
        <f t="shared" si="10"/>
        <v>0</v>
      </c>
      <c r="O34" s="272">
        <f t="shared" si="10"/>
        <v>0</v>
      </c>
      <c r="P34" s="272">
        <f t="shared" si="10"/>
        <v>0</v>
      </c>
      <c r="Q34" s="77"/>
    </row>
    <row r="35" spans="1:17" ht="13.5" thickBot="1">
      <c r="A35" s="243"/>
      <c r="B35" s="264"/>
      <c r="D35" s="271"/>
      <c r="E35" s="270"/>
      <c r="F35" s="264"/>
      <c r="G35" s="264"/>
      <c r="H35" s="106"/>
      <c r="I35" s="106"/>
      <c r="J35" s="106"/>
      <c r="K35" s="106"/>
      <c r="L35" s="106"/>
      <c r="M35" s="106"/>
      <c r="N35" s="106"/>
      <c r="O35" s="106"/>
      <c r="P35" s="106"/>
      <c r="Q35" s="264"/>
    </row>
    <row r="36" spans="1:17" ht="13.5" thickBot="1">
      <c r="C36" s="48" t="str">
        <f>'A1'!C36</f>
        <v>Coût des marchandises</v>
      </c>
      <c r="D36" s="907">
        <f>'A1'!D36</f>
        <v>0</v>
      </c>
      <c r="E36" s="48"/>
      <c r="F36" s="48"/>
      <c r="G36" s="48"/>
      <c r="H36" s="48"/>
      <c r="I36" s="48"/>
      <c r="J36" s="48"/>
      <c r="K36" s="48"/>
      <c r="L36" s="48"/>
      <c r="M36" s="48"/>
      <c r="N36" s="48"/>
      <c r="O36" s="48"/>
      <c r="P36" s="48"/>
      <c r="Q36" s="48"/>
    </row>
    <row r="37" spans="1:17" ht="13.5" thickBot="1">
      <c r="C37" s="48" t="str">
        <f>'A1'!C37</f>
        <v>Ventes estimées</v>
      </c>
      <c r="D37" s="266"/>
      <c r="E37" s="388">
        <f>'V2'!F40</f>
        <v>1050</v>
      </c>
      <c r="F37" s="388">
        <f>'V2'!G40</f>
        <v>1102.5</v>
      </c>
      <c r="G37" s="388">
        <f>'V2'!H40</f>
        <v>1155</v>
      </c>
      <c r="H37" s="388">
        <f>'V2'!I40</f>
        <v>1207.5</v>
      </c>
      <c r="I37" s="388">
        <f>'V2'!J40</f>
        <v>1260</v>
      </c>
      <c r="J37" s="388">
        <f>'V2'!K40</f>
        <v>1312.5</v>
      </c>
      <c r="K37" s="388">
        <f>'V2'!L40</f>
        <v>1365</v>
      </c>
      <c r="L37" s="388">
        <f>'V2'!M40</f>
        <v>1417.5</v>
      </c>
      <c r="M37" s="388">
        <f>'V2'!N40</f>
        <v>1470</v>
      </c>
      <c r="N37" s="388">
        <f>'V2'!O40</f>
        <v>1522.5</v>
      </c>
      <c r="O37" s="388">
        <f>'V2'!P40</f>
        <v>1575</v>
      </c>
      <c r="P37" s="389">
        <f>'V2'!Q40</f>
        <v>1627.5</v>
      </c>
      <c r="Q37" s="76">
        <f>SUM(E37:P37)</f>
        <v>16065</v>
      </c>
    </row>
    <row r="38" spans="1:17" ht="13.5" thickBot="1">
      <c r="C38" s="48" t="s">
        <v>14</v>
      </c>
      <c r="D38" s="266"/>
      <c r="E38" s="908"/>
      <c r="F38" s="908"/>
      <c r="G38" s="908"/>
      <c r="H38" s="908"/>
      <c r="I38" s="908"/>
      <c r="J38" s="908"/>
      <c r="K38" s="908"/>
      <c r="L38" s="908"/>
      <c r="M38" s="908"/>
      <c r="N38" s="908"/>
      <c r="O38" s="908"/>
      <c r="P38" s="908"/>
      <c r="Q38" s="76">
        <f>SUM(E38:P38)</f>
        <v>0</v>
      </c>
    </row>
    <row r="39" spans="1:17" ht="13.5" thickBot="1">
      <c r="C39" s="48" t="str">
        <f>'A1'!C39</f>
        <v>Achats prévus</v>
      </c>
      <c r="D39" s="266"/>
      <c r="E39" s="394">
        <f>IF(RG!$A$78=5,0,E37*$D36)</f>
        <v>0</v>
      </c>
      <c r="F39" s="394">
        <f>IF(RG!$A$78=5,0,F37*$D36)</f>
        <v>0</v>
      </c>
      <c r="G39" s="394">
        <f>IF(RG!$A$78=5,0,G37*$D36)</f>
        <v>0</v>
      </c>
      <c r="H39" s="394">
        <f>IF(RG!$A$78=5,0,H37*$D36)</f>
        <v>0</v>
      </c>
      <c r="I39" s="394">
        <f>IF(RG!$A$78=5,0,I37*$D36)</f>
        <v>0</v>
      </c>
      <c r="J39" s="394">
        <f>IF(RG!$A$78=5,0,J37*$D36)</f>
        <v>0</v>
      </c>
      <c r="K39" s="394">
        <f>IF(RG!$A$78=5,0,K37*$D36)</f>
        <v>0</v>
      </c>
      <c r="L39" s="394">
        <f>IF(RG!$A$78=5,0,L37*$D36)</f>
        <v>0</v>
      </c>
      <c r="M39" s="394">
        <f>IF(RG!$A$78=5,0,M37*$D36)</f>
        <v>0</v>
      </c>
      <c r="N39" s="394">
        <f>IF(RG!$A$78=5,0,N37*$D36)</f>
        <v>0</v>
      </c>
      <c r="O39" s="394">
        <f>IF(RG!$A$78=5,0,O37*$D36)</f>
        <v>0</v>
      </c>
      <c r="P39" s="394">
        <f>IF(RG!$A$78=5,0,P37*$D36)</f>
        <v>0</v>
      </c>
      <c r="Q39" s="76">
        <f>SUM(E39:P39)</f>
        <v>0</v>
      </c>
    </row>
    <row r="40" spans="1:17" hidden="1">
      <c r="D40" s="266"/>
      <c r="E40" s="77"/>
      <c r="F40" s="77"/>
      <c r="G40" s="77"/>
      <c r="H40" s="77"/>
      <c r="I40" s="77"/>
      <c r="J40" s="77"/>
      <c r="K40" s="77"/>
      <c r="L40" s="77"/>
      <c r="M40" s="77"/>
      <c r="N40" s="77"/>
      <c r="O40" s="77"/>
      <c r="P40" s="77"/>
      <c r="Q40" s="77"/>
    </row>
    <row r="41" spans="1:17">
      <c r="D41" s="266"/>
      <c r="E41" s="77"/>
      <c r="F41" s="77"/>
      <c r="G41" s="77"/>
      <c r="H41" s="77"/>
      <c r="I41" s="77"/>
      <c r="J41" s="77"/>
      <c r="K41" s="77"/>
      <c r="L41" s="77"/>
      <c r="M41" s="77"/>
      <c r="N41" s="77"/>
      <c r="O41" s="77"/>
      <c r="P41" s="77"/>
      <c r="Q41" s="77"/>
    </row>
    <row r="42" spans="1:17" ht="17.25" customHeight="1">
      <c r="C42" s="909" t="str">
        <f>'A1'!C42</f>
        <v>Produit/service 3</v>
      </c>
      <c r="D42" s="910"/>
      <c r="E42" s="1181" t="str">
        <f>C42</f>
        <v>Produit/service 3</v>
      </c>
      <c r="F42" s="1182"/>
      <c r="G42" s="1182"/>
      <c r="H42" s="1182"/>
      <c r="I42" s="1182"/>
      <c r="J42" s="1182"/>
      <c r="K42" s="1182"/>
      <c r="L42" s="1182"/>
      <c r="M42" s="1182"/>
      <c r="N42" s="1182"/>
      <c r="O42" s="1182"/>
      <c r="P42" s="1182"/>
      <c r="Q42" s="1182"/>
    </row>
    <row r="43" spans="1:17" hidden="1">
      <c r="B43" s="265" t="s">
        <v>328</v>
      </c>
      <c r="D43" s="106"/>
      <c r="E43" s="106">
        <f t="shared" ref="E43:P43" si="11">IF($A46=1,E52,0)</f>
        <v>0</v>
      </c>
      <c r="F43" s="106">
        <f t="shared" si="11"/>
        <v>0</v>
      </c>
      <c r="G43" s="106">
        <f t="shared" si="11"/>
        <v>0</v>
      </c>
      <c r="H43" s="106">
        <f t="shared" si="11"/>
        <v>0</v>
      </c>
      <c r="I43" s="106">
        <f t="shared" si="11"/>
        <v>0</v>
      </c>
      <c r="J43" s="106">
        <f t="shared" si="11"/>
        <v>0</v>
      </c>
      <c r="K43" s="106">
        <f t="shared" si="11"/>
        <v>0</v>
      </c>
      <c r="L43" s="106">
        <f t="shared" si="11"/>
        <v>0</v>
      </c>
      <c r="M43" s="106">
        <f t="shared" si="11"/>
        <v>0</v>
      </c>
      <c r="N43" s="106">
        <f t="shared" si="11"/>
        <v>0</v>
      </c>
      <c r="O43" s="106">
        <f t="shared" si="11"/>
        <v>0</v>
      </c>
      <c r="P43" s="106">
        <f t="shared" si="11"/>
        <v>0</v>
      </c>
      <c r="Q43" s="48"/>
    </row>
    <row r="44" spans="1:17" hidden="1">
      <c r="B44" s="264" t="s">
        <v>329</v>
      </c>
      <c r="D44" s="106"/>
      <c r="E44" s="270">
        <f>IF('A1'!$A46=2,'A1'!P52,0)</f>
        <v>0</v>
      </c>
      <c r="F44" s="106">
        <f>IF($A46=2,E52,0)</f>
        <v>0</v>
      </c>
      <c r="G44" s="106">
        <f>IF($A46=2,F52,0)</f>
        <v>0</v>
      </c>
      <c r="H44" s="106">
        <f>IF($A46=2,G52,0)</f>
        <v>0</v>
      </c>
      <c r="I44" s="106">
        <f t="shared" ref="I44:P44" si="12">IF($A46=2,H52,0)</f>
        <v>0</v>
      </c>
      <c r="J44" s="106">
        <f t="shared" si="12"/>
        <v>0</v>
      </c>
      <c r="K44" s="106">
        <f t="shared" si="12"/>
        <v>0</v>
      </c>
      <c r="L44" s="106">
        <f t="shared" si="12"/>
        <v>0</v>
      </c>
      <c r="M44" s="106">
        <f t="shared" si="12"/>
        <v>0</v>
      </c>
      <c r="N44" s="106">
        <f t="shared" si="12"/>
        <v>0</v>
      </c>
      <c r="O44" s="106">
        <f t="shared" si="12"/>
        <v>0</v>
      </c>
      <c r="P44" s="106">
        <f t="shared" si="12"/>
        <v>0</v>
      </c>
      <c r="Q44" s="48"/>
    </row>
    <row r="45" spans="1:17" hidden="1">
      <c r="B45" s="264" t="s">
        <v>448</v>
      </c>
      <c r="D45" s="106"/>
      <c r="E45" s="270">
        <f>IF('A1'!$A46=3,'A1'!O52,0)</f>
        <v>0</v>
      </c>
      <c r="F45" s="264">
        <f>IF('A1'!$A46=3,'A1'!P52,0)</f>
        <v>0</v>
      </c>
      <c r="G45" s="106">
        <f t="shared" ref="G45:P45" si="13">IF($A46=3,E52,0)</f>
        <v>0</v>
      </c>
      <c r="H45" s="106">
        <f t="shared" si="13"/>
        <v>0</v>
      </c>
      <c r="I45" s="106">
        <f t="shared" si="13"/>
        <v>0</v>
      </c>
      <c r="J45" s="106">
        <f t="shared" si="13"/>
        <v>0</v>
      </c>
      <c r="K45" s="106">
        <f t="shared" si="13"/>
        <v>0</v>
      </c>
      <c r="L45" s="106">
        <f t="shared" si="13"/>
        <v>0</v>
      </c>
      <c r="M45" s="106">
        <f t="shared" si="13"/>
        <v>0</v>
      </c>
      <c r="N45" s="106">
        <f t="shared" si="13"/>
        <v>0</v>
      </c>
      <c r="O45" s="106">
        <f t="shared" si="13"/>
        <v>0</v>
      </c>
      <c r="P45" s="106">
        <f t="shared" si="13"/>
        <v>0</v>
      </c>
      <c r="Q45" s="48"/>
    </row>
    <row r="46" spans="1:17" hidden="1">
      <c r="A46" s="243">
        <v>1</v>
      </c>
      <c r="B46" s="264" t="s">
        <v>330</v>
      </c>
      <c r="D46" s="48"/>
      <c r="E46" s="270">
        <f>IF('A1'!$A46=4,'A1'!N52,0)</f>
        <v>0</v>
      </c>
      <c r="F46" s="264">
        <f>IF('A1'!$A46=4,'A1'!O52,0)</f>
        <v>0</v>
      </c>
      <c r="G46" s="264">
        <f>IF('A1'!$A46=4,'A1'!P52,0)</f>
        <v>0</v>
      </c>
      <c r="H46" s="106">
        <f t="shared" ref="H46:P46" si="14">IF($A46=4,E52,0)</f>
        <v>0</v>
      </c>
      <c r="I46" s="106">
        <f t="shared" si="14"/>
        <v>0</v>
      </c>
      <c r="J46" s="106">
        <f t="shared" si="14"/>
        <v>0</v>
      </c>
      <c r="K46" s="106">
        <f t="shared" si="14"/>
        <v>0</v>
      </c>
      <c r="L46" s="106">
        <f t="shared" si="14"/>
        <v>0</v>
      </c>
      <c r="M46" s="106">
        <f t="shared" si="14"/>
        <v>0</v>
      </c>
      <c r="N46" s="106">
        <f t="shared" si="14"/>
        <v>0</v>
      </c>
      <c r="O46" s="106">
        <f t="shared" si="14"/>
        <v>0</v>
      </c>
      <c r="P46" s="106">
        <f t="shared" si="14"/>
        <v>0</v>
      </c>
      <c r="Q46" s="48"/>
    </row>
    <row r="47" spans="1:17" hidden="1">
      <c r="A47" s="243"/>
      <c r="B47" s="264"/>
      <c r="D47" s="271"/>
      <c r="E47" s="272">
        <f t="shared" ref="E47:P47" si="15">SUM(E43:E46)</f>
        <v>0</v>
      </c>
      <c r="F47" s="272">
        <f t="shared" si="15"/>
        <v>0</v>
      </c>
      <c r="G47" s="272">
        <f t="shared" si="15"/>
        <v>0</v>
      </c>
      <c r="H47" s="272">
        <f t="shared" si="15"/>
        <v>0</v>
      </c>
      <c r="I47" s="272">
        <f t="shared" si="15"/>
        <v>0</v>
      </c>
      <c r="J47" s="272">
        <f t="shared" si="15"/>
        <v>0</v>
      </c>
      <c r="K47" s="272">
        <f t="shared" si="15"/>
        <v>0</v>
      </c>
      <c r="L47" s="272">
        <f t="shared" si="15"/>
        <v>0</v>
      </c>
      <c r="M47" s="272">
        <f t="shared" si="15"/>
        <v>0</v>
      </c>
      <c r="N47" s="272">
        <f t="shared" si="15"/>
        <v>0</v>
      </c>
      <c r="O47" s="272">
        <f t="shared" si="15"/>
        <v>0</v>
      </c>
      <c r="P47" s="272">
        <f t="shared" si="15"/>
        <v>0</v>
      </c>
      <c r="Q47" s="77"/>
    </row>
    <row r="48" spans="1:17" ht="13.5" thickBot="1">
      <c r="A48" s="243"/>
      <c r="B48" s="264"/>
      <c r="D48" s="271"/>
      <c r="E48" s="270"/>
      <c r="F48" s="264"/>
      <c r="G48" s="264"/>
      <c r="H48" s="106"/>
      <c r="I48" s="106"/>
      <c r="J48" s="106"/>
      <c r="K48" s="106"/>
      <c r="L48" s="106"/>
      <c r="M48" s="106"/>
      <c r="N48" s="106"/>
      <c r="O48" s="106"/>
      <c r="P48" s="106"/>
      <c r="Q48" s="264"/>
    </row>
    <row r="49" spans="1:17" ht="13.5" thickBot="1">
      <c r="C49" s="48" t="str">
        <f>'A1'!C49</f>
        <v>Coût des marchandises</v>
      </c>
      <c r="D49" s="907">
        <f>'A1'!D49</f>
        <v>0</v>
      </c>
      <c r="E49" s="48"/>
      <c r="F49" s="48"/>
      <c r="G49" s="48"/>
      <c r="H49" s="48"/>
      <c r="I49" s="48"/>
      <c r="J49" s="48"/>
      <c r="K49" s="48"/>
      <c r="L49" s="48"/>
      <c r="M49" s="48"/>
      <c r="N49" s="48"/>
      <c r="O49" s="48"/>
      <c r="P49" s="48"/>
      <c r="Q49" s="48"/>
    </row>
    <row r="50" spans="1:17" ht="13.5" thickBot="1">
      <c r="C50" s="48" t="str">
        <f>'A1'!C50</f>
        <v>Ventes estimées</v>
      </c>
      <c r="D50" s="106"/>
      <c r="E50" s="388">
        <f>'V2'!F54</f>
        <v>1575</v>
      </c>
      <c r="F50" s="388">
        <f>'V2'!G54</f>
        <v>1653.75</v>
      </c>
      <c r="G50" s="388">
        <f>'V2'!H54</f>
        <v>1732.5</v>
      </c>
      <c r="H50" s="388">
        <f>'V2'!I54</f>
        <v>1811.25</v>
      </c>
      <c r="I50" s="388">
        <f>'V2'!J54</f>
        <v>1890</v>
      </c>
      <c r="J50" s="388">
        <f>'V2'!K54</f>
        <v>1968.75</v>
      </c>
      <c r="K50" s="388">
        <f>'V2'!L54</f>
        <v>2047.5</v>
      </c>
      <c r="L50" s="388">
        <f>'V2'!M54</f>
        <v>2126.25</v>
      </c>
      <c r="M50" s="388">
        <f>'V2'!N54</f>
        <v>2205</v>
      </c>
      <c r="N50" s="388">
        <f>'V2'!O54</f>
        <v>2283.75</v>
      </c>
      <c r="O50" s="388">
        <f>'V2'!P54</f>
        <v>2362.5</v>
      </c>
      <c r="P50" s="388">
        <f>'V2'!Q54</f>
        <v>2441.25</v>
      </c>
      <c r="Q50" s="76">
        <f>SUM(E50:P50)</f>
        <v>24097.5</v>
      </c>
    </row>
    <row r="51" spans="1:17" ht="13.5" thickBot="1">
      <c r="C51" s="48" t="s">
        <v>14</v>
      </c>
      <c r="D51" s="266"/>
      <c r="E51" s="908"/>
      <c r="F51" s="908"/>
      <c r="G51" s="908"/>
      <c r="H51" s="908"/>
      <c r="I51" s="908"/>
      <c r="J51" s="908"/>
      <c r="K51" s="908"/>
      <c r="L51" s="908"/>
      <c r="M51" s="908"/>
      <c r="N51" s="908"/>
      <c r="O51" s="908"/>
      <c r="P51" s="908"/>
      <c r="Q51" s="76">
        <f>SUM(E51:P51)</f>
        <v>0</v>
      </c>
    </row>
    <row r="52" spans="1:17" ht="13.5" thickBot="1">
      <c r="C52" s="48" t="str">
        <f>'A1'!C52</f>
        <v>Achats prévus</v>
      </c>
      <c r="D52" s="106"/>
      <c r="E52" s="394">
        <f>IF(RG!$A$78=5,0,E50*$D49)</f>
        <v>0</v>
      </c>
      <c r="F52" s="394">
        <f>IF(RG!$A$78=5,0,F50*$D49)</f>
        <v>0</v>
      </c>
      <c r="G52" s="394">
        <f>IF(RG!$A$78=5,0,G50*$D49)</f>
        <v>0</v>
      </c>
      <c r="H52" s="394">
        <f>IF(RG!$A$78=5,0,H50*$D49)</f>
        <v>0</v>
      </c>
      <c r="I52" s="394">
        <f>IF(RG!$A$78=5,0,I50*$D49)</f>
        <v>0</v>
      </c>
      <c r="J52" s="394">
        <f>IF(RG!$A$78=5,0,J50*$D49)</f>
        <v>0</v>
      </c>
      <c r="K52" s="394">
        <f>IF(RG!$A$78=5,0,K50*$D49)</f>
        <v>0</v>
      </c>
      <c r="L52" s="394">
        <f>IF(RG!$A$78=5,0,L50*$D49)</f>
        <v>0</v>
      </c>
      <c r="M52" s="394">
        <f>IF(RG!$A$78=5,0,M50*$D49)</f>
        <v>0</v>
      </c>
      <c r="N52" s="394">
        <f>IF(RG!$A$78=5,0,N50*$D49)</f>
        <v>0</v>
      </c>
      <c r="O52" s="394">
        <f>IF(RG!$A$78=5,0,O50*$D49)</f>
        <v>0</v>
      </c>
      <c r="P52" s="394">
        <f>IF(RG!$A$78=5,0,P50*$D49)</f>
        <v>0</v>
      </c>
      <c r="Q52" s="76">
        <f>SUM(E52:P52)</f>
        <v>0</v>
      </c>
    </row>
    <row r="53" spans="1:17" hidden="1">
      <c r="D53" s="106"/>
      <c r="E53" s="77"/>
      <c r="F53" s="77"/>
      <c r="G53" s="77"/>
      <c r="H53" s="77"/>
      <c r="I53" s="77"/>
      <c r="J53" s="77"/>
      <c r="K53" s="77"/>
      <c r="L53" s="77"/>
      <c r="M53" s="77"/>
      <c r="N53" s="77"/>
      <c r="O53" s="77"/>
      <c r="P53" s="77"/>
      <c r="Q53" s="77"/>
    </row>
    <row r="54" spans="1:17">
      <c r="D54" s="106"/>
      <c r="E54" s="77"/>
      <c r="F54" s="77"/>
      <c r="G54" s="77"/>
      <c r="H54" s="77"/>
      <c r="I54" s="77"/>
      <c r="J54" s="77"/>
      <c r="K54" s="77"/>
      <c r="L54" s="77"/>
      <c r="M54" s="77"/>
      <c r="N54" s="77"/>
      <c r="O54" s="77"/>
      <c r="P54" s="77"/>
      <c r="Q54" s="77"/>
    </row>
    <row r="55" spans="1:17" ht="17.25" customHeight="1">
      <c r="C55" s="909" t="str">
        <f>'A1'!C55</f>
        <v>Produit/service 4</v>
      </c>
      <c r="D55" s="910"/>
      <c r="E55" s="1181" t="str">
        <f>C55</f>
        <v>Produit/service 4</v>
      </c>
      <c r="F55" s="1182"/>
      <c r="G55" s="1182"/>
      <c r="H55" s="1182"/>
      <c r="I55" s="1182"/>
      <c r="J55" s="1182"/>
      <c r="K55" s="1182"/>
      <c r="L55" s="1182"/>
      <c r="M55" s="1182"/>
      <c r="N55" s="1182"/>
      <c r="O55" s="1182"/>
      <c r="P55" s="1182"/>
      <c r="Q55" s="1182"/>
    </row>
    <row r="56" spans="1:17" hidden="1">
      <c r="B56" s="265" t="s">
        <v>328</v>
      </c>
      <c r="D56" s="106"/>
      <c r="E56" s="106">
        <f t="shared" ref="E56:P56" si="16">IF($A59=1,E65,0)</f>
        <v>0</v>
      </c>
      <c r="F56" s="106">
        <f t="shared" si="16"/>
        <v>0</v>
      </c>
      <c r="G56" s="106">
        <f t="shared" si="16"/>
        <v>0</v>
      </c>
      <c r="H56" s="106">
        <f t="shared" si="16"/>
        <v>0</v>
      </c>
      <c r="I56" s="106">
        <f t="shared" si="16"/>
        <v>0</v>
      </c>
      <c r="J56" s="106">
        <f t="shared" si="16"/>
        <v>0</v>
      </c>
      <c r="K56" s="106">
        <f t="shared" si="16"/>
        <v>0</v>
      </c>
      <c r="L56" s="106">
        <f t="shared" si="16"/>
        <v>0</v>
      </c>
      <c r="M56" s="106">
        <f t="shared" si="16"/>
        <v>0</v>
      </c>
      <c r="N56" s="106">
        <f t="shared" si="16"/>
        <v>0</v>
      </c>
      <c r="O56" s="106">
        <f t="shared" si="16"/>
        <v>0</v>
      </c>
      <c r="P56" s="106">
        <f t="shared" si="16"/>
        <v>0</v>
      </c>
      <c r="Q56" s="48"/>
    </row>
    <row r="57" spans="1:17" hidden="1">
      <c r="B57" s="264" t="s">
        <v>329</v>
      </c>
      <c r="D57" s="106"/>
      <c r="E57" s="270">
        <f>IF('A1'!$A59=2,'A1'!P65,0)</f>
        <v>0</v>
      </c>
      <c r="F57" s="106">
        <f>IF($A59=2,E65,0)</f>
        <v>0</v>
      </c>
      <c r="G57" s="106">
        <f>IF($A59=2,F65,0)</f>
        <v>0</v>
      </c>
      <c r="H57" s="106">
        <f>IF($A59=2,G65,0)</f>
        <v>0</v>
      </c>
      <c r="I57" s="106">
        <f t="shared" ref="I57:P57" si="17">IF($A59=2,H65,0)</f>
        <v>0</v>
      </c>
      <c r="J57" s="106">
        <f t="shared" si="17"/>
        <v>0</v>
      </c>
      <c r="K57" s="106">
        <f t="shared" si="17"/>
        <v>0</v>
      </c>
      <c r="L57" s="106">
        <f t="shared" si="17"/>
        <v>0</v>
      </c>
      <c r="M57" s="106">
        <f t="shared" si="17"/>
        <v>0</v>
      </c>
      <c r="N57" s="106">
        <f t="shared" si="17"/>
        <v>0</v>
      </c>
      <c r="O57" s="106">
        <f t="shared" si="17"/>
        <v>0</v>
      </c>
      <c r="P57" s="106">
        <f t="shared" si="17"/>
        <v>0</v>
      </c>
      <c r="Q57" s="48"/>
    </row>
    <row r="58" spans="1:17" hidden="1">
      <c r="B58" s="264" t="s">
        <v>448</v>
      </c>
      <c r="D58" s="106"/>
      <c r="E58" s="270">
        <f>IF('A1'!$A59=3,'A1'!O65,0)</f>
        <v>0</v>
      </c>
      <c r="F58" s="264">
        <f>IF('A1'!$A59=3,'A1'!P65,0)</f>
        <v>0</v>
      </c>
      <c r="G58" s="106">
        <f t="shared" ref="G58:P58" si="18">IF($A59=3,E65,0)</f>
        <v>0</v>
      </c>
      <c r="H58" s="106">
        <f t="shared" si="18"/>
        <v>0</v>
      </c>
      <c r="I58" s="106">
        <f t="shared" si="18"/>
        <v>0</v>
      </c>
      <c r="J58" s="106">
        <f t="shared" si="18"/>
        <v>0</v>
      </c>
      <c r="K58" s="106">
        <f t="shared" si="18"/>
        <v>0</v>
      </c>
      <c r="L58" s="106">
        <f t="shared" si="18"/>
        <v>0</v>
      </c>
      <c r="M58" s="106">
        <f t="shared" si="18"/>
        <v>0</v>
      </c>
      <c r="N58" s="106">
        <f t="shared" si="18"/>
        <v>0</v>
      </c>
      <c r="O58" s="106">
        <f t="shared" si="18"/>
        <v>0</v>
      </c>
      <c r="P58" s="106">
        <f t="shared" si="18"/>
        <v>0</v>
      </c>
      <c r="Q58" s="48"/>
    </row>
    <row r="59" spans="1:17" hidden="1">
      <c r="A59" s="243">
        <v>1</v>
      </c>
      <c r="B59" s="264" t="s">
        <v>330</v>
      </c>
      <c r="D59" s="48"/>
      <c r="E59" s="270">
        <f>IF('A1'!$A59=4,'A1'!N65,0)</f>
        <v>0</v>
      </c>
      <c r="F59" s="264">
        <f>IF('A1'!$A59=4,'A1'!O65,0)</f>
        <v>0</v>
      </c>
      <c r="G59" s="264">
        <f>IF('A1'!$A59=4,'A1'!P65,0)</f>
        <v>0</v>
      </c>
      <c r="H59" s="106">
        <f t="shared" ref="H59:P59" si="19">IF($A59=4,E65,0)</f>
        <v>0</v>
      </c>
      <c r="I59" s="106">
        <f t="shared" si="19"/>
        <v>0</v>
      </c>
      <c r="J59" s="106">
        <f t="shared" si="19"/>
        <v>0</v>
      </c>
      <c r="K59" s="106">
        <f t="shared" si="19"/>
        <v>0</v>
      </c>
      <c r="L59" s="106">
        <f t="shared" si="19"/>
        <v>0</v>
      </c>
      <c r="M59" s="106">
        <f t="shared" si="19"/>
        <v>0</v>
      </c>
      <c r="N59" s="106">
        <f t="shared" si="19"/>
        <v>0</v>
      </c>
      <c r="O59" s="106">
        <f t="shared" si="19"/>
        <v>0</v>
      </c>
      <c r="P59" s="106">
        <f t="shared" si="19"/>
        <v>0</v>
      </c>
      <c r="Q59" s="48"/>
    </row>
    <row r="60" spans="1:17" hidden="1">
      <c r="A60" s="243"/>
      <c r="B60" s="264"/>
      <c r="D60" s="271"/>
      <c r="E60" s="272">
        <f t="shared" ref="E60:P60" si="20">SUM(E56:E59)</f>
        <v>0</v>
      </c>
      <c r="F60" s="272">
        <f t="shared" si="20"/>
        <v>0</v>
      </c>
      <c r="G60" s="272">
        <f t="shared" si="20"/>
        <v>0</v>
      </c>
      <c r="H60" s="272">
        <f t="shared" si="20"/>
        <v>0</v>
      </c>
      <c r="I60" s="272">
        <f t="shared" si="20"/>
        <v>0</v>
      </c>
      <c r="J60" s="272">
        <f t="shared" si="20"/>
        <v>0</v>
      </c>
      <c r="K60" s="272">
        <f t="shared" si="20"/>
        <v>0</v>
      </c>
      <c r="L60" s="272">
        <f t="shared" si="20"/>
        <v>0</v>
      </c>
      <c r="M60" s="272">
        <f t="shared" si="20"/>
        <v>0</v>
      </c>
      <c r="N60" s="272">
        <f t="shared" si="20"/>
        <v>0</v>
      </c>
      <c r="O60" s="272">
        <f t="shared" si="20"/>
        <v>0</v>
      </c>
      <c r="P60" s="272">
        <f t="shared" si="20"/>
        <v>0</v>
      </c>
      <c r="Q60" s="265"/>
    </row>
    <row r="61" spans="1:17" ht="13.5" thickBot="1">
      <c r="A61" s="243"/>
      <c r="B61" s="264"/>
      <c r="D61" s="271"/>
      <c r="E61" s="270"/>
      <c r="F61" s="264"/>
      <c r="G61" s="264"/>
      <c r="H61" s="106"/>
      <c r="I61" s="106"/>
      <c r="J61" s="106"/>
      <c r="K61" s="106"/>
      <c r="L61" s="106"/>
      <c r="M61" s="106"/>
      <c r="N61" s="106"/>
      <c r="O61" s="106"/>
      <c r="P61" s="106"/>
      <c r="Q61" s="264"/>
    </row>
    <row r="62" spans="1:17" ht="13.5" thickBot="1">
      <c r="C62" s="48" t="str">
        <f>'A1'!C62</f>
        <v>Coût des marchandises</v>
      </c>
      <c r="D62" s="907">
        <f>'A1'!D62</f>
        <v>0</v>
      </c>
      <c r="E62" s="48"/>
      <c r="F62" s="48"/>
      <c r="G62" s="48"/>
      <c r="H62" s="48"/>
      <c r="I62" s="48"/>
      <c r="J62" s="48"/>
      <c r="K62" s="48"/>
      <c r="L62" s="48"/>
      <c r="M62" s="48"/>
      <c r="N62" s="48"/>
      <c r="O62" s="48"/>
      <c r="P62" s="48"/>
      <c r="Q62" s="48"/>
    </row>
    <row r="63" spans="1:17" ht="13.5" thickBot="1">
      <c r="C63" s="48" t="str">
        <f>'A1'!C63</f>
        <v>Ventes estimées</v>
      </c>
      <c r="D63" s="266"/>
      <c r="E63" s="388">
        <f>'V2'!F68</f>
        <v>0</v>
      </c>
      <c r="F63" s="388">
        <f>'V2'!G68</f>
        <v>0</v>
      </c>
      <c r="G63" s="388">
        <f>'V2'!H68</f>
        <v>0</v>
      </c>
      <c r="H63" s="388">
        <f>'V2'!I68</f>
        <v>0</v>
      </c>
      <c r="I63" s="388">
        <f>'V2'!J68</f>
        <v>0</v>
      </c>
      <c r="J63" s="388">
        <f>'V2'!K68</f>
        <v>0</v>
      </c>
      <c r="K63" s="388">
        <f>'V2'!L68</f>
        <v>0</v>
      </c>
      <c r="L63" s="388">
        <f>'V2'!M68</f>
        <v>0</v>
      </c>
      <c r="M63" s="388">
        <f>'V2'!N68</f>
        <v>0</v>
      </c>
      <c r="N63" s="388">
        <f>'V2'!O68</f>
        <v>0</v>
      </c>
      <c r="O63" s="388">
        <f>'V2'!P68</f>
        <v>0</v>
      </c>
      <c r="P63" s="388">
        <f>'V2'!Q68</f>
        <v>0</v>
      </c>
      <c r="Q63" s="76">
        <f>SUM(E63:P63)</f>
        <v>0</v>
      </c>
    </row>
    <row r="64" spans="1:17" ht="13.5" thickBot="1">
      <c r="C64" s="48" t="s">
        <v>14</v>
      </c>
      <c r="D64" s="266"/>
      <c r="E64" s="390"/>
      <c r="F64" s="390"/>
      <c r="G64" s="390"/>
      <c r="H64" s="390"/>
      <c r="I64" s="390"/>
      <c r="J64" s="390"/>
      <c r="K64" s="390"/>
      <c r="L64" s="390"/>
      <c r="M64" s="390"/>
      <c r="N64" s="390"/>
      <c r="O64" s="390"/>
      <c r="P64" s="390"/>
      <c r="Q64" s="76">
        <f>SUM(E64:P64)</f>
        <v>0</v>
      </c>
    </row>
    <row r="65" spans="1:17" ht="13.5" thickBot="1">
      <c r="C65" s="48" t="str">
        <f>'A1'!C65</f>
        <v>Achats prévus</v>
      </c>
      <c r="D65" s="266"/>
      <c r="E65" s="394">
        <f>IF(RG!$A$78=5,0,E63*$D62)</f>
        <v>0</v>
      </c>
      <c r="F65" s="394">
        <f>IF(RG!$A$78=5,0,F63*$D62)</f>
        <v>0</v>
      </c>
      <c r="G65" s="394">
        <f>IF(RG!$A$78=5,0,G63*$D62)</f>
        <v>0</v>
      </c>
      <c r="H65" s="394">
        <f>IF(RG!$A$78=5,0,H63*$D62)</f>
        <v>0</v>
      </c>
      <c r="I65" s="394">
        <f>IF(RG!$A$78=5,0,I63*$D62)</f>
        <v>0</v>
      </c>
      <c r="J65" s="394">
        <f>IF(RG!$A$78=5,0,J63*$D62)</f>
        <v>0</v>
      </c>
      <c r="K65" s="394">
        <f>IF(RG!$A$78=5,0,K63*$D62)</f>
        <v>0</v>
      </c>
      <c r="L65" s="394">
        <f>IF(RG!$A$78=5,0,L63*$D62)</f>
        <v>0</v>
      </c>
      <c r="M65" s="394">
        <f>IF(RG!$A$78=5,0,M63*$D62)</f>
        <v>0</v>
      </c>
      <c r="N65" s="394">
        <f>IF(RG!$A$78=5,0,N63*$D62)</f>
        <v>0</v>
      </c>
      <c r="O65" s="394">
        <f>IF(RG!$A$78=5,0,O63*$D62)</f>
        <v>0</v>
      </c>
      <c r="P65" s="394">
        <f>IF(RG!$A$78=5,0,P63*$D62)</f>
        <v>0</v>
      </c>
      <c r="Q65" s="76">
        <f>SUM(E65:P65)</f>
        <v>0</v>
      </c>
    </row>
    <row r="66" spans="1:17" hidden="1">
      <c r="D66" s="266"/>
      <c r="E66" s="77"/>
      <c r="F66" s="77"/>
      <c r="G66" s="77"/>
      <c r="H66" s="77"/>
      <c r="I66" s="77"/>
      <c r="J66" s="77"/>
      <c r="K66" s="77"/>
      <c r="L66" s="77"/>
      <c r="M66" s="77"/>
      <c r="N66" s="77"/>
      <c r="O66" s="77"/>
      <c r="P66" s="77"/>
      <c r="Q66" s="77"/>
    </row>
    <row r="67" spans="1:17">
      <c r="D67" s="266"/>
      <c r="E67" s="77"/>
      <c r="F67" s="77"/>
      <c r="G67" s="77"/>
      <c r="H67" s="77"/>
      <c r="I67" s="77"/>
      <c r="J67" s="77"/>
      <c r="K67" s="77"/>
      <c r="L67" s="77"/>
      <c r="M67" s="77"/>
      <c r="N67" s="77"/>
      <c r="O67" s="77"/>
      <c r="P67" s="77"/>
      <c r="Q67" s="77"/>
    </row>
    <row r="68" spans="1:17" ht="17.25" customHeight="1">
      <c r="C68" s="909" t="str">
        <f>'A1'!C68</f>
        <v>Produit/service 5</v>
      </c>
      <c r="D68" s="910"/>
      <c r="E68" s="1181" t="str">
        <f>C68</f>
        <v>Produit/service 5</v>
      </c>
      <c r="F68" s="1182"/>
      <c r="G68" s="1182"/>
      <c r="H68" s="1182"/>
      <c r="I68" s="1182"/>
      <c r="J68" s="1182"/>
      <c r="K68" s="1182"/>
      <c r="L68" s="1182"/>
      <c r="M68" s="1182"/>
      <c r="N68" s="1182"/>
      <c r="O68" s="1182"/>
      <c r="P68" s="1182"/>
      <c r="Q68" s="1182"/>
    </row>
    <row r="69" spans="1:17" hidden="1">
      <c r="B69" s="265" t="s">
        <v>328</v>
      </c>
      <c r="D69" s="106"/>
      <c r="E69" s="106">
        <f t="shared" ref="E69:P69" si="21">IF($A72=1,E78,0)</f>
        <v>0</v>
      </c>
      <c r="F69" s="106">
        <f t="shared" si="21"/>
        <v>0</v>
      </c>
      <c r="G69" s="106">
        <f t="shared" si="21"/>
        <v>0</v>
      </c>
      <c r="H69" s="106">
        <f t="shared" si="21"/>
        <v>0</v>
      </c>
      <c r="I69" s="106">
        <f t="shared" si="21"/>
        <v>0</v>
      </c>
      <c r="J69" s="106">
        <f t="shared" si="21"/>
        <v>0</v>
      </c>
      <c r="K69" s="106">
        <f t="shared" si="21"/>
        <v>0</v>
      </c>
      <c r="L69" s="106">
        <f t="shared" si="21"/>
        <v>0</v>
      </c>
      <c r="M69" s="106">
        <f t="shared" si="21"/>
        <v>0</v>
      </c>
      <c r="N69" s="106">
        <f t="shared" si="21"/>
        <v>0</v>
      </c>
      <c r="O69" s="106">
        <f t="shared" si="21"/>
        <v>0</v>
      </c>
      <c r="P69" s="106">
        <f t="shared" si="21"/>
        <v>0</v>
      </c>
      <c r="Q69" s="48"/>
    </row>
    <row r="70" spans="1:17" hidden="1">
      <c r="B70" s="264" t="s">
        <v>329</v>
      </c>
      <c r="D70" s="106"/>
      <c r="E70" s="270">
        <f>IF('A1'!$A72=2,'A1'!P78,0)</f>
        <v>0</v>
      </c>
      <c r="F70" s="106">
        <f>IF($A72=2,E78,0)</f>
        <v>0</v>
      </c>
      <c r="G70" s="106">
        <f>IF($A72=2,F78,0)</f>
        <v>0</v>
      </c>
      <c r="H70" s="106">
        <f>IF($A72=2,G78,0)</f>
        <v>0</v>
      </c>
      <c r="I70" s="106">
        <f t="shared" ref="I70:P70" si="22">IF($A72=2,H78,0)</f>
        <v>0</v>
      </c>
      <c r="J70" s="106">
        <f t="shared" si="22"/>
        <v>0</v>
      </c>
      <c r="K70" s="106">
        <f t="shared" si="22"/>
        <v>0</v>
      </c>
      <c r="L70" s="106">
        <f t="shared" si="22"/>
        <v>0</v>
      </c>
      <c r="M70" s="106">
        <f t="shared" si="22"/>
        <v>0</v>
      </c>
      <c r="N70" s="106">
        <f t="shared" si="22"/>
        <v>0</v>
      </c>
      <c r="O70" s="106">
        <f t="shared" si="22"/>
        <v>0</v>
      </c>
      <c r="P70" s="106">
        <f t="shared" si="22"/>
        <v>0</v>
      </c>
      <c r="Q70" s="48"/>
    </row>
    <row r="71" spans="1:17" hidden="1">
      <c r="B71" s="264" t="s">
        <v>448</v>
      </c>
      <c r="D71" s="106"/>
      <c r="E71" s="270">
        <f>IF('A1'!$A72=3,'A1'!O78,0)</f>
        <v>0</v>
      </c>
      <c r="F71" s="264">
        <f>IF('A1'!$A72=3,'A1'!P78,0)</f>
        <v>0</v>
      </c>
      <c r="G71" s="106">
        <f t="shared" ref="G71:P71" si="23">IF($A72=3,E78,0)</f>
        <v>0</v>
      </c>
      <c r="H71" s="106">
        <f t="shared" si="23"/>
        <v>0</v>
      </c>
      <c r="I71" s="106">
        <f t="shared" si="23"/>
        <v>0</v>
      </c>
      <c r="J71" s="106">
        <f t="shared" si="23"/>
        <v>0</v>
      </c>
      <c r="K71" s="106">
        <f t="shared" si="23"/>
        <v>0</v>
      </c>
      <c r="L71" s="106">
        <f t="shared" si="23"/>
        <v>0</v>
      </c>
      <c r="M71" s="106">
        <f t="shared" si="23"/>
        <v>0</v>
      </c>
      <c r="N71" s="106">
        <f t="shared" si="23"/>
        <v>0</v>
      </c>
      <c r="O71" s="106">
        <f t="shared" si="23"/>
        <v>0</v>
      </c>
      <c r="P71" s="106">
        <f t="shared" si="23"/>
        <v>0</v>
      </c>
      <c r="Q71" s="48"/>
    </row>
    <row r="72" spans="1:17" hidden="1">
      <c r="A72" s="243">
        <v>1</v>
      </c>
      <c r="B72" s="264" t="s">
        <v>330</v>
      </c>
      <c r="D72" s="48"/>
      <c r="E72" s="270">
        <f>IF('A1'!$A72=4,'A1'!N78,0)</f>
        <v>0</v>
      </c>
      <c r="F72" s="264">
        <f>IF('A1'!$A72=4,'A1'!O78,0)</f>
        <v>0</v>
      </c>
      <c r="G72" s="264">
        <f>IF('A1'!$A72=4,'A1'!P78,0)</f>
        <v>0</v>
      </c>
      <c r="H72" s="106">
        <f t="shared" ref="H72:P72" si="24">IF($A72=4,E78,0)</f>
        <v>0</v>
      </c>
      <c r="I72" s="106">
        <f t="shared" si="24"/>
        <v>0</v>
      </c>
      <c r="J72" s="106">
        <f t="shared" si="24"/>
        <v>0</v>
      </c>
      <c r="K72" s="106">
        <f t="shared" si="24"/>
        <v>0</v>
      </c>
      <c r="L72" s="106">
        <f t="shared" si="24"/>
        <v>0</v>
      </c>
      <c r="M72" s="106">
        <f t="shared" si="24"/>
        <v>0</v>
      </c>
      <c r="N72" s="106">
        <f t="shared" si="24"/>
        <v>0</v>
      </c>
      <c r="O72" s="106">
        <f t="shared" si="24"/>
        <v>0</v>
      </c>
      <c r="P72" s="106">
        <f t="shared" si="24"/>
        <v>0</v>
      </c>
      <c r="Q72" s="48"/>
    </row>
    <row r="73" spans="1:17" hidden="1">
      <c r="A73" s="243"/>
      <c r="B73" s="264"/>
      <c r="D73" s="271"/>
      <c r="E73" s="272">
        <f t="shared" ref="E73:P73" si="25">SUM(E69:E72)</f>
        <v>0</v>
      </c>
      <c r="F73" s="272">
        <f t="shared" si="25"/>
        <v>0</v>
      </c>
      <c r="G73" s="272">
        <f t="shared" si="25"/>
        <v>0</v>
      </c>
      <c r="H73" s="272">
        <f t="shared" si="25"/>
        <v>0</v>
      </c>
      <c r="I73" s="272">
        <f t="shared" si="25"/>
        <v>0</v>
      </c>
      <c r="J73" s="272">
        <f t="shared" si="25"/>
        <v>0</v>
      </c>
      <c r="K73" s="272">
        <f t="shared" si="25"/>
        <v>0</v>
      </c>
      <c r="L73" s="272">
        <f t="shared" si="25"/>
        <v>0</v>
      </c>
      <c r="M73" s="272">
        <f t="shared" si="25"/>
        <v>0</v>
      </c>
      <c r="N73" s="272">
        <f t="shared" si="25"/>
        <v>0</v>
      </c>
      <c r="O73" s="272">
        <f t="shared" si="25"/>
        <v>0</v>
      </c>
      <c r="P73" s="272">
        <f t="shared" si="25"/>
        <v>0</v>
      </c>
      <c r="Q73" s="77"/>
    </row>
    <row r="74" spans="1:17" ht="13.5" thickBot="1">
      <c r="A74" s="243"/>
      <c r="B74" s="264"/>
      <c r="D74" s="271"/>
      <c r="E74" s="270"/>
      <c r="F74" s="264"/>
      <c r="G74" s="264"/>
      <c r="H74" s="106"/>
      <c r="I74" s="106"/>
      <c r="J74" s="106"/>
      <c r="K74" s="106"/>
      <c r="L74" s="106"/>
      <c r="M74" s="106"/>
      <c r="N74" s="106"/>
      <c r="O74" s="106"/>
      <c r="P74" s="106"/>
      <c r="Q74" s="264"/>
    </row>
    <row r="75" spans="1:17" ht="13.5" thickBot="1">
      <c r="C75" s="48" t="str">
        <f>'A1'!C75</f>
        <v>Coût des marchandises</v>
      </c>
      <c r="D75" s="907">
        <f>'A1'!D75</f>
        <v>0</v>
      </c>
      <c r="E75" s="48"/>
      <c r="F75" s="48"/>
      <c r="G75" s="48"/>
      <c r="H75" s="48"/>
      <c r="I75" s="48"/>
      <c r="J75" s="48"/>
      <c r="K75" s="48"/>
      <c r="L75" s="48"/>
      <c r="M75" s="48"/>
      <c r="N75" s="48"/>
      <c r="O75" s="48"/>
      <c r="P75" s="48"/>
      <c r="Q75" s="48"/>
    </row>
    <row r="76" spans="1:17" ht="13.5" thickBot="1">
      <c r="C76" s="48" t="str">
        <f>'A1'!C76</f>
        <v>Ventes estimées</v>
      </c>
      <c r="D76" s="266"/>
      <c r="E76" s="388">
        <f>'V2'!F82</f>
        <v>0</v>
      </c>
      <c r="F76" s="388">
        <f>'V2'!G82</f>
        <v>0</v>
      </c>
      <c r="G76" s="388">
        <f>'V2'!H82</f>
        <v>0</v>
      </c>
      <c r="H76" s="388">
        <f>'V2'!I82</f>
        <v>0</v>
      </c>
      <c r="I76" s="388">
        <f>'V2'!J82</f>
        <v>0</v>
      </c>
      <c r="J76" s="388">
        <f>'V2'!K82</f>
        <v>0</v>
      </c>
      <c r="K76" s="388">
        <f>'V2'!L82</f>
        <v>0</v>
      </c>
      <c r="L76" s="388">
        <f>'V2'!M82</f>
        <v>0</v>
      </c>
      <c r="M76" s="388">
        <f>'V2'!N82</f>
        <v>0</v>
      </c>
      <c r="N76" s="388">
        <f>'V2'!O82</f>
        <v>0</v>
      </c>
      <c r="O76" s="388">
        <f>'V2'!P82</f>
        <v>0</v>
      </c>
      <c r="P76" s="388">
        <f>'V2'!Q82</f>
        <v>0</v>
      </c>
      <c r="Q76" s="76">
        <f>SUM(E76:P76)</f>
        <v>0</v>
      </c>
    </row>
    <row r="77" spans="1:17" ht="13.5" thickBot="1">
      <c r="C77" s="48" t="s">
        <v>14</v>
      </c>
      <c r="D77" s="266"/>
      <c r="E77" s="908"/>
      <c r="F77" s="908"/>
      <c r="G77" s="908"/>
      <c r="H77" s="908"/>
      <c r="I77" s="908"/>
      <c r="J77" s="908"/>
      <c r="K77" s="908"/>
      <c r="L77" s="908"/>
      <c r="M77" s="908"/>
      <c r="N77" s="908"/>
      <c r="O77" s="908"/>
      <c r="P77" s="908"/>
      <c r="Q77" s="76">
        <f>SUM(E77:P77)</f>
        <v>0</v>
      </c>
    </row>
    <row r="78" spans="1:17" ht="13.5" thickBot="1">
      <c r="C78" s="48" t="str">
        <f>'A1'!C78</f>
        <v>Achats prévus</v>
      </c>
      <c r="D78" s="266"/>
      <c r="E78" s="394">
        <f>IF(RG!$A$78=5,0,E76*$D75)</f>
        <v>0</v>
      </c>
      <c r="F78" s="394">
        <f>IF(RG!$A$78=5,0,F76*$D75)</f>
        <v>0</v>
      </c>
      <c r="G78" s="394">
        <f>IF(RG!$A$78=5,0,G76*$D75)</f>
        <v>0</v>
      </c>
      <c r="H78" s="394">
        <f>IF(RG!$A$78=5,0,H76*$D75)</f>
        <v>0</v>
      </c>
      <c r="I78" s="394">
        <f>IF(RG!$A$78=5,0,I76*$D75)</f>
        <v>0</v>
      </c>
      <c r="J78" s="394">
        <f>IF(RG!$A$78=5,0,J76*$D75)</f>
        <v>0</v>
      </c>
      <c r="K78" s="394">
        <f>IF(RG!$A$78=5,0,K76*$D75)</f>
        <v>0</v>
      </c>
      <c r="L78" s="394">
        <f>IF(RG!$A$78=5,0,L76*$D75)</f>
        <v>0</v>
      </c>
      <c r="M78" s="394">
        <f>IF(RG!$A$78=5,0,M76*$D75)</f>
        <v>0</v>
      </c>
      <c r="N78" s="394">
        <f>IF(RG!$A$78=5,0,N76*$D75)</f>
        <v>0</v>
      </c>
      <c r="O78" s="394">
        <f>IF(RG!$A$78=5,0,O76*$D75)</f>
        <v>0</v>
      </c>
      <c r="P78" s="394">
        <f>IF(RG!$A$78=5,0,P76*$D75)</f>
        <v>0</v>
      </c>
      <c r="Q78" s="76">
        <f>SUM(E78:P78)</f>
        <v>0</v>
      </c>
    </row>
    <row r="79" spans="1:17" hidden="1">
      <c r="D79" s="266"/>
      <c r="E79" s="77"/>
      <c r="F79" s="77"/>
      <c r="G79" s="77"/>
      <c r="H79" s="77"/>
      <c r="I79" s="77"/>
      <c r="J79" s="77"/>
      <c r="K79" s="77"/>
      <c r="L79" s="77"/>
      <c r="M79" s="77"/>
      <c r="N79" s="77"/>
      <c r="O79" s="77"/>
      <c r="P79" s="77"/>
      <c r="Q79" s="77"/>
    </row>
    <row r="80" spans="1:17">
      <c r="D80" s="266"/>
      <c r="E80" s="77"/>
      <c r="F80" s="77"/>
      <c r="G80" s="77"/>
      <c r="H80" s="77"/>
      <c r="I80" s="77"/>
      <c r="J80" s="77"/>
      <c r="K80" s="77"/>
      <c r="L80" s="77"/>
      <c r="M80" s="77"/>
      <c r="N80" s="77"/>
      <c r="O80" s="77"/>
      <c r="P80" s="77"/>
      <c r="Q80" s="77"/>
    </row>
    <row r="81" spans="1:17" ht="17.25" customHeight="1">
      <c r="C81" s="909" t="str">
        <f>'A1'!C81</f>
        <v>Produit/service 6</v>
      </c>
      <c r="D81" s="910"/>
      <c r="E81" s="1181" t="str">
        <f>C81</f>
        <v>Produit/service 6</v>
      </c>
      <c r="F81" s="1182"/>
      <c r="G81" s="1182"/>
      <c r="H81" s="1182"/>
      <c r="I81" s="1182"/>
      <c r="J81" s="1182"/>
      <c r="K81" s="1182"/>
      <c r="L81" s="1182"/>
      <c r="M81" s="1182"/>
      <c r="N81" s="1182"/>
      <c r="O81" s="1182"/>
      <c r="P81" s="1182"/>
      <c r="Q81" s="1182"/>
    </row>
    <row r="82" spans="1:17" hidden="1">
      <c r="B82" s="265" t="s">
        <v>328</v>
      </c>
      <c r="D82" s="106"/>
      <c r="E82" s="106">
        <f t="shared" ref="E82:P82" si="26">IF($A85=1,E91,0)</f>
        <v>0</v>
      </c>
      <c r="F82" s="106">
        <f t="shared" si="26"/>
        <v>0</v>
      </c>
      <c r="G82" s="106">
        <f t="shared" si="26"/>
        <v>0</v>
      </c>
      <c r="H82" s="106">
        <f t="shared" si="26"/>
        <v>0</v>
      </c>
      <c r="I82" s="106">
        <f t="shared" si="26"/>
        <v>0</v>
      </c>
      <c r="J82" s="106">
        <f t="shared" si="26"/>
        <v>0</v>
      </c>
      <c r="K82" s="106">
        <f t="shared" si="26"/>
        <v>0</v>
      </c>
      <c r="L82" s="106">
        <f t="shared" si="26"/>
        <v>0</v>
      </c>
      <c r="M82" s="106">
        <f t="shared" si="26"/>
        <v>0</v>
      </c>
      <c r="N82" s="106">
        <f t="shared" si="26"/>
        <v>0</v>
      </c>
      <c r="O82" s="106">
        <f t="shared" si="26"/>
        <v>0</v>
      </c>
      <c r="P82" s="106">
        <f t="shared" si="26"/>
        <v>0</v>
      </c>
      <c r="Q82" s="48"/>
    </row>
    <row r="83" spans="1:17" hidden="1">
      <c r="B83" s="264" t="s">
        <v>329</v>
      </c>
      <c r="D83" s="106"/>
      <c r="E83" s="270">
        <f>IF('A1'!$A85=2,'A1'!P91,0)</f>
        <v>0</v>
      </c>
      <c r="F83" s="106">
        <f>IF($A85=2,E91,0)</f>
        <v>0</v>
      </c>
      <c r="G83" s="106">
        <f>IF($A85=2,F91,0)</f>
        <v>0</v>
      </c>
      <c r="H83" s="106">
        <f>IF($A85=2,G91,0)</f>
        <v>0</v>
      </c>
      <c r="I83" s="106">
        <f t="shared" ref="I83:P83" si="27">IF($A85=2,H91,0)</f>
        <v>0</v>
      </c>
      <c r="J83" s="106">
        <f t="shared" si="27"/>
        <v>0</v>
      </c>
      <c r="K83" s="106">
        <f t="shared" si="27"/>
        <v>0</v>
      </c>
      <c r="L83" s="106">
        <f t="shared" si="27"/>
        <v>0</v>
      </c>
      <c r="M83" s="106">
        <f t="shared" si="27"/>
        <v>0</v>
      </c>
      <c r="N83" s="106">
        <f t="shared" si="27"/>
        <v>0</v>
      </c>
      <c r="O83" s="106">
        <f t="shared" si="27"/>
        <v>0</v>
      </c>
      <c r="P83" s="106">
        <f t="shared" si="27"/>
        <v>0</v>
      </c>
      <c r="Q83" s="48"/>
    </row>
    <row r="84" spans="1:17" hidden="1">
      <c r="B84" s="264" t="s">
        <v>448</v>
      </c>
      <c r="D84" s="106"/>
      <c r="E84" s="270">
        <f>IF('A1'!$A85=3,'A1'!O91,0)</f>
        <v>0</v>
      </c>
      <c r="F84" s="264">
        <f>IF('A1'!$A85=3,'A1'!P91,0)</f>
        <v>0</v>
      </c>
      <c r="G84" s="106">
        <f t="shared" ref="G84:P84" si="28">IF($A85=3,E91,0)</f>
        <v>0</v>
      </c>
      <c r="H84" s="106">
        <f t="shared" si="28"/>
        <v>0</v>
      </c>
      <c r="I84" s="106">
        <f t="shared" si="28"/>
        <v>0</v>
      </c>
      <c r="J84" s="106">
        <f t="shared" si="28"/>
        <v>0</v>
      </c>
      <c r="K84" s="106">
        <f t="shared" si="28"/>
        <v>0</v>
      </c>
      <c r="L84" s="106">
        <f t="shared" si="28"/>
        <v>0</v>
      </c>
      <c r="M84" s="106">
        <f t="shared" si="28"/>
        <v>0</v>
      </c>
      <c r="N84" s="106">
        <f t="shared" si="28"/>
        <v>0</v>
      </c>
      <c r="O84" s="106">
        <f t="shared" si="28"/>
        <v>0</v>
      </c>
      <c r="P84" s="106">
        <f t="shared" si="28"/>
        <v>0</v>
      </c>
      <c r="Q84" s="48"/>
    </row>
    <row r="85" spans="1:17" hidden="1">
      <c r="A85" s="243">
        <v>1</v>
      </c>
      <c r="B85" s="264" t="s">
        <v>330</v>
      </c>
      <c r="D85" s="48"/>
      <c r="E85" s="270">
        <f>IF('A1'!$A85=4,'A1'!N91,0)</f>
        <v>0</v>
      </c>
      <c r="F85" s="264">
        <f>IF('A1'!$A85=4,'A1'!O91,0)</f>
        <v>0</v>
      </c>
      <c r="G85" s="264">
        <f>IF('A1'!$A85=4,'A1'!P91,0)</f>
        <v>0</v>
      </c>
      <c r="H85" s="106">
        <f t="shared" ref="H85:P85" si="29">IF($A85=4,E91,0)</f>
        <v>0</v>
      </c>
      <c r="I85" s="106">
        <f t="shared" si="29"/>
        <v>0</v>
      </c>
      <c r="J85" s="106">
        <f t="shared" si="29"/>
        <v>0</v>
      </c>
      <c r="K85" s="106">
        <f t="shared" si="29"/>
        <v>0</v>
      </c>
      <c r="L85" s="106">
        <f t="shared" si="29"/>
        <v>0</v>
      </c>
      <c r="M85" s="106">
        <f t="shared" si="29"/>
        <v>0</v>
      </c>
      <c r="N85" s="106">
        <f t="shared" si="29"/>
        <v>0</v>
      </c>
      <c r="O85" s="106">
        <f t="shared" si="29"/>
        <v>0</v>
      </c>
      <c r="P85" s="106">
        <f t="shared" si="29"/>
        <v>0</v>
      </c>
      <c r="Q85" s="48"/>
    </row>
    <row r="86" spans="1:17" hidden="1">
      <c r="A86" s="243"/>
      <c r="B86" s="264"/>
      <c r="D86" s="271"/>
      <c r="E86" s="272">
        <f t="shared" ref="E86:P86" si="30">SUM(E82:E85)</f>
        <v>0</v>
      </c>
      <c r="F86" s="272">
        <f t="shared" si="30"/>
        <v>0</v>
      </c>
      <c r="G86" s="272">
        <f t="shared" si="30"/>
        <v>0</v>
      </c>
      <c r="H86" s="272">
        <f t="shared" si="30"/>
        <v>0</v>
      </c>
      <c r="I86" s="272">
        <f t="shared" si="30"/>
        <v>0</v>
      </c>
      <c r="J86" s="272">
        <f t="shared" si="30"/>
        <v>0</v>
      </c>
      <c r="K86" s="272">
        <f t="shared" si="30"/>
        <v>0</v>
      </c>
      <c r="L86" s="272">
        <f t="shared" si="30"/>
        <v>0</v>
      </c>
      <c r="M86" s="272">
        <f t="shared" si="30"/>
        <v>0</v>
      </c>
      <c r="N86" s="272">
        <f t="shared" si="30"/>
        <v>0</v>
      </c>
      <c r="O86" s="272">
        <f t="shared" si="30"/>
        <v>0</v>
      </c>
      <c r="P86" s="272">
        <f t="shared" si="30"/>
        <v>0</v>
      </c>
      <c r="Q86" s="77"/>
    </row>
    <row r="87" spans="1:17" ht="13.5" thickBot="1">
      <c r="A87" s="243"/>
      <c r="B87" s="264"/>
      <c r="D87" s="271"/>
      <c r="E87" s="270"/>
      <c r="F87" s="264"/>
      <c r="G87" s="264"/>
      <c r="H87" s="106"/>
      <c r="I87" s="106"/>
      <c r="J87" s="106"/>
      <c r="K87" s="106"/>
      <c r="L87" s="106"/>
      <c r="M87" s="106"/>
      <c r="N87" s="106"/>
      <c r="O87" s="106"/>
      <c r="P87" s="106"/>
      <c r="Q87" s="264"/>
    </row>
    <row r="88" spans="1:17" ht="13.5" thickBot="1">
      <c r="C88" s="48" t="str">
        <f>'A1'!C88</f>
        <v>Coût des marchandises</v>
      </c>
      <c r="D88" s="907">
        <f>'A1'!D88</f>
        <v>0</v>
      </c>
      <c r="E88" s="48"/>
      <c r="F88" s="48"/>
      <c r="G88" s="48"/>
      <c r="H88" s="48"/>
      <c r="I88" s="48"/>
      <c r="J88" s="48"/>
      <c r="K88" s="48"/>
      <c r="L88" s="48"/>
      <c r="M88" s="48"/>
      <c r="N88" s="48"/>
      <c r="O88" s="48"/>
      <c r="P88" s="48"/>
      <c r="Q88" s="48"/>
    </row>
    <row r="89" spans="1:17" ht="13.5" thickBot="1">
      <c r="C89" s="48" t="str">
        <f>'A1'!C89</f>
        <v>Ventes estimées</v>
      </c>
      <c r="D89" s="106"/>
      <c r="E89" s="388">
        <f>'V2'!F96</f>
        <v>0</v>
      </c>
      <c r="F89" s="388">
        <f>'V2'!G96</f>
        <v>0</v>
      </c>
      <c r="G89" s="388">
        <f>'V2'!H96</f>
        <v>0</v>
      </c>
      <c r="H89" s="388">
        <f>'V2'!I96</f>
        <v>0</v>
      </c>
      <c r="I89" s="388">
        <f>'V2'!J96</f>
        <v>0</v>
      </c>
      <c r="J89" s="388">
        <f>'V2'!K96</f>
        <v>0</v>
      </c>
      <c r="K89" s="388">
        <f>'V2'!L96</f>
        <v>0</v>
      </c>
      <c r="L89" s="388">
        <f>'V2'!M96</f>
        <v>0</v>
      </c>
      <c r="M89" s="388">
        <f>'V2'!N96</f>
        <v>0</v>
      </c>
      <c r="N89" s="388">
        <f>'V2'!O96</f>
        <v>0</v>
      </c>
      <c r="O89" s="388">
        <f>'V2'!P96</f>
        <v>0</v>
      </c>
      <c r="P89" s="388">
        <f>'V2'!Q96</f>
        <v>0</v>
      </c>
      <c r="Q89" s="76">
        <f>SUM(E89:P89)</f>
        <v>0</v>
      </c>
    </row>
    <row r="90" spans="1:17" ht="13.5" thickBot="1">
      <c r="C90" s="48" t="s">
        <v>14</v>
      </c>
      <c r="D90" s="266"/>
      <c r="E90" s="908"/>
      <c r="F90" s="908"/>
      <c r="G90" s="908"/>
      <c r="H90" s="908"/>
      <c r="I90" s="908"/>
      <c r="J90" s="908"/>
      <c r="K90" s="908"/>
      <c r="L90" s="908"/>
      <c r="M90" s="908"/>
      <c r="N90" s="908"/>
      <c r="O90" s="908"/>
      <c r="P90" s="908"/>
      <c r="Q90" s="76">
        <f>SUM(E90:P90)</f>
        <v>0</v>
      </c>
    </row>
    <row r="91" spans="1:17" ht="13.5" thickBot="1">
      <c r="C91" s="48" t="str">
        <f>'A1'!C91</f>
        <v>Achats prévus</v>
      </c>
      <c r="D91" s="106"/>
      <c r="E91" s="394">
        <f>IF(RG!$A$78=5,0,E89*$D88)</f>
        <v>0</v>
      </c>
      <c r="F91" s="394">
        <f>IF(RG!$A$78=5,0,F89*$D88)</f>
        <v>0</v>
      </c>
      <c r="G91" s="394">
        <f>IF(RG!$A$78=5,0,G89*$D88)</f>
        <v>0</v>
      </c>
      <c r="H91" s="394">
        <f>IF(RG!$A$78=5,0,H89*$D88)</f>
        <v>0</v>
      </c>
      <c r="I91" s="394">
        <f>IF(RG!$A$78=5,0,I89*$D88)</f>
        <v>0</v>
      </c>
      <c r="J91" s="394">
        <f>IF(RG!$A$78=5,0,J89*$D88)</f>
        <v>0</v>
      </c>
      <c r="K91" s="394">
        <f>IF(RG!$A$78=5,0,K89*$D88)</f>
        <v>0</v>
      </c>
      <c r="L91" s="394">
        <f>IF(RG!$A$78=5,0,L89*$D88)</f>
        <v>0</v>
      </c>
      <c r="M91" s="394">
        <f>IF(RG!$A$78=5,0,M89*$D88)</f>
        <v>0</v>
      </c>
      <c r="N91" s="394">
        <f>IF(RG!$A$78=5,0,N89*$D88)</f>
        <v>0</v>
      </c>
      <c r="O91" s="394">
        <f>IF(RG!$A$78=5,0,O89*$D88)</f>
        <v>0</v>
      </c>
      <c r="P91" s="394">
        <f>IF(RG!$A$78=5,0,P89*$D88)</f>
        <v>0</v>
      </c>
      <c r="Q91" s="76">
        <f>SUM(E91:P91)</f>
        <v>0</v>
      </c>
    </row>
    <row r="92" spans="1:17" hidden="1">
      <c r="C92" s="143"/>
      <c r="D92" s="106"/>
      <c r="E92" s="273"/>
      <c r="F92" s="273"/>
      <c r="G92" s="273"/>
      <c r="H92" s="273"/>
      <c r="I92" s="273"/>
      <c r="J92" s="273"/>
      <c r="K92" s="273"/>
      <c r="L92" s="273"/>
      <c r="M92" s="273"/>
      <c r="N92" s="273"/>
      <c r="O92" s="273"/>
      <c r="P92" s="273"/>
      <c r="Q92" s="268"/>
    </row>
    <row r="93" spans="1:17" ht="13.5" thickBot="1">
      <c r="C93" s="143"/>
      <c r="D93" s="106"/>
      <c r="E93" s="1058">
        <f>E90+E77+E64+E51+E38+E25</f>
        <v>0</v>
      </c>
      <c r="F93" s="1058">
        <f t="shared" ref="F93:Q93" si="31">F90+F77+F64+F51+F38+F25</f>
        <v>0</v>
      </c>
      <c r="G93" s="1058">
        <f t="shared" si="31"/>
        <v>0</v>
      </c>
      <c r="H93" s="1058">
        <f t="shared" si="31"/>
        <v>0</v>
      </c>
      <c r="I93" s="1058">
        <f t="shared" si="31"/>
        <v>0</v>
      </c>
      <c r="J93" s="1058">
        <f t="shared" si="31"/>
        <v>0</v>
      </c>
      <c r="K93" s="1058">
        <f t="shared" si="31"/>
        <v>0</v>
      </c>
      <c r="L93" s="1058">
        <f t="shared" si="31"/>
        <v>0</v>
      </c>
      <c r="M93" s="1058">
        <f t="shared" si="31"/>
        <v>0</v>
      </c>
      <c r="N93" s="1058">
        <f t="shared" si="31"/>
        <v>0</v>
      </c>
      <c r="O93" s="1058">
        <f t="shared" si="31"/>
        <v>0</v>
      </c>
      <c r="P93" s="1058">
        <f t="shared" si="31"/>
        <v>0</v>
      </c>
      <c r="Q93" s="1058">
        <f t="shared" si="31"/>
        <v>0</v>
      </c>
    </row>
    <row r="94" spans="1:17" ht="13.5" thickBot="1">
      <c r="C94" s="143" t="s">
        <v>252</v>
      </c>
      <c r="D94" s="106"/>
      <c r="E94" s="76">
        <f>E26+E39+E52+E65+E78+E91</f>
        <v>0</v>
      </c>
      <c r="F94" s="76">
        <f t="shared" ref="F94:Q94" si="32">F26+F39+F52+F65+F78+F91</f>
        <v>0</v>
      </c>
      <c r="G94" s="76">
        <f t="shared" si="32"/>
        <v>0</v>
      </c>
      <c r="H94" s="76">
        <f t="shared" si="32"/>
        <v>0</v>
      </c>
      <c r="I94" s="76">
        <f t="shared" si="32"/>
        <v>0</v>
      </c>
      <c r="J94" s="76">
        <f t="shared" si="32"/>
        <v>0</v>
      </c>
      <c r="K94" s="76">
        <f t="shared" si="32"/>
        <v>0</v>
      </c>
      <c r="L94" s="76">
        <f t="shared" si="32"/>
        <v>0</v>
      </c>
      <c r="M94" s="76">
        <f t="shared" si="32"/>
        <v>0</v>
      </c>
      <c r="N94" s="76">
        <f t="shared" si="32"/>
        <v>0</v>
      </c>
      <c r="O94" s="76">
        <f t="shared" si="32"/>
        <v>0</v>
      </c>
      <c r="P94" s="76">
        <f t="shared" si="32"/>
        <v>0</v>
      </c>
      <c r="Q94" s="76">
        <f t="shared" si="32"/>
        <v>0</v>
      </c>
    </row>
    <row r="95" spans="1:17">
      <c r="E95" s="664">
        <f>E86+E73+E60+E47+E34+E21</f>
        <v>0</v>
      </c>
      <c r="F95" s="664">
        <f t="shared" ref="F95:P95" si="33">F86+F73+F60+F47+F34+F21</f>
        <v>0</v>
      </c>
      <c r="G95" s="664">
        <f t="shared" si="33"/>
        <v>0</v>
      </c>
      <c r="H95" s="664">
        <f t="shared" si="33"/>
        <v>0</v>
      </c>
      <c r="I95" s="664">
        <f t="shared" si="33"/>
        <v>0</v>
      </c>
      <c r="J95" s="664">
        <f t="shared" si="33"/>
        <v>0</v>
      </c>
      <c r="K95" s="664">
        <f t="shared" si="33"/>
        <v>0</v>
      </c>
      <c r="L95" s="664">
        <f t="shared" si="33"/>
        <v>0</v>
      </c>
      <c r="M95" s="664">
        <f t="shared" si="33"/>
        <v>0</v>
      </c>
      <c r="N95" s="664">
        <f t="shared" si="33"/>
        <v>0</v>
      </c>
      <c r="O95" s="664">
        <f t="shared" si="33"/>
        <v>0</v>
      </c>
      <c r="P95" s="664">
        <f t="shared" si="33"/>
        <v>0</v>
      </c>
      <c r="Q95" s="664">
        <f>SUM(E95:P95)</f>
        <v>0</v>
      </c>
    </row>
    <row r="111" spans="3:3">
      <c r="C111" s="267"/>
    </row>
    <row r="132" spans="3:3">
      <c r="C132" s="78"/>
    </row>
    <row r="133" spans="3:3">
      <c r="C133" s="78"/>
    </row>
    <row r="135" spans="3:3" ht="15">
      <c r="C135" s="59"/>
    </row>
    <row r="183" spans="3:3">
      <c r="C183" s="143"/>
    </row>
  </sheetData>
  <sheetProtection password="E242" sheet="1" objects="1" scenarios="1"/>
  <customSheetViews>
    <customSheetView guid="{30D0538C-360A-4CDF-8D89-584CED1967CC}"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1992" r:id="rId6" name="Drop Down 8">
              <controlPr defaultSize="0" autoFill="0" autoLine="0" autoPict="0">
                <anchor moveWithCells="1">
                  <from>
                    <xdr:col>3</xdr:col>
                    <xdr:colOff>0</xdr:colOff>
                    <xdr:row>15</xdr:row>
                    <xdr:rowOff>25400</xdr:rowOff>
                  </from>
                  <to>
                    <xdr:col>3</xdr:col>
                    <xdr:colOff>825500</xdr:colOff>
                    <xdr:row>15</xdr:row>
                    <xdr:rowOff>215900</xdr:rowOff>
                  </to>
                </anchor>
              </controlPr>
            </control>
          </mc:Choice>
        </mc:AlternateContent>
        <mc:AlternateContent xmlns:mc="http://schemas.openxmlformats.org/markup-compatibility/2006">
          <mc:Choice Requires="x14">
            <control shapeId="41993" r:id="rId7" name="Drop Down 9">
              <controlPr defaultSize="0" autoFill="0" autoLine="0" autoPict="0">
                <anchor moveWithCells="1">
                  <from>
                    <xdr:col>3</xdr:col>
                    <xdr:colOff>0</xdr:colOff>
                    <xdr:row>28</xdr:row>
                    <xdr:rowOff>25400</xdr:rowOff>
                  </from>
                  <to>
                    <xdr:col>3</xdr:col>
                    <xdr:colOff>825500</xdr:colOff>
                    <xdr:row>28</xdr:row>
                    <xdr:rowOff>215900</xdr:rowOff>
                  </to>
                </anchor>
              </controlPr>
            </control>
          </mc:Choice>
        </mc:AlternateContent>
        <mc:AlternateContent xmlns:mc="http://schemas.openxmlformats.org/markup-compatibility/2006">
          <mc:Choice Requires="x14">
            <control shapeId="41995" r:id="rId8" name="Drop Down 11">
              <controlPr defaultSize="0" autoFill="0" autoLine="0" autoPict="0">
                <anchor moveWithCells="1">
                  <from>
                    <xdr:col>2</xdr:col>
                    <xdr:colOff>2540000</xdr:colOff>
                    <xdr:row>54</xdr:row>
                    <xdr:rowOff>25400</xdr:rowOff>
                  </from>
                  <to>
                    <xdr:col>3</xdr:col>
                    <xdr:colOff>800100</xdr:colOff>
                    <xdr:row>54</xdr:row>
                    <xdr:rowOff>203200</xdr:rowOff>
                  </to>
                </anchor>
              </controlPr>
            </control>
          </mc:Choice>
        </mc:AlternateContent>
        <mc:AlternateContent xmlns:mc="http://schemas.openxmlformats.org/markup-compatibility/2006">
          <mc:Choice Requires="x14">
            <control shapeId="41996" r:id="rId9" name="Drop Down 12">
              <controlPr defaultSize="0" autoFill="0" autoLine="0" autoPict="0">
                <anchor moveWithCells="1">
                  <from>
                    <xdr:col>3</xdr:col>
                    <xdr:colOff>0</xdr:colOff>
                    <xdr:row>67</xdr:row>
                    <xdr:rowOff>12700</xdr:rowOff>
                  </from>
                  <to>
                    <xdr:col>3</xdr:col>
                    <xdr:colOff>825500</xdr:colOff>
                    <xdr:row>67</xdr:row>
                    <xdr:rowOff>215900</xdr:rowOff>
                  </to>
                </anchor>
              </controlPr>
            </control>
          </mc:Choice>
        </mc:AlternateContent>
        <mc:AlternateContent xmlns:mc="http://schemas.openxmlformats.org/markup-compatibility/2006">
          <mc:Choice Requires="x14">
            <control shapeId="41997" r:id="rId10" name="Drop Down 13">
              <controlPr defaultSize="0" autoFill="0" autoLine="0" autoPict="0">
                <anchor moveWithCells="1">
                  <from>
                    <xdr:col>3</xdr:col>
                    <xdr:colOff>0</xdr:colOff>
                    <xdr:row>80</xdr:row>
                    <xdr:rowOff>12700</xdr:rowOff>
                  </from>
                  <to>
                    <xdr:col>3</xdr:col>
                    <xdr:colOff>825500</xdr:colOff>
                    <xdr:row>80</xdr:row>
                    <xdr:rowOff>215900</xdr:rowOff>
                  </to>
                </anchor>
              </controlPr>
            </control>
          </mc:Choice>
        </mc:AlternateContent>
        <mc:AlternateContent xmlns:mc="http://schemas.openxmlformats.org/markup-compatibility/2006">
          <mc:Choice Requires="x14">
            <control shapeId="41999" r:id="rId11" name="Drop Down 15">
              <controlPr defaultSize="0" autoFill="0" autoLine="0" autoPict="0">
                <anchor moveWithCells="1">
                  <from>
                    <xdr:col>3</xdr:col>
                    <xdr:colOff>0</xdr:colOff>
                    <xdr:row>41</xdr:row>
                    <xdr:rowOff>12700</xdr:rowOff>
                  </from>
                  <to>
                    <xdr:col>3</xdr:col>
                    <xdr:colOff>825500</xdr:colOff>
                    <xdr:row>41</xdr:row>
                    <xdr:rowOff>203200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A3">
    <pageSetUpPr fitToPage="1"/>
  </sheetPr>
  <dimension ref="A1:Q183"/>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ColWidth="11.453125" defaultRowHeight="13"/>
  <cols>
    <col min="1" max="1" width="4.36328125" style="255" hidden="1" customWidth="1"/>
    <col min="2" max="2" width="14.36328125" style="255" hidden="1" customWidth="1"/>
    <col min="3" max="3" width="38.36328125" style="48" customWidth="1"/>
    <col min="4" max="4" width="12.6328125" style="255" customWidth="1"/>
    <col min="5" max="17" width="12.81640625" style="255" customWidth="1"/>
    <col min="18" max="16384" width="11.453125" style="255"/>
  </cols>
  <sheetData>
    <row r="1" spans="3:17" customFormat="1" ht="12.5"/>
    <row r="2" spans="3:17" customFormat="1" ht="12.5"/>
    <row r="3" spans="3:17" customFormat="1" ht="12.5"/>
    <row r="4" spans="3:17" customFormat="1" ht="12.5"/>
    <row r="5" spans="3:17" customFormat="1" ht="12.5"/>
    <row r="6" spans="3:17" customFormat="1" ht="12.5"/>
    <row r="7" spans="3:17" customFormat="1" ht="12.5"/>
    <row r="8" spans="3:17" customFormat="1" ht="12.5"/>
    <row r="9" spans="3:17" customFormat="1" ht="12.5"/>
    <row r="10" spans="3:17" s="48" customFormat="1" ht="27" customHeight="1">
      <c r="C10" s="105" t="str">
        <f>RG!D17</f>
        <v>Jhon Wesly inc.</v>
      </c>
      <c r="D10" s="262"/>
      <c r="E10" s="262"/>
      <c r="F10" s="262"/>
      <c r="G10" s="262"/>
      <c r="H10" s="262"/>
      <c r="I10" s="262"/>
      <c r="J10" s="262"/>
      <c r="K10" s="262"/>
      <c r="L10" s="262"/>
      <c r="M10" s="262"/>
      <c r="N10" s="262"/>
      <c r="O10" s="262"/>
      <c r="P10" s="262"/>
      <c r="Q10" s="262"/>
    </row>
    <row r="11" spans="3:17" s="48" customFormat="1" ht="12.75" customHeight="1" thickBot="1">
      <c r="C11" s="263"/>
      <c r="D11" s="263"/>
      <c r="E11" s="263"/>
      <c r="F11" s="263"/>
      <c r="G11" s="263"/>
      <c r="H11" s="263"/>
      <c r="I11" s="263"/>
      <c r="J11" s="263"/>
      <c r="K11" s="263"/>
      <c r="L11" s="263"/>
      <c r="M11" s="263"/>
      <c r="N11" s="263"/>
      <c r="O11" s="263"/>
      <c r="P11" s="263"/>
      <c r="Q11" s="263"/>
    </row>
    <row r="12" spans="3:17" s="48" customFormat="1" ht="15.5" hidden="1" thickBot="1">
      <c r="C12" s="72" t="s">
        <v>44</v>
      </c>
      <c r="D12" s="255"/>
      <c r="F12" s="107"/>
      <c r="G12" s="107"/>
      <c r="H12" s="107"/>
      <c r="I12" s="107"/>
      <c r="J12" s="107"/>
      <c r="K12" s="107"/>
      <c r="L12" s="107"/>
      <c r="M12" s="107"/>
      <c r="N12" s="107"/>
      <c r="O12" s="107"/>
      <c r="P12" s="107"/>
      <c r="Q12" s="107"/>
    </row>
    <row r="13" spans="3:17" s="48" customFormat="1" ht="13.5" hidden="1" thickBot="1">
      <c r="C13" s="143"/>
      <c r="D13" s="106"/>
      <c r="E13" s="107"/>
      <c r="F13" s="107"/>
      <c r="G13" s="107"/>
      <c r="H13" s="107"/>
      <c r="I13" s="107"/>
      <c r="J13" s="107"/>
      <c r="K13" s="107"/>
      <c r="L13" s="107"/>
      <c r="M13" s="107"/>
      <c r="N13" s="107"/>
      <c r="O13" s="107"/>
      <c r="P13" s="107"/>
      <c r="Q13" s="107"/>
    </row>
    <row r="14" spans="3:17" s="48" customFormat="1" ht="15.5" thickBot="1">
      <c r="C14" s="1177" t="s">
        <v>44</v>
      </c>
      <c r="D14" s="1179"/>
      <c r="E14" s="837">
        <f>'A2'!E14+366</f>
        <v>46024</v>
      </c>
      <c r="F14" s="837">
        <f t="shared" ref="F14:P14" si="0">E14+31</f>
        <v>46055</v>
      </c>
      <c r="G14" s="837">
        <f t="shared" si="0"/>
        <v>46086</v>
      </c>
      <c r="H14" s="837">
        <f t="shared" si="0"/>
        <v>46117</v>
      </c>
      <c r="I14" s="837">
        <f t="shared" si="0"/>
        <v>46148</v>
      </c>
      <c r="J14" s="837">
        <f t="shared" si="0"/>
        <v>46179</v>
      </c>
      <c r="K14" s="837">
        <f t="shared" si="0"/>
        <v>46210</v>
      </c>
      <c r="L14" s="837">
        <f t="shared" si="0"/>
        <v>46241</v>
      </c>
      <c r="M14" s="837">
        <f t="shared" si="0"/>
        <v>46272</v>
      </c>
      <c r="N14" s="837">
        <f t="shared" si="0"/>
        <v>46303</v>
      </c>
      <c r="O14" s="837">
        <f t="shared" si="0"/>
        <v>46334</v>
      </c>
      <c r="P14" s="837">
        <f t="shared" si="0"/>
        <v>46365</v>
      </c>
      <c r="Q14" s="838" t="s">
        <v>489</v>
      </c>
    </row>
    <row r="15" spans="3:17">
      <c r="C15" s="143"/>
      <c r="D15" s="106"/>
      <c r="E15" s="264"/>
      <c r="F15" s="264"/>
      <c r="G15" s="264"/>
      <c r="H15" s="264"/>
      <c r="I15" s="264"/>
      <c r="J15" s="264"/>
      <c r="K15" s="264"/>
      <c r="L15" s="264"/>
      <c r="M15" s="264"/>
      <c r="N15" s="264"/>
      <c r="O15" s="264"/>
      <c r="P15" s="264"/>
      <c r="Q15" s="265"/>
    </row>
    <row r="16" spans="3:17" ht="17.25" customHeight="1">
      <c r="C16" s="909" t="str">
        <f>'A2'!C16</f>
        <v>Produit/service 1</v>
      </c>
      <c r="D16" s="910"/>
      <c r="E16" s="1181" t="str">
        <f>C16</f>
        <v>Produit/service 1</v>
      </c>
      <c r="F16" s="1182"/>
      <c r="G16" s="1182"/>
      <c r="H16" s="1182"/>
      <c r="I16" s="1182"/>
      <c r="J16" s="1182"/>
      <c r="K16" s="1182"/>
      <c r="L16" s="1182"/>
      <c r="M16" s="1182"/>
      <c r="N16" s="1182"/>
      <c r="O16" s="1182"/>
      <c r="P16" s="1182"/>
      <c r="Q16" s="1182"/>
    </row>
    <row r="17" spans="1:17" hidden="1">
      <c r="B17" s="265" t="s">
        <v>328</v>
      </c>
      <c r="D17" s="106"/>
      <c r="E17" s="106">
        <f t="shared" ref="E17:P17" si="1">IF($A20=1,E26,0)</f>
        <v>0</v>
      </c>
      <c r="F17" s="106">
        <f t="shared" si="1"/>
        <v>0</v>
      </c>
      <c r="G17" s="106">
        <f t="shared" si="1"/>
        <v>0</v>
      </c>
      <c r="H17" s="106">
        <f t="shared" si="1"/>
        <v>0</v>
      </c>
      <c r="I17" s="106">
        <f t="shared" si="1"/>
        <v>0</v>
      </c>
      <c r="J17" s="106">
        <f t="shared" si="1"/>
        <v>0</v>
      </c>
      <c r="K17" s="106">
        <f t="shared" si="1"/>
        <v>0</v>
      </c>
      <c r="L17" s="106">
        <f t="shared" si="1"/>
        <v>0</v>
      </c>
      <c r="M17" s="106">
        <f t="shared" si="1"/>
        <v>0</v>
      </c>
      <c r="N17" s="106">
        <f t="shared" si="1"/>
        <v>0</v>
      </c>
      <c r="O17" s="106">
        <f t="shared" si="1"/>
        <v>0</v>
      </c>
      <c r="P17" s="106">
        <f t="shared" si="1"/>
        <v>0</v>
      </c>
      <c r="Q17" s="48"/>
    </row>
    <row r="18" spans="1:17" hidden="1">
      <c r="B18" s="264" t="s">
        <v>329</v>
      </c>
      <c r="D18" s="106"/>
      <c r="E18" s="270">
        <f>IF('A2'!$A20=2,'A2'!P26,0)</f>
        <v>0</v>
      </c>
      <c r="F18" s="106">
        <f t="shared" ref="F18:P18" si="2">IF($A20=2,E26,0)</f>
        <v>0</v>
      </c>
      <c r="G18" s="106">
        <f t="shared" si="2"/>
        <v>0</v>
      </c>
      <c r="H18" s="106">
        <f t="shared" si="2"/>
        <v>0</v>
      </c>
      <c r="I18" s="106">
        <f t="shared" si="2"/>
        <v>0</v>
      </c>
      <c r="J18" s="106">
        <f t="shared" si="2"/>
        <v>0</v>
      </c>
      <c r="K18" s="106">
        <f t="shared" si="2"/>
        <v>0</v>
      </c>
      <c r="L18" s="106">
        <f t="shared" si="2"/>
        <v>0</v>
      </c>
      <c r="M18" s="106">
        <f t="shared" si="2"/>
        <v>0</v>
      </c>
      <c r="N18" s="106">
        <f t="shared" si="2"/>
        <v>0</v>
      </c>
      <c r="O18" s="106">
        <f t="shared" si="2"/>
        <v>0</v>
      </c>
      <c r="P18" s="106">
        <f t="shared" si="2"/>
        <v>0</v>
      </c>
      <c r="Q18" s="48"/>
    </row>
    <row r="19" spans="1:17" hidden="1">
      <c r="B19" s="264" t="s">
        <v>448</v>
      </c>
      <c r="D19" s="106"/>
      <c r="E19" s="270">
        <f>IF('A2'!$A20=3,'A2'!O26,0)</f>
        <v>0</v>
      </c>
      <c r="F19" s="264">
        <f>IF('A2'!$A20=3,'A2'!P26,0)</f>
        <v>0</v>
      </c>
      <c r="G19" s="106">
        <f t="shared" ref="G19:P19" si="3">IF($A20=3,E26,0)</f>
        <v>0</v>
      </c>
      <c r="H19" s="106">
        <f t="shared" si="3"/>
        <v>0</v>
      </c>
      <c r="I19" s="106">
        <f t="shared" si="3"/>
        <v>0</v>
      </c>
      <c r="J19" s="106">
        <f t="shared" si="3"/>
        <v>0</v>
      </c>
      <c r="K19" s="106">
        <f t="shared" si="3"/>
        <v>0</v>
      </c>
      <c r="L19" s="106">
        <f t="shared" si="3"/>
        <v>0</v>
      </c>
      <c r="M19" s="106">
        <f t="shared" si="3"/>
        <v>0</v>
      </c>
      <c r="N19" s="106">
        <f t="shared" si="3"/>
        <v>0</v>
      </c>
      <c r="O19" s="106">
        <f t="shared" si="3"/>
        <v>0</v>
      </c>
      <c r="P19" s="106">
        <f t="shared" si="3"/>
        <v>0</v>
      </c>
      <c r="Q19" s="48"/>
    </row>
    <row r="20" spans="1:17" hidden="1">
      <c r="A20" s="243">
        <v>1</v>
      </c>
      <c r="B20" s="264" t="s">
        <v>330</v>
      </c>
      <c r="D20" s="48"/>
      <c r="E20" s="270">
        <f>IF('A2'!$A20=4,'A2'!N26,0)</f>
        <v>0</v>
      </c>
      <c r="F20" s="264">
        <f>IF('A2'!$A20=4,'A2'!O26,0)</f>
        <v>0</v>
      </c>
      <c r="G20" s="264">
        <f>IF('A2'!$A20=4,'A2'!P26,0)</f>
        <v>0</v>
      </c>
      <c r="H20" s="106">
        <f t="shared" ref="H20:P20" si="4">IF($A20=4,E26,0)</f>
        <v>0</v>
      </c>
      <c r="I20" s="106">
        <f t="shared" si="4"/>
        <v>0</v>
      </c>
      <c r="J20" s="106">
        <f t="shared" si="4"/>
        <v>0</v>
      </c>
      <c r="K20" s="106">
        <f t="shared" si="4"/>
        <v>0</v>
      </c>
      <c r="L20" s="106">
        <f t="shared" si="4"/>
        <v>0</v>
      </c>
      <c r="M20" s="106">
        <f t="shared" si="4"/>
        <v>0</v>
      </c>
      <c r="N20" s="106">
        <f t="shared" si="4"/>
        <v>0</v>
      </c>
      <c r="O20" s="106">
        <f t="shared" si="4"/>
        <v>0</v>
      </c>
      <c r="P20" s="106">
        <f t="shared" si="4"/>
        <v>0</v>
      </c>
      <c r="Q20" s="48"/>
    </row>
    <row r="21" spans="1:17" hidden="1">
      <c r="A21" s="243"/>
      <c r="B21" s="264"/>
      <c r="D21" s="271"/>
      <c r="E21" s="272">
        <f t="shared" ref="E21:P21" si="5">SUM(E17:E20)</f>
        <v>0</v>
      </c>
      <c r="F21" s="272">
        <f t="shared" si="5"/>
        <v>0</v>
      </c>
      <c r="G21" s="272">
        <f t="shared" si="5"/>
        <v>0</v>
      </c>
      <c r="H21" s="272">
        <f t="shared" si="5"/>
        <v>0</v>
      </c>
      <c r="I21" s="272">
        <f t="shared" si="5"/>
        <v>0</v>
      </c>
      <c r="J21" s="272">
        <f t="shared" si="5"/>
        <v>0</v>
      </c>
      <c r="K21" s="272">
        <f t="shared" si="5"/>
        <v>0</v>
      </c>
      <c r="L21" s="272">
        <f t="shared" si="5"/>
        <v>0</v>
      </c>
      <c r="M21" s="272">
        <f t="shared" si="5"/>
        <v>0</v>
      </c>
      <c r="N21" s="272">
        <f t="shared" si="5"/>
        <v>0</v>
      </c>
      <c r="O21" s="272">
        <f t="shared" si="5"/>
        <v>0</v>
      </c>
      <c r="P21" s="272">
        <f t="shared" si="5"/>
        <v>0</v>
      </c>
      <c r="Q21" s="265"/>
    </row>
    <row r="22" spans="1:17" ht="13.5" thickBot="1">
      <c r="A22" s="243"/>
      <c r="B22" s="264"/>
      <c r="D22" s="271"/>
      <c r="E22" s="270"/>
      <c r="F22" s="264"/>
      <c r="G22" s="264"/>
      <c r="H22" s="106"/>
      <c r="I22" s="106"/>
      <c r="J22" s="106"/>
      <c r="K22" s="106"/>
      <c r="L22" s="106"/>
      <c r="M22" s="106"/>
      <c r="N22" s="106"/>
      <c r="O22" s="106"/>
      <c r="P22" s="106"/>
      <c r="Q22" s="264"/>
    </row>
    <row r="23" spans="1:17" ht="13.5" thickBot="1">
      <c r="C23" s="48" t="str">
        <f>'A2'!C23</f>
        <v>Coût des marchandises</v>
      </c>
      <c r="D23" s="907">
        <f>'A2'!D23</f>
        <v>0</v>
      </c>
      <c r="E23" s="48"/>
      <c r="F23" s="48"/>
      <c r="G23" s="48"/>
      <c r="H23" s="48"/>
      <c r="I23" s="48"/>
      <c r="J23" s="48"/>
      <c r="K23" s="48"/>
      <c r="L23" s="48"/>
      <c r="M23" s="48"/>
      <c r="N23" s="48"/>
      <c r="O23" s="48"/>
      <c r="P23" s="48"/>
      <c r="Q23" s="48"/>
    </row>
    <row r="24" spans="1:17" ht="13.5" thickBot="1">
      <c r="C24" s="48" t="str">
        <f>'A2'!C24</f>
        <v>Ventes estimées</v>
      </c>
      <c r="D24" s="266"/>
      <c r="E24" s="388">
        <f>'V3'!F26</f>
        <v>826.875</v>
      </c>
      <c r="F24" s="388">
        <f>'V3'!G26</f>
        <v>854.43750000000011</v>
      </c>
      <c r="G24" s="388">
        <f>'V3'!H26</f>
        <v>882</v>
      </c>
      <c r="H24" s="388">
        <f>'V3'!I26</f>
        <v>909.5625</v>
      </c>
      <c r="I24" s="388">
        <f>'V3'!J26</f>
        <v>937.125</v>
      </c>
      <c r="J24" s="388">
        <f>'V3'!K26</f>
        <v>964.6875</v>
      </c>
      <c r="K24" s="388">
        <f>'V3'!L26</f>
        <v>992.25000000000011</v>
      </c>
      <c r="L24" s="388">
        <f>'V3'!M26</f>
        <v>1019.8125</v>
      </c>
      <c r="M24" s="388">
        <f>'V3'!N26</f>
        <v>1047.375</v>
      </c>
      <c r="N24" s="388">
        <f>'V3'!O26</f>
        <v>1074.9375</v>
      </c>
      <c r="O24" s="388">
        <f>'V3'!P26</f>
        <v>1102.5</v>
      </c>
      <c r="P24" s="389">
        <f>'V3'!Q26</f>
        <v>1130.0625</v>
      </c>
      <c r="Q24" s="76">
        <f>SUM(E24:P24)</f>
        <v>11741.625</v>
      </c>
    </row>
    <row r="25" spans="1:17" ht="13.5" thickBot="1">
      <c r="C25" s="48" t="s">
        <v>14</v>
      </c>
      <c r="D25" s="266"/>
      <c r="E25" s="908"/>
      <c r="F25" s="908"/>
      <c r="G25" s="908"/>
      <c r="H25" s="908"/>
      <c r="I25" s="908"/>
      <c r="J25" s="908"/>
      <c r="K25" s="908"/>
      <c r="L25" s="908"/>
      <c r="M25" s="908"/>
      <c r="N25" s="908"/>
      <c r="O25" s="908"/>
      <c r="P25" s="908"/>
      <c r="Q25" s="76">
        <f>SUM(E25:P25)</f>
        <v>0</v>
      </c>
    </row>
    <row r="26" spans="1:17" ht="13.5" thickBot="1">
      <c r="C26" s="48" t="str">
        <f>'A2'!C26</f>
        <v>Achats prévus</v>
      </c>
      <c r="D26" s="266"/>
      <c r="E26" s="394">
        <f>IF(RG!$A$78=5,0,E24*$D23)</f>
        <v>0</v>
      </c>
      <c r="F26" s="394">
        <f>IF(RG!$A$78=5,0,F24*$D23)</f>
        <v>0</v>
      </c>
      <c r="G26" s="394">
        <f>IF(RG!$A$78=5,0,G24*$D23)</f>
        <v>0</v>
      </c>
      <c r="H26" s="394">
        <f>IF(RG!$A$78=5,0,H24*$D23)</f>
        <v>0</v>
      </c>
      <c r="I26" s="394">
        <f>IF(RG!$A$78=5,0,I24*$D23)</f>
        <v>0</v>
      </c>
      <c r="J26" s="394">
        <f>IF(RG!$A$78=5,0,J24*$D23)</f>
        <v>0</v>
      </c>
      <c r="K26" s="394">
        <f>IF(RG!$A$78=5,0,K24*$D23)</f>
        <v>0</v>
      </c>
      <c r="L26" s="394">
        <f>IF(RG!$A$78=5,0,L24*$D23)</f>
        <v>0</v>
      </c>
      <c r="M26" s="394">
        <f>IF(RG!$A$78=5,0,M24*$D23)</f>
        <v>0</v>
      </c>
      <c r="N26" s="394">
        <f>IF(RG!$A$78=5,0,N24*$D23)</f>
        <v>0</v>
      </c>
      <c r="O26" s="394">
        <f>IF(RG!$A$78=5,0,O24*$D23)</f>
        <v>0</v>
      </c>
      <c r="P26" s="394">
        <f>IF(RG!$A$78=5,0,P24*$D23)</f>
        <v>0</v>
      </c>
      <c r="Q26" s="76">
        <f>SUM(E26:P26)</f>
        <v>0</v>
      </c>
    </row>
    <row r="27" spans="1:17" hidden="1">
      <c r="D27" s="266"/>
      <c r="E27" s="77"/>
      <c r="F27" s="77"/>
      <c r="G27" s="77"/>
      <c r="H27" s="77"/>
      <c r="I27" s="77"/>
      <c r="J27" s="77"/>
      <c r="K27" s="77"/>
      <c r="L27" s="77"/>
      <c r="M27" s="77"/>
      <c r="N27" s="77"/>
      <c r="O27" s="77"/>
      <c r="P27" s="77"/>
      <c r="Q27" s="77"/>
    </row>
    <row r="28" spans="1:17">
      <c r="D28" s="266"/>
      <c r="E28" s="77"/>
      <c r="F28" s="77"/>
      <c r="G28" s="77"/>
      <c r="H28" s="77"/>
      <c r="I28" s="77"/>
      <c r="J28" s="77"/>
      <c r="K28" s="77"/>
      <c r="L28" s="77"/>
      <c r="M28" s="77"/>
      <c r="N28" s="77"/>
      <c r="O28" s="77"/>
      <c r="P28" s="77"/>
      <c r="Q28" s="77"/>
    </row>
    <row r="29" spans="1:17" ht="17.25" customHeight="1">
      <c r="C29" s="909" t="str">
        <f>'A2'!C29</f>
        <v>Produit/service 2</v>
      </c>
      <c r="D29" s="910"/>
      <c r="E29" s="1181" t="str">
        <f>C29</f>
        <v>Produit/service 2</v>
      </c>
      <c r="F29" s="1182"/>
      <c r="G29" s="1182"/>
      <c r="H29" s="1182"/>
      <c r="I29" s="1182"/>
      <c r="J29" s="1182"/>
      <c r="K29" s="1182"/>
      <c r="L29" s="1182"/>
      <c r="M29" s="1182"/>
      <c r="N29" s="1182"/>
      <c r="O29" s="1182"/>
      <c r="P29" s="1182"/>
      <c r="Q29" s="1182"/>
    </row>
    <row r="30" spans="1:17" hidden="1">
      <c r="B30" s="265" t="s">
        <v>328</v>
      </c>
      <c r="D30" s="106"/>
      <c r="E30" s="106">
        <f t="shared" ref="E30:P30" si="6">IF($A33=1,E39,0)</f>
        <v>0</v>
      </c>
      <c r="F30" s="106">
        <f t="shared" si="6"/>
        <v>0</v>
      </c>
      <c r="G30" s="106">
        <f t="shared" si="6"/>
        <v>0</v>
      </c>
      <c r="H30" s="106">
        <f t="shared" si="6"/>
        <v>0</v>
      </c>
      <c r="I30" s="106">
        <f t="shared" si="6"/>
        <v>0</v>
      </c>
      <c r="J30" s="106">
        <f t="shared" si="6"/>
        <v>0</v>
      </c>
      <c r="K30" s="106">
        <f t="shared" si="6"/>
        <v>0</v>
      </c>
      <c r="L30" s="106">
        <f t="shared" si="6"/>
        <v>0</v>
      </c>
      <c r="M30" s="106">
        <f t="shared" si="6"/>
        <v>0</v>
      </c>
      <c r="N30" s="106">
        <f t="shared" si="6"/>
        <v>0</v>
      </c>
      <c r="O30" s="106">
        <f t="shared" si="6"/>
        <v>0</v>
      </c>
      <c r="P30" s="106">
        <f t="shared" si="6"/>
        <v>0</v>
      </c>
      <c r="Q30" s="48"/>
    </row>
    <row r="31" spans="1:17" hidden="1">
      <c r="B31" s="264" t="s">
        <v>329</v>
      </c>
      <c r="D31" s="106"/>
      <c r="E31" s="270">
        <f>IF('A2'!$A33=2,'A2'!P39,0)</f>
        <v>0</v>
      </c>
      <c r="F31" s="106">
        <f>IF($A33=2,E39,0)</f>
        <v>0</v>
      </c>
      <c r="G31" s="106">
        <f>IF($A33=2,F39,0)</f>
        <v>0</v>
      </c>
      <c r="H31" s="106">
        <f>IF($A33=2,G39,0)</f>
        <v>0</v>
      </c>
      <c r="I31" s="106">
        <f t="shared" ref="I31:P31" si="7">IF($A33=2,H39,0)</f>
        <v>0</v>
      </c>
      <c r="J31" s="106">
        <f t="shared" si="7"/>
        <v>0</v>
      </c>
      <c r="K31" s="106">
        <f t="shared" si="7"/>
        <v>0</v>
      </c>
      <c r="L31" s="106">
        <f t="shared" si="7"/>
        <v>0</v>
      </c>
      <c r="M31" s="106">
        <f t="shared" si="7"/>
        <v>0</v>
      </c>
      <c r="N31" s="106">
        <f t="shared" si="7"/>
        <v>0</v>
      </c>
      <c r="O31" s="106">
        <f t="shared" si="7"/>
        <v>0</v>
      </c>
      <c r="P31" s="106">
        <f t="shared" si="7"/>
        <v>0</v>
      </c>
      <c r="Q31" s="48"/>
    </row>
    <row r="32" spans="1:17" hidden="1">
      <c r="B32" s="264" t="s">
        <v>448</v>
      </c>
      <c r="D32" s="106"/>
      <c r="E32" s="270">
        <f>IF('A2'!$A33=3,'A2'!O39,0)</f>
        <v>0</v>
      </c>
      <c r="F32" s="264">
        <f>IF('A2'!$A33=3,'A2'!P39,0)</f>
        <v>0</v>
      </c>
      <c r="G32" s="106">
        <f t="shared" ref="G32:P32" si="8">IF($A33=3,E39,0)</f>
        <v>0</v>
      </c>
      <c r="H32" s="106">
        <f t="shared" si="8"/>
        <v>0</v>
      </c>
      <c r="I32" s="106">
        <f t="shared" si="8"/>
        <v>0</v>
      </c>
      <c r="J32" s="106">
        <f t="shared" si="8"/>
        <v>0</v>
      </c>
      <c r="K32" s="106">
        <f t="shared" si="8"/>
        <v>0</v>
      </c>
      <c r="L32" s="106">
        <f t="shared" si="8"/>
        <v>0</v>
      </c>
      <c r="M32" s="106">
        <f t="shared" si="8"/>
        <v>0</v>
      </c>
      <c r="N32" s="106">
        <f t="shared" si="8"/>
        <v>0</v>
      </c>
      <c r="O32" s="106">
        <f t="shared" si="8"/>
        <v>0</v>
      </c>
      <c r="P32" s="106">
        <f t="shared" si="8"/>
        <v>0</v>
      </c>
      <c r="Q32" s="48"/>
    </row>
    <row r="33" spans="1:17" hidden="1">
      <c r="A33" s="243">
        <v>1</v>
      </c>
      <c r="B33" s="264" t="s">
        <v>330</v>
      </c>
      <c r="D33" s="48"/>
      <c r="E33" s="270">
        <f>IF('A2'!$A33=4,'A2'!N39,0)</f>
        <v>0</v>
      </c>
      <c r="F33" s="264">
        <f>IF('A2'!$A33=4,'A2'!O39,0)</f>
        <v>0</v>
      </c>
      <c r="G33" s="264">
        <f>IF('A2'!$A33=4,'A2'!P39,0)</f>
        <v>0</v>
      </c>
      <c r="H33" s="106">
        <f t="shared" ref="H33:P33" si="9">IF($A33=4,E39,0)</f>
        <v>0</v>
      </c>
      <c r="I33" s="106">
        <f t="shared" si="9"/>
        <v>0</v>
      </c>
      <c r="J33" s="106">
        <f t="shared" si="9"/>
        <v>0</v>
      </c>
      <c r="K33" s="106">
        <f t="shared" si="9"/>
        <v>0</v>
      </c>
      <c r="L33" s="106">
        <f t="shared" si="9"/>
        <v>0</v>
      </c>
      <c r="M33" s="106">
        <f t="shared" si="9"/>
        <v>0</v>
      </c>
      <c r="N33" s="106">
        <f t="shared" si="9"/>
        <v>0</v>
      </c>
      <c r="O33" s="106">
        <f t="shared" si="9"/>
        <v>0</v>
      </c>
      <c r="P33" s="106">
        <f t="shared" si="9"/>
        <v>0</v>
      </c>
      <c r="Q33" s="48"/>
    </row>
    <row r="34" spans="1:17" hidden="1">
      <c r="A34" s="243"/>
      <c r="B34" s="264"/>
      <c r="D34" s="271"/>
      <c r="E34" s="272">
        <f t="shared" ref="E34:P34" si="10">SUM(E30:E33)</f>
        <v>0</v>
      </c>
      <c r="F34" s="272">
        <f t="shared" si="10"/>
        <v>0</v>
      </c>
      <c r="G34" s="272">
        <f t="shared" si="10"/>
        <v>0</v>
      </c>
      <c r="H34" s="272">
        <f t="shared" si="10"/>
        <v>0</v>
      </c>
      <c r="I34" s="272">
        <f t="shared" si="10"/>
        <v>0</v>
      </c>
      <c r="J34" s="272">
        <f t="shared" si="10"/>
        <v>0</v>
      </c>
      <c r="K34" s="272">
        <f t="shared" si="10"/>
        <v>0</v>
      </c>
      <c r="L34" s="272">
        <f t="shared" si="10"/>
        <v>0</v>
      </c>
      <c r="M34" s="272">
        <f t="shared" si="10"/>
        <v>0</v>
      </c>
      <c r="N34" s="272">
        <f t="shared" si="10"/>
        <v>0</v>
      </c>
      <c r="O34" s="272">
        <f t="shared" si="10"/>
        <v>0</v>
      </c>
      <c r="P34" s="272">
        <f t="shared" si="10"/>
        <v>0</v>
      </c>
      <c r="Q34" s="77"/>
    </row>
    <row r="35" spans="1:17" ht="13.5" thickBot="1">
      <c r="A35" s="243"/>
      <c r="B35" s="264"/>
      <c r="D35" s="271"/>
      <c r="E35" s="270"/>
      <c r="F35" s="264"/>
      <c r="G35" s="264"/>
      <c r="H35" s="106"/>
      <c r="I35" s="106"/>
      <c r="J35" s="106"/>
      <c r="K35" s="106"/>
      <c r="L35" s="106"/>
      <c r="M35" s="106"/>
      <c r="N35" s="106"/>
      <c r="O35" s="106"/>
      <c r="P35" s="106"/>
      <c r="Q35" s="264"/>
    </row>
    <row r="36" spans="1:17" ht="13.5" thickBot="1">
      <c r="C36" s="48" t="str">
        <f>'A2'!C36</f>
        <v>Coût des marchandises</v>
      </c>
      <c r="D36" s="907">
        <f>'A2'!D36</f>
        <v>0</v>
      </c>
      <c r="E36" s="48"/>
      <c r="F36" s="48"/>
      <c r="G36" s="48"/>
      <c r="H36" s="48"/>
      <c r="I36" s="48"/>
      <c r="J36" s="48"/>
      <c r="K36" s="48"/>
      <c r="L36" s="48"/>
      <c r="M36" s="48"/>
      <c r="N36" s="48"/>
      <c r="O36" s="48"/>
      <c r="P36" s="48"/>
      <c r="Q36" s="48"/>
    </row>
    <row r="37" spans="1:17" ht="13.5" thickBot="1">
      <c r="C37" s="48" t="str">
        <f>'A2'!C37</f>
        <v>Ventes estimées</v>
      </c>
      <c r="D37" s="266"/>
      <c r="E37" s="388">
        <f>'V3'!F40</f>
        <v>1102.5</v>
      </c>
      <c r="F37" s="388">
        <f>'V3'!G40</f>
        <v>1157.625</v>
      </c>
      <c r="G37" s="388">
        <f>'V3'!H40</f>
        <v>1212.75</v>
      </c>
      <c r="H37" s="388">
        <f>'V3'!I40</f>
        <v>1267.875</v>
      </c>
      <c r="I37" s="388">
        <f>'V3'!J40</f>
        <v>1323</v>
      </c>
      <c r="J37" s="388">
        <f>'V3'!K40</f>
        <v>1378.125</v>
      </c>
      <c r="K37" s="388">
        <f>'V3'!L40</f>
        <v>1433.2500000000002</v>
      </c>
      <c r="L37" s="388">
        <f>'V3'!M40</f>
        <v>1488.375</v>
      </c>
      <c r="M37" s="388">
        <f>'V3'!N40</f>
        <v>1543.5</v>
      </c>
      <c r="N37" s="388">
        <f>'V3'!O40</f>
        <v>1598.625</v>
      </c>
      <c r="O37" s="388">
        <f>'V3'!P40</f>
        <v>1653.75</v>
      </c>
      <c r="P37" s="389">
        <f>'V3'!Q40</f>
        <v>1708.8750000000002</v>
      </c>
      <c r="Q37" s="76">
        <f>SUM(E37:P37)</f>
        <v>16868.25</v>
      </c>
    </row>
    <row r="38" spans="1:17" ht="13.5" thickBot="1">
      <c r="C38" s="48" t="s">
        <v>14</v>
      </c>
      <c r="D38" s="266"/>
      <c r="E38" s="908"/>
      <c r="F38" s="908"/>
      <c r="G38" s="908"/>
      <c r="H38" s="908"/>
      <c r="I38" s="908"/>
      <c r="J38" s="908"/>
      <c r="K38" s="908"/>
      <c r="L38" s="908"/>
      <c r="M38" s="908"/>
      <c r="N38" s="908"/>
      <c r="O38" s="908"/>
      <c r="P38" s="908"/>
      <c r="Q38" s="76">
        <f>SUM(E38:P38)</f>
        <v>0</v>
      </c>
    </row>
    <row r="39" spans="1:17" ht="13.5" thickBot="1">
      <c r="C39" s="48" t="str">
        <f>'A2'!C39</f>
        <v>Achats prévus</v>
      </c>
      <c r="D39" s="266"/>
      <c r="E39" s="394">
        <f>IF(RG!$A$78=5,0,E37*$D36)</f>
        <v>0</v>
      </c>
      <c r="F39" s="394">
        <f>IF(RG!$A$78=5,0,F37*$D36)</f>
        <v>0</v>
      </c>
      <c r="G39" s="394">
        <f>IF(RG!$A$78=5,0,G37*$D36)</f>
        <v>0</v>
      </c>
      <c r="H39" s="394">
        <f>IF(RG!$A$78=5,0,H37*$D36)</f>
        <v>0</v>
      </c>
      <c r="I39" s="394">
        <f>IF(RG!$A$78=5,0,I37*$D36)</f>
        <v>0</v>
      </c>
      <c r="J39" s="394">
        <f>IF(RG!$A$78=5,0,J37*$D36)</f>
        <v>0</v>
      </c>
      <c r="K39" s="394">
        <f>IF(RG!$A$78=5,0,K37*$D36)</f>
        <v>0</v>
      </c>
      <c r="L39" s="394">
        <f>IF(RG!$A$78=5,0,L37*$D36)</f>
        <v>0</v>
      </c>
      <c r="M39" s="394">
        <f>IF(RG!$A$78=5,0,M37*$D36)</f>
        <v>0</v>
      </c>
      <c r="N39" s="394">
        <f>IF(RG!$A$78=5,0,N37*$D36)</f>
        <v>0</v>
      </c>
      <c r="O39" s="394">
        <f>IF(RG!$A$78=5,0,O37*$D36)</f>
        <v>0</v>
      </c>
      <c r="P39" s="394">
        <f>IF(RG!$A$78=5,0,P37*$D36)</f>
        <v>0</v>
      </c>
      <c r="Q39" s="76">
        <f>SUM(E39:P39)</f>
        <v>0</v>
      </c>
    </row>
    <row r="40" spans="1:17" hidden="1">
      <c r="D40" s="266"/>
      <c r="E40" s="77"/>
      <c r="F40" s="77"/>
      <c r="G40" s="77"/>
      <c r="H40" s="77"/>
      <c r="I40" s="77"/>
      <c r="J40" s="77"/>
      <c r="K40" s="77"/>
      <c r="L40" s="77"/>
      <c r="M40" s="77"/>
      <c r="N40" s="77"/>
      <c r="O40" s="77"/>
      <c r="P40" s="77"/>
      <c r="Q40" s="77"/>
    </row>
    <row r="41" spans="1:17">
      <c r="D41" s="266"/>
      <c r="E41" s="77"/>
      <c r="F41" s="77"/>
      <c r="G41" s="77"/>
      <c r="H41" s="77"/>
      <c r="I41" s="77"/>
      <c r="J41" s="77"/>
      <c r="K41" s="77"/>
      <c r="L41" s="77"/>
      <c r="M41" s="77"/>
      <c r="N41" s="77"/>
      <c r="O41" s="77"/>
      <c r="P41" s="77"/>
      <c r="Q41" s="77"/>
    </row>
    <row r="42" spans="1:17" ht="17.25" customHeight="1">
      <c r="C42" s="909" t="str">
        <f>'A2'!C42</f>
        <v>Produit/service 3</v>
      </c>
      <c r="D42" s="910"/>
      <c r="E42" s="1181" t="str">
        <f>C42</f>
        <v>Produit/service 3</v>
      </c>
      <c r="F42" s="1182"/>
      <c r="G42" s="1182"/>
      <c r="H42" s="1182"/>
      <c r="I42" s="1182"/>
      <c r="J42" s="1182"/>
      <c r="K42" s="1182"/>
      <c r="L42" s="1182"/>
      <c r="M42" s="1182"/>
      <c r="N42" s="1182"/>
      <c r="O42" s="1182"/>
      <c r="P42" s="1182"/>
      <c r="Q42" s="1182"/>
    </row>
    <row r="43" spans="1:17" hidden="1">
      <c r="B43" s="265" t="s">
        <v>328</v>
      </c>
      <c r="D43" s="106"/>
      <c r="E43" s="106">
        <f t="shared" ref="E43:P43" si="11">IF($A46=1,E52,0)</f>
        <v>0</v>
      </c>
      <c r="F43" s="106">
        <f t="shared" si="11"/>
        <v>0</v>
      </c>
      <c r="G43" s="106">
        <f t="shared" si="11"/>
        <v>0</v>
      </c>
      <c r="H43" s="106">
        <f t="shared" si="11"/>
        <v>0</v>
      </c>
      <c r="I43" s="106">
        <f t="shared" si="11"/>
        <v>0</v>
      </c>
      <c r="J43" s="106">
        <f t="shared" si="11"/>
        <v>0</v>
      </c>
      <c r="K43" s="106">
        <f t="shared" si="11"/>
        <v>0</v>
      </c>
      <c r="L43" s="106">
        <f t="shared" si="11"/>
        <v>0</v>
      </c>
      <c r="M43" s="106">
        <f t="shared" si="11"/>
        <v>0</v>
      </c>
      <c r="N43" s="106">
        <f t="shared" si="11"/>
        <v>0</v>
      </c>
      <c r="O43" s="106">
        <f t="shared" si="11"/>
        <v>0</v>
      </c>
      <c r="P43" s="106">
        <f t="shared" si="11"/>
        <v>0</v>
      </c>
      <c r="Q43" s="48"/>
    </row>
    <row r="44" spans="1:17" hidden="1">
      <c r="B44" s="264" t="s">
        <v>329</v>
      </c>
      <c r="D44" s="106"/>
      <c r="E44" s="270">
        <f>IF('A2'!$A46=2,'A2'!P52,0)</f>
        <v>0</v>
      </c>
      <c r="F44" s="106">
        <f>IF($A46=2,E52,0)</f>
        <v>0</v>
      </c>
      <c r="G44" s="106">
        <f>IF($A46=2,F52,0)</f>
        <v>0</v>
      </c>
      <c r="H44" s="106">
        <f>IF($A46=2,G52,0)</f>
        <v>0</v>
      </c>
      <c r="I44" s="106">
        <f t="shared" ref="I44:P44" si="12">IF($A46=2,H52,0)</f>
        <v>0</v>
      </c>
      <c r="J44" s="106">
        <f t="shared" si="12"/>
        <v>0</v>
      </c>
      <c r="K44" s="106">
        <f t="shared" si="12"/>
        <v>0</v>
      </c>
      <c r="L44" s="106">
        <f t="shared" si="12"/>
        <v>0</v>
      </c>
      <c r="M44" s="106">
        <f t="shared" si="12"/>
        <v>0</v>
      </c>
      <c r="N44" s="106">
        <f t="shared" si="12"/>
        <v>0</v>
      </c>
      <c r="O44" s="106">
        <f t="shared" si="12"/>
        <v>0</v>
      </c>
      <c r="P44" s="106">
        <f t="shared" si="12"/>
        <v>0</v>
      </c>
      <c r="Q44" s="48"/>
    </row>
    <row r="45" spans="1:17" hidden="1">
      <c r="B45" s="264" t="s">
        <v>448</v>
      </c>
      <c r="D45" s="106"/>
      <c r="E45" s="270">
        <f>IF('A2'!$A46=3,'A2'!O52,0)</f>
        <v>0</v>
      </c>
      <c r="F45" s="264">
        <f>IF('A2'!$A46=3,'A2'!P52,0)</f>
        <v>0</v>
      </c>
      <c r="G45" s="106">
        <f t="shared" ref="G45:P45" si="13">IF($A46=3,E52,0)</f>
        <v>0</v>
      </c>
      <c r="H45" s="106">
        <f t="shared" si="13"/>
        <v>0</v>
      </c>
      <c r="I45" s="106">
        <f t="shared" si="13"/>
        <v>0</v>
      </c>
      <c r="J45" s="106">
        <f t="shared" si="13"/>
        <v>0</v>
      </c>
      <c r="K45" s="106">
        <f t="shared" si="13"/>
        <v>0</v>
      </c>
      <c r="L45" s="106">
        <f t="shared" si="13"/>
        <v>0</v>
      </c>
      <c r="M45" s="106">
        <f t="shared" si="13"/>
        <v>0</v>
      </c>
      <c r="N45" s="106">
        <f t="shared" si="13"/>
        <v>0</v>
      </c>
      <c r="O45" s="106">
        <f t="shared" si="13"/>
        <v>0</v>
      </c>
      <c r="P45" s="106">
        <f t="shared" si="13"/>
        <v>0</v>
      </c>
      <c r="Q45" s="48"/>
    </row>
    <row r="46" spans="1:17" hidden="1">
      <c r="A46" s="243">
        <v>1</v>
      </c>
      <c r="B46" s="264" t="s">
        <v>330</v>
      </c>
      <c r="D46" s="48"/>
      <c r="E46" s="270">
        <f>IF('A2'!$A46=4,'A2'!N52,0)</f>
        <v>0</v>
      </c>
      <c r="F46" s="264">
        <f>IF('A2'!$A46=4,'A2'!O52,0)</f>
        <v>0</v>
      </c>
      <c r="G46" s="264">
        <f>IF('A2'!$A46=4,'A2'!P52,0)</f>
        <v>0</v>
      </c>
      <c r="H46" s="106">
        <f t="shared" ref="H46:P46" si="14">IF($A46=4,E52,0)</f>
        <v>0</v>
      </c>
      <c r="I46" s="106">
        <f t="shared" si="14"/>
        <v>0</v>
      </c>
      <c r="J46" s="106">
        <f t="shared" si="14"/>
        <v>0</v>
      </c>
      <c r="K46" s="106">
        <f t="shared" si="14"/>
        <v>0</v>
      </c>
      <c r="L46" s="106">
        <f t="shared" si="14"/>
        <v>0</v>
      </c>
      <c r="M46" s="106">
        <f t="shared" si="14"/>
        <v>0</v>
      </c>
      <c r="N46" s="106">
        <f t="shared" si="14"/>
        <v>0</v>
      </c>
      <c r="O46" s="106">
        <f t="shared" si="14"/>
        <v>0</v>
      </c>
      <c r="P46" s="106">
        <f t="shared" si="14"/>
        <v>0</v>
      </c>
      <c r="Q46" s="48"/>
    </row>
    <row r="47" spans="1:17" hidden="1">
      <c r="A47" s="243"/>
      <c r="B47" s="264"/>
      <c r="D47" s="271"/>
      <c r="E47" s="272">
        <f t="shared" ref="E47:P47" si="15">SUM(E43:E46)</f>
        <v>0</v>
      </c>
      <c r="F47" s="272">
        <f t="shared" si="15"/>
        <v>0</v>
      </c>
      <c r="G47" s="272">
        <f t="shared" si="15"/>
        <v>0</v>
      </c>
      <c r="H47" s="272">
        <f t="shared" si="15"/>
        <v>0</v>
      </c>
      <c r="I47" s="272">
        <f t="shared" si="15"/>
        <v>0</v>
      </c>
      <c r="J47" s="272">
        <f t="shared" si="15"/>
        <v>0</v>
      </c>
      <c r="K47" s="272">
        <f t="shared" si="15"/>
        <v>0</v>
      </c>
      <c r="L47" s="272">
        <f t="shared" si="15"/>
        <v>0</v>
      </c>
      <c r="M47" s="272">
        <f t="shared" si="15"/>
        <v>0</v>
      </c>
      <c r="N47" s="272">
        <f t="shared" si="15"/>
        <v>0</v>
      </c>
      <c r="O47" s="272">
        <f t="shared" si="15"/>
        <v>0</v>
      </c>
      <c r="P47" s="272">
        <f t="shared" si="15"/>
        <v>0</v>
      </c>
      <c r="Q47" s="77"/>
    </row>
    <row r="48" spans="1:17" ht="13.5" thickBot="1">
      <c r="A48" s="243"/>
      <c r="B48" s="264"/>
      <c r="D48" s="271"/>
      <c r="E48" s="270"/>
      <c r="F48" s="264"/>
      <c r="G48" s="264"/>
      <c r="H48" s="106"/>
      <c r="I48" s="106"/>
      <c r="J48" s="106"/>
      <c r="K48" s="106"/>
      <c r="L48" s="106"/>
      <c r="M48" s="106"/>
      <c r="N48" s="106"/>
      <c r="O48" s="106"/>
      <c r="P48" s="106"/>
      <c r="Q48" s="264"/>
    </row>
    <row r="49" spans="1:17" ht="13.5" thickBot="1">
      <c r="C49" s="48" t="str">
        <f>'A2'!C49</f>
        <v>Coût des marchandises</v>
      </c>
      <c r="D49" s="907">
        <f>'A2'!D49</f>
        <v>0</v>
      </c>
      <c r="E49" s="48"/>
      <c r="F49" s="48"/>
      <c r="G49" s="48"/>
      <c r="H49" s="48"/>
      <c r="I49" s="48"/>
      <c r="J49" s="48"/>
      <c r="K49" s="48"/>
      <c r="L49" s="48"/>
      <c r="M49" s="48"/>
      <c r="N49" s="48"/>
      <c r="O49" s="48"/>
      <c r="P49" s="48"/>
      <c r="Q49" s="48"/>
    </row>
    <row r="50" spans="1:17" ht="13.5" thickBot="1">
      <c r="C50" s="48" t="str">
        <f>'A2'!C50</f>
        <v>Ventes estimées</v>
      </c>
      <c r="D50" s="106"/>
      <c r="E50" s="388">
        <f>'V3'!F54</f>
        <v>1653.75</v>
      </c>
      <c r="F50" s="388">
        <f>'V3'!G54</f>
        <v>1736.4375</v>
      </c>
      <c r="G50" s="388">
        <f>'V3'!H54</f>
        <v>1819.125</v>
      </c>
      <c r="H50" s="388">
        <f>'V3'!I54</f>
        <v>1901.8125000000002</v>
      </c>
      <c r="I50" s="388">
        <f>'V3'!J54</f>
        <v>1984.5000000000002</v>
      </c>
      <c r="J50" s="388">
        <f>'V3'!K54</f>
        <v>2067.1875</v>
      </c>
      <c r="K50" s="388">
        <f>'V3'!L54</f>
        <v>2149.8750000000005</v>
      </c>
      <c r="L50" s="388">
        <f>'V3'!M54</f>
        <v>2232.5625</v>
      </c>
      <c r="M50" s="388">
        <f>'V3'!N54</f>
        <v>2315.25</v>
      </c>
      <c r="N50" s="388">
        <f>'V3'!O54</f>
        <v>2397.9375</v>
      </c>
      <c r="O50" s="388">
        <f>'V3'!P54</f>
        <v>2480.625</v>
      </c>
      <c r="P50" s="388">
        <f>'V3'!Q54</f>
        <v>2563.3125000000005</v>
      </c>
      <c r="Q50" s="76">
        <f>SUM(E50:P50)</f>
        <v>25302.375</v>
      </c>
    </row>
    <row r="51" spans="1:17" ht="13.5" thickBot="1">
      <c r="C51" s="48" t="s">
        <v>14</v>
      </c>
      <c r="D51" s="266"/>
      <c r="E51" s="908"/>
      <c r="F51" s="908"/>
      <c r="G51" s="908"/>
      <c r="H51" s="908"/>
      <c r="I51" s="908"/>
      <c r="J51" s="908"/>
      <c r="K51" s="908"/>
      <c r="L51" s="908"/>
      <c r="M51" s="908"/>
      <c r="N51" s="908"/>
      <c r="O51" s="908"/>
      <c r="P51" s="908"/>
      <c r="Q51" s="76">
        <f>SUM(E51:P51)</f>
        <v>0</v>
      </c>
    </row>
    <row r="52" spans="1:17" ht="13.5" thickBot="1">
      <c r="C52" s="48" t="str">
        <f>'A2'!C52</f>
        <v>Achats prévus</v>
      </c>
      <c r="D52" s="106"/>
      <c r="E52" s="394">
        <f>IF(RG!$A$78=5,0,E50*$D49)</f>
        <v>0</v>
      </c>
      <c r="F52" s="394">
        <f>IF(RG!$A$78=5,0,F50*$D49)</f>
        <v>0</v>
      </c>
      <c r="G52" s="394">
        <f>IF(RG!$A$78=5,0,G50*$D49)</f>
        <v>0</v>
      </c>
      <c r="H52" s="394">
        <f>IF(RG!$A$78=5,0,H50*$D49)</f>
        <v>0</v>
      </c>
      <c r="I52" s="394">
        <f>IF(RG!$A$78=5,0,I50*$D49)</f>
        <v>0</v>
      </c>
      <c r="J52" s="394">
        <f>IF(RG!$A$78=5,0,J50*$D49)</f>
        <v>0</v>
      </c>
      <c r="K52" s="394">
        <f>IF(RG!$A$78=5,0,K50*$D49)</f>
        <v>0</v>
      </c>
      <c r="L52" s="394">
        <f>IF(RG!$A$78=5,0,L50*$D49)</f>
        <v>0</v>
      </c>
      <c r="M52" s="394">
        <f>IF(RG!$A$78=5,0,M50*$D49)</f>
        <v>0</v>
      </c>
      <c r="N52" s="394">
        <f>IF(RG!$A$78=5,0,N50*$D49)</f>
        <v>0</v>
      </c>
      <c r="O52" s="394">
        <f>IF(RG!$A$78=5,0,O50*$D49)</f>
        <v>0</v>
      </c>
      <c r="P52" s="394">
        <f>IF(RG!$A$78=5,0,P50*$D49)</f>
        <v>0</v>
      </c>
      <c r="Q52" s="76">
        <f>SUM(E52:P52)</f>
        <v>0</v>
      </c>
    </row>
    <row r="53" spans="1:17" hidden="1">
      <c r="D53" s="106"/>
      <c r="E53" s="77"/>
      <c r="F53" s="77"/>
      <c r="G53" s="77"/>
      <c r="H53" s="77"/>
      <c r="I53" s="77"/>
      <c r="J53" s="77"/>
      <c r="K53" s="77"/>
      <c r="L53" s="77"/>
      <c r="M53" s="77"/>
      <c r="N53" s="77"/>
      <c r="O53" s="77"/>
      <c r="P53" s="77"/>
      <c r="Q53" s="77"/>
    </row>
    <row r="54" spans="1:17">
      <c r="D54" s="106"/>
      <c r="E54" s="77"/>
      <c r="F54" s="77"/>
      <c r="G54" s="77"/>
      <c r="H54" s="77"/>
      <c r="I54" s="77"/>
      <c r="J54" s="77"/>
      <c r="K54" s="77"/>
      <c r="L54" s="77"/>
      <c r="M54" s="77"/>
      <c r="N54" s="77"/>
      <c r="O54" s="77"/>
      <c r="P54" s="77"/>
      <c r="Q54" s="77"/>
    </row>
    <row r="55" spans="1:17" ht="17.25" customHeight="1">
      <c r="C55" s="909" t="str">
        <f>'A2'!C55</f>
        <v>Produit/service 4</v>
      </c>
      <c r="D55" s="910"/>
      <c r="E55" s="1181" t="str">
        <f>C55</f>
        <v>Produit/service 4</v>
      </c>
      <c r="F55" s="1182"/>
      <c r="G55" s="1182"/>
      <c r="H55" s="1182"/>
      <c r="I55" s="1182"/>
      <c r="J55" s="1182"/>
      <c r="K55" s="1182"/>
      <c r="L55" s="1182"/>
      <c r="M55" s="1182"/>
      <c r="N55" s="1182"/>
      <c r="O55" s="1182"/>
      <c r="P55" s="1182"/>
      <c r="Q55" s="1182"/>
    </row>
    <row r="56" spans="1:17" hidden="1">
      <c r="B56" s="265" t="s">
        <v>328</v>
      </c>
      <c r="D56" s="106"/>
      <c r="E56" s="106">
        <f t="shared" ref="E56:P56" si="16">IF($A59=1,E65,0)</f>
        <v>0</v>
      </c>
      <c r="F56" s="106">
        <f t="shared" si="16"/>
        <v>0</v>
      </c>
      <c r="G56" s="106">
        <f t="shared" si="16"/>
        <v>0</v>
      </c>
      <c r="H56" s="106">
        <f t="shared" si="16"/>
        <v>0</v>
      </c>
      <c r="I56" s="106">
        <f t="shared" si="16"/>
        <v>0</v>
      </c>
      <c r="J56" s="106">
        <f t="shared" si="16"/>
        <v>0</v>
      </c>
      <c r="K56" s="106">
        <f t="shared" si="16"/>
        <v>0</v>
      </c>
      <c r="L56" s="106">
        <f t="shared" si="16"/>
        <v>0</v>
      </c>
      <c r="M56" s="106">
        <f t="shared" si="16"/>
        <v>0</v>
      </c>
      <c r="N56" s="106">
        <f t="shared" si="16"/>
        <v>0</v>
      </c>
      <c r="O56" s="106">
        <f t="shared" si="16"/>
        <v>0</v>
      </c>
      <c r="P56" s="106">
        <f t="shared" si="16"/>
        <v>0</v>
      </c>
      <c r="Q56" s="48"/>
    </row>
    <row r="57" spans="1:17" hidden="1">
      <c r="B57" s="264" t="s">
        <v>329</v>
      </c>
      <c r="D57" s="106"/>
      <c r="E57" s="270">
        <f>IF('A2'!$A59=2,'A2'!P65,0)</f>
        <v>0</v>
      </c>
      <c r="F57" s="106">
        <f>IF($A59=2,E65,0)</f>
        <v>0</v>
      </c>
      <c r="G57" s="106">
        <f>IF($A59=2,F65,0)</f>
        <v>0</v>
      </c>
      <c r="H57" s="106">
        <f>IF($A59=2,G65,0)</f>
        <v>0</v>
      </c>
      <c r="I57" s="106">
        <f t="shared" ref="I57:P57" si="17">IF($A59=2,H65,0)</f>
        <v>0</v>
      </c>
      <c r="J57" s="106">
        <f t="shared" si="17"/>
        <v>0</v>
      </c>
      <c r="K57" s="106">
        <f t="shared" si="17"/>
        <v>0</v>
      </c>
      <c r="L57" s="106">
        <f t="shared" si="17"/>
        <v>0</v>
      </c>
      <c r="M57" s="106">
        <f t="shared" si="17"/>
        <v>0</v>
      </c>
      <c r="N57" s="106">
        <f t="shared" si="17"/>
        <v>0</v>
      </c>
      <c r="O57" s="106">
        <f t="shared" si="17"/>
        <v>0</v>
      </c>
      <c r="P57" s="106">
        <f t="shared" si="17"/>
        <v>0</v>
      </c>
      <c r="Q57" s="48"/>
    </row>
    <row r="58" spans="1:17" hidden="1">
      <c r="B58" s="264" t="s">
        <v>448</v>
      </c>
      <c r="D58" s="106"/>
      <c r="E58" s="270">
        <f>IF('A2'!$A59=3,'A2'!O65,0)</f>
        <v>0</v>
      </c>
      <c r="F58" s="264">
        <f>IF('A2'!$A59=3,'A2'!P65,0)</f>
        <v>0</v>
      </c>
      <c r="G58" s="106">
        <f t="shared" ref="G58:P58" si="18">IF($A59=3,E65,0)</f>
        <v>0</v>
      </c>
      <c r="H58" s="106">
        <f t="shared" si="18"/>
        <v>0</v>
      </c>
      <c r="I58" s="106">
        <f t="shared" si="18"/>
        <v>0</v>
      </c>
      <c r="J58" s="106">
        <f t="shared" si="18"/>
        <v>0</v>
      </c>
      <c r="K58" s="106">
        <f t="shared" si="18"/>
        <v>0</v>
      </c>
      <c r="L58" s="106">
        <f t="shared" si="18"/>
        <v>0</v>
      </c>
      <c r="M58" s="106">
        <f t="shared" si="18"/>
        <v>0</v>
      </c>
      <c r="N58" s="106">
        <f t="shared" si="18"/>
        <v>0</v>
      </c>
      <c r="O58" s="106">
        <f t="shared" si="18"/>
        <v>0</v>
      </c>
      <c r="P58" s="106">
        <f t="shared" si="18"/>
        <v>0</v>
      </c>
      <c r="Q58" s="48"/>
    </row>
    <row r="59" spans="1:17" hidden="1">
      <c r="A59" s="243">
        <v>1</v>
      </c>
      <c r="B59" s="264" t="s">
        <v>330</v>
      </c>
      <c r="D59" s="48"/>
      <c r="E59" s="270">
        <f>IF('A2'!$A59=4,'A2'!N65,0)</f>
        <v>0</v>
      </c>
      <c r="F59" s="264">
        <f>IF('A2'!$A59=4,'A2'!O65,0)</f>
        <v>0</v>
      </c>
      <c r="G59" s="264">
        <f>IF('A2'!$A59=4,'A2'!P65,0)</f>
        <v>0</v>
      </c>
      <c r="H59" s="106">
        <f t="shared" ref="H59:P59" si="19">IF($A59=4,E65,0)</f>
        <v>0</v>
      </c>
      <c r="I59" s="106">
        <f t="shared" si="19"/>
        <v>0</v>
      </c>
      <c r="J59" s="106">
        <f t="shared" si="19"/>
        <v>0</v>
      </c>
      <c r="K59" s="106">
        <f t="shared" si="19"/>
        <v>0</v>
      </c>
      <c r="L59" s="106">
        <f t="shared" si="19"/>
        <v>0</v>
      </c>
      <c r="M59" s="106">
        <f t="shared" si="19"/>
        <v>0</v>
      </c>
      <c r="N59" s="106">
        <f t="shared" si="19"/>
        <v>0</v>
      </c>
      <c r="O59" s="106">
        <f t="shared" si="19"/>
        <v>0</v>
      </c>
      <c r="P59" s="106">
        <f t="shared" si="19"/>
        <v>0</v>
      </c>
      <c r="Q59" s="48"/>
    </row>
    <row r="60" spans="1:17" hidden="1">
      <c r="A60" s="243"/>
      <c r="B60" s="264"/>
      <c r="D60" s="271"/>
      <c r="E60" s="272">
        <f t="shared" ref="E60:P60" si="20">SUM(E56:E59)</f>
        <v>0</v>
      </c>
      <c r="F60" s="272">
        <f t="shared" si="20"/>
        <v>0</v>
      </c>
      <c r="G60" s="272">
        <f t="shared" si="20"/>
        <v>0</v>
      </c>
      <c r="H60" s="272">
        <f t="shared" si="20"/>
        <v>0</v>
      </c>
      <c r="I60" s="272">
        <f t="shared" si="20"/>
        <v>0</v>
      </c>
      <c r="J60" s="272">
        <f t="shared" si="20"/>
        <v>0</v>
      </c>
      <c r="K60" s="272">
        <f t="shared" si="20"/>
        <v>0</v>
      </c>
      <c r="L60" s="272">
        <f t="shared" si="20"/>
        <v>0</v>
      </c>
      <c r="M60" s="272">
        <f t="shared" si="20"/>
        <v>0</v>
      </c>
      <c r="N60" s="272">
        <f t="shared" si="20"/>
        <v>0</v>
      </c>
      <c r="O60" s="272">
        <f t="shared" si="20"/>
        <v>0</v>
      </c>
      <c r="P60" s="272">
        <f t="shared" si="20"/>
        <v>0</v>
      </c>
      <c r="Q60" s="265"/>
    </row>
    <row r="61" spans="1:17" ht="13.5" thickBot="1">
      <c r="A61" s="243"/>
      <c r="B61" s="264"/>
      <c r="D61" s="271"/>
      <c r="E61" s="270"/>
      <c r="F61" s="264"/>
      <c r="G61" s="264"/>
      <c r="H61" s="106"/>
      <c r="I61" s="106"/>
      <c r="J61" s="106"/>
      <c r="K61" s="106"/>
      <c r="L61" s="106"/>
      <c r="M61" s="106"/>
      <c r="N61" s="106"/>
      <c r="O61" s="106"/>
      <c r="P61" s="106"/>
      <c r="Q61" s="264"/>
    </row>
    <row r="62" spans="1:17" ht="13.5" thickBot="1">
      <c r="C62" s="48" t="str">
        <f>'A2'!C62</f>
        <v>Coût des marchandises</v>
      </c>
      <c r="D62" s="907">
        <f>'A2'!D62</f>
        <v>0</v>
      </c>
      <c r="E62" s="48"/>
      <c r="F62" s="48"/>
      <c r="G62" s="48"/>
      <c r="H62" s="48"/>
      <c r="I62" s="48"/>
      <c r="J62" s="48"/>
      <c r="K62" s="48"/>
      <c r="L62" s="48"/>
      <c r="M62" s="48"/>
      <c r="N62" s="48"/>
      <c r="O62" s="48"/>
      <c r="P62" s="48"/>
      <c r="Q62" s="48"/>
    </row>
    <row r="63" spans="1:17" ht="13.5" thickBot="1">
      <c r="C63" s="48" t="str">
        <f>'A2'!C63</f>
        <v>Ventes estimées</v>
      </c>
      <c r="D63" s="266"/>
      <c r="E63" s="388">
        <f>'V3'!F68</f>
        <v>0</v>
      </c>
      <c r="F63" s="388">
        <f>'V3'!G68</f>
        <v>0</v>
      </c>
      <c r="G63" s="388">
        <f>'V3'!H68</f>
        <v>0</v>
      </c>
      <c r="H63" s="388">
        <f>'V3'!I68</f>
        <v>0</v>
      </c>
      <c r="I63" s="388">
        <f>'V3'!J68</f>
        <v>0</v>
      </c>
      <c r="J63" s="388">
        <f>'V3'!K68</f>
        <v>0</v>
      </c>
      <c r="K63" s="388">
        <f>'V3'!L68</f>
        <v>0</v>
      </c>
      <c r="L63" s="388">
        <f>'V3'!M68</f>
        <v>0</v>
      </c>
      <c r="M63" s="388">
        <f>'V3'!N68</f>
        <v>0</v>
      </c>
      <c r="N63" s="388">
        <f>'V3'!O68</f>
        <v>0</v>
      </c>
      <c r="O63" s="388">
        <f>'V3'!P68</f>
        <v>0</v>
      </c>
      <c r="P63" s="388">
        <f>'V3'!Q68</f>
        <v>0</v>
      </c>
      <c r="Q63" s="76">
        <f>SUM(E63:P63)</f>
        <v>0</v>
      </c>
    </row>
    <row r="64" spans="1:17" ht="13.5" thickBot="1">
      <c r="C64" s="48" t="s">
        <v>14</v>
      </c>
      <c r="D64" s="266"/>
      <c r="E64" s="390"/>
      <c r="F64" s="390"/>
      <c r="G64" s="390"/>
      <c r="H64" s="390"/>
      <c r="I64" s="390"/>
      <c r="J64" s="390"/>
      <c r="K64" s="390"/>
      <c r="L64" s="390"/>
      <c r="M64" s="390"/>
      <c r="N64" s="390"/>
      <c r="O64" s="390"/>
      <c r="P64" s="390"/>
      <c r="Q64" s="76">
        <f>SUM(E64:P64)</f>
        <v>0</v>
      </c>
    </row>
    <row r="65" spans="1:17" ht="13.5" thickBot="1">
      <c r="C65" s="48" t="str">
        <f>'A2'!C65</f>
        <v>Achats prévus</v>
      </c>
      <c r="D65" s="266"/>
      <c r="E65" s="394">
        <f>IF(RG!$A$78=5,0,E63*$D62)</f>
        <v>0</v>
      </c>
      <c r="F65" s="394">
        <f>IF(RG!$A$78=5,0,F63*$D62)</f>
        <v>0</v>
      </c>
      <c r="G65" s="394">
        <f>IF(RG!$A$78=5,0,G63*$D62)</f>
        <v>0</v>
      </c>
      <c r="H65" s="394">
        <f>IF(RG!$A$78=5,0,H63*$D62)</f>
        <v>0</v>
      </c>
      <c r="I65" s="394">
        <f>IF(RG!$A$78=5,0,I63*$D62)</f>
        <v>0</v>
      </c>
      <c r="J65" s="394">
        <f>IF(RG!$A$78=5,0,J63*$D62)</f>
        <v>0</v>
      </c>
      <c r="K65" s="394">
        <f>IF(RG!$A$78=5,0,K63*$D62)</f>
        <v>0</v>
      </c>
      <c r="L65" s="394">
        <f>IF(RG!$A$78=5,0,L63*$D62)</f>
        <v>0</v>
      </c>
      <c r="M65" s="394">
        <f>IF(RG!$A$78=5,0,M63*$D62)</f>
        <v>0</v>
      </c>
      <c r="N65" s="394">
        <f>IF(RG!$A$78=5,0,N63*$D62)</f>
        <v>0</v>
      </c>
      <c r="O65" s="394">
        <f>IF(RG!$A$78=5,0,O63*$D62)</f>
        <v>0</v>
      </c>
      <c r="P65" s="394">
        <f>IF(RG!$A$78=5,0,P63*$D62)</f>
        <v>0</v>
      </c>
      <c r="Q65" s="76">
        <f>SUM(E65:P65)</f>
        <v>0</v>
      </c>
    </row>
    <row r="66" spans="1:17" hidden="1">
      <c r="D66" s="266"/>
      <c r="E66" s="77"/>
      <c r="F66" s="77"/>
      <c r="G66" s="77"/>
      <c r="H66" s="77"/>
      <c r="I66" s="77"/>
      <c r="J66" s="77"/>
      <c r="K66" s="77"/>
      <c r="L66" s="77"/>
      <c r="M66" s="77"/>
      <c r="N66" s="77"/>
      <c r="O66" s="77"/>
      <c r="P66" s="77"/>
      <c r="Q66" s="77"/>
    </row>
    <row r="67" spans="1:17">
      <c r="D67" s="266"/>
      <c r="E67" s="77"/>
      <c r="F67" s="77"/>
      <c r="G67" s="77"/>
      <c r="H67" s="77"/>
      <c r="I67" s="77"/>
      <c r="J67" s="77"/>
      <c r="K67" s="77"/>
      <c r="L67" s="77"/>
      <c r="M67" s="77"/>
      <c r="N67" s="77"/>
      <c r="O67" s="77"/>
      <c r="P67" s="77"/>
      <c r="Q67" s="77"/>
    </row>
    <row r="68" spans="1:17" ht="17.25" customHeight="1">
      <c r="C68" s="909" t="str">
        <f>'A2'!C68</f>
        <v>Produit/service 5</v>
      </c>
      <c r="D68" s="910"/>
      <c r="E68" s="1181" t="str">
        <f>C68</f>
        <v>Produit/service 5</v>
      </c>
      <c r="F68" s="1182"/>
      <c r="G68" s="1182"/>
      <c r="H68" s="1182"/>
      <c r="I68" s="1182"/>
      <c r="J68" s="1182"/>
      <c r="K68" s="1182"/>
      <c r="L68" s="1182"/>
      <c r="M68" s="1182"/>
      <c r="N68" s="1182"/>
      <c r="O68" s="1182"/>
      <c r="P68" s="1182"/>
      <c r="Q68" s="1182"/>
    </row>
    <row r="69" spans="1:17" hidden="1">
      <c r="B69" s="265" t="s">
        <v>328</v>
      </c>
      <c r="D69" s="106"/>
      <c r="E69" s="106">
        <f t="shared" ref="E69:P69" si="21">IF($A72=1,E78,0)</f>
        <v>0</v>
      </c>
      <c r="F69" s="106">
        <f t="shared" si="21"/>
        <v>0</v>
      </c>
      <c r="G69" s="106">
        <f t="shared" si="21"/>
        <v>0</v>
      </c>
      <c r="H69" s="106">
        <f t="shared" si="21"/>
        <v>0</v>
      </c>
      <c r="I69" s="106">
        <f t="shared" si="21"/>
        <v>0</v>
      </c>
      <c r="J69" s="106">
        <f t="shared" si="21"/>
        <v>0</v>
      </c>
      <c r="K69" s="106">
        <f t="shared" si="21"/>
        <v>0</v>
      </c>
      <c r="L69" s="106">
        <f t="shared" si="21"/>
        <v>0</v>
      </c>
      <c r="M69" s="106">
        <f t="shared" si="21"/>
        <v>0</v>
      </c>
      <c r="N69" s="106">
        <f t="shared" si="21"/>
        <v>0</v>
      </c>
      <c r="O69" s="106">
        <f t="shared" si="21"/>
        <v>0</v>
      </c>
      <c r="P69" s="106">
        <f t="shared" si="21"/>
        <v>0</v>
      </c>
      <c r="Q69" s="48"/>
    </row>
    <row r="70" spans="1:17" hidden="1">
      <c r="B70" s="264" t="s">
        <v>329</v>
      </c>
      <c r="D70" s="106"/>
      <c r="E70" s="270">
        <f>IF('A2'!$A72=2,'A2'!P78,0)</f>
        <v>0</v>
      </c>
      <c r="F70" s="106">
        <f>IF($A72=2,E78,0)</f>
        <v>0</v>
      </c>
      <c r="G70" s="106">
        <f>IF($A72=2,F78,0)</f>
        <v>0</v>
      </c>
      <c r="H70" s="106">
        <f>IF($A72=2,G78,0)</f>
        <v>0</v>
      </c>
      <c r="I70" s="106">
        <f t="shared" ref="I70:P70" si="22">IF($A72=2,H78,0)</f>
        <v>0</v>
      </c>
      <c r="J70" s="106">
        <f t="shared" si="22"/>
        <v>0</v>
      </c>
      <c r="K70" s="106">
        <f t="shared" si="22"/>
        <v>0</v>
      </c>
      <c r="L70" s="106">
        <f t="shared" si="22"/>
        <v>0</v>
      </c>
      <c r="M70" s="106">
        <f t="shared" si="22"/>
        <v>0</v>
      </c>
      <c r="N70" s="106">
        <f t="shared" si="22"/>
        <v>0</v>
      </c>
      <c r="O70" s="106">
        <f t="shared" si="22"/>
        <v>0</v>
      </c>
      <c r="P70" s="106">
        <f t="shared" si="22"/>
        <v>0</v>
      </c>
      <c r="Q70" s="48"/>
    </row>
    <row r="71" spans="1:17" hidden="1">
      <c r="B71" s="264" t="s">
        <v>448</v>
      </c>
      <c r="D71" s="106"/>
      <c r="E71" s="270">
        <f>IF('A2'!$A72=3,'A2'!O78,0)</f>
        <v>0</v>
      </c>
      <c r="F71" s="264">
        <f>IF('A2'!$A72=3,'A2'!P78,0)</f>
        <v>0</v>
      </c>
      <c r="G71" s="106">
        <f t="shared" ref="G71:P71" si="23">IF($A72=3,E78,0)</f>
        <v>0</v>
      </c>
      <c r="H71" s="106">
        <f t="shared" si="23"/>
        <v>0</v>
      </c>
      <c r="I71" s="106">
        <f t="shared" si="23"/>
        <v>0</v>
      </c>
      <c r="J71" s="106">
        <f t="shared" si="23"/>
        <v>0</v>
      </c>
      <c r="K71" s="106">
        <f t="shared" si="23"/>
        <v>0</v>
      </c>
      <c r="L71" s="106">
        <f t="shared" si="23"/>
        <v>0</v>
      </c>
      <c r="M71" s="106">
        <f t="shared" si="23"/>
        <v>0</v>
      </c>
      <c r="N71" s="106">
        <f t="shared" si="23"/>
        <v>0</v>
      </c>
      <c r="O71" s="106">
        <f t="shared" si="23"/>
        <v>0</v>
      </c>
      <c r="P71" s="106">
        <f t="shared" si="23"/>
        <v>0</v>
      </c>
      <c r="Q71" s="48"/>
    </row>
    <row r="72" spans="1:17" hidden="1">
      <c r="A72" s="243">
        <v>1</v>
      </c>
      <c r="B72" s="264" t="s">
        <v>330</v>
      </c>
      <c r="D72" s="48"/>
      <c r="E72" s="270">
        <f>IF('A2'!$A72=4,'A2'!N78,0)</f>
        <v>0</v>
      </c>
      <c r="F72" s="264">
        <f>IF('A2'!$A72=4,'A2'!O78,0)</f>
        <v>0</v>
      </c>
      <c r="G72" s="264">
        <f>IF('A2'!$A72=4,'A2'!P78,0)</f>
        <v>0</v>
      </c>
      <c r="H72" s="106">
        <f t="shared" ref="H72:P72" si="24">IF($A72=4,E78,0)</f>
        <v>0</v>
      </c>
      <c r="I72" s="106">
        <f t="shared" si="24"/>
        <v>0</v>
      </c>
      <c r="J72" s="106">
        <f t="shared" si="24"/>
        <v>0</v>
      </c>
      <c r="K72" s="106">
        <f t="shared" si="24"/>
        <v>0</v>
      </c>
      <c r="L72" s="106">
        <f t="shared" si="24"/>
        <v>0</v>
      </c>
      <c r="M72" s="106">
        <f t="shared" si="24"/>
        <v>0</v>
      </c>
      <c r="N72" s="106">
        <f t="shared" si="24"/>
        <v>0</v>
      </c>
      <c r="O72" s="106">
        <f t="shared" si="24"/>
        <v>0</v>
      </c>
      <c r="P72" s="106">
        <f t="shared" si="24"/>
        <v>0</v>
      </c>
      <c r="Q72" s="48"/>
    </row>
    <row r="73" spans="1:17" hidden="1">
      <c r="A73" s="243"/>
      <c r="B73" s="264"/>
      <c r="D73" s="271"/>
      <c r="E73" s="272">
        <f t="shared" ref="E73:P73" si="25">SUM(E69:E72)</f>
        <v>0</v>
      </c>
      <c r="F73" s="272">
        <f t="shared" si="25"/>
        <v>0</v>
      </c>
      <c r="G73" s="272">
        <f t="shared" si="25"/>
        <v>0</v>
      </c>
      <c r="H73" s="272">
        <f t="shared" si="25"/>
        <v>0</v>
      </c>
      <c r="I73" s="272">
        <f t="shared" si="25"/>
        <v>0</v>
      </c>
      <c r="J73" s="272">
        <f t="shared" si="25"/>
        <v>0</v>
      </c>
      <c r="K73" s="272">
        <f t="shared" si="25"/>
        <v>0</v>
      </c>
      <c r="L73" s="272">
        <f t="shared" si="25"/>
        <v>0</v>
      </c>
      <c r="M73" s="272">
        <f t="shared" si="25"/>
        <v>0</v>
      </c>
      <c r="N73" s="272">
        <f t="shared" si="25"/>
        <v>0</v>
      </c>
      <c r="O73" s="272">
        <f t="shared" si="25"/>
        <v>0</v>
      </c>
      <c r="P73" s="272">
        <f t="shared" si="25"/>
        <v>0</v>
      </c>
      <c r="Q73" s="77"/>
    </row>
    <row r="74" spans="1:17" ht="13.5" thickBot="1">
      <c r="A74" s="243"/>
      <c r="B74" s="264"/>
      <c r="D74" s="271"/>
      <c r="E74" s="270"/>
      <c r="F74" s="264"/>
      <c r="G74" s="264"/>
      <c r="H74" s="106"/>
      <c r="I74" s="106"/>
      <c r="J74" s="106"/>
      <c r="K74" s="106"/>
      <c r="L74" s="106"/>
      <c r="M74" s="106"/>
      <c r="N74" s="106"/>
      <c r="O74" s="106"/>
      <c r="P74" s="106"/>
      <c r="Q74" s="264"/>
    </row>
    <row r="75" spans="1:17" ht="13.5" thickBot="1">
      <c r="C75" s="48" t="str">
        <f>'A2'!C75</f>
        <v>Coût des marchandises</v>
      </c>
      <c r="D75" s="907">
        <f>'A2'!D75</f>
        <v>0</v>
      </c>
      <c r="E75" s="48"/>
      <c r="F75" s="48"/>
      <c r="G75" s="48"/>
      <c r="H75" s="48"/>
      <c r="I75" s="48"/>
      <c r="J75" s="48"/>
      <c r="K75" s="48"/>
      <c r="L75" s="48"/>
      <c r="M75" s="48"/>
      <c r="N75" s="48"/>
      <c r="O75" s="48"/>
      <c r="P75" s="48"/>
      <c r="Q75" s="48"/>
    </row>
    <row r="76" spans="1:17" ht="13.5" thickBot="1">
      <c r="C76" s="48" t="str">
        <f>'A2'!C76</f>
        <v>Ventes estimées</v>
      </c>
      <c r="D76" s="266"/>
      <c r="E76" s="388">
        <f>'V3'!F82</f>
        <v>0</v>
      </c>
      <c r="F76" s="388">
        <f>'V3'!G82</f>
        <v>0</v>
      </c>
      <c r="G76" s="388">
        <f>'V3'!H82</f>
        <v>0</v>
      </c>
      <c r="H76" s="388">
        <f>'V3'!I82</f>
        <v>0</v>
      </c>
      <c r="I76" s="388">
        <f>'V3'!J82</f>
        <v>0</v>
      </c>
      <c r="J76" s="388">
        <f>'V3'!K82</f>
        <v>0</v>
      </c>
      <c r="K76" s="388">
        <f>'V3'!L82</f>
        <v>0</v>
      </c>
      <c r="L76" s="388">
        <f>'V3'!M82</f>
        <v>0</v>
      </c>
      <c r="M76" s="388">
        <f>'V3'!N82</f>
        <v>0</v>
      </c>
      <c r="N76" s="388">
        <f>'V3'!O82</f>
        <v>0</v>
      </c>
      <c r="O76" s="388">
        <f>'V3'!P82</f>
        <v>0</v>
      </c>
      <c r="P76" s="388">
        <f>'V3'!Q82</f>
        <v>0</v>
      </c>
      <c r="Q76" s="76">
        <f>SUM(E76:P76)</f>
        <v>0</v>
      </c>
    </row>
    <row r="77" spans="1:17" ht="13.5" thickBot="1">
      <c r="C77" s="48" t="s">
        <v>14</v>
      </c>
      <c r="D77" s="266"/>
      <c r="E77" s="908"/>
      <c r="F77" s="908"/>
      <c r="G77" s="908"/>
      <c r="H77" s="908"/>
      <c r="I77" s="908"/>
      <c r="J77" s="908"/>
      <c r="K77" s="908"/>
      <c r="L77" s="908"/>
      <c r="M77" s="908"/>
      <c r="N77" s="908"/>
      <c r="O77" s="908"/>
      <c r="P77" s="908"/>
      <c r="Q77" s="76">
        <f>SUM(E77:P77)</f>
        <v>0</v>
      </c>
    </row>
    <row r="78" spans="1:17" ht="13.5" thickBot="1">
      <c r="C78" s="48" t="str">
        <f>'A2'!C78</f>
        <v>Achats prévus</v>
      </c>
      <c r="D78" s="266"/>
      <c r="E78" s="394">
        <f>IF(RG!$A$78=5,0,E76*$D75)</f>
        <v>0</v>
      </c>
      <c r="F78" s="394">
        <f>IF(RG!$A$78=5,0,F76*$D75)</f>
        <v>0</v>
      </c>
      <c r="G78" s="394">
        <f>IF(RG!$A$78=5,0,G76*$D75)</f>
        <v>0</v>
      </c>
      <c r="H78" s="394">
        <f>IF(RG!$A$78=5,0,H76*$D75)</f>
        <v>0</v>
      </c>
      <c r="I78" s="394">
        <f>IF(RG!$A$78=5,0,I76*$D75)</f>
        <v>0</v>
      </c>
      <c r="J78" s="394">
        <f>IF(RG!$A$78=5,0,J76*$D75)</f>
        <v>0</v>
      </c>
      <c r="K78" s="394">
        <f>IF(RG!$A$78=5,0,K76*$D75)</f>
        <v>0</v>
      </c>
      <c r="L78" s="394">
        <f>IF(RG!$A$78=5,0,L76*$D75)</f>
        <v>0</v>
      </c>
      <c r="M78" s="394">
        <f>IF(RG!$A$78=5,0,M76*$D75)</f>
        <v>0</v>
      </c>
      <c r="N78" s="394">
        <f>IF(RG!$A$78=5,0,N76*$D75)</f>
        <v>0</v>
      </c>
      <c r="O78" s="394">
        <f>IF(RG!$A$78=5,0,O76*$D75)</f>
        <v>0</v>
      </c>
      <c r="P78" s="394">
        <f>IF(RG!$A$78=5,0,P76*$D75)</f>
        <v>0</v>
      </c>
      <c r="Q78" s="76">
        <f>SUM(E78:P78)</f>
        <v>0</v>
      </c>
    </row>
    <row r="79" spans="1:17" hidden="1">
      <c r="D79" s="266"/>
      <c r="E79" s="77"/>
      <c r="F79" s="77"/>
      <c r="G79" s="77"/>
      <c r="H79" s="77"/>
      <c r="I79" s="77"/>
      <c r="J79" s="77"/>
      <c r="K79" s="77"/>
      <c r="L79" s="77"/>
      <c r="M79" s="77"/>
      <c r="N79" s="77"/>
      <c r="O79" s="77"/>
      <c r="P79" s="77"/>
      <c r="Q79" s="77"/>
    </row>
    <row r="80" spans="1:17">
      <c r="D80" s="266"/>
      <c r="E80" s="77"/>
      <c r="F80" s="77"/>
      <c r="G80" s="77"/>
      <c r="H80" s="77"/>
      <c r="I80" s="77"/>
      <c r="J80" s="77"/>
      <c r="K80" s="77"/>
      <c r="L80" s="77"/>
      <c r="M80" s="77"/>
      <c r="N80" s="77"/>
      <c r="O80" s="77"/>
      <c r="P80" s="77"/>
      <c r="Q80" s="77"/>
    </row>
    <row r="81" spans="1:17" ht="17.25" customHeight="1">
      <c r="C81" s="909" t="str">
        <f>'A2'!C81</f>
        <v>Produit/service 6</v>
      </c>
      <c r="D81" s="910"/>
      <c r="E81" s="1181" t="str">
        <f>C81</f>
        <v>Produit/service 6</v>
      </c>
      <c r="F81" s="1182"/>
      <c r="G81" s="1182"/>
      <c r="H81" s="1182"/>
      <c r="I81" s="1182"/>
      <c r="J81" s="1182"/>
      <c r="K81" s="1182"/>
      <c r="L81" s="1182"/>
      <c r="M81" s="1182"/>
      <c r="N81" s="1182"/>
      <c r="O81" s="1182"/>
      <c r="P81" s="1182"/>
      <c r="Q81" s="1182"/>
    </row>
    <row r="82" spans="1:17" hidden="1">
      <c r="B82" s="265" t="s">
        <v>328</v>
      </c>
      <c r="D82" s="106"/>
      <c r="E82" s="106">
        <f t="shared" ref="E82:P82" si="26">IF($A85=1,E91,0)</f>
        <v>0</v>
      </c>
      <c r="F82" s="106">
        <f t="shared" si="26"/>
        <v>0</v>
      </c>
      <c r="G82" s="106">
        <f t="shared" si="26"/>
        <v>0</v>
      </c>
      <c r="H82" s="106">
        <f t="shared" si="26"/>
        <v>0</v>
      </c>
      <c r="I82" s="106">
        <f t="shared" si="26"/>
        <v>0</v>
      </c>
      <c r="J82" s="106">
        <f t="shared" si="26"/>
        <v>0</v>
      </c>
      <c r="K82" s="106">
        <f t="shared" si="26"/>
        <v>0</v>
      </c>
      <c r="L82" s="106">
        <f t="shared" si="26"/>
        <v>0</v>
      </c>
      <c r="M82" s="106">
        <f t="shared" si="26"/>
        <v>0</v>
      </c>
      <c r="N82" s="106">
        <f t="shared" si="26"/>
        <v>0</v>
      </c>
      <c r="O82" s="106">
        <f t="shared" si="26"/>
        <v>0</v>
      </c>
      <c r="P82" s="106">
        <f t="shared" si="26"/>
        <v>0</v>
      </c>
      <c r="Q82" s="48"/>
    </row>
    <row r="83" spans="1:17" hidden="1">
      <c r="B83" s="264" t="s">
        <v>329</v>
      </c>
      <c r="D83" s="106"/>
      <c r="E83" s="270">
        <f>IF('A2'!$A85=2,'A2'!P91,0)</f>
        <v>0</v>
      </c>
      <c r="F83" s="106">
        <f>IF($A85=2,E91,0)</f>
        <v>0</v>
      </c>
      <c r="G83" s="106">
        <f>IF($A85=2,F91,0)</f>
        <v>0</v>
      </c>
      <c r="H83" s="106">
        <f>IF($A85=2,G91,0)</f>
        <v>0</v>
      </c>
      <c r="I83" s="106">
        <f t="shared" ref="I83:P83" si="27">IF($A85=2,H91,0)</f>
        <v>0</v>
      </c>
      <c r="J83" s="106">
        <f t="shared" si="27"/>
        <v>0</v>
      </c>
      <c r="K83" s="106">
        <f t="shared" si="27"/>
        <v>0</v>
      </c>
      <c r="L83" s="106">
        <f t="shared" si="27"/>
        <v>0</v>
      </c>
      <c r="M83" s="106">
        <f t="shared" si="27"/>
        <v>0</v>
      </c>
      <c r="N83" s="106">
        <f t="shared" si="27"/>
        <v>0</v>
      </c>
      <c r="O83" s="106">
        <f t="shared" si="27"/>
        <v>0</v>
      </c>
      <c r="P83" s="106">
        <f t="shared" si="27"/>
        <v>0</v>
      </c>
      <c r="Q83" s="48"/>
    </row>
    <row r="84" spans="1:17" hidden="1">
      <c r="B84" s="264" t="s">
        <v>448</v>
      </c>
      <c r="D84" s="106"/>
      <c r="E84" s="270">
        <f>IF('A2'!$A85=3,'A2'!O91,0)</f>
        <v>0</v>
      </c>
      <c r="F84" s="264">
        <f>IF('A2'!$A85=3,'A2'!P91,0)</f>
        <v>0</v>
      </c>
      <c r="G84" s="106">
        <f t="shared" ref="G84:P84" si="28">IF($A85=3,E91,0)</f>
        <v>0</v>
      </c>
      <c r="H84" s="106">
        <f t="shared" si="28"/>
        <v>0</v>
      </c>
      <c r="I84" s="106">
        <f t="shared" si="28"/>
        <v>0</v>
      </c>
      <c r="J84" s="106">
        <f t="shared" si="28"/>
        <v>0</v>
      </c>
      <c r="K84" s="106">
        <f t="shared" si="28"/>
        <v>0</v>
      </c>
      <c r="L84" s="106">
        <f t="shared" si="28"/>
        <v>0</v>
      </c>
      <c r="M84" s="106">
        <f t="shared" si="28"/>
        <v>0</v>
      </c>
      <c r="N84" s="106">
        <f t="shared" si="28"/>
        <v>0</v>
      </c>
      <c r="O84" s="106">
        <f t="shared" si="28"/>
        <v>0</v>
      </c>
      <c r="P84" s="106">
        <f t="shared" si="28"/>
        <v>0</v>
      </c>
      <c r="Q84" s="48"/>
    </row>
    <row r="85" spans="1:17" hidden="1">
      <c r="A85" s="243">
        <v>1</v>
      </c>
      <c r="B85" s="264" t="s">
        <v>330</v>
      </c>
      <c r="D85" s="48"/>
      <c r="E85" s="270">
        <f>IF('A2'!$A85=4,'A2'!N91,0)</f>
        <v>0</v>
      </c>
      <c r="F85" s="264">
        <f>IF('A2'!$A85=4,'A2'!O91,0)</f>
        <v>0</v>
      </c>
      <c r="G85" s="264">
        <f>IF('A2'!$A85=4,'A2'!P91,0)</f>
        <v>0</v>
      </c>
      <c r="H85" s="106">
        <f t="shared" ref="H85:P85" si="29">IF($A85=4,E91,0)</f>
        <v>0</v>
      </c>
      <c r="I85" s="106">
        <f t="shared" si="29"/>
        <v>0</v>
      </c>
      <c r="J85" s="106">
        <f t="shared" si="29"/>
        <v>0</v>
      </c>
      <c r="K85" s="106">
        <f t="shared" si="29"/>
        <v>0</v>
      </c>
      <c r="L85" s="106">
        <f t="shared" si="29"/>
        <v>0</v>
      </c>
      <c r="M85" s="106">
        <f t="shared" si="29"/>
        <v>0</v>
      </c>
      <c r="N85" s="106">
        <f t="shared" si="29"/>
        <v>0</v>
      </c>
      <c r="O85" s="106">
        <f t="shared" si="29"/>
        <v>0</v>
      </c>
      <c r="P85" s="106">
        <f t="shared" si="29"/>
        <v>0</v>
      </c>
      <c r="Q85" s="48"/>
    </row>
    <row r="86" spans="1:17" hidden="1">
      <c r="A86" s="243"/>
      <c r="B86" s="264"/>
      <c r="D86" s="271"/>
      <c r="E86" s="272">
        <f t="shared" ref="E86:P86" si="30">SUM(E82:E85)</f>
        <v>0</v>
      </c>
      <c r="F86" s="272">
        <f t="shared" si="30"/>
        <v>0</v>
      </c>
      <c r="G86" s="272">
        <f t="shared" si="30"/>
        <v>0</v>
      </c>
      <c r="H86" s="272">
        <f t="shared" si="30"/>
        <v>0</v>
      </c>
      <c r="I86" s="272">
        <f t="shared" si="30"/>
        <v>0</v>
      </c>
      <c r="J86" s="272">
        <f t="shared" si="30"/>
        <v>0</v>
      </c>
      <c r="K86" s="272">
        <f t="shared" si="30"/>
        <v>0</v>
      </c>
      <c r="L86" s="272">
        <f t="shared" si="30"/>
        <v>0</v>
      </c>
      <c r="M86" s="272">
        <f t="shared" si="30"/>
        <v>0</v>
      </c>
      <c r="N86" s="272">
        <f t="shared" si="30"/>
        <v>0</v>
      </c>
      <c r="O86" s="272">
        <f t="shared" si="30"/>
        <v>0</v>
      </c>
      <c r="P86" s="272">
        <f t="shared" si="30"/>
        <v>0</v>
      </c>
      <c r="Q86" s="77"/>
    </row>
    <row r="87" spans="1:17" ht="13.5" thickBot="1">
      <c r="A87" s="243"/>
      <c r="B87" s="264"/>
      <c r="D87" s="271"/>
      <c r="E87" s="270"/>
      <c r="F87" s="264"/>
      <c r="G87" s="264"/>
      <c r="H87" s="106"/>
      <c r="I87" s="106"/>
      <c r="J87" s="106"/>
      <c r="K87" s="106"/>
      <c r="L87" s="106"/>
      <c r="M87" s="106"/>
      <c r="N87" s="106"/>
      <c r="O87" s="106"/>
      <c r="P87" s="106"/>
      <c r="Q87" s="264"/>
    </row>
    <row r="88" spans="1:17" ht="13.5" thickBot="1">
      <c r="C88" s="48" t="str">
        <f>'A2'!C88</f>
        <v>Coût des marchandises</v>
      </c>
      <c r="D88" s="907">
        <f>'A2'!D88</f>
        <v>0</v>
      </c>
      <c r="E88" s="48"/>
      <c r="F88" s="48"/>
      <c r="G88" s="48"/>
      <c r="H88" s="48"/>
      <c r="I88" s="48"/>
      <c r="J88" s="48"/>
      <c r="K88" s="48"/>
      <c r="L88" s="48"/>
      <c r="M88" s="48"/>
      <c r="N88" s="48"/>
      <c r="O88" s="48"/>
      <c r="P88" s="48"/>
      <c r="Q88" s="48"/>
    </row>
    <row r="89" spans="1:17" ht="13.5" thickBot="1">
      <c r="C89" s="48" t="str">
        <f>'A2'!C89</f>
        <v>Ventes estimées</v>
      </c>
      <c r="D89" s="106"/>
      <c r="E89" s="388">
        <f>'V3'!F96</f>
        <v>0</v>
      </c>
      <c r="F89" s="388">
        <f>'V3'!G96</f>
        <v>0</v>
      </c>
      <c r="G89" s="388">
        <f>'V3'!H96</f>
        <v>0</v>
      </c>
      <c r="H89" s="388">
        <f>'V3'!I96</f>
        <v>0</v>
      </c>
      <c r="I89" s="388">
        <f>'V3'!J96</f>
        <v>0</v>
      </c>
      <c r="J89" s="388">
        <f>'V3'!K96</f>
        <v>0</v>
      </c>
      <c r="K89" s="388">
        <f>'V3'!L96</f>
        <v>0</v>
      </c>
      <c r="L89" s="388">
        <f>'V3'!M96</f>
        <v>0</v>
      </c>
      <c r="M89" s="388">
        <f>'V3'!N96</f>
        <v>0</v>
      </c>
      <c r="N89" s="388">
        <f>'V3'!O96</f>
        <v>0</v>
      </c>
      <c r="O89" s="388">
        <f>'V3'!P96</f>
        <v>0</v>
      </c>
      <c r="P89" s="388">
        <f>'V3'!Q96</f>
        <v>0</v>
      </c>
      <c r="Q89" s="76">
        <f>SUM(E89:P89)</f>
        <v>0</v>
      </c>
    </row>
    <row r="90" spans="1:17" ht="13.5" thickBot="1">
      <c r="C90" s="48" t="s">
        <v>14</v>
      </c>
      <c r="D90" s="266"/>
      <c r="E90" s="908"/>
      <c r="F90" s="908"/>
      <c r="G90" s="908"/>
      <c r="H90" s="908"/>
      <c r="I90" s="908"/>
      <c r="J90" s="908"/>
      <c r="K90" s="908"/>
      <c r="L90" s="908"/>
      <c r="M90" s="908"/>
      <c r="N90" s="908"/>
      <c r="O90" s="908"/>
      <c r="P90" s="908"/>
      <c r="Q90" s="76">
        <f>SUM(E90:P90)</f>
        <v>0</v>
      </c>
    </row>
    <row r="91" spans="1:17" ht="13.5" thickBot="1">
      <c r="C91" s="48" t="str">
        <f>'A2'!C91</f>
        <v>Achats prévus</v>
      </c>
      <c r="D91" s="106"/>
      <c r="E91" s="394">
        <f>IF(RG!$A$78=5,0,E89*$D88)</f>
        <v>0</v>
      </c>
      <c r="F91" s="394">
        <f>IF(RG!$A$78=5,0,F89*$D88)</f>
        <v>0</v>
      </c>
      <c r="G91" s="394">
        <f>IF(RG!$A$78=5,0,G89*$D88)</f>
        <v>0</v>
      </c>
      <c r="H91" s="394">
        <f>IF(RG!$A$78=5,0,H89*$D88)</f>
        <v>0</v>
      </c>
      <c r="I91" s="394">
        <f>IF(RG!$A$78=5,0,I89*$D88)</f>
        <v>0</v>
      </c>
      <c r="J91" s="394">
        <f>IF(RG!$A$78=5,0,J89*$D88)</f>
        <v>0</v>
      </c>
      <c r="K91" s="394">
        <f>IF(RG!$A$78=5,0,K89*$D88)</f>
        <v>0</v>
      </c>
      <c r="L91" s="394">
        <f>IF(RG!$A$78=5,0,L89*$D88)</f>
        <v>0</v>
      </c>
      <c r="M91" s="394">
        <f>IF(RG!$A$78=5,0,M89*$D88)</f>
        <v>0</v>
      </c>
      <c r="N91" s="394">
        <f>IF(RG!$A$78=5,0,N89*$D88)</f>
        <v>0</v>
      </c>
      <c r="O91" s="394">
        <f>IF(RG!$A$78=5,0,O89*$D88)</f>
        <v>0</v>
      </c>
      <c r="P91" s="394">
        <f>IF(RG!$A$78=5,0,P89*$D88)</f>
        <v>0</v>
      </c>
      <c r="Q91" s="76">
        <f>SUM(E91:P91)</f>
        <v>0</v>
      </c>
    </row>
    <row r="92" spans="1:17" hidden="1">
      <c r="C92" s="143"/>
      <c r="D92" s="106"/>
      <c r="E92" s="273"/>
      <c r="F92" s="273"/>
      <c r="G92" s="273"/>
      <c r="H92" s="273"/>
      <c r="I92" s="273"/>
      <c r="J92" s="273"/>
      <c r="K92" s="273"/>
      <c r="L92" s="273"/>
      <c r="M92" s="273"/>
      <c r="N92" s="273"/>
      <c r="O92" s="273"/>
      <c r="P92" s="273"/>
      <c r="Q92" s="268"/>
    </row>
    <row r="93" spans="1:17" ht="13.5" thickBot="1">
      <c r="C93" s="143"/>
      <c r="D93" s="106"/>
      <c r="E93" s="1058">
        <f>E90+E77+E64+E51+E38+E25</f>
        <v>0</v>
      </c>
      <c r="F93" s="1058">
        <f t="shared" ref="F93:Q93" si="31">F90+F77+F64+F51+F38+F25</f>
        <v>0</v>
      </c>
      <c r="G93" s="1058">
        <f t="shared" si="31"/>
        <v>0</v>
      </c>
      <c r="H93" s="1058">
        <f t="shared" si="31"/>
        <v>0</v>
      </c>
      <c r="I93" s="1058">
        <f t="shared" si="31"/>
        <v>0</v>
      </c>
      <c r="J93" s="1058">
        <f t="shared" si="31"/>
        <v>0</v>
      </c>
      <c r="K93" s="1058">
        <f t="shared" si="31"/>
        <v>0</v>
      </c>
      <c r="L93" s="1058">
        <f t="shared" si="31"/>
        <v>0</v>
      </c>
      <c r="M93" s="1058">
        <f t="shared" si="31"/>
        <v>0</v>
      </c>
      <c r="N93" s="1058">
        <f t="shared" si="31"/>
        <v>0</v>
      </c>
      <c r="O93" s="1058">
        <f t="shared" si="31"/>
        <v>0</v>
      </c>
      <c r="P93" s="1058">
        <f t="shared" si="31"/>
        <v>0</v>
      </c>
      <c r="Q93" s="1058">
        <f t="shared" si="31"/>
        <v>0</v>
      </c>
    </row>
    <row r="94" spans="1:17" ht="13.5" thickBot="1">
      <c r="C94" s="143" t="s">
        <v>252</v>
      </c>
      <c r="D94" s="106"/>
      <c r="E94" s="76">
        <f>E26+E39+E52+E65+E78+E91</f>
        <v>0</v>
      </c>
      <c r="F94" s="76">
        <f t="shared" ref="F94:Q94" si="32">F26+F39+F52+F65+F78+F91</f>
        <v>0</v>
      </c>
      <c r="G94" s="76">
        <f t="shared" si="32"/>
        <v>0</v>
      </c>
      <c r="H94" s="76">
        <f t="shared" si="32"/>
        <v>0</v>
      </c>
      <c r="I94" s="76">
        <f t="shared" si="32"/>
        <v>0</v>
      </c>
      <c r="J94" s="76">
        <f t="shared" si="32"/>
        <v>0</v>
      </c>
      <c r="K94" s="76">
        <f t="shared" si="32"/>
        <v>0</v>
      </c>
      <c r="L94" s="76">
        <f t="shared" si="32"/>
        <v>0</v>
      </c>
      <c r="M94" s="76">
        <f t="shared" si="32"/>
        <v>0</v>
      </c>
      <c r="N94" s="76">
        <f t="shared" si="32"/>
        <v>0</v>
      </c>
      <c r="O94" s="76">
        <f t="shared" si="32"/>
        <v>0</v>
      </c>
      <c r="P94" s="76">
        <f t="shared" si="32"/>
        <v>0</v>
      </c>
      <c r="Q94" s="76">
        <f t="shared" si="32"/>
        <v>0</v>
      </c>
    </row>
    <row r="95" spans="1:17" s="782" customFormat="1">
      <c r="C95" s="48"/>
      <c r="E95" s="664">
        <f>E86+E73+E60+E47+E34+E21</f>
        <v>0</v>
      </c>
      <c r="F95" s="664">
        <f t="shared" ref="F95:P95" si="33">F86+F73+F60+F47+F34+F21</f>
        <v>0</v>
      </c>
      <c r="G95" s="664">
        <f t="shared" si="33"/>
        <v>0</v>
      </c>
      <c r="H95" s="664">
        <f t="shared" si="33"/>
        <v>0</v>
      </c>
      <c r="I95" s="664">
        <f t="shared" si="33"/>
        <v>0</v>
      </c>
      <c r="J95" s="664">
        <f t="shared" si="33"/>
        <v>0</v>
      </c>
      <c r="K95" s="664">
        <f t="shared" si="33"/>
        <v>0</v>
      </c>
      <c r="L95" s="664">
        <f t="shared" si="33"/>
        <v>0</v>
      </c>
      <c r="M95" s="664">
        <f t="shared" si="33"/>
        <v>0</v>
      </c>
      <c r="N95" s="664">
        <f t="shared" si="33"/>
        <v>0</v>
      </c>
      <c r="O95" s="664">
        <f t="shared" si="33"/>
        <v>0</v>
      </c>
      <c r="P95" s="664">
        <f t="shared" si="33"/>
        <v>0</v>
      </c>
      <c r="Q95" s="664">
        <f>SUM(E95:P95)</f>
        <v>0</v>
      </c>
    </row>
    <row r="111" spans="3:3">
      <c r="C111" s="267"/>
    </row>
    <row r="132" spans="3:3">
      <c r="C132" s="78"/>
    </row>
    <row r="133" spans="3:3">
      <c r="C133" s="78"/>
    </row>
    <row r="135" spans="3:3" ht="15">
      <c r="C135" s="59"/>
    </row>
    <row r="183" spans="3:3">
      <c r="C183" s="143"/>
    </row>
  </sheetData>
  <sheetProtection password="E242" sheet="1" objects="1" scenarios="1"/>
  <customSheetViews>
    <customSheetView guid="{30D0538C-360A-4CDF-8D89-584CED1967CC}"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1249" r:id="rId6" name="Drop Down 1">
              <controlPr defaultSize="0" autoFill="0" autoLine="0" autoPict="0">
                <anchor moveWithCells="1">
                  <from>
                    <xdr:col>3</xdr:col>
                    <xdr:colOff>12700</xdr:colOff>
                    <xdr:row>15</xdr:row>
                    <xdr:rowOff>12700</xdr:rowOff>
                  </from>
                  <to>
                    <xdr:col>3</xdr:col>
                    <xdr:colOff>825500</xdr:colOff>
                    <xdr:row>21</xdr:row>
                    <xdr:rowOff>0</xdr:rowOff>
                  </to>
                </anchor>
              </controlPr>
            </control>
          </mc:Choice>
        </mc:AlternateContent>
        <mc:AlternateContent xmlns:mc="http://schemas.openxmlformats.org/markup-compatibility/2006">
          <mc:Choice Requires="x14">
            <control shapeId="181250" r:id="rId7" name="Drop Down 2">
              <controlPr defaultSize="0" autoFill="0" autoLine="0" autoPict="0">
                <anchor moveWithCells="1">
                  <from>
                    <xdr:col>3</xdr:col>
                    <xdr:colOff>0</xdr:colOff>
                    <xdr:row>28</xdr:row>
                    <xdr:rowOff>12700</xdr:rowOff>
                  </from>
                  <to>
                    <xdr:col>3</xdr:col>
                    <xdr:colOff>825500</xdr:colOff>
                    <xdr:row>28</xdr:row>
                    <xdr:rowOff>215900</xdr:rowOff>
                  </to>
                </anchor>
              </controlPr>
            </control>
          </mc:Choice>
        </mc:AlternateContent>
        <mc:AlternateContent xmlns:mc="http://schemas.openxmlformats.org/markup-compatibility/2006">
          <mc:Choice Requires="x14">
            <control shapeId="181251" r:id="rId8" name="Drop Down 3">
              <controlPr defaultSize="0" autoFill="0" autoLine="0" autoPict="0">
                <anchor moveWithCells="1">
                  <from>
                    <xdr:col>3</xdr:col>
                    <xdr:colOff>0</xdr:colOff>
                    <xdr:row>53</xdr:row>
                    <xdr:rowOff>139700</xdr:rowOff>
                  </from>
                  <to>
                    <xdr:col>3</xdr:col>
                    <xdr:colOff>825500</xdr:colOff>
                    <xdr:row>54</xdr:row>
                    <xdr:rowOff>215900</xdr:rowOff>
                  </to>
                </anchor>
              </controlPr>
            </control>
          </mc:Choice>
        </mc:AlternateContent>
        <mc:AlternateContent xmlns:mc="http://schemas.openxmlformats.org/markup-compatibility/2006">
          <mc:Choice Requires="x14">
            <control shapeId="181252" r:id="rId9" name="Drop Down 4">
              <controlPr defaultSize="0" autoFill="0" autoLine="0" autoPict="0">
                <anchor moveWithCells="1">
                  <from>
                    <xdr:col>2</xdr:col>
                    <xdr:colOff>2540000</xdr:colOff>
                    <xdr:row>66</xdr:row>
                    <xdr:rowOff>152400</xdr:rowOff>
                  </from>
                  <to>
                    <xdr:col>3</xdr:col>
                    <xdr:colOff>825500</xdr:colOff>
                    <xdr:row>73</xdr:row>
                    <xdr:rowOff>0</xdr:rowOff>
                  </to>
                </anchor>
              </controlPr>
            </control>
          </mc:Choice>
        </mc:AlternateContent>
        <mc:AlternateContent xmlns:mc="http://schemas.openxmlformats.org/markup-compatibility/2006">
          <mc:Choice Requires="x14">
            <control shapeId="181253" r:id="rId10" name="Drop Down 5">
              <controlPr defaultSize="0" autoFill="0" autoLine="0" autoPict="0">
                <anchor moveWithCells="1">
                  <from>
                    <xdr:col>3</xdr:col>
                    <xdr:colOff>0</xdr:colOff>
                    <xdr:row>80</xdr:row>
                    <xdr:rowOff>0</xdr:rowOff>
                  </from>
                  <to>
                    <xdr:col>3</xdr:col>
                    <xdr:colOff>825500</xdr:colOff>
                    <xdr:row>86</xdr:row>
                    <xdr:rowOff>0</xdr:rowOff>
                  </to>
                </anchor>
              </controlPr>
            </control>
          </mc:Choice>
        </mc:AlternateContent>
        <mc:AlternateContent xmlns:mc="http://schemas.openxmlformats.org/markup-compatibility/2006">
          <mc:Choice Requires="x14">
            <control shapeId="181254" r:id="rId11" name="Drop Down 6">
              <controlPr defaultSize="0" autoFill="0" autoLine="0" autoPict="0">
                <anchor moveWithCells="1">
                  <from>
                    <xdr:col>2</xdr:col>
                    <xdr:colOff>2527300</xdr:colOff>
                    <xdr:row>40</xdr:row>
                    <xdr:rowOff>152400</xdr:rowOff>
                  </from>
                  <to>
                    <xdr:col>3</xdr:col>
                    <xdr:colOff>787400</xdr:colOff>
                    <xdr:row>47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A4">
    <pageSetUpPr fitToPage="1"/>
  </sheetPr>
  <dimension ref="A1:Q183"/>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ColWidth="11.453125" defaultRowHeight="13"/>
  <cols>
    <col min="1" max="2" width="0" style="255" hidden="1" customWidth="1"/>
    <col min="3" max="3" width="38.36328125" style="48" customWidth="1"/>
    <col min="4" max="4" width="12.6328125" style="255" customWidth="1"/>
    <col min="5" max="17" width="12.81640625" style="255" customWidth="1"/>
    <col min="18" max="16384" width="11.453125" style="255"/>
  </cols>
  <sheetData>
    <row r="1" spans="3:17" customFormat="1" ht="12.5"/>
    <row r="2" spans="3:17" customFormat="1" ht="12.5"/>
    <row r="3" spans="3:17" customFormat="1" ht="12.5"/>
    <row r="4" spans="3:17" customFormat="1" ht="12.5"/>
    <row r="5" spans="3:17" customFormat="1" ht="12.5"/>
    <row r="6" spans="3:17" customFormat="1" ht="12.5"/>
    <row r="7" spans="3:17" customFormat="1" ht="12.5"/>
    <row r="8" spans="3:17" customFormat="1" ht="12.5"/>
    <row r="9" spans="3:17" customFormat="1" ht="12.5"/>
    <row r="10" spans="3:17" s="48" customFormat="1" ht="27" customHeight="1">
      <c r="C10" s="105" t="str">
        <f>RG!D17</f>
        <v>Jhon Wesly inc.</v>
      </c>
      <c r="D10" s="262"/>
      <c r="E10" s="262"/>
      <c r="F10" s="262"/>
      <c r="G10" s="262"/>
      <c r="H10" s="262"/>
      <c r="I10" s="262"/>
      <c r="J10" s="262"/>
      <c r="K10" s="262"/>
      <c r="L10" s="262"/>
      <c r="M10" s="262"/>
      <c r="N10" s="262"/>
      <c r="O10" s="262"/>
      <c r="P10" s="262"/>
      <c r="Q10" s="262"/>
    </row>
    <row r="11" spans="3:17" s="48" customFormat="1" ht="12.75" customHeight="1" thickBot="1">
      <c r="C11" s="263"/>
      <c r="D11" s="263"/>
      <c r="E11" s="263"/>
      <c r="F11" s="263"/>
      <c r="G11" s="263"/>
      <c r="H11" s="263"/>
      <c r="I11" s="263"/>
      <c r="J11" s="263"/>
      <c r="K11" s="263"/>
      <c r="L11" s="263"/>
      <c r="M11" s="263"/>
      <c r="N11" s="263"/>
      <c r="O11" s="263"/>
      <c r="P11" s="263"/>
      <c r="Q11" s="263"/>
    </row>
    <row r="12" spans="3:17" s="48" customFormat="1" ht="15.5" hidden="1" thickBot="1">
      <c r="C12" s="72" t="s">
        <v>143</v>
      </c>
      <c r="D12" s="255"/>
      <c r="F12" s="107"/>
      <c r="G12" s="107"/>
      <c r="H12" s="107"/>
      <c r="I12" s="107"/>
      <c r="J12" s="107"/>
      <c r="K12" s="107"/>
      <c r="L12" s="107"/>
      <c r="M12" s="107"/>
      <c r="N12" s="107"/>
      <c r="O12" s="107"/>
      <c r="P12" s="107"/>
      <c r="Q12" s="107"/>
    </row>
    <row r="13" spans="3:17" s="48" customFormat="1" ht="13.5" hidden="1" thickBot="1">
      <c r="C13" s="143"/>
      <c r="D13" s="106"/>
      <c r="E13" s="107"/>
      <c r="F13" s="107"/>
      <c r="G13" s="107"/>
      <c r="H13" s="107"/>
      <c r="I13" s="107"/>
      <c r="J13" s="107"/>
      <c r="K13" s="107"/>
      <c r="L13" s="107"/>
      <c r="M13" s="107"/>
      <c r="N13" s="107"/>
      <c r="O13" s="107"/>
      <c r="P13" s="107"/>
      <c r="Q13" s="107"/>
    </row>
    <row r="14" spans="3:17" s="48" customFormat="1" ht="15.5" thickBot="1">
      <c r="C14" s="1177" t="s">
        <v>143</v>
      </c>
      <c r="D14" s="1179"/>
      <c r="E14" s="837">
        <f>'A3'!E14+366</f>
        <v>46390</v>
      </c>
      <c r="F14" s="837">
        <f t="shared" ref="F14:P14" si="0">E14+31</f>
        <v>46421</v>
      </c>
      <c r="G14" s="837">
        <f t="shared" si="0"/>
        <v>46452</v>
      </c>
      <c r="H14" s="837">
        <f t="shared" si="0"/>
        <v>46483</v>
      </c>
      <c r="I14" s="837">
        <f t="shared" si="0"/>
        <v>46514</v>
      </c>
      <c r="J14" s="837">
        <f t="shared" si="0"/>
        <v>46545</v>
      </c>
      <c r="K14" s="837">
        <f t="shared" si="0"/>
        <v>46576</v>
      </c>
      <c r="L14" s="837">
        <f t="shared" si="0"/>
        <v>46607</v>
      </c>
      <c r="M14" s="837">
        <f t="shared" si="0"/>
        <v>46638</v>
      </c>
      <c r="N14" s="837">
        <f t="shared" si="0"/>
        <v>46669</v>
      </c>
      <c r="O14" s="837">
        <f t="shared" si="0"/>
        <v>46700</v>
      </c>
      <c r="P14" s="837">
        <f t="shared" si="0"/>
        <v>46731</v>
      </c>
      <c r="Q14" s="838" t="s">
        <v>489</v>
      </c>
    </row>
    <row r="15" spans="3:17">
      <c r="C15" s="143"/>
      <c r="D15" s="106"/>
      <c r="E15" s="264"/>
      <c r="F15" s="264"/>
      <c r="G15" s="264"/>
      <c r="H15" s="264"/>
      <c r="I15" s="264"/>
      <c r="J15" s="264"/>
      <c r="K15" s="264"/>
      <c r="L15" s="264"/>
      <c r="M15" s="264"/>
      <c r="N15" s="264"/>
      <c r="O15" s="264"/>
      <c r="P15" s="264"/>
      <c r="Q15" s="265"/>
    </row>
    <row r="16" spans="3:17" ht="17.25" customHeight="1">
      <c r="C16" s="909" t="str">
        <f>'A3'!C16</f>
        <v>Produit/service 1</v>
      </c>
      <c r="D16" s="910"/>
      <c r="E16" s="1181" t="str">
        <f>C16</f>
        <v>Produit/service 1</v>
      </c>
      <c r="F16" s="1182"/>
      <c r="G16" s="1182"/>
      <c r="H16" s="1182"/>
      <c r="I16" s="1182"/>
      <c r="J16" s="1182"/>
      <c r="K16" s="1182"/>
      <c r="L16" s="1182"/>
      <c r="M16" s="1182"/>
      <c r="N16" s="1182"/>
      <c r="O16" s="1182"/>
      <c r="P16" s="1182"/>
      <c r="Q16" s="1182"/>
    </row>
    <row r="17" spans="1:17" hidden="1">
      <c r="B17" s="265" t="s">
        <v>328</v>
      </c>
      <c r="D17" s="106"/>
      <c r="E17" s="106">
        <f t="shared" ref="E17:P17" si="1">IF($A20=1,E26,0)</f>
        <v>0</v>
      </c>
      <c r="F17" s="106">
        <f t="shared" si="1"/>
        <v>0</v>
      </c>
      <c r="G17" s="106">
        <f t="shared" si="1"/>
        <v>0</v>
      </c>
      <c r="H17" s="106">
        <f t="shared" si="1"/>
        <v>0</v>
      </c>
      <c r="I17" s="106">
        <f t="shared" si="1"/>
        <v>0</v>
      </c>
      <c r="J17" s="106">
        <f t="shared" si="1"/>
        <v>0</v>
      </c>
      <c r="K17" s="106">
        <f t="shared" si="1"/>
        <v>0</v>
      </c>
      <c r="L17" s="106">
        <f t="shared" si="1"/>
        <v>0</v>
      </c>
      <c r="M17" s="106">
        <f t="shared" si="1"/>
        <v>0</v>
      </c>
      <c r="N17" s="106">
        <f t="shared" si="1"/>
        <v>0</v>
      </c>
      <c r="O17" s="106">
        <f t="shared" si="1"/>
        <v>0</v>
      </c>
      <c r="P17" s="106">
        <f t="shared" si="1"/>
        <v>0</v>
      </c>
      <c r="Q17" s="48"/>
    </row>
    <row r="18" spans="1:17" hidden="1">
      <c r="B18" s="264" t="s">
        <v>329</v>
      </c>
      <c r="D18" s="106"/>
      <c r="E18" s="270">
        <f>IF('A3'!$A20=2,'A3'!P26,0)</f>
        <v>0</v>
      </c>
      <c r="F18" s="106">
        <f t="shared" ref="F18:P18" si="2">IF($A20=2,E26,0)</f>
        <v>0</v>
      </c>
      <c r="G18" s="106">
        <f t="shared" si="2"/>
        <v>0</v>
      </c>
      <c r="H18" s="106">
        <f t="shared" si="2"/>
        <v>0</v>
      </c>
      <c r="I18" s="106">
        <f t="shared" si="2"/>
        <v>0</v>
      </c>
      <c r="J18" s="106">
        <f t="shared" si="2"/>
        <v>0</v>
      </c>
      <c r="K18" s="106">
        <f t="shared" si="2"/>
        <v>0</v>
      </c>
      <c r="L18" s="106">
        <f t="shared" si="2"/>
        <v>0</v>
      </c>
      <c r="M18" s="106">
        <f t="shared" si="2"/>
        <v>0</v>
      </c>
      <c r="N18" s="106">
        <f t="shared" si="2"/>
        <v>0</v>
      </c>
      <c r="O18" s="106">
        <f t="shared" si="2"/>
        <v>0</v>
      </c>
      <c r="P18" s="106">
        <f t="shared" si="2"/>
        <v>0</v>
      </c>
      <c r="Q18" s="48"/>
    </row>
    <row r="19" spans="1:17" hidden="1">
      <c r="B19" s="264" t="s">
        <v>448</v>
      </c>
      <c r="D19" s="106"/>
      <c r="E19" s="270">
        <f>IF('A3'!$A20=3,'A3'!O26,0)</f>
        <v>0</v>
      </c>
      <c r="F19" s="264">
        <f>IF('A3'!$A20=3,'A3'!P26,0)</f>
        <v>0</v>
      </c>
      <c r="G19" s="106">
        <f t="shared" ref="G19:P19" si="3">IF($A20=3,E26,0)</f>
        <v>0</v>
      </c>
      <c r="H19" s="106">
        <f t="shared" si="3"/>
        <v>0</v>
      </c>
      <c r="I19" s="106">
        <f t="shared" si="3"/>
        <v>0</v>
      </c>
      <c r="J19" s="106">
        <f t="shared" si="3"/>
        <v>0</v>
      </c>
      <c r="K19" s="106">
        <f t="shared" si="3"/>
        <v>0</v>
      </c>
      <c r="L19" s="106">
        <f t="shared" si="3"/>
        <v>0</v>
      </c>
      <c r="M19" s="106">
        <f t="shared" si="3"/>
        <v>0</v>
      </c>
      <c r="N19" s="106">
        <f t="shared" si="3"/>
        <v>0</v>
      </c>
      <c r="O19" s="106">
        <f t="shared" si="3"/>
        <v>0</v>
      </c>
      <c r="P19" s="106">
        <f t="shared" si="3"/>
        <v>0</v>
      </c>
      <c r="Q19" s="48"/>
    </row>
    <row r="20" spans="1:17" hidden="1">
      <c r="A20" s="243">
        <v>1</v>
      </c>
      <c r="B20" s="264" t="s">
        <v>330</v>
      </c>
      <c r="D20" s="48"/>
      <c r="E20" s="270">
        <f>IF('A3'!$A20=4,'A3'!N26,0)</f>
        <v>0</v>
      </c>
      <c r="F20" s="264">
        <f>IF('A3'!$A20=4,'A3'!O26,0)</f>
        <v>0</v>
      </c>
      <c r="G20" s="264">
        <f>IF('A3'!$A20=4,'A3'!P26,0)</f>
        <v>0</v>
      </c>
      <c r="H20" s="106">
        <f t="shared" ref="H20:P20" si="4">IF($A20=4,E26,0)</f>
        <v>0</v>
      </c>
      <c r="I20" s="106">
        <f t="shared" si="4"/>
        <v>0</v>
      </c>
      <c r="J20" s="106">
        <f t="shared" si="4"/>
        <v>0</v>
      </c>
      <c r="K20" s="106">
        <f t="shared" si="4"/>
        <v>0</v>
      </c>
      <c r="L20" s="106">
        <f t="shared" si="4"/>
        <v>0</v>
      </c>
      <c r="M20" s="106">
        <f t="shared" si="4"/>
        <v>0</v>
      </c>
      <c r="N20" s="106">
        <f t="shared" si="4"/>
        <v>0</v>
      </c>
      <c r="O20" s="106">
        <f t="shared" si="4"/>
        <v>0</v>
      </c>
      <c r="P20" s="106">
        <f t="shared" si="4"/>
        <v>0</v>
      </c>
      <c r="Q20" s="48"/>
    </row>
    <row r="21" spans="1:17" hidden="1">
      <c r="A21" s="243"/>
      <c r="B21" s="264"/>
      <c r="D21" s="271"/>
      <c r="E21" s="272">
        <f t="shared" ref="E21:P21" si="5">SUM(E17:E20)</f>
        <v>0</v>
      </c>
      <c r="F21" s="272">
        <f t="shared" si="5"/>
        <v>0</v>
      </c>
      <c r="G21" s="272">
        <f t="shared" si="5"/>
        <v>0</v>
      </c>
      <c r="H21" s="272">
        <f t="shared" si="5"/>
        <v>0</v>
      </c>
      <c r="I21" s="272">
        <f t="shared" si="5"/>
        <v>0</v>
      </c>
      <c r="J21" s="272">
        <f t="shared" si="5"/>
        <v>0</v>
      </c>
      <c r="K21" s="272">
        <f t="shared" si="5"/>
        <v>0</v>
      </c>
      <c r="L21" s="272">
        <f t="shared" si="5"/>
        <v>0</v>
      </c>
      <c r="M21" s="272">
        <f t="shared" si="5"/>
        <v>0</v>
      </c>
      <c r="N21" s="272">
        <f t="shared" si="5"/>
        <v>0</v>
      </c>
      <c r="O21" s="272">
        <f t="shared" si="5"/>
        <v>0</v>
      </c>
      <c r="P21" s="272">
        <f t="shared" si="5"/>
        <v>0</v>
      </c>
      <c r="Q21" s="265"/>
    </row>
    <row r="22" spans="1:17" ht="13.5" thickBot="1">
      <c r="A22" s="243"/>
      <c r="B22" s="264"/>
      <c r="D22" s="271"/>
      <c r="E22" s="270"/>
      <c r="F22" s="264"/>
      <c r="G22" s="264"/>
      <c r="H22" s="106"/>
      <c r="I22" s="106"/>
      <c r="J22" s="106"/>
      <c r="K22" s="106"/>
      <c r="L22" s="106"/>
      <c r="M22" s="106"/>
      <c r="N22" s="106"/>
      <c r="O22" s="106"/>
      <c r="P22" s="106"/>
      <c r="Q22" s="264"/>
    </row>
    <row r="23" spans="1:17" ht="13.5" thickBot="1">
      <c r="C23" s="48" t="str">
        <f>'A3'!C23</f>
        <v>Coût des marchandises</v>
      </c>
      <c r="D23" s="907">
        <f>'A3'!D23</f>
        <v>0</v>
      </c>
      <c r="E23" s="48"/>
      <c r="F23" s="48"/>
      <c r="G23" s="48"/>
      <c r="H23" s="48"/>
      <c r="I23" s="48"/>
      <c r="J23" s="48"/>
      <c r="K23" s="48"/>
      <c r="L23" s="48"/>
      <c r="M23" s="48"/>
      <c r="N23" s="48"/>
      <c r="O23" s="48"/>
      <c r="P23" s="48"/>
      <c r="Q23" s="48"/>
    </row>
    <row r="24" spans="1:17" ht="13.5" thickBot="1">
      <c r="C24" s="48" t="str">
        <f>'A3'!C24</f>
        <v>Ventes estimées</v>
      </c>
      <c r="D24" s="266"/>
      <c r="E24" s="388">
        <f>'V4'!F26</f>
        <v>826.875</v>
      </c>
      <c r="F24" s="388">
        <f>'V4'!G26</f>
        <v>854.43750000000011</v>
      </c>
      <c r="G24" s="388">
        <f>'V4'!H26</f>
        <v>882</v>
      </c>
      <c r="H24" s="388">
        <f>'V4'!I26</f>
        <v>909.5625</v>
      </c>
      <c r="I24" s="388">
        <f>'V4'!J26</f>
        <v>937.125</v>
      </c>
      <c r="J24" s="388">
        <f>'V4'!K26</f>
        <v>964.6875</v>
      </c>
      <c r="K24" s="388">
        <f>'V4'!L26</f>
        <v>992.25000000000011</v>
      </c>
      <c r="L24" s="388">
        <f>'V4'!M26</f>
        <v>1019.8125</v>
      </c>
      <c r="M24" s="388">
        <f>'V4'!N26</f>
        <v>1047.375</v>
      </c>
      <c r="N24" s="388">
        <f>'V4'!O26</f>
        <v>1074.9375</v>
      </c>
      <c r="O24" s="388">
        <f>'V4'!P26</f>
        <v>1102.5</v>
      </c>
      <c r="P24" s="389">
        <f>'V4'!Q26</f>
        <v>1130.0625</v>
      </c>
      <c r="Q24" s="76">
        <f>SUM(E24:P24)</f>
        <v>11741.625</v>
      </c>
    </row>
    <row r="25" spans="1:17" ht="13.5" thickBot="1">
      <c r="C25" s="48" t="s">
        <v>14</v>
      </c>
      <c r="D25" s="266"/>
      <c r="E25" s="908"/>
      <c r="F25" s="908"/>
      <c r="G25" s="908"/>
      <c r="H25" s="908"/>
      <c r="I25" s="908"/>
      <c r="J25" s="908"/>
      <c r="K25" s="908"/>
      <c r="L25" s="908"/>
      <c r="M25" s="908"/>
      <c r="N25" s="908"/>
      <c r="O25" s="908"/>
      <c r="P25" s="908"/>
      <c r="Q25" s="76">
        <f>SUM(E25:P25)</f>
        <v>0</v>
      </c>
    </row>
    <row r="26" spans="1:17" ht="13.5" thickBot="1">
      <c r="C26" s="48" t="str">
        <f>'A3'!C26</f>
        <v>Achats prévus</v>
      </c>
      <c r="D26" s="266"/>
      <c r="E26" s="394">
        <f>IF(RG!$A$78=5,0,E24*$D23)</f>
        <v>0</v>
      </c>
      <c r="F26" s="394">
        <f>IF(RG!$A$78=5,0,F24*$D23)</f>
        <v>0</v>
      </c>
      <c r="G26" s="394">
        <f>IF(RG!$A$78=5,0,G24*$D23)</f>
        <v>0</v>
      </c>
      <c r="H26" s="394">
        <f>IF(RG!$A$78=5,0,H24*$D23)</f>
        <v>0</v>
      </c>
      <c r="I26" s="394">
        <f>IF(RG!$A$78=5,0,I24*$D23)</f>
        <v>0</v>
      </c>
      <c r="J26" s="394">
        <f>IF(RG!$A$78=5,0,J24*$D23)</f>
        <v>0</v>
      </c>
      <c r="K26" s="394">
        <f>IF(RG!$A$78=5,0,K24*$D23)</f>
        <v>0</v>
      </c>
      <c r="L26" s="394">
        <f>IF(RG!$A$78=5,0,L24*$D23)</f>
        <v>0</v>
      </c>
      <c r="M26" s="394">
        <f>IF(RG!$A$78=5,0,M24*$D23)</f>
        <v>0</v>
      </c>
      <c r="N26" s="394">
        <f>IF(RG!$A$78=5,0,N24*$D23)</f>
        <v>0</v>
      </c>
      <c r="O26" s="394">
        <f>IF(RG!$A$78=5,0,O24*$D23)</f>
        <v>0</v>
      </c>
      <c r="P26" s="394">
        <f>IF(RG!$A$78=5,0,P24*$D23)</f>
        <v>0</v>
      </c>
      <c r="Q26" s="76">
        <f>SUM(E26:P26)</f>
        <v>0</v>
      </c>
    </row>
    <row r="27" spans="1:17" hidden="1">
      <c r="D27" s="266"/>
      <c r="E27" s="77"/>
      <c r="F27" s="77"/>
      <c r="G27" s="77"/>
      <c r="H27" s="77"/>
      <c r="I27" s="77"/>
      <c r="J27" s="77"/>
      <c r="K27" s="77"/>
      <c r="L27" s="77"/>
      <c r="M27" s="77"/>
      <c r="N27" s="77"/>
      <c r="O27" s="77"/>
      <c r="P27" s="77"/>
      <c r="Q27" s="77"/>
    </row>
    <row r="28" spans="1:17">
      <c r="D28" s="266"/>
      <c r="E28" s="77"/>
      <c r="F28" s="77"/>
      <c r="G28" s="77"/>
      <c r="H28" s="77"/>
      <c r="I28" s="77"/>
      <c r="J28" s="77"/>
      <c r="K28" s="77"/>
      <c r="L28" s="77"/>
      <c r="M28" s="77"/>
      <c r="N28" s="77"/>
      <c r="O28" s="77"/>
      <c r="P28" s="77"/>
      <c r="Q28" s="77"/>
    </row>
    <row r="29" spans="1:17" ht="17.25" customHeight="1">
      <c r="C29" s="909" t="str">
        <f>'A3'!C29</f>
        <v>Produit/service 2</v>
      </c>
      <c r="D29" s="910"/>
      <c r="E29" s="1181" t="str">
        <f>C29</f>
        <v>Produit/service 2</v>
      </c>
      <c r="F29" s="1182"/>
      <c r="G29" s="1182"/>
      <c r="H29" s="1182"/>
      <c r="I29" s="1182"/>
      <c r="J29" s="1182"/>
      <c r="K29" s="1182"/>
      <c r="L29" s="1182"/>
      <c r="M29" s="1182"/>
      <c r="N29" s="1182"/>
      <c r="O29" s="1182"/>
      <c r="P29" s="1182"/>
      <c r="Q29" s="1182"/>
    </row>
    <row r="30" spans="1:17" hidden="1">
      <c r="B30" s="265" t="s">
        <v>328</v>
      </c>
      <c r="D30" s="106"/>
      <c r="E30" s="106">
        <f t="shared" ref="E30:P30" si="6">IF($A33=1,E39,0)</f>
        <v>0</v>
      </c>
      <c r="F30" s="106">
        <f t="shared" si="6"/>
        <v>0</v>
      </c>
      <c r="G30" s="106">
        <f t="shared" si="6"/>
        <v>0</v>
      </c>
      <c r="H30" s="106">
        <f t="shared" si="6"/>
        <v>0</v>
      </c>
      <c r="I30" s="106">
        <f t="shared" si="6"/>
        <v>0</v>
      </c>
      <c r="J30" s="106">
        <f t="shared" si="6"/>
        <v>0</v>
      </c>
      <c r="K30" s="106">
        <f t="shared" si="6"/>
        <v>0</v>
      </c>
      <c r="L30" s="106">
        <f t="shared" si="6"/>
        <v>0</v>
      </c>
      <c r="M30" s="106">
        <f t="shared" si="6"/>
        <v>0</v>
      </c>
      <c r="N30" s="106">
        <f t="shared" si="6"/>
        <v>0</v>
      </c>
      <c r="O30" s="106">
        <f t="shared" si="6"/>
        <v>0</v>
      </c>
      <c r="P30" s="106">
        <f t="shared" si="6"/>
        <v>0</v>
      </c>
      <c r="Q30" s="48"/>
    </row>
    <row r="31" spans="1:17" hidden="1">
      <c r="B31" s="264" t="s">
        <v>329</v>
      </c>
      <c r="D31" s="106"/>
      <c r="E31" s="270">
        <f>IF('A3'!$A33=2,'A3'!P39,0)</f>
        <v>0</v>
      </c>
      <c r="F31" s="106">
        <f>IF($A33=2,E39,0)</f>
        <v>0</v>
      </c>
      <c r="G31" s="106">
        <f>IF($A33=2,F39,0)</f>
        <v>0</v>
      </c>
      <c r="H31" s="106">
        <f>IF($A33=2,G39,0)</f>
        <v>0</v>
      </c>
      <c r="I31" s="106">
        <f t="shared" ref="I31:P31" si="7">IF($A33=2,H39,0)</f>
        <v>0</v>
      </c>
      <c r="J31" s="106">
        <f t="shared" si="7"/>
        <v>0</v>
      </c>
      <c r="K31" s="106">
        <f t="shared" si="7"/>
        <v>0</v>
      </c>
      <c r="L31" s="106">
        <f t="shared" si="7"/>
        <v>0</v>
      </c>
      <c r="M31" s="106">
        <f t="shared" si="7"/>
        <v>0</v>
      </c>
      <c r="N31" s="106">
        <f t="shared" si="7"/>
        <v>0</v>
      </c>
      <c r="O31" s="106">
        <f t="shared" si="7"/>
        <v>0</v>
      </c>
      <c r="P31" s="106">
        <f t="shared" si="7"/>
        <v>0</v>
      </c>
      <c r="Q31" s="48"/>
    </row>
    <row r="32" spans="1:17" hidden="1">
      <c r="B32" s="264" t="s">
        <v>448</v>
      </c>
      <c r="D32" s="106"/>
      <c r="E32" s="270">
        <f>IF('A3'!$A33=3,'A3'!O39,0)</f>
        <v>0</v>
      </c>
      <c r="F32" s="264">
        <f>IF('A3'!$A33=3,'A3'!P39,0)</f>
        <v>0</v>
      </c>
      <c r="G32" s="106">
        <f t="shared" ref="G32:P32" si="8">IF($A33=3,E39,0)</f>
        <v>0</v>
      </c>
      <c r="H32" s="106">
        <f t="shared" si="8"/>
        <v>0</v>
      </c>
      <c r="I32" s="106">
        <f t="shared" si="8"/>
        <v>0</v>
      </c>
      <c r="J32" s="106">
        <f t="shared" si="8"/>
        <v>0</v>
      </c>
      <c r="K32" s="106">
        <f t="shared" si="8"/>
        <v>0</v>
      </c>
      <c r="L32" s="106">
        <f t="shared" si="8"/>
        <v>0</v>
      </c>
      <c r="M32" s="106">
        <f t="shared" si="8"/>
        <v>0</v>
      </c>
      <c r="N32" s="106">
        <f t="shared" si="8"/>
        <v>0</v>
      </c>
      <c r="O32" s="106">
        <f t="shared" si="8"/>
        <v>0</v>
      </c>
      <c r="P32" s="106">
        <f t="shared" si="8"/>
        <v>0</v>
      </c>
      <c r="Q32" s="48"/>
    </row>
    <row r="33" spans="1:17" hidden="1">
      <c r="A33" s="243">
        <v>1</v>
      </c>
      <c r="B33" s="264" t="s">
        <v>330</v>
      </c>
      <c r="D33" s="48"/>
      <c r="E33" s="270">
        <f>IF('A3'!$A33=4,'A3'!N39,0)</f>
        <v>0</v>
      </c>
      <c r="F33" s="264">
        <f>IF('A3'!$A33=4,'A3'!O39,0)</f>
        <v>0</v>
      </c>
      <c r="G33" s="264">
        <f>IF('A3'!$A33=4,'A3'!P39,0)</f>
        <v>0</v>
      </c>
      <c r="H33" s="106">
        <f t="shared" ref="H33:P33" si="9">IF($A33=4,E39,0)</f>
        <v>0</v>
      </c>
      <c r="I33" s="106">
        <f t="shared" si="9"/>
        <v>0</v>
      </c>
      <c r="J33" s="106">
        <f t="shared" si="9"/>
        <v>0</v>
      </c>
      <c r="K33" s="106">
        <f t="shared" si="9"/>
        <v>0</v>
      </c>
      <c r="L33" s="106">
        <f t="shared" si="9"/>
        <v>0</v>
      </c>
      <c r="M33" s="106">
        <f t="shared" si="9"/>
        <v>0</v>
      </c>
      <c r="N33" s="106">
        <f t="shared" si="9"/>
        <v>0</v>
      </c>
      <c r="O33" s="106">
        <f t="shared" si="9"/>
        <v>0</v>
      </c>
      <c r="P33" s="106">
        <f t="shared" si="9"/>
        <v>0</v>
      </c>
      <c r="Q33" s="48"/>
    </row>
    <row r="34" spans="1:17" hidden="1">
      <c r="A34" s="243"/>
      <c r="B34" s="264"/>
      <c r="D34" s="271"/>
      <c r="E34" s="272">
        <f t="shared" ref="E34:P34" si="10">SUM(E30:E33)</f>
        <v>0</v>
      </c>
      <c r="F34" s="272">
        <f t="shared" si="10"/>
        <v>0</v>
      </c>
      <c r="G34" s="272">
        <f t="shared" si="10"/>
        <v>0</v>
      </c>
      <c r="H34" s="272">
        <f t="shared" si="10"/>
        <v>0</v>
      </c>
      <c r="I34" s="272">
        <f t="shared" si="10"/>
        <v>0</v>
      </c>
      <c r="J34" s="272">
        <f t="shared" si="10"/>
        <v>0</v>
      </c>
      <c r="K34" s="272">
        <f t="shared" si="10"/>
        <v>0</v>
      </c>
      <c r="L34" s="272">
        <f t="shared" si="10"/>
        <v>0</v>
      </c>
      <c r="M34" s="272">
        <f t="shared" si="10"/>
        <v>0</v>
      </c>
      <c r="N34" s="272">
        <f t="shared" si="10"/>
        <v>0</v>
      </c>
      <c r="O34" s="272">
        <f t="shared" si="10"/>
        <v>0</v>
      </c>
      <c r="P34" s="272">
        <f t="shared" si="10"/>
        <v>0</v>
      </c>
      <c r="Q34" s="77"/>
    </row>
    <row r="35" spans="1:17" ht="13.5" thickBot="1">
      <c r="A35" s="243"/>
      <c r="B35" s="264"/>
      <c r="D35" s="271"/>
      <c r="E35" s="270"/>
      <c r="F35" s="264"/>
      <c r="G35" s="264"/>
      <c r="H35" s="106"/>
      <c r="I35" s="106"/>
      <c r="J35" s="106"/>
      <c r="K35" s="106"/>
      <c r="L35" s="106"/>
      <c r="M35" s="106"/>
      <c r="N35" s="106"/>
      <c r="O35" s="106"/>
      <c r="P35" s="106"/>
      <c r="Q35" s="264"/>
    </row>
    <row r="36" spans="1:17" ht="13.5" thickBot="1">
      <c r="C36" s="48" t="str">
        <f>'A3'!C36</f>
        <v>Coût des marchandises</v>
      </c>
      <c r="D36" s="907">
        <f>'A3'!D36</f>
        <v>0</v>
      </c>
      <c r="E36" s="48"/>
      <c r="F36" s="48"/>
      <c r="G36" s="48"/>
      <c r="H36" s="48"/>
      <c r="I36" s="48"/>
      <c r="J36" s="48"/>
      <c r="K36" s="48"/>
      <c r="L36" s="48"/>
      <c r="M36" s="48"/>
      <c r="N36" s="48"/>
      <c r="O36" s="48"/>
      <c r="P36" s="48"/>
      <c r="Q36" s="48"/>
    </row>
    <row r="37" spans="1:17" ht="13.5" thickBot="1">
      <c r="C37" s="48" t="str">
        <f>'A3'!C37</f>
        <v>Ventes estimées</v>
      </c>
      <c r="D37" s="266"/>
      <c r="E37" s="388">
        <f>'V4'!F40</f>
        <v>1102.5</v>
      </c>
      <c r="F37" s="388">
        <f>'V4'!G40</f>
        <v>1157.625</v>
      </c>
      <c r="G37" s="388">
        <f>'V4'!H40</f>
        <v>1212.75</v>
      </c>
      <c r="H37" s="388">
        <f>'V4'!I40</f>
        <v>1267.875</v>
      </c>
      <c r="I37" s="388">
        <f>'V4'!J40</f>
        <v>1323</v>
      </c>
      <c r="J37" s="388">
        <f>'V4'!K40</f>
        <v>1378.125</v>
      </c>
      <c r="K37" s="388">
        <f>'V4'!L40</f>
        <v>1433.2500000000002</v>
      </c>
      <c r="L37" s="388">
        <f>'V4'!M40</f>
        <v>1488.375</v>
      </c>
      <c r="M37" s="388">
        <f>'V4'!N40</f>
        <v>1543.5</v>
      </c>
      <c r="N37" s="388">
        <f>'V4'!O40</f>
        <v>1598.625</v>
      </c>
      <c r="O37" s="388">
        <f>'V4'!P40</f>
        <v>1653.75</v>
      </c>
      <c r="P37" s="389">
        <f>'V4'!Q40</f>
        <v>1708.8750000000002</v>
      </c>
      <c r="Q37" s="76">
        <f>SUM(E37:P37)</f>
        <v>16868.25</v>
      </c>
    </row>
    <row r="38" spans="1:17" ht="13.5" thickBot="1">
      <c r="C38" s="48" t="s">
        <v>14</v>
      </c>
      <c r="D38" s="266"/>
      <c r="E38" s="908"/>
      <c r="F38" s="908"/>
      <c r="G38" s="908"/>
      <c r="H38" s="908"/>
      <c r="I38" s="908"/>
      <c r="J38" s="908"/>
      <c r="K38" s="908"/>
      <c r="L38" s="908"/>
      <c r="M38" s="908"/>
      <c r="N38" s="908"/>
      <c r="O38" s="908"/>
      <c r="P38" s="908"/>
      <c r="Q38" s="76">
        <f>SUM(E38:P38)</f>
        <v>0</v>
      </c>
    </row>
    <row r="39" spans="1:17" ht="13.5" thickBot="1">
      <c r="C39" s="48" t="str">
        <f>'A3'!C39</f>
        <v>Achats prévus</v>
      </c>
      <c r="D39" s="266"/>
      <c r="E39" s="394">
        <f>IF(RG!$A$78=5,0,E37*$D36)</f>
        <v>0</v>
      </c>
      <c r="F39" s="394">
        <f>IF(RG!$A$78=5,0,F37*$D36)</f>
        <v>0</v>
      </c>
      <c r="G39" s="394">
        <f>IF(RG!$A$78=5,0,G37*$D36)</f>
        <v>0</v>
      </c>
      <c r="H39" s="394">
        <f>IF(RG!$A$78=5,0,H37*$D36)</f>
        <v>0</v>
      </c>
      <c r="I39" s="394">
        <f>IF(RG!$A$78=5,0,I37*$D36)</f>
        <v>0</v>
      </c>
      <c r="J39" s="394">
        <f>IF(RG!$A$78=5,0,J37*$D36)</f>
        <v>0</v>
      </c>
      <c r="K39" s="394">
        <f>IF(RG!$A$78=5,0,K37*$D36)</f>
        <v>0</v>
      </c>
      <c r="L39" s="394">
        <f>IF(RG!$A$78=5,0,L37*$D36)</f>
        <v>0</v>
      </c>
      <c r="M39" s="394">
        <f>IF(RG!$A$78=5,0,M37*$D36)</f>
        <v>0</v>
      </c>
      <c r="N39" s="394">
        <f>IF(RG!$A$78=5,0,N37*$D36)</f>
        <v>0</v>
      </c>
      <c r="O39" s="394">
        <f>IF(RG!$A$78=5,0,O37*$D36)</f>
        <v>0</v>
      </c>
      <c r="P39" s="394">
        <f>IF(RG!$A$78=5,0,P37*$D36)</f>
        <v>0</v>
      </c>
      <c r="Q39" s="76">
        <f>SUM(E39:P39)</f>
        <v>0</v>
      </c>
    </row>
    <row r="40" spans="1:17" hidden="1">
      <c r="D40" s="266"/>
      <c r="E40" s="77"/>
      <c r="F40" s="77"/>
      <c r="G40" s="77"/>
      <c r="H40" s="77"/>
      <c r="I40" s="77"/>
      <c r="J40" s="77"/>
      <c r="K40" s="77"/>
      <c r="L40" s="77"/>
      <c r="M40" s="77"/>
      <c r="N40" s="77"/>
      <c r="O40" s="77"/>
      <c r="P40" s="77"/>
      <c r="Q40" s="77"/>
    </row>
    <row r="41" spans="1:17">
      <c r="D41" s="266"/>
      <c r="E41" s="77"/>
      <c r="F41" s="77"/>
      <c r="G41" s="77"/>
      <c r="H41" s="77"/>
      <c r="I41" s="77"/>
      <c r="J41" s="77"/>
      <c r="K41" s="77"/>
      <c r="L41" s="77"/>
      <c r="M41" s="77"/>
      <c r="N41" s="77"/>
      <c r="O41" s="77"/>
      <c r="P41" s="77"/>
      <c r="Q41" s="77"/>
    </row>
    <row r="42" spans="1:17" ht="17.25" customHeight="1">
      <c r="C42" s="909" t="str">
        <f>'A3'!C42</f>
        <v>Produit/service 3</v>
      </c>
      <c r="D42" s="910"/>
      <c r="E42" s="1181" t="str">
        <f>C42</f>
        <v>Produit/service 3</v>
      </c>
      <c r="F42" s="1182"/>
      <c r="G42" s="1182"/>
      <c r="H42" s="1182"/>
      <c r="I42" s="1182"/>
      <c r="J42" s="1182"/>
      <c r="K42" s="1182"/>
      <c r="L42" s="1182"/>
      <c r="M42" s="1182"/>
      <c r="N42" s="1182"/>
      <c r="O42" s="1182"/>
      <c r="P42" s="1182"/>
      <c r="Q42" s="1182"/>
    </row>
    <row r="43" spans="1:17" hidden="1">
      <c r="B43" s="265" t="s">
        <v>328</v>
      </c>
      <c r="D43" s="106"/>
      <c r="E43" s="106">
        <f t="shared" ref="E43:P43" si="11">IF($A46=1,E52,0)</f>
        <v>0</v>
      </c>
      <c r="F43" s="106">
        <f t="shared" si="11"/>
        <v>0</v>
      </c>
      <c r="G43" s="106">
        <f t="shared" si="11"/>
        <v>0</v>
      </c>
      <c r="H43" s="106">
        <f t="shared" si="11"/>
        <v>0</v>
      </c>
      <c r="I43" s="106">
        <f t="shared" si="11"/>
        <v>0</v>
      </c>
      <c r="J43" s="106">
        <f t="shared" si="11"/>
        <v>0</v>
      </c>
      <c r="K43" s="106">
        <f t="shared" si="11"/>
        <v>0</v>
      </c>
      <c r="L43" s="106">
        <f t="shared" si="11"/>
        <v>0</v>
      </c>
      <c r="M43" s="106">
        <f t="shared" si="11"/>
        <v>0</v>
      </c>
      <c r="N43" s="106">
        <f t="shared" si="11"/>
        <v>0</v>
      </c>
      <c r="O43" s="106">
        <f t="shared" si="11"/>
        <v>0</v>
      </c>
      <c r="P43" s="106">
        <f t="shared" si="11"/>
        <v>0</v>
      </c>
      <c r="Q43" s="48"/>
    </row>
    <row r="44" spans="1:17" hidden="1">
      <c r="B44" s="264" t="s">
        <v>329</v>
      </c>
      <c r="D44" s="106"/>
      <c r="E44" s="270">
        <f>IF('A3'!$A46=2,'A3'!P52,0)</f>
        <v>0</v>
      </c>
      <c r="F44" s="106">
        <f>IF($A46=2,E52,0)</f>
        <v>0</v>
      </c>
      <c r="G44" s="106">
        <f>IF($A46=2,F52,0)</f>
        <v>0</v>
      </c>
      <c r="H44" s="106">
        <f>IF($A46=2,G52,0)</f>
        <v>0</v>
      </c>
      <c r="I44" s="106">
        <f t="shared" ref="I44:P44" si="12">IF($A46=2,H52,0)</f>
        <v>0</v>
      </c>
      <c r="J44" s="106">
        <f t="shared" si="12"/>
        <v>0</v>
      </c>
      <c r="K44" s="106">
        <f t="shared" si="12"/>
        <v>0</v>
      </c>
      <c r="L44" s="106">
        <f t="shared" si="12"/>
        <v>0</v>
      </c>
      <c r="M44" s="106">
        <f t="shared" si="12"/>
        <v>0</v>
      </c>
      <c r="N44" s="106">
        <f t="shared" si="12"/>
        <v>0</v>
      </c>
      <c r="O44" s="106">
        <f t="shared" si="12"/>
        <v>0</v>
      </c>
      <c r="P44" s="106">
        <f t="shared" si="12"/>
        <v>0</v>
      </c>
      <c r="Q44" s="48"/>
    </row>
    <row r="45" spans="1:17" hidden="1">
      <c r="B45" s="264" t="s">
        <v>448</v>
      </c>
      <c r="D45" s="106"/>
      <c r="E45" s="270">
        <f>IF('A3'!$A46=3,'A3'!O52,0)</f>
        <v>0</v>
      </c>
      <c r="F45" s="264">
        <f>IF('A3'!$A46=3,'A3'!P52,0)</f>
        <v>0</v>
      </c>
      <c r="G45" s="106">
        <f t="shared" ref="G45:P45" si="13">IF($A46=3,E52,0)</f>
        <v>0</v>
      </c>
      <c r="H45" s="106">
        <f t="shared" si="13"/>
        <v>0</v>
      </c>
      <c r="I45" s="106">
        <f t="shared" si="13"/>
        <v>0</v>
      </c>
      <c r="J45" s="106">
        <f t="shared" si="13"/>
        <v>0</v>
      </c>
      <c r="K45" s="106">
        <f t="shared" si="13"/>
        <v>0</v>
      </c>
      <c r="L45" s="106">
        <f t="shared" si="13"/>
        <v>0</v>
      </c>
      <c r="M45" s="106">
        <f t="shared" si="13"/>
        <v>0</v>
      </c>
      <c r="N45" s="106">
        <f t="shared" si="13"/>
        <v>0</v>
      </c>
      <c r="O45" s="106">
        <f t="shared" si="13"/>
        <v>0</v>
      </c>
      <c r="P45" s="106">
        <f t="shared" si="13"/>
        <v>0</v>
      </c>
      <c r="Q45" s="48"/>
    </row>
    <row r="46" spans="1:17" hidden="1">
      <c r="A46" s="243">
        <v>1</v>
      </c>
      <c r="B46" s="264" t="s">
        <v>330</v>
      </c>
      <c r="D46" s="48"/>
      <c r="E46" s="270">
        <f>IF('A3'!$A46=4,'A3'!N52,0)</f>
        <v>0</v>
      </c>
      <c r="F46" s="264">
        <f>IF('A3'!$A46=4,'A3'!O52,0)</f>
        <v>0</v>
      </c>
      <c r="G46" s="264">
        <f>IF('A3'!$A46=4,'A3'!P52,0)</f>
        <v>0</v>
      </c>
      <c r="H46" s="106">
        <f t="shared" ref="H46:P46" si="14">IF($A46=4,E52,0)</f>
        <v>0</v>
      </c>
      <c r="I46" s="106">
        <f t="shared" si="14"/>
        <v>0</v>
      </c>
      <c r="J46" s="106">
        <f t="shared" si="14"/>
        <v>0</v>
      </c>
      <c r="K46" s="106">
        <f t="shared" si="14"/>
        <v>0</v>
      </c>
      <c r="L46" s="106">
        <f t="shared" si="14"/>
        <v>0</v>
      </c>
      <c r="M46" s="106">
        <f t="shared" si="14"/>
        <v>0</v>
      </c>
      <c r="N46" s="106">
        <f t="shared" si="14"/>
        <v>0</v>
      </c>
      <c r="O46" s="106">
        <f t="shared" si="14"/>
        <v>0</v>
      </c>
      <c r="P46" s="106">
        <f t="shared" si="14"/>
        <v>0</v>
      </c>
      <c r="Q46" s="48"/>
    </row>
    <row r="47" spans="1:17" hidden="1">
      <c r="A47" s="243"/>
      <c r="B47" s="264"/>
      <c r="D47" s="271"/>
      <c r="E47" s="272">
        <f t="shared" ref="E47:P47" si="15">SUM(E43:E46)</f>
        <v>0</v>
      </c>
      <c r="F47" s="272">
        <f t="shared" si="15"/>
        <v>0</v>
      </c>
      <c r="G47" s="272">
        <f t="shared" si="15"/>
        <v>0</v>
      </c>
      <c r="H47" s="272">
        <f t="shared" si="15"/>
        <v>0</v>
      </c>
      <c r="I47" s="272">
        <f t="shared" si="15"/>
        <v>0</v>
      </c>
      <c r="J47" s="272">
        <f t="shared" si="15"/>
        <v>0</v>
      </c>
      <c r="K47" s="272">
        <f t="shared" si="15"/>
        <v>0</v>
      </c>
      <c r="L47" s="272">
        <f t="shared" si="15"/>
        <v>0</v>
      </c>
      <c r="M47" s="272">
        <f t="shared" si="15"/>
        <v>0</v>
      </c>
      <c r="N47" s="272">
        <f t="shared" si="15"/>
        <v>0</v>
      </c>
      <c r="O47" s="272">
        <f t="shared" si="15"/>
        <v>0</v>
      </c>
      <c r="P47" s="272">
        <f t="shared" si="15"/>
        <v>0</v>
      </c>
      <c r="Q47" s="77"/>
    </row>
    <row r="48" spans="1:17" ht="13.5" thickBot="1">
      <c r="A48" s="243"/>
      <c r="B48" s="264"/>
      <c r="D48" s="271"/>
      <c r="E48" s="270"/>
      <c r="F48" s="264"/>
      <c r="G48" s="264"/>
      <c r="H48" s="106"/>
      <c r="I48" s="106"/>
      <c r="J48" s="106"/>
      <c r="K48" s="106"/>
      <c r="L48" s="106"/>
      <c r="M48" s="106"/>
      <c r="N48" s="106"/>
      <c r="O48" s="106"/>
      <c r="P48" s="106"/>
      <c r="Q48" s="264"/>
    </row>
    <row r="49" spans="1:17" ht="13.5" thickBot="1">
      <c r="C49" s="48" t="str">
        <f>'A3'!C49</f>
        <v>Coût des marchandises</v>
      </c>
      <c r="D49" s="907">
        <f>'A3'!D49</f>
        <v>0</v>
      </c>
      <c r="E49" s="48"/>
      <c r="F49" s="48"/>
      <c r="G49" s="48"/>
      <c r="H49" s="48"/>
      <c r="I49" s="48"/>
      <c r="J49" s="48"/>
      <c r="K49" s="48"/>
      <c r="L49" s="48"/>
      <c r="M49" s="48"/>
      <c r="N49" s="48"/>
      <c r="O49" s="48"/>
      <c r="P49" s="48"/>
      <c r="Q49" s="48"/>
    </row>
    <row r="50" spans="1:17" ht="13.5" thickBot="1">
      <c r="C50" s="48" t="str">
        <f>'A3'!C50</f>
        <v>Ventes estimées</v>
      </c>
      <c r="D50" s="106"/>
      <c r="E50" s="388">
        <f>'V4'!F54</f>
        <v>1653.75</v>
      </c>
      <c r="F50" s="388">
        <f>'V4'!G54</f>
        <v>1736.4375</v>
      </c>
      <c r="G50" s="388">
        <f>'V4'!H54</f>
        <v>1819.125</v>
      </c>
      <c r="H50" s="388">
        <f>'V4'!I54</f>
        <v>1901.8125000000002</v>
      </c>
      <c r="I50" s="388">
        <f>'V4'!J54</f>
        <v>1984.5000000000002</v>
      </c>
      <c r="J50" s="388">
        <f>'V4'!K54</f>
        <v>2067.1875</v>
      </c>
      <c r="K50" s="388">
        <f>'V4'!L54</f>
        <v>2149.8750000000005</v>
      </c>
      <c r="L50" s="388">
        <f>'V4'!M54</f>
        <v>2232.5625</v>
      </c>
      <c r="M50" s="388">
        <f>'V4'!N54</f>
        <v>2315.25</v>
      </c>
      <c r="N50" s="388">
        <f>'V4'!O54</f>
        <v>2397.9375</v>
      </c>
      <c r="O50" s="388">
        <f>'V4'!P54</f>
        <v>2480.625</v>
      </c>
      <c r="P50" s="388">
        <f>'V4'!Q54</f>
        <v>2563.3125000000005</v>
      </c>
      <c r="Q50" s="76">
        <f>SUM(E50:P50)</f>
        <v>25302.375</v>
      </c>
    </row>
    <row r="51" spans="1:17" ht="13.5" thickBot="1">
      <c r="C51" s="48" t="s">
        <v>14</v>
      </c>
      <c r="D51" s="266"/>
      <c r="E51" s="908"/>
      <c r="F51" s="908"/>
      <c r="G51" s="908"/>
      <c r="H51" s="908"/>
      <c r="I51" s="908"/>
      <c r="J51" s="908"/>
      <c r="K51" s="908"/>
      <c r="L51" s="908"/>
      <c r="M51" s="908"/>
      <c r="N51" s="908"/>
      <c r="O51" s="908"/>
      <c r="P51" s="908"/>
      <c r="Q51" s="76">
        <f>SUM(E51:P51)</f>
        <v>0</v>
      </c>
    </row>
    <row r="52" spans="1:17" ht="13.5" thickBot="1">
      <c r="C52" s="48" t="str">
        <f>'A3'!C52</f>
        <v>Achats prévus</v>
      </c>
      <c r="D52" s="106"/>
      <c r="E52" s="394">
        <f>IF(RG!$A$78=5,0,E50*$D49)</f>
        <v>0</v>
      </c>
      <c r="F52" s="394">
        <f>IF(RG!$A$78=5,0,F50*$D49)</f>
        <v>0</v>
      </c>
      <c r="G52" s="394">
        <f>IF(RG!$A$78=5,0,G50*$D49)</f>
        <v>0</v>
      </c>
      <c r="H52" s="394">
        <f>IF(RG!$A$78=5,0,H50*$D49)</f>
        <v>0</v>
      </c>
      <c r="I52" s="394">
        <f>IF(RG!$A$78=5,0,I50*$D49)</f>
        <v>0</v>
      </c>
      <c r="J52" s="394">
        <f>IF(RG!$A$78=5,0,J50*$D49)</f>
        <v>0</v>
      </c>
      <c r="K52" s="394">
        <f>IF(RG!$A$78=5,0,K50*$D49)</f>
        <v>0</v>
      </c>
      <c r="L52" s="394">
        <f>IF(RG!$A$78=5,0,L50*$D49)</f>
        <v>0</v>
      </c>
      <c r="M52" s="394">
        <f>IF(RG!$A$78=5,0,M50*$D49)</f>
        <v>0</v>
      </c>
      <c r="N52" s="394">
        <f>IF(RG!$A$78=5,0,N50*$D49)</f>
        <v>0</v>
      </c>
      <c r="O52" s="394">
        <f>IF(RG!$A$78=5,0,O50*$D49)</f>
        <v>0</v>
      </c>
      <c r="P52" s="394">
        <f>IF(RG!$A$78=5,0,P50*$D49)</f>
        <v>0</v>
      </c>
      <c r="Q52" s="76">
        <f>SUM(E52:P52)</f>
        <v>0</v>
      </c>
    </row>
    <row r="53" spans="1:17" hidden="1">
      <c r="D53" s="106"/>
      <c r="E53" s="77"/>
      <c r="F53" s="77"/>
      <c r="G53" s="77"/>
      <c r="H53" s="77"/>
      <c r="I53" s="77"/>
      <c r="J53" s="77"/>
      <c r="K53" s="77"/>
      <c r="L53" s="77"/>
      <c r="M53" s="77"/>
      <c r="N53" s="77"/>
      <c r="O53" s="77"/>
      <c r="P53" s="77"/>
      <c r="Q53" s="77"/>
    </row>
    <row r="54" spans="1:17">
      <c r="D54" s="106"/>
      <c r="E54" s="77"/>
      <c r="F54" s="77"/>
      <c r="G54" s="77"/>
      <c r="H54" s="77"/>
      <c r="I54" s="77"/>
      <c r="J54" s="77"/>
      <c r="K54" s="77"/>
      <c r="L54" s="77"/>
      <c r="M54" s="77"/>
      <c r="N54" s="77"/>
      <c r="O54" s="77"/>
      <c r="P54" s="77"/>
      <c r="Q54" s="77"/>
    </row>
    <row r="55" spans="1:17" ht="17.25" customHeight="1">
      <c r="C55" s="909" t="str">
        <f>'A3'!C55</f>
        <v>Produit/service 4</v>
      </c>
      <c r="D55" s="910"/>
      <c r="E55" s="1181" t="str">
        <f>C55</f>
        <v>Produit/service 4</v>
      </c>
      <c r="F55" s="1182"/>
      <c r="G55" s="1182"/>
      <c r="H55" s="1182"/>
      <c r="I55" s="1182"/>
      <c r="J55" s="1182"/>
      <c r="K55" s="1182"/>
      <c r="L55" s="1182"/>
      <c r="M55" s="1182"/>
      <c r="N55" s="1182"/>
      <c r="O55" s="1182"/>
      <c r="P55" s="1182"/>
      <c r="Q55" s="1182"/>
    </row>
    <row r="56" spans="1:17" hidden="1">
      <c r="B56" s="265" t="s">
        <v>328</v>
      </c>
      <c r="D56" s="106"/>
      <c r="E56" s="106">
        <f t="shared" ref="E56:P56" si="16">IF($A59=1,E65,0)</f>
        <v>0</v>
      </c>
      <c r="F56" s="106">
        <f t="shared" si="16"/>
        <v>0</v>
      </c>
      <c r="G56" s="106">
        <f t="shared" si="16"/>
        <v>0</v>
      </c>
      <c r="H56" s="106">
        <f t="shared" si="16"/>
        <v>0</v>
      </c>
      <c r="I56" s="106">
        <f t="shared" si="16"/>
        <v>0</v>
      </c>
      <c r="J56" s="106">
        <f t="shared" si="16"/>
        <v>0</v>
      </c>
      <c r="K56" s="106">
        <f t="shared" si="16"/>
        <v>0</v>
      </c>
      <c r="L56" s="106">
        <f t="shared" si="16"/>
        <v>0</v>
      </c>
      <c r="M56" s="106">
        <f t="shared" si="16"/>
        <v>0</v>
      </c>
      <c r="N56" s="106">
        <f t="shared" si="16"/>
        <v>0</v>
      </c>
      <c r="O56" s="106">
        <f t="shared" si="16"/>
        <v>0</v>
      </c>
      <c r="P56" s="106">
        <f t="shared" si="16"/>
        <v>0</v>
      </c>
      <c r="Q56" s="48"/>
    </row>
    <row r="57" spans="1:17" hidden="1">
      <c r="B57" s="264" t="s">
        <v>329</v>
      </c>
      <c r="D57" s="106"/>
      <c r="E57" s="270">
        <f>IF('A3'!$A59=2,'A3'!P65,0)</f>
        <v>0</v>
      </c>
      <c r="F57" s="106">
        <f>IF($A59=2,E65,0)</f>
        <v>0</v>
      </c>
      <c r="G57" s="106">
        <f>IF($A59=2,F65,0)</f>
        <v>0</v>
      </c>
      <c r="H57" s="106">
        <f>IF($A59=2,G65,0)</f>
        <v>0</v>
      </c>
      <c r="I57" s="106">
        <f t="shared" ref="I57:P57" si="17">IF($A59=2,H65,0)</f>
        <v>0</v>
      </c>
      <c r="J57" s="106">
        <f t="shared" si="17"/>
        <v>0</v>
      </c>
      <c r="K57" s="106">
        <f t="shared" si="17"/>
        <v>0</v>
      </c>
      <c r="L57" s="106">
        <f t="shared" si="17"/>
        <v>0</v>
      </c>
      <c r="M57" s="106">
        <f t="shared" si="17"/>
        <v>0</v>
      </c>
      <c r="N57" s="106">
        <f t="shared" si="17"/>
        <v>0</v>
      </c>
      <c r="O57" s="106">
        <f t="shared" si="17"/>
        <v>0</v>
      </c>
      <c r="P57" s="106">
        <f t="shared" si="17"/>
        <v>0</v>
      </c>
      <c r="Q57" s="48"/>
    </row>
    <row r="58" spans="1:17" hidden="1">
      <c r="B58" s="264" t="s">
        <v>448</v>
      </c>
      <c r="D58" s="106"/>
      <c r="E58" s="270">
        <f>IF('A3'!$A59=3,'A3'!O65,0)</f>
        <v>0</v>
      </c>
      <c r="F58" s="264">
        <f>IF('A3'!$A59=3,'A3'!P65,0)</f>
        <v>0</v>
      </c>
      <c r="G58" s="106">
        <f t="shared" ref="G58:P58" si="18">IF($A59=3,E65,0)</f>
        <v>0</v>
      </c>
      <c r="H58" s="106">
        <f t="shared" si="18"/>
        <v>0</v>
      </c>
      <c r="I58" s="106">
        <f t="shared" si="18"/>
        <v>0</v>
      </c>
      <c r="J58" s="106">
        <f t="shared" si="18"/>
        <v>0</v>
      </c>
      <c r="K58" s="106">
        <f t="shared" si="18"/>
        <v>0</v>
      </c>
      <c r="L58" s="106">
        <f t="shared" si="18"/>
        <v>0</v>
      </c>
      <c r="M58" s="106">
        <f t="shared" si="18"/>
        <v>0</v>
      </c>
      <c r="N58" s="106">
        <f t="shared" si="18"/>
        <v>0</v>
      </c>
      <c r="O58" s="106">
        <f t="shared" si="18"/>
        <v>0</v>
      </c>
      <c r="P58" s="106">
        <f t="shared" si="18"/>
        <v>0</v>
      </c>
      <c r="Q58" s="48"/>
    </row>
    <row r="59" spans="1:17" hidden="1">
      <c r="A59" s="243">
        <v>1</v>
      </c>
      <c r="B59" s="264" t="s">
        <v>330</v>
      </c>
      <c r="D59" s="48"/>
      <c r="E59" s="270">
        <f>IF('A3'!$A59=4,'A3'!N65,0)</f>
        <v>0</v>
      </c>
      <c r="F59" s="264">
        <f>IF('A3'!$A59=4,'A3'!O65,0)</f>
        <v>0</v>
      </c>
      <c r="G59" s="264">
        <f>IF('A3'!$A59=4,'A3'!P65,0)</f>
        <v>0</v>
      </c>
      <c r="H59" s="106">
        <f t="shared" ref="H59:P59" si="19">IF($A59=4,E65,0)</f>
        <v>0</v>
      </c>
      <c r="I59" s="106">
        <f t="shared" si="19"/>
        <v>0</v>
      </c>
      <c r="J59" s="106">
        <f t="shared" si="19"/>
        <v>0</v>
      </c>
      <c r="K59" s="106">
        <f t="shared" si="19"/>
        <v>0</v>
      </c>
      <c r="L59" s="106">
        <f t="shared" si="19"/>
        <v>0</v>
      </c>
      <c r="M59" s="106">
        <f t="shared" si="19"/>
        <v>0</v>
      </c>
      <c r="N59" s="106">
        <f t="shared" si="19"/>
        <v>0</v>
      </c>
      <c r="O59" s="106">
        <f t="shared" si="19"/>
        <v>0</v>
      </c>
      <c r="P59" s="106">
        <f t="shared" si="19"/>
        <v>0</v>
      </c>
      <c r="Q59" s="48"/>
    </row>
    <row r="60" spans="1:17" hidden="1">
      <c r="A60" s="243"/>
      <c r="B60" s="264"/>
      <c r="D60" s="271"/>
      <c r="E60" s="272">
        <f t="shared" ref="E60:P60" si="20">SUM(E56:E59)</f>
        <v>0</v>
      </c>
      <c r="F60" s="272">
        <f t="shared" si="20"/>
        <v>0</v>
      </c>
      <c r="G60" s="272">
        <f t="shared" si="20"/>
        <v>0</v>
      </c>
      <c r="H60" s="272">
        <f t="shared" si="20"/>
        <v>0</v>
      </c>
      <c r="I60" s="272">
        <f t="shared" si="20"/>
        <v>0</v>
      </c>
      <c r="J60" s="272">
        <f t="shared" si="20"/>
        <v>0</v>
      </c>
      <c r="K60" s="272">
        <f t="shared" si="20"/>
        <v>0</v>
      </c>
      <c r="L60" s="272">
        <f t="shared" si="20"/>
        <v>0</v>
      </c>
      <c r="M60" s="272">
        <f t="shared" si="20"/>
        <v>0</v>
      </c>
      <c r="N60" s="272">
        <f t="shared" si="20"/>
        <v>0</v>
      </c>
      <c r="O60" s="272">
        <f t="shared" si="20"/>
        <v>0</v>
      </c>
      <c r="P60" s="272">
        <f t="shared" si="20"/>
        <v>0</v>
      </c>
      <c r="Q60" s="265"/>
    </row>
    <row r="61" spans="1:17" ht="13.5" thickBot="1">
      <c r="A61" s="243"/>
      <c r="B61" s="264"/>
      <c r="D61" s="271"/>
      <c r="E61" s="270"/>
      <c r="F61" s="264"/>
      <c r="G61" s="264"/>
      <c r="H61" s="106"/>
      <c r="I61" s="106"/>
      <c r="J61" s="106"/>
      <c r="K61" s="106"/>
      <c r="L61" s="106"/>
      <c r="M61" s="106"/>
      <c r="N61" s="106"/>
      <c r="O61" s="106"/>
      <c r="P61" s="106"/>
      <c r="Q61" s="264"/>
    </row>
    <row r="62" spans="1:17" ht="13.5" thickBot="1">
      <c r="C62" s="48" t="str">
        <f>'A3'!C62</f>
        <v>Coût des marchandises</v>
      </c>
      <c r="D62" s="907">
        <f>'A3'!D62</f>
        <v>0</v>
      </c>
      <c r="E62" s="48"/>
      <c r="F62" s="48"/>
      <c r="G62" s="48"/>
      <c r="H62" s="48"/>
      <c r="I62" s="48"/>
      <c r="J62" s="48"/>
      <c r="K62" s="48"/>
      <c r="L62" s="48"/>
      <c r="M62" s="48"/>
      <c r="N62" s="48"/>
      <c r="O62" s="48"/>
      <c r="P62" s="48"/>
      <c r="Q62" s="48"/>
    </row>
    <row r="63" spans="1:17" ht="13.5" thickBot="1">
      <c r="C63" s="48" t="str">
        <f>'A3'!C63</f>
        <v>Ventes estimées</v>
      </c>
      <c r="D63" s="266"/>
      <c r="E63" s="388">
        <f>'V4'!F68</f>
        <v>0</v>
      </c>
      <c r="F63" s="388">
        <f>'V4'!G68</f>
        <v>0</v>
      </c>
      <c r="G63" s="388">
        <f>'V4'!H68</f>
        <v>0</v>
      </c>
      <c r="H63" s="388">
        <f>'V4'!I68</f>
        <v>0</v>
      </c>
      <c r="I63" s="388">
        <f>'V4'!J68</f>
        <v>0</v>
      </c>
      <c r="J63" s="388">
        <f>'V4'!K68</f>
        <v>0</v>
      </c>
      <c r="K63" s="388">
        <f>'V4'!L68</f>
        <v>0</v>
      </c>
      <c r="L63" s="388">
        <f>'V4'!M68</f>
        <v>0</v>
      </c>
      <c r="M63" s="388">
        <f>'V4'!N68</f>
        <v>0</v>
      </c>
      <c r="N63" s="388">
        <f>'V4'!O68</f>
        <v>0</v>
      </c>
      <c r="O63" s="388">
        <f>'V4'!P68</f>
        <v>0</v>
      </c>
      <c r="P63" s="388">
        <f>'V4'!Q68</f>
        <v>0</v>
      </c>
      <c r="Q63" s="76">
        <f>SUM(E63:P63)</f>
        <v>0</v>
      </c>
    </row>
    <row r="64" spans="1:17" ht="13.5" thickBot="1">
      <c r="C64" s="48" t="s">
        <v>14</v>
      </c>
      <c r="D64" s="266"/>
      <c r="E64" s="390"/>
      <c r="F64" s="390"/>
      <c r="G64" s="390"/>
      <c r="H64" s="390"/>
      <c r="I64" s="390"/>
      <c r="J64" s="390"/>
      <c r="K64" s="390"/>
      <c r="L64" s="390"/>
      <c r="M64" s="390"/>
      <c r="N64" s="390"/>
      <c r="O64" s="390"/>
      <c r="P64" s="390"/>
      <c r="Q64" s="76">
        <f>SUM(E64:P64)</f>
        <v>0</v>
      </c>
    </row>
    <row r="65" spans="1:17" ht="13.5" thickBot="1">
      <c r="C65" s="48" t="str">
        <f>'A3'!C65</f>
        <v>Achats prévus</v>
      </c>
      <c r="D65" s="266"/>
      <c r="E65" s="394">
        <f>IF(RG!$A$78=5,0,E63*$D62)</f>
        <v>0</v>
      </c>
      <c r="F65" s="394">
        <f>IF(RG!$A$78=5,0,F63*$D62)</f>
        <v>0</v>
      </c>
      <c r="G65" s="394">
        <f>IF(RG!$A$78=5,0,G63*$D62)</f>
        <v>0</v>
      </c>
      <c r="H65" s="394">
        <f>IF(RG!$A$78=5,0,H63*$D62)</f>
        <v>0</v>
      </c>
      <c r="I65" s="394">
        <f>IF(RG!$A$78=5,0,I63*$D62)</f>
        <v>0</v>
      </c>
      <c r="J65" s="394">
        <f>IF(RG!$A$78=5,0,J63*$D62)</f>
        <v>0</v>
      </c>
      <c r="K65" s="394">
        <f>IF(RG!$A$78=5,0,K63*$D62)</f>
        <v>0</v>
      </c>
      <c r="L65" s="394">
        <f>IF(RG!$A$78=5,0,L63*$D62)</f>
        <v>0</v>
      </c>
      <c r="M65" s="394">
        <f>IF(RG!$A$78=5,0,M63*$D62)</f>
        <v>0</v>
      </c>
      <c r="N65" s="394">
        <f>IF(RG!$A$78=5,0,N63*$D62)</f>
        <v>0</v>
      </c>
      <c r="O65" s="394">
        <f>IF(RG!$A$78=5,0,O63*$D62)</f>
        <v>0</v>
      </c>
      <c r="P65" s="394">
        <f>IF(RG!$A$78=5,0,P63*$D62)</f>
        <v>0</v>
      </c>
      <c r="Q65" s="76">
        <f>SUM(E65:P65)</f>
        <v>0</v>
      </c>
    </row>
    <row r="66" spans="1:17" hidden="1">
      <c r="D66" s="266"/>
      <c r="E66" s="77"/>
      <c r="F66" s="77"/>
      <c r="G66" s="77"/>
      <c r="H66" s="77"/>
      <c r="I66" s="77"/>
      <c r="J66" s="77"/>
      <c r="K66" s="77"/>
      <c r="L66" s="77"/>
      <c r="M66" s="77"/>
      <c r="N66" s="77"/>
      <c r="O66" s="77"/>
      <c r="P66" s="77"/>
      <c r="Q66" s="77"/>
    </row>
    <row r="67" spans="1:17">
      <c r="D67" s="266"/>
      <c r="E67" s="77"/>
      <c r="F67" s="77"/>
      <c r="G67" s="77"/>
      <c r="H67" s="77"/>
      <c r="I67" s="77"/>
      <c r="J67" s="77"/>
      <c r="K67" s="77"/>
      <c r="L67" s="77"/>
      <c r="M67" s="77"/>
      <c r="N67" s="77"/>
      <c r="O67" s="77"/>
      <c r="P67" s="77"/>
      <c r="Q67" s="77"/>
    </row>
    <row r="68" spans="1:17" ht="17.25" customHeight="1">
      <c r="C68" s="909" t="str">
        <f>'A3'!C68</f>
        <v>Produit/service 5</v>
      </c>
      <c r="D68" s="910"/>
      <c r="E68" s="1181" t="str">
        <f>C68</f>
        <v>Produit/service 5</v>
      </c>
      <c r="F68" s="1182"/>
      <c r="G68" s="1182"/>
      <c r="H68" s="1182"/>
      <c r="I68" s="1182"/>
      <c r="J68" s="1182"/>
      <c r="K68" s="1182"/>
      <c r="L68" s="1182"/>
      <c r="M68" s="1182"/>
      <c r="N68" s="1182"/>
      <c r="O68" s="1182"/>
      <c r="P68" s="1182"/>
      <c r="Q68" s="1182"/>
    </row>
    <row r="69" spans="1:17" hidden="1">
      <c r="B69" s="265" t="s">
        <v>328</v>
      </c>
      <c r="D69" s="106"/>
      <c r="E69" s="106">
        <f t="shared" ref="E69:P69" si="21">IF($A72=1,E78,0)</f>
        <v>0</v>
      </c>
      <c r="F69" s="106">
        <f t="shared" si="21"/>
        <v>0</v>
      </c>
      <c r="G69" s="106">
        <f t="shared" si="21"/>
        <v>0</v>
      </c>
      <c r="H69" s="106">
        <f t="shared" si="21"/>
        <v>0</v>
      </c>
      <c r="I69" s="106">
        <f t="shared" si="21"/>
        <v>0</v>
      </c>
      <c r="J69" s="106">
        <f t="shared" si="21"/>
        <v>0</v>
      </c>
      <c r="K69" s="106">
        <f t="shared" si="21"/>
        <v>0</v>
      </c>
      <c r="L69" s="106">
        <f t="shared" si="21"/>
        <v>0</v>
      </c>
      <c r="M69" s="106">
        <f t="shared" si="21"/>
        <v>0</v>
      </c>
      <c r="N69" s="106">
        <f t="shared" si="21"/>
        <v>0</v>
      </c>
      <c r="O69" s="106">
        <f t="shared" si="21"/>
        <v>0</v>
      </c>
      <c r="P69" s="106">
        <f t="shared" si="21"/>
        <v>0</v>
      </c>
      <c r="Q69" s="48"/>
    </row>
    <row r="70" spans="1:17" hidden="1">
      <c r="B70" s="264" t="s">
        <v>329</v>
      </c>
      <c r="D70" s="106"/>
      <c r="E70" s="270">
        <f>IF('A3'!$A72=2,'A3'!P78,0)</f>
        <v>0</v>
      </c>
      <c r="F70" s="106">
        <f>IF($A72=2,E78,0)</f>
        <v>0</v>
      </c>
      <c r="G70" s="106">
        <f>IF($A72=2,F78,0)</f>
        <v>0</v>
      </c>
      <c r="H70" s="106">
        <f>IF($A72=2,G78,0)</f>
        <v>0</v>
      </c>
      <c r="I70" s="106">
        <f t="shared" ref="I70:P70" si="22">IF($A72=2,H78,0)</f>
        <v>0</v>
      </c>
      <c r="J70" s="106">
        <f t="shared" si="22"/>
        <v>0</v>
      </c>
      <c r="K70" s="106">
        <f t="shared" si="22"/>
        <v>0</v>
      </c>
      <c r="L70" s="106">
        <f t="shared" si="22"/>
        <v>0</v>
      </c>
      <c r="M70" s="106">
        <f t="shared" si="22"/>
        <v>0</v>
      </c>
      <c r="N70" s="106">
        <f t="shared" si="22"/>
        <v>0</v>
      </c>
      <c r="O70" s="106">
        <f t="shared" si="22"/>
        <v>0</v>
      </c>
      <c r="P70" s="106">
        <f t="shared" si="22"/>
        <v>0</v>
      </c>
      <c r="Q70" s="48"/>
    </row>
    <row r="71" spans="1:17" hidden="1">
      <c r="B71" s="264" t="s">
        <v>448</v>
      </c>
      <c r="D71" s="106"/>
      <c r="E71" s="270">
        <f>IF('A3'!$A72=3,'A3'!O78,0)</f>
        <v>0</v>
      </c>
      <c r="F71" s="264">
        <f>IF('A3'!$A72=3,'A3'!P78,0)</f>
        <v>0</v>
      </c>
      <c r="G71" s="106">
        <f t="shared" ref="G71:P71" si="23">IF($A72=3,E78,0)</f>
        <v>0</v>
      </c>
      <c r="H71" s="106">
        <f t="shared" si="23"/>
        <v>0</v>
      </c>
      <c r="I71" s="106">
        <f t="shared" si="23"/>
        <v>0</v>
      </c>
      <c r="J71" s="106">
        <f t="shared" si="23"/>
        <v>0</v>
      </c>
      <c r="K71" s="106">
        <f t="shared" si="23"/>
        <v>0</v>
      </c>
      <c r="L71" s="106">
        <f t="shared" si="23"/>
        <v>0</v>
      </c>
      <c r="M71" s="106">
        <f t="shared" si="23"/>
        <v>0</v>
      </c>
      <c r="N71" s="106">
        <f t="shared" si="23"/>
        <v>0</v>
      </c>
      <c r="O71" s="106">
        <f t="shared" si="23"/>
        <v>0</v>
      </c>
      <c r="P71" s="106">
        <f t="shared" si="23"/>
        <v>0</v>
      </c>
      <c r="Q71" s="48"/>
    </row>
    <row r="72" spans="1:17" hidden="1">
      <c r="A72" s="243">
        <v>1</v>
      </c>
      <c r="B72" s="264" t="s">
        <v>330</v>
      </c>
      <c r="D72" s="48"/>
      <c r="E72" s="270">
        <f>IF('A3'!$A72=4,'A3'!N78,0)</f>
        <v>0</v>
      </c>
      <c r="F72" s="264">
        <f>IF('A3'!$A72=4,'A3'!O78,0)</f>
        <v>0</v>
      </c>
      <c r="G72" s="264">
        <f>IF('A3'!$A72=4,'A3'!P78,0)</f>
        <v>0</v>
      </c>
      <c r="H72" s="106">
        <f t="shared" ref="H72:P72" si="24">IF($A72=4,E78,0)</f>
        <v>0</v>
      </c>
      <c r="I72" s="106">
        <f t="shared" si="24"/>
        <v>0</v>
      </c>
      <c r="J72" s="106">
        <f t="shared" si="24"/>
        <v>0</v>
      </c>
      <c r="K72" s="106">
        <f t="shared" si="24"/>
        <v>0</v>
      </c>
      <c r="L72" s="106">
        <f t="shared" si="24"/>
        <v>0</v>
      </c>
      <c r="M72" s="106">
        <f t="shared" si="24"/>
        <v>0</v>
      </c>
      <c r="N72" s="106">
        <f t="shared" si="24"/>
        <v>0</v>
      </c>
      <c r="O72" s="106">
        <f t="shared" si="24"/>
        <v>0</v>
      </c>
      <c r="P72" s="106">
        <f t="shared" si="24"/>
        <v>0</v>
      </c>
      <c r="Q72" s="48"/>
    </row>
    <row r="73" spans="1:17" hidden="1">
      <c r="A73" s="243"/>
      <c r="B73" s="264"/>
      <c r="D73" s="271"/>
      <c r="E73" s="272">
        <f t="shared" ref="E73:P73" si="25">SUM(E69:E72)</f>
        <v>0</v>
      </c>
      <c r="F73" s="272">
        <f t="shared" si="25"/>
        <v>0</v>
      </c>
      <c r="G73" s="272">
        <f t="shared" si="25"/>
        <v>0</v>
      </c>
      <c r="H73" s="272">
        <f t="shared" si="25"/>
        <v>0</v>
      </c>
      <c r="I73" s="272">
        <f t="shared" si="25"/>
        <v>0</v>
      </c>
      <c r="J73" s="272">
        <f t="shared" si="25"/>
        <v>0</v>
      </c>
      <c r="K73" s="272">
        <f t="shared" si="25"/>
        <v>0</v>
      </c>
      <c r="L73" s="272">
        <f t="shared" si="25"/>
        <v>0</v>
      </c>
      <c r="M73" s="272">
        <f t="shared" si="25"/>
        <v>0</v>
      </c>
      <c r="N73" s="272">
        <f t="shared" si="25"/>
        <v>0</v>
      </c>
      <c r="O73" s="272">
        <f t="shared" si="25"/>
        <v>0</v>
      </c>
      <c r="P73" s="272">
        <f t="shared" si="25"/>
        <v>0</v>
      </c>
      <c r="Q73" s="77"/>
    </row>
    <row r="74" spans="1:17" ht="13.5" thickBot="1">
      <c r="A74" s="243"/>
      <c r="B74" s="264"/>
      <c r="D74" s="271"/>
      <c r="E74" s="270"/>
      <c r="F74" s="264"/>
      <c r="G74" s="264"/>
      <c r="H74" s="106"/>
      <c r="I74" s="106"/>
      <c r="J74" s="106"/>
      <c r="K74" s="106"/>
      <c r="L74" s="106"/>
      <c r="M74" s="106"/>
      <c r="N74" s="106"/>
      <c r="O74" s="106"/>
      <c r="P74" s="106"/>
      <c r="Q74" s="264"/>
    </row>
    <row r="75" spans="1:17" ht="13.5" thickBot="1">
      <c r="C75" s="48" t="str">
        <f>'A3'!C75</f>
        <v>Coût des marchandises</v>
      </c>
      <c r="D75" s="907">
        <f>'A3'!D75</f>
        <v>0</v>
      </c>
      <c r="E75" s="48"/>
      <c r="F75" s="48"/>
      <c r="G75" s="48"/>
      <c r="H75" s="48"/>
      <c r="I75" s="48"/>
      <c r="J75" s="48"/>
      <c r="K75" s="48"/>
      <c r="L75" s="48"/>
      <c r="M75" s="48"/>
      <c r="N75" s="48"/>
      <c r="O75" s="48"/>
      <c r="P75" s="48"/>
      <c r="Q75" s="48"/>
    </row>
    <row r="76" spans="1:17" ht="13.5" thickBot="1">
      <c r="C76" s="48" t="str">
        <f>'A3'!C76</f>
        <v>Ventes estimées</v>
      </c>
      <c r="D76" s="266"/>
      <c r="E76" s="388">
        <f>'V4'!F82</f>
        <v>0</v>
      </c>
      <c r="F76" s="388">
        <f>'V4'!G82</f>
        <v>0</v>
      </c>
      <c r="G76" s="388">
        <f>'V4'!H82</f>
        <v>0</v>
      </c>
      <c r="H76" s="388">
        <f>'V4'!I82</f>
        <v>0</v>
      </c>
      <c r="I76" s="388">
        <f>'V4'!J82</f>
        <v>0</v>
      </c>
      <c r="J76" s="388">
        <f>'V4'!K82</f>
        <v>0</v>
      </c>
      <c r="K76" s="388">
        <f>'V4'!L82</f>
        <v>0</v>
      </c>
      <c r="L76" s="388">
        <f>'V4'!M82</f>
        <v>0</v>
      </c>
      <c r="M76" s="388">
        <f>'V4'!N82</f>
        <v>0</v>
      </c>
      <c r="N76" s="388">
        <f>'V4'!O82</f>
        <v>0</v>
      </c>
      <c r="O76" s="388">
        <f>'V4'!P82</f>
        <v>0</v>
      </c>
      <c r="P76" s="388">
        <f>'V4'!Q82</f>
        <v>0</v>
      </c>
      <c r="Q76" s="76">
        <f>SUM(E76:P76)</f>
        <v>0</v>
      </c>
    </row>
    <row r="77" spans="1:17" ht="13.5" thickBot="1">
      <c r="C77" s="48" t="s">
        <v>14</v>
      </c>
      <c r="D77" s="266"/>
      <c r="E77" s="908"/>
      <c r="F77" s="908"/>
      <c r="G77" s="908"/>
      <c r="H77" s="908"/>
      <c r="I77" s="908"/>
      <c r="J77" s="908"/>
      <c r="K77" s="908"/>
      <c r="L77" s="908"/>
      <c r="M77" s="908"/>
      <c r="N77" s="908"/>
      <c r="O77" s="908"/>
      <c r="P77" s="908"/>
      <c r="Q77" s="76">
        <f>SUM(E77:P77)</f>
        <v>0</v>
      </c>
    </row>
    <row r="78" spans="1:17" ht="13.5" thickBot="1">
      <c r="C78" s="48" t="str">
        <f>'A3'!C78</f>
        <v>Achats prévus</v>
      </c>
      <c r="D78" s="266"/>
      <c r="E78" s="394">
        <f>IF(RG!$A$78=5,0,E76*$D75)</f>
        <v>0</v>
      </c>
      <c r="F78" s="394">
        <f>IF(RG!$A$78=5,0,F76*$D75)</f>
        <v>0</v>
      </c>
      <c r="G78" s="394">
        <f>IF(RG!$A$78=5,0,G76*$D75)</f>
        <v>0</v>
      </c>
      <c r="H78" s="394">
        <f>IF(RG!$A$78=5,0,H76*$D75)</f>
        <v>0</v>
      </c>
      <c r="I78" s="394">
        <f>IF(RG!$A$78=5,0,I76*$D75)</f>
        <v>0</v>
      </c>
      <c r="J78" s="394">
        <f>IF(RG!$A$78=5,0,J76*$D75)</f>
        <v>0</v>
      </c>
      <c r="K78" s="394">
        <f>IF(RG!$A$78=5,0,K76*$D75)</f>
        <v>0</v>
      </c>
      <c r="L78" s="394">
        <f>IF(RG!$A$78=5,0,L76*$D75)</f>
        <v>0</v>
      </c>
      <c r="M78" s="394">
        <f>IF(RG!$A$78=5,0,M76*$D75)</f>
        <v>0</v>
      </c>
      <c r="N78" s="394">
        <f>IF(RG!$A$78=5,0,N76*$D75)</f>
        <v>0</v>
      </c>
      <c r="O78" s="394">
        <f>IF(RG!$A$78=5,0,O76*$D75)</f>
        <v>0</v>
      </c>
      <c r="P78" s="394">
        <f>IF(RG!$A$78=5,0,P76*$D75)</f>
        <v>0</v>
      </c>
      <c r="Q78" s="76">
        <f>SUM(E78:P78)</f>
        <v>0</v>
      </c>
    </row>
    <row r="79" spans="1:17" hidden="1">
      <c r="D79" s="266"/>
      <c r="E79" s="77"/>
      <c r="F79" s="77"/>
      <c r="G79" s="77"/>
      <c r="H79" s="77"/>
      <c r="I79" s="77"/>
      <c r="J79" s="77"/>
      <c r="K79" s="77"/>
      <c r="L79" s="77"/>
      <c r="M79" s="77"/>
      <c r="N79" s="77"/>
      <c r="O79" s="77"/>
      <c r="P79" s="77"/>
      <c r="Q79" s="77"/>
    </row>
    <row r="80" spans="1:17">
      <c r="D80" s="266"/>
      <c r="E80" s="77"/>
      <c r="F80" s="77"/>
      <c r="G80" s="77"/>
      <c r="H80" s="77"/>
      <c r="I80" s="77"/>
      <c r="J80" s="77"/>
      <c r="K80" s="77"/>
      <c r="L80" s="77"/>
      <c r="M80" s="77"/>
      <c r="N80" s="77"/>
      <c r="O80" s="77"/>
      <c r="P80" s="77"/>
      <c r="Q80" s="77"/>
    </row>
    <row r="81" spans="1:17" ht="17.25" customHeight="1">
      <c r="C81" s="909" t="str">
        <f>'A3'!C81</f>
        <v>Produit/service 6</v>
      </c>
      <c r="D81" s="910"/>
      <c r="E81" s="1181" t="str">
        <f>C81</f>
        <v>Produit/service 6</v>
      </c>
      <c r="F81" s="1182"/>
      <c r="G81" s="1182"/>
      <c r="H81" s="1182"/>
      <c r="I81" s="1182"/>
      <c r="J81" s="1182"/>
      <c r="K81" s="1182"/>
      <c r="L81" s="1182"/>
      <c r="M81" s="1182"/>
      <c r="N81" s="1182"/>
      <c r="O81" s="1182"/>
      <c r="P81" s="1182"/>
      <c r="Q81" s="1182"/>
    </row>
    <row r="82" spans="1:17" hidden="1">
      <c r="B82" s="265" t="s">
        <v>328</v>
      </c>
      <c r="D82" s="106"/>
      <c r="E82" s="106">
        <f t="shared" ref="E82:P82" si="26">IF($A85=1,E91,0)</f>
        <v>0</v>
      </c>
      <c r="F82" s="106">
        <f t="shared" si="26"/>
        <v>0</v>
      </c>
      <c r="G82" s="106">
        <f t="shared" si="26"/>
        <v>0</v>
      </c>
      <c r="H82" s="106">
        <f t="shared" si="26"/>
        <v>0</v>
      </c>
      <c r="I82" s="106">
        <f t="shared" si="26"/>
        <v>0</v>
      </c>
      <c r="J82" s="106">
        <f t="shared" si="26"/>
        <v>0</v>
      </c>
      <c r="K82" s="106">
        <f t="shared" si="26"/>
        <v>0</v>
      </c>
      <c r="L82" s="106">
        <f t="shared" si="26"/>
        <v>0</v>
      </c>
      <c r="M82" s="106">
        <f t="shared" si="26"/>
        <v>0</v>
      </c>
      <c r="N82" s="106">
        <f t="shared" si="26"/>
        <v>0</v>
      </c>
      <c r="O82" s="106">
        <f t="shared" si="26"/>
        <v>0</v>
      </c>
      <c r="P82" s="106">
        <f t="shared" si="26"/>
        <v>0</v>
      </c>
      <c r="Q82" s="48"/>
    </row>
    <row r="83" spans="1:17" hidden="1">
      <c r="B83" s="264" t="s">
        <v>329</v>
      </c>
      <c r="D83" s="106"/>
      <c r="E83" s="270">
        <f>IF('A3'!$A85=2,'A3'!P91,0)</f>
        <v>0</v>
      </c>
      <c r="F83" s="106">
        <f>IF($A85=2,E91,0)</f>
        <v>0</v>
      </c>
      <c r="G83" s="106">
        <f>IF($A85=2,F91,0)</f>
        <v>0</v>
      </c>
      <c r="H83" s="106">
        <f>IF($A85=2,G91,0)</f>
        <v>0</v>
      </c>
      <c r="I83" s="106">
        <f t="shared" ref="I83:P83" si="27">IF($A85=2,H91,0)</f>
        <v>0</v>
      </c>
      <c r="J83" s="106">
        <f t="shared" si="27"/>
        <v>0</v>
      </c>
      <c r="K83" s="106">
        <f t="shared" si="27"/>
        <v>0</v>
      </c>
      <c r="L83" s="106">
        <f t="shared" si="27"/>
        <v>0</v>
      </c>
      <c r="M83" s="106">
        <f t="shared" si="27"/>
        <v>0</v>
      </c>
      <c r="N83" s="106">
        <f t="shared" si="27"/>
        <v>0</v>
      </c>
      <c r="O83" s="106">
        <f t="shared" si="27"/>
        <v>0</v>
      </c>
      <c r="P83" s="106">
        <f t="shared" si="27"/>
        <v>0</v>
      </c>
      <c r="Q83" s="48"/>
    </row>
    <row r="84" spans="1:17" hidden="1">
      <c r="B84" s="264" t="s">
        <v>448</v>
      </c>
      <c r="D84" s="106"/>
      <c r="E84" s="270">
        <f>IF('A3'!$A85=3,'A3'!O91,0)</f>
        <v>0</v>
      </c>
      <c r="F84" s="264">
        <f>IF('A3'!$A85=3,'A3'!P91,0)</f>
        <v>0</v>
      </c>
      <c r="G84" s="106">
        <f t="shared" ref="G84:P84" si="28">IF($A85=3,E91,0)</f>
        <v>0</v>
      </c>
      <c r="H84" s="106">
        <f t="shared" si="28"/>
        <v>0</v>
      </c>
      <c r="I84" s="106">
        <f t="shared" si="28"/>
        <v>0</v>
      </c>
      <c r="J84" s="106">
        <f t="shared" si="28"/>
        <v>0</v>
      </c>
      <c r="K84" s="106">
        <f t="shared" si="28"/>
        <v>0</v>
      </c>
      <c r="L84" s="106">
        <f t="shared" si="28"/>
        <v>0</v>
      </c>
      <c r="M84" s="106">
        <f t="shared" si="28"/>
        <v>0</v>
      </c>
      <c r="N84" s="106">
        <f t="shared" si="28"/>
        <v>0</v>
      </c>
      <c r="O84" s="106">
        <f t="shared" si="28"/>
        <v>0</v>
      </c>
      <c r="P84" s="106">
        <f t="shared" si="28"/>
        <v>0</v>
      </c>
      <c r="Q84" s="48"/>
    </row>
    <row r="85" spans="1:17" hidden="1">
      <c r="A85" s="243">
        <v>1</v>
      </c>
      <c r="B85" s="264" t="s">
        <v>330</v>
      </c>
      <c r="D85" s="48"/>
      <c r="E85" s="270">
        <f>IF('A3'!$A85=4,'A3'!N91,0)</f>
        <v>0</v>
      </c>
      <c r="F85" s="264">
        <f>IF('A3'!$A85=4,'A3'!O91,0)</f>
        <v>0</v>
      </c>
      <c r="G85" s="264">
        <f>IF('A3'!$A85=4,'A3'!P91,0)</f>
        <v>0</v>
      </c>
      <c r="H85" s="106">
        <f t="shared" ref="H85:P85" si="29">IF($A85=4,E91,0)</f>
        <v>0</v>
      </c>
      <c r="I85" s="106">
        <f t="shared" si="29"/>
        <v>0</v>
      </c>
      <c r="J85" s="106">
        <f t="shared" si="29"/>
        <v>0</v>
      </c>
      <c r="K85" s="106">
        <f t="shared" si="29"/>
        <v>0</v>
      </c>
      <c r="L85" s="106">
        <f t="shared" si="29"/>
        <v>0</v>
      </c>
      <c r="M85" s="106">
        <f t="shared" si="29"/>
        <v>0</v>
      </c>
      <c r="N85" s="106">
        <f t="shared" si="29"/>
        <v>0</v>
      </c>
      <c r="O85" s="106">
        <f t="shared" si="29"/>
        <v>0</v>
      </c>
      <c r="P85" s="106">
        <f t="shared" si="29"/>
        <v>0</v>
      </c>
      <c r="Q85" s="48"/>
    </row>
    <row r="86" spans="1:17" hidden="1">
      <c r="A86" s="243"/>
      <c r="B86" s="264"/>
      <c r="D86" s="271"/>
      <c r="E86" s="272">
        <f t="shared" ref="E86:P86" si="30">SUM(E82:E85)</f>
        <v>0</v>
      </c>
      <c r="F86" s="272">
        <f t="shared" si="30"/>
        <v>0</v>
      </c>
      <c r="G86" s="272">
        <f t="shared" si="30"/>
        <v>0</v>
      </c>
      <c r="H86" s="272">
        <f t="shared" si="30"/>
        <v>0</v>
      </c>
      <c r="I86" s="272">
        <f t="shared" si="30"/>
        <v>0</v>
      </c>
      <c r="J86" s="272">
        <f t="shared" si="30"/>
        <v>0</v>
      </c>
      <c r="K86" s="272">
        <f t="shared" si="30"/>
        <v>0</v>
      </c>
      <c r="L86" s="272">
        <f t="shared" si="30"/>
        <v>0</v>
      </c>
      <c r="M86" s="272">
        <f t="shared" si="30"/>
        <v>0</v>
      </c>
      <c r="N86" s="272">
        <f t="shared" si="30"/>
        <v>0</v>
      </c>
      <c r="O86" s="272">
        <f t="shared" si="30"/>
        <v>0</v>
      </c>
      <c r="P86" s="272">
        <f t="shared" si="30"/>
        <v>0</v>
      </c>
      <c r="Q86" s="77"/>
    </row>
    <row r="87" spans="1:17" ht="13.5" thickBot="1">
      <c r="A87" s="243"/>
      <c r="B87" s="264"/>
      <c r="D87" s="271"/>
      <c r="E87" s="270"/>
      <c r="F87" s="264"/>
      <c r="G87" s="264"/>
      <c r="H87" s="106"/>
      <c r="I87" s="106"/>
      <c r="J87" s="106"/>
      <c r="K87" s="106"/>
      <c r="L87" s="106"/>
      <c r="M87" s="106"/>
      <c r="N87" s="106"/>
      <c r="O87" s="106"/>
      <c r="P87" s="106"/>
      <c r="Q87" s="264"/>
    </row>
    <row r="88" spans="1:17" ht="13.5" thickBot="1">
      <c r="C88" s="48" t="str">
        <f>'A3'!C88</f>
        <v>Coût des marchandises</v>
      </c>
      <c r="D88" s="907">
        <f>'A3'!D88</f>
        <v>0</v>
      </c>
      <c r="E88" s="48"/>
      <c r="F88" s="48"/>
      <c r="G88" s="48"/>
      <c r="H88" s="48"/>
      <c r="I88" s="48"/>
      <c r="J88" s="48"/>
      <c r="K88" s="48"/>
      <c r="L88" s="48"/>
      <c r="M88" s="48"/>
      <c r="N88" s="48"/>
      <c r="O88" s="48"/>
      <c r="P88" s="48"/>
      <c r="Q88" s="48"/>
    </row>
    <row r="89" spans="1:17" ht="13.5" thickBot="1">
      <c r="C89" s="48" t="str">
        <f>'A3'!C89</f>
        <v>Ventes estimées</v>
      </c>
      <c r="D89" s="106"/>
      <c r="E89" s="388">
        <f>'V4'!F96</f>
        <v>0</v>
      </c>
      <c r="F89" s="388">
        <f>'V4'!G96</f>
        <v>0</v>
      </c>
      <c r="G89" s="388">
        <f>'V4'!H96</f>
        <v>0</v>
      </c>
      <c r="H89" s="388">
        <f>'V4'!I96</f>
        <v>0</v>
      </c>
      <c r="I89" s="388">
        <f>'V4'!J96</f>
        <v>0</v>
      </c>
      <c r="J89" s="388">
        <f>'V4'!K96</f>
        <v>0</v>
      </c>
      <c r="K89" s="388">
        <f>'V4'!L96</f>
        <v>0</v>
      </c>
      <c r="L89" s="388">
        <f>'V4'!M96</f>
        <v>0</v>
      </c>
      <c r="M89" s="388">
        <f>'V4'!N96</f>
        <v>0</v>
      </c>
      <c r="N89" s="388">
        <f>'V4'!O96</f>
        <v>0</v>
      </c>
      <c r="O89" s="388">
        <f>'V4'!P96</f>
        <v>0</v>
      </c>
      <c r="P89" s="388">
        <f>'V4'!Q96</f>
        <v>0</v>
      </c>
      <c r="Q89" s="76">
        <f>SUM(E89:P89)</f>
        <v>0</v>
      </c>
    </row>
    <row r="90" spans="1:17" ht="13.5" thickBot="1">
      <c r="C90" s="48" t="s">
        <v>14</v>
      </c>
      <c r="D90" s="266"/>
      <c r="E90" s="908"/>
      <c r="F90" s="908"/>
      <c r="G90" s="908"/>
      <c r="H90" s="908"/>
      <c r="I90" s="908"/>
      <c r="J90" s="908"/>
      <c r="K90" s="908"/>
      <c r="L90" s="908"/>
      <c r="M90" s="908"/>
      <c r="N90" s="908"/>
      <c r="O90" s="908"/>
      <c r="P90" s="908"/>
      <c r="Q90" s="76">
        <f>SUM(E90:P90)</f>
        <v>0</v>
      </c>
    </row>
    <row r="91" spans="1:17" ht="13.5" thickBot="1">
      <c r="C91" s="48" t="str">
        <f>'A3'!C91</f>
        <v>Achats prévus</v>
      </c>
      <c r="D91" s="106"/>
      <c r="E91" s="394">
        <f>IF(RG!$A$78=5,0,E89*$D88)</f>
        <v>0</v>
      </c>
      <c r="F91" s="394">
        <f>IF(RG!$A$78=5,0,F89*$D88)</f>
        <v>0</v>
      </c>
      <c r="G91" s="394">
        <f>IF(RG!$A$78=5,0,G89*$D88)</f>
        <v>0</v>
      </c>
      <c r="H91" s="394">
        <f>IF(RG!$A$78=5,0,H89*$D88)</f>
        <v>0</v>
      </c>
      <c r="I91" s="394">
        <f>IF(RG!$A$78=5,0,I89*$D88)</f>
        <v>0</v>
      </c>
      <c r="J91" s="394">
        <f>IF(RG!$A$78=5,0,J89*$D88)</f>
        <v>0</v>
      </c>
      <c r="K91" s="394">
        <f>IF(RG!$A$78=5,0,K89*$D88)</f>
        <v>0</v>
      </c>
      <c r="L91" s="394">
        <f>IF(RG!$A$78=5,0,L89*$D88)</f>
        <v>0</v>
      </c>
      <c r="M91" s="394">
        <f>IF(RG!$A$78=5,0,M89*$D88)</f>
        <v>0</v>
      </c>
      <c r="N91" s="394">
        <f>IF(RG!$A$78=5,0,N89*$D88)</f>
        <v>0</v>
      </c>
      <c r="O91" s="394">
        <f>IF(RG!$A$78=5,0,O89*$D88)</f>
        <v>0</v>
      </c>
      <c r="P91" s="394">
        <f>IF(RG!$A$78=5,0,P89*$D88)</f>
        <v>0</v>
      </c>
      <c r="Q91" s="76">
        <f>SUM(E91:P91)</f>
        <v>0</v>
      </c>
    </row>
    <row r="92" spans="1:17" hidden="1">
      <c r="C92" s="143"/>
      <c r="D92" s="106"/>
      <c r="E92" s="273"/>
      <c r="F92" s="273"/>
      <c r="G92" s="273"/>
      <c r="H92" s="273"/>
      <c r="I92" s="273"/>
      <c r="J92" s="273"/>
      <c r="K92" s="273"/>
      <c r="L92" s="273"/>
      <c r="M92" s="273"/>
      <c r="N92" s="273"/>
      <c r="O92" s="273"/>
      <c r="P92" s="273"/>
      <c r="Q92" s="268"/>
    </row>
    <row r="93" spans="1:17" ht="13.5" thickBot="1">
      <c r="C93" s="143"/>
      <c r="D93" s="106"/>
      <c r="E93" s="1058">
        <f>E90+E77+E64+E51+E38+E25</f>
        <v>0</v>
      </c>
      <c r="F93" s="1058">
        <f t="shared" ref="F93:Q93" si="31">F90+F77+F64+F51+F38+F25</f>
        <v>0</v>
      </c>
      <c r="G93" s="1058">
        <f t="shared" si="31"/>
        <v>0</v>
      </c>
      <c r="H93" s="1058">
        <f t="shared" si="31"/>
        <v>0</v>
      </c>
      <c r="I93" s="1058">
        <f t="shared" si="31"/>
        <v>0</v>
      </c>
      <c r="J93" s="1058">
        <f t="shared" si="31"/>
        <v>0</v>
      </c>
      <c r="K93" s="1058">
        <f t="shared" si="31"/>
        <v>0</v>
      </c>
      <c r="L93" s="1058">
        <f t="shared" si="31"/>
        <v>0</v>
      </c>
      <c r="M93" s="1058">
        <f t="shared" si="31"/>
        <v>0</v>
      </c>
      <c r="N93" s="1058">
        <f t="shared" si="31"/>
        <v>0</v>
      </c>
      <c r="O93" s="1058">
        <f t="shared" si="31"/>
        <v>0</v>
      </c>
      <c r="P93" s="1058">
        <f t="shared" si="31"/>
        <v>0</v>
      </c>
      <c r="Q93" s="1058">
        <f t="shared" si="31"/>
        <v>0</v>
      </c>
    </row>
    <row r="94" spans="1:17" ht="13.5" thickBot="1">
      <c r="C94" s="143" t="s">
        <v>252</v>
      </c>
      <c r="D94" s="106"/>
      <c r="E94" s="76">
        <f>E26+E39+E52+E65+E78+E91</f>
        <v>0</v>
      </c>
      <c r="F94" s="76">
        <f t="shared" ref="F94:Q94" si="32">F26+F39+F52+F65+F78+F91</f>
        <v>0</v>
      </c>
      <c r="G94" s="76">
        <f t="shared" si="32"/>
        <v>0</v>
      </c>
      <c r="H94" s="76">
        <f t="shared" si="32"/>
        <v>0</v>
      </c>
      <c r="I94" s="76">
        <f t="shared" si="32"/>
        <v>0</v>
      </c>
      <c r="J94" s="76">
        <f t="shared" si="32"/>
        <v>0</v>
      </c>
      <c r="K94" s="76">
        <f t="shared" si="32"/>
        <v>0</v>
      </c>
      <c r="L94" s="76">
        <f t="shared" si="32"/>
        <v>0</v>
      </c>
      <c r="M94" s="76">
        <f t="shared" si="32"/>
        <v>0</v>
      </c>
      <c r="N94" s="76">
        <f t="shared" si="32"/>
        <v>0</v>
      </c>
      <c r="O94" s="76">
        <f t="shared" si="32"/>
        <v>0</v>
      </c>
      <c r="P94" s="76">
        <f t="shared" si="32"/>
        <v>0</v>
      </c>
      <c r="Q94" s="76">
        <f t="shared" si="32"/>
        <v>0</v>
      </c>
    </row>
    <row r="95" spans="1:17">
      <c r="E95" s="664">
        <f>E86+E73+E60+E47+E34+E21</f>
        <v>0</v>
      </c>
      <c r="F95" s="664">
        <f t="shared" ref="F95:P95" si="33">F86+F73+F60+F47+F34+F21</f>
        <v>0</v>
      </c>
      <c r="G95" s="664">
        <f t="shared" si="33"/>
        <v>0</v>
      </c>
      <c r="H95" s="664">
        <f t="shared" si="33"/>
        <v>0</v>
      </c>
      <c r="I95" s="664">
        <f t="shared" si="33"/>
        <v>0</v>
      </c>
      <c r="J95" s="664">
        <f t="shared" si="33"/>
        <v>0</v>
      </c>
      <c r="K95" s="664">
        <f t="shared" si="33"/>
        <v>0</v>
      </c>
      <c r="L95" s="664">
        <f t="shared" si="33"/>
        <v>0</v>
      </c>
      <c r="M95" s="664">
        <f t="shared" si="33"/>
        <v>0</v>
      </c>
      <c r="N95" s="664">
        <f t="shared" si="33"/>
        <v>0</v>
      </c>
      <c r="O95" s="664">
        <f t="shared" si="33"/>
        <v>0</v>
      </c>
      <c r="P95" s="664">
        <f t="shared" si="33"/>
        <v>0</v>
      </c>
      <c r="Q95" s="664">
        <f>SUM(E95:P95)</f>
        <v>0</v>
      </c>
    </row>
    <row r="111" spans="3:3">
      <c r="C111" s="267"/>
    </row>
    <row r="132" spans="3:3">
      <c r="C132" s="78"/>
    </row>
    <row r="133" spans="3:3">
      <c r="C133" s="78"/>
    </row>
    <row r="135" spans="3:3" ht="15">
      <c r="C135" s="59"/>
    </row>
    <row r="183" spans="3:3">
      <c r="C183" s="143"/>
    </row>
  </sheetData>
  <sheetProtection password="E242" sheet="1" objects="1" scenarios="1"/>
  <customSheetViews>
    <customSheetView guid="{30D0538C-360A-4CDF-8D89-584CED1967CC}"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1"/>
      <headerFooter alignWithMargins="0"/>
    </customSheetView>
    <customSheetView guid="{4F3169C3-3348-49DE-A6DC-8AA4D2A9D7A1}"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2273" r:id="rId6" name="Drop Down 1">
              <controlPr defaultSize="0" autoFill="0" autoLine="0" autoPict="0">
                <anchor moveWithCells="1">
                  <from>
                    <xdr:col>3</xdr:col>
                    <xdr:colOff>25400</xdr:colOff>
                    <xdr:row>15</xdr:row>
                    <xdr:rowOff>12700</xdr:rowOff>
                  </from>
                  <to>
                    <xdr:col>3</xdr:col>
                    <xdr:colOff>838200</xdr:colOff>
                    <xdr:row>15</xdr:row>
                    <xdr:rowOff>215900</xdr:rowOff>
                  </to>
                </anchor>
              </controlPr>
            </control>
          </mc:Choice>
        </mc:AlternateContent>
        <mc:AlternateContent xmlns:mc="http://schemas.openxmlformats.org/markup-compatibility/2006">
          <mc:Choice Requires="x14">
            <control shapeId="182274" r:id="rId7" name="Drop Down 2">
              <controlPr defaultSize="0" autoFill="0" autoLine="0" autoPict="0">
                <anchor moveWithCells="1">
                  <from>
                    <xdr:col>3</xdr:col>
                    <xdr:colOff>25400</xdr:colOff>
                    <xdr:row>28</xdr:row>
                    <xdr:rowOff>0</xdr:rowOff>
                  </from>
                  <to>
                    <xdr:col>3</xdr:col>
                    <xdr:colOff>838200</xdr:colOff>
                    <xdr:row>28</xdr:row>
                    <xdr:rowOff>203200</xdr:rowOff>
                  </to>
                </anchor>
              </controlPr>
            </control>
          </mc:Choice>
        </mc:AlternateContent>
        <mc:AlternateContent xmlns:mc="http://schemas.openxmlformats.org/markup-compatibility/2006">
          <mc:Choice Requires="x14">
            <control shapeId="182277" r:id="rId8" name="Drop Down 5">
              <controlPr defaultSize="0" autoFill="0" autoLine="0" autoPict="0">
                <anchor moveWithCells="1">
                  <from>
                    <xdr:col>3</xdr:col>
                    <xdr:colOff>0</xdr:colOff>
                    <xdr:row>80</xdr:row>
                    <xdr:rowOff>0</xdr:rowOff>
                  </from>
                  <to>
                    <xdr:col>3</xdr:col>
                    <xdr:colOff>825500</xdr:colOff>
                    <xdr:row>80</xdr:row>
                    <xdr:rowOff>215900</xdr:rowOff>
                  </to>
                </anchor>
              </controlPr>
            </control>
          </mc:Choice>
        </mc:AlternateContent>
        <mc:AlternateContent xmlns:mc="http://schemas.openxmlformats.org/markup-compatibility/2006">
          <mc:Choice Requires="x14">
            <control shapeId="182278" r:id="rId9" name="Drop Down 6">
              <controlPr defaultSize="0" autoFill="0" autoLine="0" autoPict="0">
                <anchor moveWithCells="1">
                  <from>
                    <xdr:col>3</xdr:col>
                    <xdr:colOff>0</xdr:colOff>
                    <xdr:row>41</xdr:row>
                    <xdr:rowOff>12700</xdr:rowOff>
                  </from>
                  <to>
                    <xdr:col>3</xdr:col>
                    <xdr:colOff>825500</xdr:colOff>
                    <xdr:row>41</xdr:row>
                    <xdr:rowOff>215900</xdr:rowOff>
                  </to>
                </anchor>
              </controlPr>
            </control>
          </mc:Choice>
        </mc:AlternateContent>
        <mc:AlternateContent xmlns:mc="http://schemas.openxmlformats.org/markup-compatibility/2006">
          <mc:Choice Requires="x14">
            <control shapeId="182351" r:id="rId10" name="Drop Down 79">
              <controlPr defaultSize="0" autoFill="0" autoLine="0" autoPict="0">
                <anchor moveWithCells="1">
                  <from>
                    <xdr:col>2</xdr:col>
                    <xdr:colOff>2540000</xdr:colOff>
                    <xdr:row>53</xdr:row>
                    <xdr:rowOff>152400</xdr:rowOff>
                  </from>
                  <to>
                    <xdr:col>3</xdr:col>
                    <xdr:colOff>800100</xdr:colOff>
                    <xdr:row>54</xdr:row>
                    <xdr:rowOff>215900</xdr:rowOff>
                  </to>
                </anchor>
              </controlPr>
            </control>
          </mc:Choice>
        </mc:AlternateContent>
        <mc:AlternateContent xmlns:mc="http://schemas.openxmlformats.org/markup-compatibility/2006">
          <mc:Choice Requires="x14">
            <control shapeId="182352" r:id="rId11" name="Drop Down 80">
              <controlPr defaultSize="0" autoFill="0" autoLine="0" autoPict="0">
                <anchor moveWithCells="1">
                  <from>
                    <xdr:col>3</xdr:col>
                    <xdr:colOff>0</xdr:colOff>
                    <xdr:row>66</xdr:row>
                    <xdr:rowOff>139700</xdr:rowOff>
                  </from>
                  <to>
                    <xdr:col>3</xdr:col>
                    <xdr:colOff>825500</xdr:colOff>
                    <xdr:row>73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A5">
    <pageSetUpPr fitToPage="1"/>
  </sheetPr>
  <dimension ref="A1:Q183"/>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ColWidth="11.453125" defaultRowHeight="13"/>
  <cols>
    <col min="1" max="2" width="0" style="255" hidden="1" customWidth="1"/>
    <col min="3" max="3" width="38.36328125" style="48" customWidth="1"/>
    <col min="4" max="4" width="12.6328125" style="255" customWidth="1"/>
    <col min="5" max="17" width="12.81640625" style="255" customWidth="1"/>
    <col min="18" max="16384" width="11.453125" style="255"/>
  </cols>
  <sheetData>
    <row r="1" spans="3:17" customFormat="1" ht="12.5"/>
    <row r="2" spans="3:17" customFormat="1" ht="12.5"/>
    <row r="3" spans="3:17" customFormat="1" ht="12.5"/>
    <row r="4" spans="3:17" customFormat="1" ht="12.5"/>
    <row r="5" spans="3:17" customFormat="1" ht="12.5"/>
    <row r="6" spans="3:17" customFormat="1" ht="12.5"/>
    <row r="7" spans="3:17" customFormat="1" ht="12.5"/>
    <row r="8" spans="3:17" customFormat="1" ht="12.5"/>
    <row r="9" spans="3:17" customFormat="1" ht="12.5"/>
    <row r="10" spans="3:17" s="48" customFormat="1" ht="27" customHeight="1">
      <c r="C10" s="105" t="str">
        <f>RG!D17</f>
        <v>Jhon Wesly inc.</v>
      </c>
      <c r="D10" s="262"/>
      <c r="E10" s="262"/>
      <c r="F10" s="262"/>
      <c r="G10" s="262"/>
      <c r="H10" s="262"/>
      <c r="I10" s="262"/>
      <c r="J10" s="262"/>
      <c r="K10" s="262"/>
      <c r="L10" s="262"/>
      <c r="M10" s="262"/>
      <c r="N10" s="262"/>
      <c r="O10" s="262"/>
      <c r="P10" s="262"/>
      <c r="Q10" s="262"/>
    </row>
    <row r="11" spans="3:17" s="48" customFormat="1" ht="12.75" customHeight="1" thickBot="1">
      <c r="C11" s="263"/>
      <c r="D11" s="263"/>
      <c r="E11" s="263"/>
      <c r="F11" s="263"/>
      <c r="G11" s="263"/>
      <c r="H11" s="263"/>
      <c r="I11" s="263"/>
      <c r="J11" s="263"/>
      <c r="K11" s="263"/>
      <c r="L11" s="263"/>
      <c r="M11" s="263"/>
      <c r="N11" s="263"/>
      <c r="O11" s="263"/>
      <c r="P11" s="263"/>
      <c r="Q11" s="263"/>
    </row>
    <row r="12" spans="3:17" s="48" customFormat="1" ht="15.5" hidden="1" thickBot="1">
      <c r="C12" s="72" t="s">
        <v>48</v>
      </c>
      <c r="D12" s="255"/>
      <c r="F12" s="107"/>
      <c r="G12" s="107"/>
      <c r="H12" s="107"/>
      <c r="I12" s="107"/>
      <c r="J12" s="107"/>
      <c r="K12" s="107"/>
      <c r="L12" s="107"/>
      <c r="M12" s="107"/>
      <c r="N12" s="107"/>
      <c r="O12" s="107"/>
      <c r="P12" s="107"/>
      <c r="Q12" s="107"/>
    </row>
    <row r="13" spans="3:17" s="48" customFormat="1" ht="13.5" hidden="1" thickBot="1">
      <c r="C13" s="143"/>
      <c r="D13" s="106"/>
      <c r="E13" s="107"/>
      <c r="F13" s="107"/>
      <c r="G13" s="107"/>
      <c r="H13" s="107"/>
      <c r="I13" s="107"/>
      <c r="J13" s="107"/>
      <c r="K13" s="107"/>
      <c r="L13" s="107"/>
      <c r="M13" s="107"/>
      <c r="N13" s="107"/>
      <c r="O13" s="107"/>
      <c r="P13" s="107"/>
      <c r="Q13" s="107"/>
    </row>
    <row r="14" spans="3:17" s="48" customFormat="1" ht="15.5" thickBot="1">
      <c r="C14" s="1177" t="s">
        <v>48</v>
      </c>
      <c r="D14" s="1179"/>
      <c r="E14" s="837">
        <f>'A4'!E14+366</f>
        <v>46756</v>
      </c>
      <c r="F14" s="837">
        <f t="shared" ref="F14:P14" si="0">E14+31</f>
        <v>46787</v>
      </c>
      <c r="G14" s="837">
        <f t="shared" si="0"/>
        <v>46818</v>
      </c>
      <c r="H14" s="837">
        <f t="shared" si="0"/>
        <v>46849</v>
      </c>
      <c r="I14" s="837">
        <f t="shared" si="0"/>
        <v>46880</v>
      </c>
      <c r="J14" s="837">
        <f t="shared" si="0"/>
        <v>46911</v>
      </c>
      <c r="K14" s="837">
        <f t="shared" si="0"/>
        <v>46942</v>
      </c>
      <c r="L14" s="837">
        <f t="shared" si="0"/>
        <v>46973</v>
      </c>
      <c r="M14" s="837">
        <f t="shared" si="0"/>
        <v>47004</v>
      </c>
      <c r="N14" s="837">
        <f t="shared" si="0"/>
        <v>47035</v>
      </c>
      <c r="O14" s="837">
        <f t="shared" si="0"/>
        <v>47066</v>
      </c>
      <c r="P14" s="837">
        <f t="shared" si="0"/>
        <v>47097</v>
      </c>
      <c r="Q14" s="838" t="s">
        <v>489</v>
      </c>
    </row>
    <row r="15" spans="3:17">
      <c r="C15" s="143"/>
      <c r="D15" s="106"/>
      <c r="E15" s="264"/>
      <c r="F15" s="264"/>
      <c r="G15" s="264"/>
      <c r="H15" s="264"/>
      <c r="I15" s="264"/>
      <c r="J15" s="264"/>
      <c r="K15" s="264"/>
      <c r="L15" s="264"/>
      <c r="M15" s="264"/>
      <c r="N15" s="264"/>
      <c r="O15" s="264"/>
      <c r="P15" s="264"/>
      <c r="Q15" s="265"/>
    </row>
    <row r="16" spans="3:17" ht="17.25" customHeight="1">
      <c r="C16" s="909" t="str">
        <f>'A4'!C16</f>
        <v>Produit/service 1</v>
      </c>
      <c r="D16" s="910"/>
      <c r="E16" s="1181" t="str">
        <f>C16</f>
        <v>Produit/service 1</v>
      </c>
      <c r="F16" s="1182"/>
      <c r="G16" s="1182"/>
      <c r="H16" s="1182"/>
      <c r="I16" s="1182"/>
      <c r="J16" s="1182"/>
      <c r="K16" s="1182"/>
      <c r="L16" s="1182"/>
      <c r="M16" s="1182"/>
      <c r="N16" s="1182"/>
      <c r="O16" s="1182"/>
      <c r="P16" s="1182"/>
      <c r="Q16" s="1182"/>
    </row>
    <row r="17" spans="1:17" hidden="1">
      <c r="B17" s="265" t="s">
        <v>328</v>
      </c>
      <c r="D17" s="106"/>
      <c r="E17" s="106">
        <f t="shared" ref="E17:P17" si="1">IF($A20=1,E26,0)</f>
        <v>0</v>
      </c>
      <c r="F17" s="106">
        <f t="shared" si="1"/>
        <v>0</v>
      </c>
      <c r="G17" s="106">
        <f t="shared" si="1"/>
        <v>0</v>
      </c>
      <c r="H17" s="106">
        <f t="shared" si="1"/>
        <v>0</v>
      </c>
      <c r="I17" s="106">
        <f t="shared" si="1"/>
        <v>0</v>
      </c>
      <c r="J17" s="106">
        <f t="shared" si="1"/>
        <v>0</v>
      </c>
      <c r="K17" s="106">
        <f t="shared" si="1"/>
        <v>0</v>
      </c>
      <c r="L17" s="106">
        <f t="shared" si="1"/>
        <v>0</v>
      </c>
      <c r="M17" s="106">
        <f t="shared" si="1"/>
        <v>0</v>
      </c>
      <c r="N17" s="106">
        <f t="shared" si="1"/>
        <v>0</v>
      </c>
      <c r="O17" s="106">
        <f t="shared" si="1"/>
        <v>0</v>
      </c>
      <c r="P17" s="106">
        <f t="shared" si="1"/>
        <v>0</v>
      </c>
      <c r="Q17" s="48"/>
    </row>
    <row r="18" spans="1:17" hidden="1">
      <c r="B18" s="264" t="s">
        <v>329</v>
      </c>
      <c r="D18" s="106"/>
      <c r="E18" s="270">
        <f>IF('A4'!$A20=2,'A4'!P26,0)</f>
        <v>0</v>
      </c>
      <c r="F18" s="106">
        <f t="shared" ref="F18:P18" si="2">IF($A20=2,E26,0)</f>
        <v>0</v>
      </c>
      <c r="G18" s="106">
        <f t="shared" si="2"/>
        <v>0</v>
      </c>
      <c r="H18" s="106">
        <f t="shared" si="2"/>
        <v>0</v>
      </c>
      <c r="I18" s="106">
        <f t="shared" si="2"/>
        <v>0</v>
      </c>
      <c r="J18" s="106">
        <f t="shared" si="2"/>
        <v>0</v>
      </c>
      <c r="K18" s="106">
        <f t="shared" si="2"/>
        <v>0</v>
      </c>
      <c r="L18" s="106">
        <f t="shared" si="2"/>
        <v>0</v>
      </c>
      <c r="M18" s="106">
        <f t="shared" si="2"/>
        <v>0</v>
      </c>
      <c r="N18" s="106">
        <f t="shared" si="2"/>
        <v>0</v>
      </c>
      <c r="O18" s="106">
        <f t="shared" si="2"/>
        <v>0</v>
      </c>
      <c r="P18" s="106">
        <f t="shared" si="2"/>
        <v>0</v>
      </c>
      <c r="Q18" s="48"/>
    </row>
    <row r="19" spans="1:17" hidden="1">
      <c r="B19" s="264" t="s">
        <v>448</v>
      </c>
      <c r="D19" s="106"/>
      <c r="E19" s="270">
        <f>IF('A4'!$A20=3,'A4'!O26,0)</f>
        <v>0</v>
      </c>
      <c r="F19" s="264">
        <f>IF('A4'!$A20=3,'A4'!P26,0)</f>
        <v>0</v>
      </c>
      <c r="G19" s="106">
        <f t="shared" ref="G19:P19" si="3">IF($A20=3,E26,0)</f>
        <v>0</v>
      </c>
      <c r="H19" s="106">
        <f t="shared" si="3"/>
        <v>0</v>
      </c>
      <c r="I19" s="106">
        <f t="shared" si="3"/>
        <v>0</v>
      </c>
      <c r="J19" s="106">
        <f t="shared" si="3"/>
        <v>0</v>
      </c>
      <c r="K19" s="106">
        <f t="shared" si="3"/>
        <v>0</v>
      </c>
      <c r="L19" s="106">
        <f t="shared" si="3"/>
        <v>0</v>
      </c>
      <c r="M19" s="106">
        <f t="shared" si="3"/>
        <v>0</v>
      </c>
      <c r="N19" s="106">
        <f t="shared" si="3"/>
        <v>0</v>
      </c>
      <c r="O19" s="106">
        <f t="shared" si="3"/>
        <v>0</v>
      </c>
      <c r="P19" s="106">
        <f t="shared" si="3"/>
        <v>0</v>
      </c>
      <c r="Q19" s="48"/>
    </row>
    <row r="20" spans="1:17" hidden="1">
      <c r="A20" s="243">
        <v>1</v>
      </c>
      <c r="B20" s="264" t="s">
        <v>330</v>
      </c>
      <c r="D20" s="48"/>
      <c r="E20" s="270">
        <f>IF('A4'!$A20=4,'A4'!N26,0)</f>
        <v>0</v>
      </c>
      <c r="F20" s="264">
        <f>IF('A4'!$A20=4,'A4'!O26,0)</f>
        <v>0</v>
      </c>
      <c r="G20" s="264">
        <f>IF('A4'!$A20=4,'A4'!P26,0)</f>
        <v>0</v>
      </c>
      <c r="H20" s="106">
        <f t="shared" ref="H20:P20" si="4">IF($A20=4,E26,0)</f>
        <v>0</v>
      </c>
      <c r="I20" s="106">
        <f t="shared" si="4"/>
        <v>0</v>
      </c>
      <c r="J20" s="106">
        <f t="shared" si="4"/>
        <v>0</v>
      </c>
      <c r="K20" s="106">
        <f t="shared" si="4"/>
        <v>0</v>
      </c>
      <c r="L20" s="106">
        <f t="shared" si="4"/>
        <v>0</v>
      </c>
      <c r="M20" s="106">
        <f t="shared" si="4"/>
        <v>0</v>
      </c>
      <c r="N20" s="106">
        <f t="shared" si="4"/>
        <v>0</v>
      </c>
      <c r="O20" s="106">
        <f t="shared" si="4"/>
        <v>0</v>
      </c>
      <c r="P20" s="106">
        <f t="shared" si="4"/>
        <v>0</v>
      </c>
      <c r="Q20" s="48"/>
    </row>
    <row r="21" spans="1:17" hidden="1">
      <c r="A21" s="243"/>
      <c r="B21" s="264"/>
      <c r="D21" s="271"/>
      <c r="E21" s="272">
        <f t="shared" ref="E21:P21" si="5">SUM(E17:E20)</f>
        <v>0</v>
      </c>
      <c r="F21" s="272">
        <f t="shared" si="5"/>
        <v>0</v>
      </c>
      <c r="G21" s="272">
        <f t="shared" si="5"/>
        <v>0</v>
      </c>
      <c r="H21" s="272">
        <f t="shared" si="5"/>
        <v>0</v>
      </c>
      <c r="I21" s="272">
        <f t="shared" si="5"/>
        <v>0</v>
      </c>
      <c r="J21" s="272">
        <f t="shared" si="5"/>
        <v>0</v>
      </c>
      <c r="K21" s="272">
        <f t="shared" si="5"/>
        <v>0</v>
      </c>
      <c r="L21" s="272">
        <f t="shared" si="5"/>
        <v>0</v>
      </c>
      <c r="M21" s="272">
        <f t="shared" si="5"/>
        <v>0</v>
      </c>
      <c r="N21" s="272">
        <f t="shared" si="5"/>
        <v>0</v>
      </c>
      <c r="O21" s="272">
        <f t="shared" si="5"/>
        <v>0</v>
      </c>
      <c r="P21" s="272">
        <f t="shared" si="5"/>
        <v>0</v>
      </c>
      <c r="Q21" s="265"/>
    </row>
    <row r="22" spans="1:17" ht="13.5" thickBot="1">
      <c r="A22" s="243"/>
      <c r="B22" s="264"/>
      <c r="D22" s="271"/>
      <c r="E22" s="270"/>
      <c r="F22" s="264"/>
      <c r="G22" s="264"/>
      <c r="H22" s="106"/>
      <c r="I22" s="106"/>
      <c r="J22" s="106"/>
      <c r="K22" s="106"/>
      <c r="L22" s="106"/>
      <c r="M22" s="106"/>
      <c r="N22" s="106"/>
      <c r="O22" s="106"/>
      <c r="P22" s="106"/>
      <c r="Q22" s="264"/>
    </row>
    <row r="23" spans="1:17" ht="13.5" thickBot="1">
      <c r="C23" s="48" t="str">
        <f>'A4'!C23</f>
        <v>Coût des marchandises</v>
      </c>
      <c r="D23" s="907">
        <f>'A4'!D23</f>
        <v>0</v>
      </c>
      <c r="E23" s="48"/>
      <c r="F23" s="48"/>
      <c r="G23" s="48"/>
      <c r="H23" s="48"/>
      <c r="I23" s="48"/>
      <c r="J23" s="48"/>
      <c r="K23" s="48"/>
      <c r="L23" s="48"/>
      <c r="M23" s="48"/>
      <c r="N23" s="48"/>
      <c r="O23" s="48"/>
      <c r="P23" s="48"/>
      <c r="Q23" s="48"/>
    </row>
    <row r="24" spans="1:17" ht="13.5" thickBot="1">
      <c r="C24" s="48" t="str">
        <f>'A4'!C24</f>
        <v>Ventes estimées</v>
      </c>
      <c r="D24" s="266"/>
      <c r="E24" s="388">
        <f>'V5'!F26</f>
        <v>826.875</v>
      </c>
      <c r="F24" s="388">
        <f>'V5'!G26</f>
        <v>854.43750000000011</v>
      </c>
      <c r="G24" s="388">
        <f>'V5'!H26</f>
        <v>882</v>
      </c>
      <c r="H24" s="388">
        <f>'V5'!I26</f>
        <v>909.5625</v>
      </c>
      <c r="I24" s="388">
        <f>'V5'!J26</f>
        <v>937.125</v>
      </c>
      <c r="J24" s="388">
        <f>'V5'!K26</f>
        <v>964.6875</v>
      </c>
      <c r="K24" s="388">
        <f>'V5'!L26</f>
        <v>992.25000000000011</v>
      </c>
      <c r="L24" s="388">
        <f>'V5'!M26</f>
        <v>1019.8125</v>
      </c>
      <c r="M24" s="388">
        <f>'V5'!N26</f>
        <v>1047.375</v>
      </c>
      <c r="N24" s="388">
        <f>'V5'!O26</f>
        <v>1074.9375</v>
      </c>
      <c r="O24" s="388">
        <f>'V5'!P26</f>
        <v>1102.5</v>
      </c>
      <c r="P24" s="389">
        <f>'V5'!Q26</f>
        <v>1130.0625</v>
      </c>
      <c r="Q24" s="76">
        <f>SUM(E24:P24)</f>
        <v>11741.625</v>
      </c>
    </row>
    <row r="25" spans="1:17" ht="13.5" thickBot="1">
      <c r="C25" s="48" t="s">
        <v>14</v>
      </c>
      <c r="D25" s="266"/>
      <c r="E25" s="908"/>
      <c r="F25" s="908"/>
      <c r="G25" s="908"/>
      <c r="H25" s="908"/>
      <c r="I25" s="908"/>
      <c r="J25" s="908"/>
      <c r="K25" s="908"/>
      <c r="L25" s="908"/>
      <c r="M25" s="908"/>
      <c r="N25" s="908"/>
      <c r="O25" s="908"/>
      <c r="P25" s="908"/>
      <c r="Q25" s="76">
        <f>SUM(E25:P25)</f>
        <v>0</v>
      </c>
    </row>
    <row r="26" spans="1:17" ht="13.5" thickBot="1">
      <c r="C26" s="48" t="str">
        <f>'A4'!C26</f>
        <v>Achats prévus</v>
      </c>
      <c r="D26" s="266"/>
      <c r="E26" s="394">
        <f>IF(RG!$A$78=5,0,E24*$D23)</f>
        <v>0</v>
      </c>
      <c r="F26" s="394">
        <f>IF(RG!$A$78=5,0,F24*$D23)</f>
        <v>0</v>
      </c>
      <c r="G26" s="394">
        <f>IF(RG!$A$78=5,0,G24*$D23)</f>
        <v>0</v>
      </c>
      <c r="H26" s="394">
        <f>IF(RG!$A$78=5,0,H24*$D23)</f>
        <v>0</v>
      </c>
      <c r="I26" s="394">
        <f>IF(RG!$A$78=5,0,I24*$D23)</f>
        <v>0</v>
      </c>
      <c r="J26" s="394">
        <f>IF(RG!$A$78=5,0,J24*$D23)</f>
        <v>0</v>
      </c>
      <c r="K26" s="394">
        <f>IF(RG!$A$78=5,0,K24*$D23)</f>
        <v>0</v>
      </c>
      <c r="L26" s="394">
        <f>IF(RG!$A$78=5,0,L24*$D23)</f>
        <v>0</v>
      </c>
      <c r="M26" s="394">
        <f>IF(RG!$A$78=5,0,M24*$D23)</f>
        <v>0</v>
      </c>
      <c r="N26" s="394">
        <f>IF(RG!$A$78=5,0,N24*$D23)</f>
        <v>0</v>
      </c>
      <c r="O26" s="394">
        <f>IF(RG!$A$78=5,0,O24*$D23)</f>
        <v>0</v>
      </c>
      <c r="P26" s="394">
        <f>IF(RG!$A$78=5,0,P24*$D23)</f>
        <v>0</v>
      </c>
      <c r="Q26" s="76">
        <f>SUM(E26:P26)</f>
        <v>0</v>
      </c>
    </row>
    <row r="27" spans="1:17" hidden="1">
      <c r="D27" s="266"/>
      <c r="E27" s="77"/>
      <c r="F27" s="77"/>
      <c r="G27" s="77"/>
      <c r="H27" s="77"/>
      <c r="I27" s="77"/>
      <c r="J27" s="77"/>
      <c r="K27" s="77"/>
      <c r="L27" s="77"/>
      <c r="M27" s="77"/>
      <c r="N27" s="77"/>
      <c r="O27" s="77"/>
      <c r="P27" s="77"/>
      <c r="Q27" s="77"/>
    </row>
    <row r="28" spans="1:17">
      <c r="D28" s="266"/>
      <c r="E28" s="77"/>
      <c r="F28" s="77"/>
      <c r="G28" s="77"/>
      <c r="H28" s="77"/>
      <c r="I28" s="77"/>
      <c r="J28" s="77"/>
      <c r="K28" s="77"/>
      <c r="L28" s="77"/>
      <c r="M28" s="77"/>
      <c r="N28" s="77"/>
      <c r="O28" s="77"/>
      <c r="P28" s="77"/>
      <c r="Q28" s="77"/>
    </row>
    <row r="29" spans="1:17" ht="17.25" customHeight="1">
      <c r="C29" s="909" t="str">
        <f>'A4'!C29</f>
        <v>Produit/service 2</v>
      </c>
      <c r="D29" s="910"/>
      <c r="E29" s="1181" t="str">
        <f>C29</f>
        <v>Produit/service 2</v>
      </c>
      <c r="F29" s="1182"/>
      <c r="G29" s="1182"/>
      <c r="H29" s="1182"/>
      <c r="I29" s="1182"/>
      <c r="J29" s="1182"/>
      <c r="K29" s="1182"/>
      <c r="L29" s="1182"/>
      <c r="M29" s="1182"/>
      <c r="N29" s="1182"/>
      <c r="O29" s="1182"/>
      <c r="P29" s="1182"/>
      <c r="Q29" s="1182"/>
    </row>
    <row r="30" spans="1:17" hidden="1">
      <c r="B30" s="265" t="s">
        <v>328</v>
      </c>
      <c r="D30" s="106"/>
      <c r="E30" s="106">
        <f t="shared" ref="E30:P30" si="6">IF($A33=1,E39,0)</f>
        <v>0</v>
      </c>
      <c r="F30" s="106">
        <f t="shared" si="6"/>
        <v>0</v>
      </c>
      <c r="G30" s="106">
        <f t="shared" si="6"/>
        <v>0</v>
      </c>
      <c r="H30" s="106">
        <f t="shared" si="6"/>
        <v>0</v>
      </c>
      <c r="I30" s="106">
        <f t="shared" si="6"/>
        <v>0</v>
      </c>
      <c r="J30" s="106">
        <f t="shared" si="6"/>
        <v>0</v>
      </c>
      <c r="K30" s="106">
        <f t="shared" si="6"/>
        <v>0</v>
      </c>
      <c r="L30" s="106">
        <f t="shared" si="6"/>
        <v>0</v>
      </c>
      <c r="M30" s="106">
        <f t="shared" si="6"/>
        <v>0</v>
      </c>
      <c r="N30" s="106">
        <f t="shared" si="6"/>
        <v>0</v>
      </c>
      <c r="O30" s="106">
        <f t="shared" si="6"/>
        <v>0</v>
      </c>
      <c r="P30" s="106">
        <f t="shared" si="6"/>
        <v>0</v>
      </c>
      <c r="Q30" s="48"/>
    </row>
    <row r="31" spans="1:17" hidden="1">
      <c r="B31" s="264" t="s">
        <v>329</v>
      </c>
      <c r="D31" s="106"/>
      <c r="E31" s="270">
        <f>IF('A4'!$A33=2,'A4'!P39,0)</f>
        <v>0</v>
      </c>
      <c r="F31" s="106">
        <f>IF($A33=2,E39,0)</f>
        <v>0</v>
      </c>
      <c r="G31" s="106">
        <f>IF($A33=2,F39,0)</f>
        <v>0</v>
      </c>
      <c r="H31" s="106">
        <f>IF($A33=2,G39,0)</f>
        <v>0</v>
      </c>
      <c r="I31" s="106">
        <f t="shared" ref="I31:P31" si="7">IF($A33=2,H39,0)</f>
        <v>0</v>
      </c>
      <c r="J31" s="106">
        <f t="shared" si="7"/>
        <v>0</v>
      </c>
      <c r="K31" s="106">
        <f t="shared" si="7"/>
        <v>0</v>
      </c>
      <c r="L31" s="106">
        <f t="shared" si="7"/>
        <v>0</v>
      </c>
      <c r="M31" s="106">
        <f t="shared" si="7"/>
        <v>0</v>
      </c>
      <c r="N31" s="106">
        <f t="shared" si="7"/>
        <v>0</v>
      </c>
      <c r="O31" s="106">
        <f t="shared" si="7"/>
        <v>0</v>
      </c>
      <c r="P31" s="106">
        <f t="shared" si="7"/>
        <v>0</v>
      </c>
      <c r="Q31" s="48"/>
    </row>
    <row r="32" spans="1:17" hidden="1">
      <c r="B32" s="264" t="s">
        <v>448</v>
      </c>
      <c r="D32" s="106"/>
      <c r="E32" s="270">
        <f>IF('A4'!$A33=3,'A4'!O39,0)</f>
        <v>0</v>
      </c>
      <c r="F32" s="264">
        <f>IF('A4'!$A33=3,'A4'!P39,0)</f>
        <v>0</v>
      </c>
      <c r="G32" s="106">
        <f t="shared" ref="G32:P32" si="8">IF($A33=3,E39,0)</f>
        <v>0</v>
      </c>
      <c r="H32" s="106">
        <f t="shared" si="8"/>
        <v>0</v>
      </c>
      <c r="I32" s="106">
        <f t="shared" si="8"/>
        <v>0</v>
      </c>
      <c r="J32" s="106">
        <f t="shared" si="8"/>
        <v>0</v>
      </c>
      <c r="K32" s="106">
        <f t="shared" si="8"/>
        <v>0</v>
      </c>
      <c r="L32" s="106">
        <f t="shared" si="8"/>
        <v>0</v>
      </c>
      <c r="M32" s="106">
        <f t="shared" si="8"/>
        <v>0</v>
      </c>
      <c r="N32" s="106">
        <f t="shared" si="8"/>
        <v>0</v>
      </c>
      <c r="O32" s="106">
        <f t="shared" si="8"/>
        <v>0</v>
      </c>
      <c r="P32" s="106">
        <f t="shared" si="8"/>
        <v>0</v>
      </c>
      <c r="Q32" s="48"/>
    </row>
    <row r="33" spans="1:17" hidden="1">
      <c r="A33" s="243">
        <v>1</v>
      </c>
      <c r="B33" s="264" t="s">
        <v>330</v>
      </c>
      <c r="D33" s="48"/>
      <c r="E33" s="270">
        <f>IF('A4'!$A33=4,'A4'!N39,0)</f>
        <v>0</v>
      </c>
      <c r="F33" s="264">
        <f>IF('A4'!$A33=4,'A4'!O39,0)</f>
        <v>0</v>
      </c>
      <c r="G33" s="264">
        <f>IF('A4'!$A33=4,'A4'!P39,0)</f>
        <v>0</v>
      </c>
      <c r="H33" s="106">
        <f t="shared" ref="H33:P33" si="9">IF($A33=4,E39,0)</f>
        <v>0</v>
      </c>
      <c r="I33" s="106">
        <f t="shared" si="9"/>
        <v>0</v>
      </c>
      <c r="J33" s="106">
        <f t="shared" si="9"/>
        <v>0</v>
      </c>
      <c r="K33" s="106">
        <f t="shared" si="9"/>
        <v>0</v>
      </c>
      <c r="L33" s="106">
        <f t="shared" si="9"/>
        <v>0</v>
      </c>
      <c r="M33" s="106">
        <f t="shared" si="9"/>
        <v>0</v>
      </c>
      <c r="N33" s="106">
        <f t="shared" si="9"/>
        <v>0</v>
      </c>
      <c r="O33" s="106">
        <f t="shared" si="9"/>
        <v>0</v>
      </c>
      <c r="P33" s="106">
        <f t="shared" si="9"/>
        <v>0</v>
      </c>
      <c r="Q33" s="48"/>
    </row>
    <row r="34" spans="1:17" hidden="1">
      <c r="A34" s="243"/>
      <c r="B34" s="264"/>
      <c r="D34" s="271"/>
      <c r="E34" s="272">
        <f t="shared" ref="E34:P34" si="10">SUM(E30:E33)</f>
        <v>0</v>
      </c>
      <c r="F34" s="272">
        <f t="shared" si="10"/>
        <v>0</v>
      </c>
      <c r="G34" s="272">
        <f t="shared" si="10"/>
        <v>0</v>
      </c>
      <c r="H34" s="272">
        <f t="shared" si="10"/>
        <v>0</v>
      </c>
      <c r="I34" s="272">
        <f t="shared" si="10"/>
        <v>0</v>
      </c>
      <c r="J34" s="272">
        <f t="shared" si="10"/>
        <v>0</v>
      </c>
      <c r="K34" s="272">
        <f t="shared" si="10"/>
        <v>0</v>
      </c>
      <c r="L34" s="272">
        <f t="shared" si="10"/>
        <v>0</v>
      </c>
      <c r="M34" s="272">
        <f t="shared" si="10"/>
        <v>0</v>
      </c>
      <c r="N34" s="272">
        <f t="shared" si="10"/>
        <v>0</v>
      </c>
      <c r="O34" s="272">
        <f t="shared" si="10"/>
        <v>0</v>
      </c>
      <c r="P34" s="272">
        <f t="shared" si="10"/>
        <v>0</v>
      </c>
      <c r="Q34" s="77"/>
    </row>
    <row r="35" spans="1:17" ht="13.5" thickBot="1">
      <c r="A35" s="243"/>
      <c r="B35" s="264"/>
      <c r="D35" s="271"/>
      <c r="E35" s="270"/>
      <c r="F35" s="264"/>
      <c r="G35" s="264"/>
      <c r="H35" s="106"/>
      <c r="I35" s="106"/>
      <c r="J35" s="106"/>
      <c r="K35" s="106"/>
      <c r="L35" s="106"/>
      <c r="M35" s="106"/>
      <c r="N35" s="106"/>
      <c r="O35" s="106"/>
      <c r="P35" s="106"/>
      <c r="Q35" s="264"/>
    </row>
    <row r="36" spans="1:17" ht="13.5" thickBot="1">
      <c r="C36" s="48" t="str">
        <f>'A4'!C36</f>
        <v>Coût des marchandises</v>
      </c>
      <c r="D36" s="907">
        <f>'A4'!D36</f>
        <v>0</v>
      </c>
      <c r="E36" s="48"/>
      <c r="F36" s="48"/>
      <c r="G36" s="48"/>
      <c r="H36" s="48"/>
      <c r="I36" s="48"/>
      <c r="J36" s="48"/>
      <c r="K36" s="48"/>
      <c r="L36" s="48"/>
      <c r="M36" s="48"/>
      <c r="N36" s="48"/>
      <c r="O36" s="48"/>
      <c r="P36" s="48"/>
      <c r="Q36" s="48"/>
    </row>
    <row r="37" spans="1:17" ht="13.5" thickBot="1">
      <c r="C37" s="48" t="str">
        <f>'A4'!C37</f>
        <v>Ventes estimées</v>
      </c>
      <c r="D37" s="266"/>
      <c r="E37" s="388">
        <f>'V5'!F40</f>
        <v>1102.5</v>
      </c>
      <c r="F37" s="388">
        <f>'V5'!G40</f>
        <v>1157.625</v>
      </c>
      <c r="G37" s="388">
        <f>'V5'!H40</f>
        <v>1212.75</v>
      </c>
      <c r="H37" s="388">
        <f>'V5'!I40</f>
        <v>1267.875</v>
      </c>
      <c r="I37" s="388">
        <f>'V5'!J40</f>
        <v>1323</v>
      </c>
      <c r="J37" s="388">
        <f>'V5'!K40</f>
        <v>1378.125</v>
      </c>
      <c r="K37" s="388">
        <f>'V5'!L40</f>
        <v>1433.2500000000002</v>
      </c>
      <c r="L37" s="388">
        <f>'V5'!M40</f>
        <v>1488.375</v>
      </c>
      <c r="M37" s="388">
        <f>'V5'!N40</f>
        <v>1543.5</v>
      </c>
      <c r="N37" s="388">
        <f>'V5'!O40</f>
        <v>1598.625</v>
      </c>
      <c r="O37" s="388">
        <f>'V5'!P40</f>
        <v>1653.75</v>
      </c>
      <c r="P37" s="389">
        <f>'V5'!Q40</f>
        <v>1708.8750000000002</v>
      </c>
      <c r="Q37" s="76">
        <f>SUM(E37:P37)</f>
        <v>16868.25</v>
      </c>
    </row>
    <row r="38" spans="1:17" ht="13.5" thickBot="1">
      <c r="C38" s="48" t="s">
        <v>14</v>
      </c>
      <c r="D38" s="266"/>
      <c r="E38" s="908"/>
      <c r="F38" s="908"/>
      <c r="G38" s="908"/>
      <c r="H38" s="908"/>
      <c r="I38" s="908"/>
      <c r="J38" s="908"/>
      <c r="K38" s="908"/>
      <c r="L38" s="908"/>
      <c r="M38" s="908"/>
      <c r="N38" s="908"/>
      <c r="O38" s="908"/>
      <c r="P38" s="908"/>
      <c r="Q38" s="76">
        <f>SUM(E38:P38)</f>
        <v>0</v>
      </c>
    </row>
    <row r="39" spans="1:17" ht="13.5" thickBot="1">
      <c r="C39" s="48" t="str">
        <f>'A4'!C39</f>
        <v>Achats prévus</v>
      </c>
      <c r="D39" s="266"/>
      <c r="E39" s="394">
        <f>IF(RG!$A$78=5,0,E37*$D36)</f>
        <v>0</v>
      </c>
      <c r="F39" s="394">
        <f>IF(RG!$A$78=5,0,F37*$D36)</f>
        <v>0</v>
      </c>
      <c r="G39" s="394">
        <f>IF(RG!$A$78=5,0,G37*$D36)</f>
        <v>0</v>
      </c>
      <c r="H39" s="394">
        <f>IF(RG!$A$78=5,0,H37*$D36)</f>
        <v>0</v>
      </c>
      <c r="I39" s="394">
        <f>IF(RG!$A$78=5,0,I37*$D36)</f>
        <v>0</v>
      </c>
      <c r="J39" s="394">
        <f>IF(RG!$A$78=5,0,J37*$D36)</f>
        <v>0</v>
      </c>
      <c r="K39" s="394">
        <f>IF(RG!$A$78=5,0,K37*$D36)</f>
        <v>0</v>
      </c>
      <c r="L39" s="394">
        <f>IF(RG!$A$78=5,0,L37*$D36)</f>
        <v>0</v>
      </c>
      <c r="M39" s="394">
        <f>IF(RG!$A$78=5,0,M37*$D36)</f>
        <v>0</v>
      </c>
      <c r="N39" s="394">
        <f>IF(RG!$A$78=5,0,N37*$D36)</f>
        <v>0</v>
      </c>
      <c r="O39" s="394">
        <f>IF(RG!$A$78=5,0,O37*$D36)</f>
        <v>0</v>
      </c>
      <c r="P39" s="394">
        <f>IF(RG!$A$78=5,0,P37*$D36)</f>
        <v>0</v>
      </c>
      <c r="Q39" s="76">
        <f>SUM(E39:P39)</f>
        <v>0</v>
      </c>
    </row>
    <row r="40" spans="1:17" hidden="1">
      <c r="D40" s="266"/>
      <c r="E40" s="77"/>
      <c r="F40" s="77"/>
      <c r="G40" s="77"/>
      <c r="H40" s="77"/>
      <c r="I40" s="77"/>
      <c r="J40" s="77"/>
      <c r="K40" s="77"/>
      <c r="L40" s="77"/>
      <c r="M40" s="77"/>
      <c r="N40" s="77"/>
      <c r="O40" s="77"/>
      <c r="P40" s="77"/>
      <c r="Q40" s="77"/>
    </row>
    <row r="41" spans="1:17">
      <c r="D41" s="266"/>
      <c r="E41" s="77"/>
      <c r="F41" s="77"/>
      <c r="G41" s="77"/>
      <c r="H41" s="77"/>
      <c r="I41" s="77"/>
      <c r="J41" s="77"/>
      <c r="K41" s="77"/>
      <c r="L41" s="77"/>
      <c r="M41" s="77"/>
      <c r="N41" s="77"/>
      <c r="O41" s="77"/>
      <c r="P41" s="77"/>
      <c r="Q41" s="77"/>
    </row>
    <row r="42" spans="1:17" ht="17.25" customHeight="1">
      <c r="C42" s="909" t="str">
        <f>'A4'!C42</f>
        <v>Produit/service 3</v>
      </c>
      <c r="D42" s="910"/>
      <c r="E42" s="1181" t="str">
        <f>C42</f>
        <v>Produit/service 3</v>
      </c>
      <c r="F42" s="1182"/>
      <c r="G42" s="1182"/>
      <c r="H42" s="1182"/>
      <c r="I42" s="1182"/>
      <c r="J42" s="1182"/>
      <c r="K42" s="1182"/>
      <c r="L42" s="1182"/>
      <c r="M42" s="1182"/>
      <c r="N42" s="1182"/>
      <c r="O42" s="1182"/>
      <c r="P42" s="1182"/>
      <c r="Q42" s="1182"/>
    </row>
    <row r="43" spans="1:17" hidden="1">
      <c r="B43" s="265" t="s">
        <v>328</v>
      </c>
      <c r="D43" s="106"/>
      <c r="E43" s="106">
        <f t="shared" ref="E43:P43" si="11">IF($A46=1,E52,0)</f>
        <v>0</v>
      </c>
      <c r="F43" s="106">
        <f t="shared" si="11"/>
        <v>0</v>
      </c>
      <c r="G43" s="106">
        <f t="shared" si="11"/>
        <v>0</v>
      </c>
      <c r="H43" s="106">
        <f t="shared" si="11"/>
        <v>0</v>
      </c>
      <c r="I43" s="106">
        <f t="shared" si="11"/>
        <v>0</v>
      </c>
      <c r="J43" s="106">
        <f t="shared" si="11"/>
        <v>0</v>
      </c>
      <c r="K43" s="106">
        <f t="shared" si="11"/>
        <v>0</v>
      </c>
      <c r="L43" s="106">
        <f t="shared" si="11"/>
        <v>0</v>
      </c>
      <c r="M43" s="106">
        <f t="shared" si="11"/>
        <v>0</v>
      </c>
      <c r="N43" s="106">
        <f t="shared" si="11"/>
        <v>0</v>
      </c>
      <c r="O43" s="106">
        <f t="shared" si="11"/>
        <v>0</v>
      </c>
      <c r="P43" s="106">
        <f t="shared" si="11"/>
        <v>0</v>
      </c>
      <c r="Q43" s="48"/>
    </row>
    <row r="44" spans="1:17" hidden="1">
      <c r="B44" s="264" t="s">
        <v>329</v>
      </c>
      <c r="D44" s="106"/>
      <c r="E44" s="270">
        <f>IF('A4'!$A46=2,'A4'!P52,0)</f>
        <v>0</v>
      </c>
      <c r="F44" s="106">
        <f>IF($A46=2,E52,0)</f>
        <v>0</v>
      </c>
      <c r="G44" s="106">
        <f>IF($A46=2,F52,0)</f>
        <v>0</v>
      </c>
      <c r="H44" s="106">
        <f>IF($A46=2,G52,0)</f>
        <v>0</v>
      </c>
      <c r="I44" s="106">
        <f t="shared" ref="I44:P44" si="12">IF($A46=2,H52,0)</f>
        <v>0</v>
      </c>
      <c r="J44" s="106">
        <f t="shared" si="12"/>
        <v>0</v>
      </c>
      <c r="K44" s="106">
        <f t="shared" si="12"/>
        <v>0</v>
      </c>
      <c r="L44" s="106">
        <f t="shared" si="12"/>
        <v>0</v>
      </c>
      <c r="M44" s="106">
        <f t="shared" si="12"/>
        <v>0</v>
      </c>
      <c r="N44" s="106">
        <f t="shared" si="12"/>
        <v>0</v>
      </c>
      <c r="O44" s="106">
        <f t="shared" si="12"/>
        <v>0</v>
      </c>
      <c r="P44" s="106">
        <f t="shared" si="12"/>
        <v>0</v>
      </c>
      <c r="Q44" s="48"/>
    </row>
    <row r="45" spans="1:17" hidden="1">
      <c r="B45" s="264" t="s">
        <v>448</v>
      </c>
      <c r="D45" s="106"/>
      <c r="E45" s="270">
        <f>IF('A4'!$A46=3,'A4'!O52,0)</f>
        <v>0</v>
      </c>
      <c r="F45" s="264">
        <f>IF('A4'!$A46=3,'A4'!P52,0)</f>
        <v>0</v>
      </c>
      <c r="G45" s="106">
        <f t="shared" ref="G45:P45" si="13">IF($A46=3,E52,0)</f>
        <v>0</v>
      </c>
      <c r="H45" s="106">
        <f t="shared" si="13"/>
        <v>0</v>
      </c>
      <c r="I45" s="106">
        <f t="shared" si="13"/>
        <v>0</v>
      </c>
      <c r="J45" s="106">
        <f t="shared" si="13"/>
        <v>0</v>
      </c>
      <c r="K45" s="106">
        <f t="shared" si="13"/>
        <v>0</v>
      </c>
      <c r="L45" s="106">
        <f t="shared" si="13"/>
        <v>0</v>
      </c>
      <c r="M45" s="106">
        <f t="shared" si="13"/>
        <v>0</v>
      </c>
      <c r="N45" s="106">
        <f t="shared" si="13"/>
        <v>0</v>
      </c>
      <c r="O45" s="106">
        <f t="shared" si="13"/>
        <v>0</v>
      </c>
      <c r="P45" s="106">
        <f t="shared" si="13"/>
        <v>0</v>
      </c>
      <c r="Q45" s="48"/>
    </row>
    <row r="46" spans="1:17" hidden="1">
      <c r="A46" s="243">
        <v>1</v>
      </c>
      <c r="B46" s="264" t="s">
        <v>330</v>
      </c>
      <c r="D46" s="48"/>
      <c r="E46" s="270">
        <f>IF('A4'!$A46=4,'A4'!N52,0)</f>
        <v>0</v>
      </c>
      <c r="F46" s="264">
        <f>IF('A4'!$A46=4,'A4'!O52,0)</f>
        <v>0</v>
      </c>
      <c r="G46" s="264">
        <f>IF('A4'!$A46=4,'A4'!P52,0)</f>
        <v>0</v>
      </c>
      <c r="H46" s="106">
        <f t="shared" ref="H46:P46" si="14">IF($A46=4,E52,0)</f>
        <v>0</v>
      </c>
      <c r="I46" s="106">
        <f t="shared" si="14"/>
        <v>0</v>
      </c>
      <c r="J46" s="106">
        <f t="shared" si="14"/>
        <v>0</v>
      </c>
      <c r="K46" s="106">
        <f t="shared" si="14"/>
        <v>0</v>
      </c>
      <c r="L46" s="106">
        <f t="shared" si="14"/>
        <v>0</v>
      </c>
      <c r="M46" s="106">
        <f t="shared" si="14"/>
        <v>0</v>
      </c>
      <c r="N46" s="106">
        <f t="shared" si="14"/>
        <v>0</v>
      </c>
      <c r="O46" s="106">
        <f t="shared" si="14"/>
        <v>0</v>
      </c>
      <c r="P46" s="106">
        <f t="shared" si="14"/>
        <v>0</v>
      </c>
      <c r="Q46" s="48"/>
    </row>
    <row r="47" spans="1:17" hidden="1">
      <c r="A47" s="243"/>
      <c r="B47" s="264"/>
      <c r="D47" s="271"/>
      <c r="E47" s="272">
        <f t="shared" ref="E47:P47" si="15">SUM(E43:E46)</f>
        <v>0</v>
      </c>
      <c r="F47" s="272">
        <f t="shared" si="15"/>
        <v>0</v>
      </c>
      <c r="G47" s="272">
        <f t="shared" si="15"/>
        <v>0</v>
      </c>
      <c r="H47" s="272">
        <f t="shared" si="15"/>
        <v>0</v>
      </c>
      <c r="I47" s="272">
        <f t="shared" si="15"/>
        <v>0</v>
      </c>
      <c r="J47" s="272">
        <f t="shared" si="15"/>
        <v>0</v>
      </c>
      <c r="K47" s="272">
        <f t="shared" si="15"/>
        <v>0</v>
      </c>
      <c r="L47" s="272">
        <f t="shared" si="15"/>
        <v>0</v>
      </c>
      <c r="M47" s="272">
        <f t="shared" si="15"/>
        <v>0</v>
      </c>
      <c r="N47" s="272">
        <f t="shared" si="15"/>
        <v>0</v>
      </c>
      <c r="O47" s="272">
        <f t="shared" si="15"/>
        <v>0</v>
      </c>
      <c r="P47" s="272">
        <f t="shared" si="15"/>
        <v>0</v>
      </c>
      <c r="Q47" s="77"/>
    </row>
    <row r="48" spans="1:17" ht="13.5" thickBot="1">
      <c r="A48" s="243"/>
      <c r="B48" s="264"/>
      <c r="D48" s="271"/>
      <c r="E48" s="270"/>
      <c r="F48" s="264"/>
      <c r="G48" s="264"/>
      <c r="H48" s="106"/>
      <c r="I48" s="106"/>
      <c r="J48" s="106"/>
      <c r="K48" s="106"/>
      <c r="L48" s="106"/>
      <c r="M48" s="106"/>
      <c r="N48" s="106"/>
      <c r="O48" s="106"/>
      <c r="P48" s="106"/>
      <c r="Q48" s="264"/>
    </row>
    <row r="49" spans="1:17" ht="13.5" thickBot="1">
      <c r="C49" s="48" t="str">
        <f>'A4'!C49</f>
        <v>Coût des marchandises</v>
      </c>
      <c r="D49" s="907">
        <f>'A4'!D49</f>
        <v>0</v>
      </c>
      <c r="E49" s="48"/>
      <c r="F49" s="48"/>
      <c r="G49" s="48"/>
      <c r="H49" s="48"/>
      <c r="I49" s="48"/>
      <c r="J49" s="48"/>
      <c r="K49" s="48"/>
      <c r="L49" s="48"/>
      <c r="M49" s="48"/>
      <c r="N49" s="48"/>
      <c r="O49" s="48"/>
      <c r="P49" s="48"/>
      <c r="Q49" s="48"/>
    </row>
    <row r="50" spans="1:17" ht="13.5" thickBot="1">
      <c r="C50" s="48" t="str">
        <f>'A4'!C50</f>
        <v>Ventes estimées</v>
      </c>
      <c r="D50" s="106"/>
      <c r="E50" s="388">
        <f>'V5'!F54</f>
        <v>1653.75</v>
      </c>
      <c r="F50" s="388">
        <f>'V5'!G54</f>
        <v>1736.4375</v>
      </c>
      <c r="G50" s="388">
        <f>'V5'!H54</f>
        <v>1819.125</v>
      </c>
      <c r="H50" s="388">
        <f>'V5'!I54</f>
        <v>1901.8125000000002</v>
      </c>
      <c r="I50" s="388">
        <f>'V5'!J54</f>
        <v>1984.5000000000002</v>
      </c>
      <c r="J50" s="388">
        <f>'V5'!K54</f>
        <v>2067.1875</v>
      </c>
      <c r="K50" s="388">
        <f>'V5'!L54</f>
        <v>2149.8750000000005</v>
      </c>
      <c r="L50" s="388">
        <f>'V5'!M54</f>
        <v>2232.5625</v>
      </c>
      <c r="M50" s="388">
        <f>'V5'!N54</f>
        <v>2315.25</v>
      </c>
      <c r="N50" s="388">
        <f>'V5'!O54</f>
        <v>2397.9375</v>
      </c>
      <c r="O50" s="388">
        <f>'V5'!P54</f>
        <v>2480.625</v>
      </c>
      <c r="P50" s="388">
        <f>'V5'!Q54</f>
        <v>2563.3125000000005</v>
      </c>
      <c r="Q50" s="76">
        <f>SUM(E50:P50)</f>
        <v>25302.375</v>
      </c>
    </row>
    <row r="51" spans="1:17" ht="13.5" thickBot="1">
      <c r="C51" s="48" t="s">
        <v>14</v>
      </c>
      <c r="D51" s="266"/>
      <c r="E51" s="908"/>
      <c r="F51" s="908"/>
      <c r="G51" s="908"/>
      <c r="H51" s="908"/>
      <c r="I51" s="908"/>
      <c r="J51" s="908"/>
      <c r="K51" s="908"/>
      <c r="L51" s="908"/>
      <c r="M51" s="908"/>
      <c r="N51" s="908"/>
      <c r="O51" s="908"/>
      <c r="P51" s="908"/>
      <c r="Q51" s="76">
        <f>SUM(E51:P51)</f>
        <v>0</v>
      </c>
    </row>
    <row r="52" spans="1:17" ht="13.5" thickBot="1">
      <c r="C52" s="48" t="str">
        <f>'A4'!C52</f>
        <v>Achats prévus</v>
      </c>
      <c r="D52" s="106"/>
      <c r="E52" s="394">
        <f>IF(RG!$A$78=5,0,E50*$D49)</f>
        <v>0</v>
      </c>
      <c r="F52" s="394">
        <f>IF(RG!$A$78=5,0,F50*$D49)</f>
        <v>0</v>
      </c>
      <c r="G52" s="394">
        <f>IF(RG!$A$78=5,0,G50*$D49)</f>
        <v>0</v>
      </c>
      <c r="H52" s="394">
        <f>IF(RG!$A$78=5,0,H50*$D49)</f>
        <v>0</v>
      </c>
      <c r="I52" s="394">
        <f>IF(RG!$A$78=5,0,I50*$D49)</f>
        <v>0</v>
      </c>
      <c r="J52" s="394">
        <f>IF(RG!$A$78=5,0,J50*$D49)</f>
        <v>0</v>
      </c>
      <c r="K52" s="394">
        <f>IF(RG!$A$78=5,0,K50*$D49)</f>
        <v>0</v>
      </c>
      <c r="L52" s="394">
        <f>IF(RG!$A$78=5,0,L50*$D49)</f>
        <v>0</v>
      </c>
      <c r="M52" s="394">
        <f>IF(RG!$A$78=5,0,M50*$D49)</f>
        <v>0</v>
      </c>
      <c r="N52" s="394">
        <f>IF(RG!$A$78=5,0,N50*$D49)</f>
        <v>0</v>
      </c>
      <c r="O52" s="394">
        <f>IF(RG!$A$78=5,0,O50*$D49)</f>
        <v>0</v>
      </c>
      <c r="P52" s="394">
        <f>IF(RG!$A$78=5,0,P50*$D49)</f>
        <v>0</v>
      </c>
      <c r="Q52" s="76">
        <f>SUM(E52:P52)</f>
        <v>0</v>
      </c>
    </row>
    <row r="53" spans="1:17" hidden="1">
      <c r="D53" s="106"/>
      <c r="E53" s="77"/>
      <c r="F53" s="77"/>
      <c r="G53" s="77"/>
      <c r="H53" s="77"/>
      <c r="I53" s="77"/>
      <c r="J53" s="77"/>
      <c r="K53" s="77"/>
      <c r="L53" s="77"/>
      <c r="M53" s="77"/>
      <c r="N53" s="77"/>
      <c r="O53" s="77"/>
      <c r="P53" s="77"/>
      <c r="Q53" s="77"/>
    </row>
    <row r="54" spans="1:17">
      <c r="D54" s="106"/>
      <c r="E54" s="77"/>
      <c r="F54" s="77"/>
      <c r="G54" s="77"/>
      <c r="H54" s="77"/>
      <c r="I54" s="77"/>
      <c r="J54" s="77"/>
      <c r="K54" s="77"/>
      <c r="L54" s="77"/>
      <c r="M54" s="77"/>
      <c r="N54" s="77"/>
      <c r="O54" s="77"/>
      <c r="P54" s="77"/>
      <c r="Q54" s="77"/>
    </row>
    <row r="55" spans="1:17" ht="17.25" customHeight="1">
      <c r="C55" s="909" t="str">
        <f>'A4'!C55</f>
        <v>Produit/service 4</v>
      </c>
      <c r="D55" s="910"/>
      <c r="E55" s="1181" t="str">
        <f>C55</f>
        <v>Produit/service 4</v>
      </c>
      <c r="F55" s="1182"/>
      <c r="G55" s="1182"/>
      <c r="H55" s="1182"/>
      <c r="I55" s="1182"/>
      <c r="J55" s="1182"/>
      <c r="K55" s="1182"/>
      <c r="L55" s="1182"/>
      <c r="M55" s="1182"/>
      <c r="N55" s="1182"/>
      <c r="O55" s="1182"/>
      <c r="P55" s="1182"/>
      <c r="Q55" s="1182"/>
    </row>
    <row r="56" spans="1:17" hidden="1">
      <c r="B56" s="265" t="s">
        <v>328</v>
      </c>
      <c r="D56" s="106"/>
      <c r="E56" s="106">
        <f t="shared" ref="E56:P56" si="16">IF($A59=1,E65,0)</f>
        <v>0</v>
      </c>
      <c r="F56" s="106">
        <f t="shared" si="16"/>
        <v>0</v>
      </c>
      <c r="G56" s="106">
        <f t="shared" si="16"/>
        <v>0</v>
      </c>
      <c r="H56" s="106">
        <f t="shared" si="16"/>
        <v>0</v>
      </c>
      <c r="I56" s="106">
        <f t="shared" si="16"/>
        <v>0</v>
      </c>
      <c r="J56" s="106">
        <f t="shared" si="16"/>
        <v>0</v>
      </c>
      <c r="K56" s="106">
        <f t="shared" si="16"/>
        <v>0</v>
      </c>
      <c r="L56" s="106">
        <f t="shared" si="16"/>
        <v>0</v>
      </c>
      <c r="M56" s="106">
        <f t="shared" si="16"/>
        <v>0</v>
      </c>
      <c r="N56" s="106">
        <f t="shared" si="16"/>
        <v>0</v>
      </c>
      <c r="O56" s="106">
        <f t="shared" si="16"/>
        <v>0</v>
      </c>
      <c r="P56" s="106">
        <f t="shared" si="16"/>
        <v>0</v>
      </c>
      <c r="Q56" s="48"/>
    </row>
    <row r="57" spans="1:17" hidden="1">
      <c r="B57" s="264" t="s">
        <v>329</v>
      </c>
      <c r="D57" s="106"/>
      <c r="E57" s="270">
        <f>IF('A4'!$A59=2,'A4'!P65,0)</f>
        <v>0</v>
      </c>
      <c r="F57" s="106">
        <f>IF($A59=2,E65,0)</f>
        <v>0</v>
      </c>
      <c r="G57" s="106">
        <f>IF($A59=2,F65,0)</f>
        <v>0</v>
      </c>
      <c r="H57" s="106">
        <f>IF($A59=2,G65,0)</f>
        <v>0</v>
      </c>
      <c r="I57" s="106">
        <f t="shared" ref="I57:P57" si="17">IF($A59=2,H65,0)</f>
        <v>0</v>
      </c>
      <c r="J57" s="106">
        <f t="shared" si="17"/>
        <v>0</v>
      </c>
      <c r="K57" s="106">
        <f t="shared" si="17"/>
        <v>0</v>
      </c>
      <c r="L57" s="106">
        <f t="shared" si="17"/>
        <v>0</v>
      </c>
      <c r="M57" s="106">
        <f t="shared" si="17"/>
        <v>0</v>
      </c>
      <c r="N57" s="106">
        <f t="shared" si="17"/>
        <v>0</v>
      </c>
      <c r="O57" s="106">
        <f t="shared" si="17"/>
        <v>0</v>
      </c>
      <c r="P57" s="106">
        <f t="shared" si="17"/>
        <v>0</v>
      </c>
      <c r="Q57" s="48"/>
    </row>
    <row r="58" spans="1:17" hidden="1">
      <c r="B58" s="264" t="s">
        <v>448</v>
      </c>
      <c r="D58" s="106"/>
      <c r="E58" s="270">
        <f>IF('A4'!$A59=3,'A4'!O65,0)</f>
        <v>0</v>
      </c>
      <c r="F58" s="264">
        <f>IF('A4'!$A59=3,'A4'!P65,0)</f>
        <v>0</v>
      </c>
      <c r="G58" s="106">
        <f t="shared" ref="G58:P58" si="18">IF($A59=3,E65,0)</f>
        <v>0</v>
      </c>
      <c r="H58" s="106">
        <f t="shared" si="18"/>
        <v>0</v>
      </c>
      <c r="I58" s="106">
        <f t="shared" si="18"/>
        <v>0</v>
      </c>
      <c r="J58" s="106">
        <f t="shared" si="18"/>
        <v>0</v>
      </c>
      <c r="K58" s="106">
        <f t="shared" si="18"/>
        <v>0</v>
      </c>
      <c r="L58" s="106">
        <f t="shared" si="18"/>
        <v>0</v>
      </c>
      <c r="M58" s="106">
        <f t="shared" si="18"/>
        <v>0</v>
      </c>
      <c r="N58" s="106">
        <f t="shared" si="18"/>
        <v>0</v>
      </c>
      <c r="O58" s="106">
        <f t="shared" si="18"/>
        <v>0</v>
      </c>
      <c r="P58" s="106">
        <f t="shared" si="18"/>
        <v>0</v>
      </c>
      <c r="Q58" s="48"/>
    </row>
    <row r="59" spans="1:17" hidden="1">
      <c r="A59" s="243">
        <v>1</v>
      </c>
      <c r="B59" s="264" t="s">
        <v>330</v>
      </c>
      <c r="D59" s="48"/>
      <c r="E59" s="270">
        <f>IF('A4'!$A59=4,'A4'!N65,0)</f>
        <v>0</v>
      </c>
      <c r="F59" s="264">
        <f>IF('A4'!$A59=4,'A4'!O65,0)</f>
        <v>0</v>
      </c>
      <c r="G59" s="264">
        <f>IF('A4'!$A59=4,'A4'!P65,0)</f>
        <v>0</v>
      </c>
      <c r="H59" s="106">
        <f t="shared" ref="H59:P59" si="19">IF($A59=4,E65,0)</f>
        <v>0</v>
      </c>
      <c r="I59" s="106">
        <f t="shared" si="19"/>
        <v>0</v>
      </c>
      <c r="J59" s="106">
        <f t="shared" si="19"/>
        <v>0</v>
      </c>
      <c r="K59" s="106">
        <f t="shared" si="19"/>
        <v>0</v>
      </c>
      <c r="L59" s="106">
        <f t="shared" si="19"/>
        <v>0</v>
      </c>
      <c r="M59" s="106">
        <f t="shared" si="19"/>
        <v>0</v>
      </c>
      <c r="N59" s="106">
        <f t="shared" si="19"/>
        <v>0</v>
      </c>
      <c r="O59" s="106">
        <f t="shared" si="19"/>
        <v>0</v>
      </c>
      <c r="P59" s="106">
        <f t="shared" si="19"/>
        <v>0</v>
      </c>
      <c r="Q59" s="48"/>
    </row>
    <row r="60" spans="1:17" hidden="1">
      <c r="A60" s="243"/>
      <c r="B60" s="264"/>
      <c r="D60" s="271"/>
      <c r="E60" s="272">
        <f t="shared" ref="E60:P60" si="20">SUM(E56:E59)</f>
        <v>0</v>
      </c>
      <c r="F60" s="272">
        <f t="shared" si="20"/>
        <v>0</v>
      </c>
      <c r="G60" s="272">
        <f t="shared" si="20"/>
        <v>0</v>
      </c>
      <c r="H60" s="272">
        <f t="shared" si="20"/>
        <v>0</v>
      </c>
      <c r="I60" s="272">
        <f t="shared" si="20"/>
        <v>0</v>
      </c>
      <c r="J60" s="272">
        <f t="shared" si="20"/>
        <v>0</v>
      </c>
      <c r="K60" s="272">
        <f t="shared" si="20"/>
        <v>0</v>
      </c>
      <c r="L60" s="272">
        <f t="shared" si="20"/>
        <v>0</v>
      </c>
      <c r="M60" s="272">
        <f t="shared" si="20"/>
        <v>0</v>
      </c>
      <c r="N60" s="272">
        <f t="shared" si="20"/>
        <v>0</v>
      </c>
      <c r="O60" s="272">
        <f t="shared" si="20"/>
        <v>0</v>
      </c>
      <c r="P60" s="272">
        <f t="shared" si="20"/>
        <v>0</v>
      </c>
      <c r="Q60" s="265"/>
    </row>
    <row r="61" spans="1:17" ht="13.5" thickBot="1">
      <c r="A61" s="243"/>
      <c r="B61" s="264"/>
      <c r="D61" s="271"/>
      <c r="E61" s="270"/>
      <c r="F61" s="264"/>
      <c r="G61" s="264"/>
      <c r="H61" s="106"/>
      <c r="I61" s="106"/>
      <c r="J61" s="106"/>
      <c r="K61" s="106"/>
      <c r="L61" s="106"/>
      <c r="M61" s="106"/>
      <c r="N61" s="106"/>
      <c r="O61" s="106"/>
      <c r="P61" s="106"/>
      <c r="Q61" s="264"/>
    </row>
    <row r="62" spans="1:17" ht="13.5" thickBot="1">
      <c r="C62" s="48" t="str">
        <f>'A4'!C62</f>
        <v>Coût des marchandises</v>
      </c>
      <c r="D62" s="907">
        <f>'A4'!D62</f>
        <v>0</v>
      </c>
      <c r="E62" s="48"/>
      <c r="F62" s="48"/>
      <c r="G62" s="48"/>
      <c r="H62" s="48"/>
      <c r="I62" s="48"/>
      <c r="J62" s="48"/>
      <c r="K62" s="48"/>
      <c r="L62" s="48"/>
      <c r="M62" s="48"/>
      <c r="N62" s="48"/>
      <c r="O62" s="48"/>
      <c r="P62" s="48"/>
      <c r="Q62" s="48"/>
    </row>
    <row r="63" spans="1:17" ht="13.5" thickBot="1">
      <c r="C63" s="48" t="str">
        <f>'A4'!C63</f>
        <v>Ventes estimées</v>
      </c>
      <c r="D63" s="266"/>
      <c r="E63" s="388">
        <f>'V5'!F68</f>
        <v>0</v>
      </c>
      <c r="F63" s="388">
        <f>'V5'!G68</f>
        <v>0</v>
      </c>
      <c r="G63" s="388">
        <f>'V5'!H68</f>
        <v>0</v>
      </c>
      <c r="H63" s="388">
        <f>'V5'!I68</f>
        <v>0</v>
      </c>
      <c r="I63" s="388">
        <f>'V5'!J68</f>
        <v>0</v>
      </c>
      <c r="J63" s="388">
        <f>'V5'!K68</f>
        <v>0</v>
      </c>
      <c r="K63" s="388">
        <f>'V5'!L68</f>
        <v>0</v>
      </c>
      <c r="L63" s="388">
        <f>'V5'!M68</f>
        <v>0</v>
      </c>
      <c r="M63" s="388">
        <f>'V5'!N68</f>
        <v>0</v>
      </c>
      <c r="N63" s="388">
        <f>'V5'!O68</f>
        <v>0</v>
      </c>
      <c r="O63" s="388">
        <f>'V5'!P68</f>
        <v>0</v>
      </c>
      <c r="P63" s="388">
        <f>'V5'!Q68</f>
        <v>0</v>
      </c>
      <c r="Q63" s="76">
        <f>SUM(E63:P63)</f>
        <v>0</v>
      </c>
    </row>
    <row r="64" spans="1:17" ht="13.5" thickBot="1">
      <c r="C64" s="48" t="s">
        <v>14</v>
      </c>
      <c r="D64" s="266"/>
      <c r="E64" s="390"/>
      <c r="F64" s="390"/>
      <c r="G64" s="390"/>
      <c r="H64" s="390"/>
      <c r="I64" s="390"/>
      <c r="J64" s="390"/>
      <c r="K64" s="390"/>
      <c r="L64" s="390"/>
      <c r="M64" s="390"/>
      <c r="N64" s="390"/>
      <c r="O64" s="390"/>
      <c r="P64" s="390"/>
      <c r="Q64" s="76">
        <f>SUM(E64:P64)</f>
        <v>0</v>
      </c>
    </row>
    <row r="65" spans="1:17" ht="13.5" thickBot="1">
      <c r="C65" s="48" t="str">
        <f>'A4'!C65</f>
        <v>Achats prévus</v>
      </c>
      <c r="D65" s="266"/>
      <c r="E65" s="394">
        <f>IF(RG!$A$78=5,0,E63*$D62)</f>
        <v>0</v>
      </c>
      <c r="F65" s="394">
        <f>IF(RG!$A$78=5,0,F63*$D62)</f>
        <v>0</v>
      </c>
      <c r="G65" s="394">
        <f>IF(RG!$A$78=5,0,G63*$D62)</f>
        <v>0</v>
      </c>
      <c r="H65" s="394">
        <f>IF(RG!$A$78=5,0,H63*$D62)</f>
        <v>0</v>
      </c>
      <c r="I65" s="394">
        <f>IF(RG!$A$78=5,0,I63*$D62)</f>
        <v>0</v>
      </c>
      <c r="J65" s="394">
        <f>IF(RG!$A$78=5,0,J63*$D62)</f>
        <v>0</v>
      </c>
      <c r="K65" s="394">
        <f>IF(RG!$A$78=5,0,K63*$D62)</f>
        <v>0</v>
      </c>
      <c r="L65" s="394">
        <f>IF(RG!$A$78=5,0,L63*$D62)</f>
        <v>0</v>
      </c>
      <c r="M65" s="394">
        <f>IF(RG!$A$78=5,0,M63*$D62)</f>
        <v>0</v>
      </c>
      <c r="N65" s="394">
        <f>IF(RG!$A$78=5,0,N63*$D62)</f>
        <v>0</v>
      </c>
      <c r="O65" s="394">
        <f>IF(RG!$A$78=5,0,O63*$D62)</f>
        <v>0</v>
      </c>
      <c r="P65" s="394">
        <f>IF(RG!$A$78=5,0,P63*$D62)</f>
        <v>0</v>
      </c>
      <c r="Q65" s="76">
        <f>SUM(E65:P65)</f>
        <v>0</v>
      </c>
    </row>
    <row r="66" spans="1:17" hidden="1">
      <c r="D66" s="266"/>
      <c r="E66" s="77"/>
      <c r="F66" s="77"/>
      <c r="G66" s="77"/>
      <c r="H66" s="77"/>
      <c r="I66" s="77"/>
      <c r="J66" s="77"/>
      <c r="K66" s="77"/>
      <c r="L66" s="77"/>
      <c r="M66" s="77"/>
      <c r="N66" s="77"/>
      <c r="O66" s="77"/>
      <c r="P66" s="77"/>
      <c r="Q66" s="77"/>
    </row>
    <row r="67" spans="1:17">
      <c r="D67" s="266"/>
      <c r="E67" s="77"/>
      <c r="F67" s="77"/>
      <c r="G67" s="77"/>
      <c r="H67" s="77"/>
      <c r="I67" s="77"/>
      <c r="J67" s="77"/>
      <c r="K67" s="77"/>
      <c r="L67" s="77"/>
      <c r="M67" s="77"/>
      <c r="N67" s="77"/>
      <c r="O67" s="77"/>
      <c r="P67" s="77"/>
      <c r="Q67" s="77"/>
    </row>
    <row r="68" spans="1:17" ht="17.25" customHeight="1">
      <c r="C68" s="909" t="str">
        <f>'A4'!C68</f>
        <v>Produit/service 5</v>
      </c>
      <c r="D68" s="910"/>
      <c r="E68" s="1181" t="str">
        <f>C68</f>
        <v>Produit/service 5</v>
      </c>
      <c r="F68" s="1182"/>
      <c r="G68" s="1182"/>
      <c r="H68" s="1182"/>
      <c r="I68" s="1182"/>
      <c r="J68" s="1182"/>
      <c r="K68" s="1182"/>
      <c r="L68" s="1182"/>
      <c r="M68" s="1182"/>
      <c r="N68" s="1182"/>
      <c r="O68" s="1182"/>
      <c r="P68" s="1182"/>
      <c r="Q68" s="1182"/>
    </row>
    <row r="69" spans="1:17" hidden="1">
      <c r="B69" s="265" t="s">
        <v>328</v>
      </c>
      <c r="D69" s="106"/>
      <c r="E69" s="106">
        <f t="shared" ref="E69:P69" si="21">IF($A72=1,E78,0)</f>
        <v>0</v>
      </c>
      <c r="F69" s="106">
        <f t="shared" si="21"/>
        <v>0</v>
      </c>
      <c r="G69" s="106">
        <f t="shared" si="21"/>
        <v>0</v>
      </c>
      <c r="H69" s="106">
        <f t="shared" si="21"/>
        <v>0</v>
      </c>
      <c r="I69" s="106">
        <f t="shared" si="21"/>
        <v>0</v>
      </c>
      <c r="J69" s="106">
        <f t="shared" si="21"/>
        <v>0</v>
      </c>
      <c r="K69" s="106">
        <f t="shared" si="21"/>
        <v>0</v>
      </c>
      <c r="L69" s="106">
        <f t="shared" si="21"/>
        <v>0</v>
      </c>
      <c r="M69" s="106">
        <f t="shared" si="21"/>
        <v>0</v>
      </c>
      <c r="N69" s="106">
        <f t="shared" si="21"/>
        <v>0</v>
      </c>
      <c r="O69" s="106">
        <f t="shared" si="21"/>
        <v>0</v>
      </c>
      <c r="P69" s="106">
        <f t="shared" si="21"/>
        <v>0</v>
      </c>
      <c r="Q69" s="48"/>
    </row>
    <row r="70" spans="1:17" hidden="1">
      <c r="B70" s="264" t="s">
        <v>329</v>
      </c>
      <c r="D70" s="106"/>
      <c r="E70" s="270">
        <f>IF('A4'!$A72=2,'A4'!P78,0)</f>
        <v>0</v>
      </c>
      <c r="F70" s="106">
        <f>IF($A72=2,E78,0)</f>
        <v>0</v>
      </c>
      <c r="G70" s="106">
        <f>IF($A72=2,F78,0)</f>
        <v>0</v>
      </c>
      <c r="H70" s="106">
        <f>IF($A72=2,G78,0)</f>
        <v>0</v>
      </c>
      <c r="I70" s="106">
        <f t="shared" ref="I70:P70" si="22">IF($A72=2,H78,0)</f>
        <v>0</v>
      </c>
      <c r="J70" s="106">
        <f t="shared" si="22"/>
        <v>0</v>
      </c>
      <c r="K70" s="106">
        <f t="shared" si="22"/>
        <v>0</v>
      </c>
      <c r="L70" s="106">
        <f t="shared" si="22"/>
        <v>0</v>
      </c>
      <c r="M70" s="106">
        <f t="shared" si="22"/>
        <v>0</v>
      </c>
      <c r="N70" s="106">
        <f t="shared" si="22"/>
        <v>0</v>
      </c>
      <c r="O70" s="106">
        <f t="shared" si="22"/>
        <v>0</v>
      </c>
      <c r="P70" s="106">
        <f t="shared" si="22"/>
        <v>0</v>
      </c>
      <c r="Q70" s="48"/>
    </row>
    <row r="71" spans="1:17" hidden="1">
      <c r="B71" s="264" t="s">
        <v>448</v>
      </c>
      <c r="D71" s="106"/>
      <c r="E71" s="270">
        <f>IF('A4'!$A72=3,'A4'!O78,0)</f>
        <v>0</v>
      </c>
      <c r="F71" s="264">
        <f>IF('A4'!$A72=3,'A4'!P78,0)</f>
        <v>0</v>
      </c>
      <c r="G71" s="106">
        <f t="shared" ref="G71:P71" si="23">IF($A72=3,E78,0)</f>
        <v>0</v>
      </c>
      <c r="H71" s="106">
        <f t="shared" si="23"/>
        <v>0</v>
      </c>
      <c r="I71" s="106">
        <f t="shared" si="23"/>
        <v>0</v>
      </c>
      <c r="J71" s="106">
        <f t="shared" si="23"/>
        <v>0</v>
      </c>
      <c r="K71" s="106">
        <f t="shared" si="23"/>
        <v>0</v>
      </c>
      <c r="L71" s="106">
        <f t="shared" si="23"/>
        <v>0</v>
      </c>
      <c r="M71" s="106">
        <f t="shared" si="23"/>
        <v>0</v>
      </c>
      <c r="N71" s="106">
        <f t="shared" si="23"/>
        <v>0</v>
      </c>
      <c r="O71" s="106">
        <f t="shared" si="23"/>
        <v>0</v>
      </c>
      <c r="P71" s="106">
        <f t="shared" si="23"/>
        <v>0</v>
      </c>
      <c r="Q71" s="48"/>
    </row>
    <row r="72" spans="1:17" hidden="1">
      <c r="A72" s="243">
        <v>1</v>
      </c>
      <c r="B72" s="264" t="s">
        <v>330</v>
      </c>
      <c r="D72" s="48"/>
      <c r="E72" s="270">
        <f>IF('A4'!$A72=4,'A4'!N78,0)</f>
        <v>0</v>
      </c>
      <c r="F72" s="264">
        <f>IF('A4'!$A72=4,'A4'!O78,0)</f>
        <v>0</v>
      </c>
      <c r="G72" s="264">
        <f>IF('A4'!$A72=4,'A4'!P78,0)</f>
        <v>0</v>
      </c>
      <c r="H72" s="106">
        <f t="shared" ref="H72:P72" si="24">IF($A72=4,E78,0)</f>
        <v>0</v>
      </c>
      <c r="I72" s="106">
        <f t="shared" si="24"/>
        <v>0</v>
      </c>
      <c r="J72" s="106">
        <f t="shared" si="24"/>
        <v>0</v>
      </c>
      <c r="K72" s="106">
        <f t="shared" si="24"/>
        <v>0</v>
      </c>
      <c r="L72" s="106">
        <f t="shared" si="24"/>
        <v>0</v>
      </c>
      <c r="M72" s="106">
        <f t="shared" si="24"/>
        <v>0</v>
      </c>
      <c r="N72" s="106">
        <f t="shared" si="24"/>
        <v>0</v>
      </c>
      <c r="O72" s="106">
        <f t="shared" si="24"/>
        <v>0</v>
      </c>
      <c r="P72" s="106">
        <f t="shared" si="24"/>
        <v>0</v>
      </c>
      <c r="Q72" s="48"/>
    </row>
    <row r="73" spans="1:17" hidden="1">
      <c r="A73" s="243"/>
      <c r="B73" s="264"/>
      <c r="D73" s="271"/>
      <c r="E73" s="272">
        <f t="shared" ref="E73:P73" si="25">SUM(E69:E72)</f>
        <v>0</v>
      </c>
      <c r="F73" s="272">
        <f t="shared" si="25"/>
        <v>0</v>
      </c>
      <c r="G73" s="272">
        <f t="shared" si="25"/>
        <v>0</v>
      </c>
      <c r="H73" s="272">
        <f t="shared" si="25"/>
        <v>0</v>
      </c>
      <c r="I73" s="272">
        <f t="shared" si="25"/>
        <v>0</v>
      </c>
      <c r="J73" s="272">
        <f t="shared" si="25"/>
        <v>0</v>
      </c>
      <c r="K73" s="272">
        <f t="shared" si="25"/>
        <v>0</v>
      </c>
      <c r="L73" s="272">
        <f t="shared" si="25"/>
        <v>0</v>
      </c>
      <c r="M73" s="272">
        <f t="shared" si="25"/>
        <v>0</v>
      </c>
      <c r="N73" s="272">
        <f t="shared" si="25"/>
        <v>0</v>
      </c>
      <c r="O73" s="272">
        <f t="shared" si="25"/>
        <v>0</v>
      </c>
      <c r="P73" s="272">
        <f t="shared" si="25"/>
        <v>0</v>
      </c>
      <c r="Q73" s="77"/>
    </row>
    <row r="74" spans="1:17" ht="13.5" thickBot="1">
      <c r="A74" s="243"/>
      <c r="B74" s="264"/>
      <c r="D74" s="271"/>
      <c r="E74" s="270"/>
      <c r="F74" s="264"/>
      <c r="G74" s="264"/>
      <c r="H74" s="106"/>
      <c r="I74" s="106"/>
      <c r="J74" s="106"/>
      <c r="K74" s="106"/>
      <c r="L74" s="106"/>
      <c r="M74" s="106"/>
      <c r="N74" s="106"/>
      <c r="O74" s="106"/>
      <c r="P74" s="106"/>
      <c r="Q74" s="264"/>
    </row>
    <row r="75" spans="1:17" ht="13.5" thickBot="1">
      <c r="C75" s="48" t="str">
        <f>'A4'!C75</f>
        <v>Coût des marchandises</v>
      </c>
      <c r="D75" s="907">
        <f>'A4'!D75</f>
        <v>0</v>
      </c>
      <c r="E75" s="48"/>
      <c r="F75" s="48"/>
      <c r="G75" s="48"/>
      <c r="H75" s="48"/>
      <c r="I75" s="48"/>
      <c r="J75" s="48"/>
      <c r="K75" s="48"/>
      <c r="L75" s="48"/>
      <c r="M75" s="48"/>
      <c r="N75" s="48"/>
      <c r="O75" s="48"/>
      <c r="P75" s="48"/>
      <c r="Q75" s="48"/>
    </row>
    <row r="76" spans="1:17" ht="13.5" thickBot="1">
      <c r="C76" s="48" t="str">
        <f>'A4'!C76</f>
        <v>Ventes estimées</v>
      </c>
      <c r="D76" s="266"/>
      <c r="E76" s="388">
        <f>'V5'!F82</f>
        <v>0</v>
      </c>
      <c r="F76" s="388">
        <f>'V5'!G82</f>
        <v>0</v>
      </c>
      <c r="G76" s="388">
        <f>'V5'!H82</f>
        <v>0</v>
      </c>
      <c r="H76" s="388">
        <f>'V5'!I82</f>
        <v>0</v>
      </c>
      <c r="I76" s="388">
        <f>'V5'!J82</f>
        <v>0</v>
      </c>
      <c r="J76" s="388">
        <f>'V5'!K82</f>
        <v>0</v>
      </c>
      <c r="K76" s="388">
        <f>'V5'!L82</f>
        <v>0</v>
      </c>
      <c r="L76" s="388">
        <f>'V5'!M82</f>
        <v>0</v>
      </c>
      <c r="M76" s="388">
        <f>'V5'!N82</f>
        <v>0</v>
      </c>
      <c r="N76" s="388">
        <f>'V5'!O82</f>
        <v>0</v>
      </c>
      <c r="O76" s="388">
        <f>'V5'!P82</f>
        <v>0</v>
      </c>
      <c r="P76" s="388">
        <f>'V5'!Q82</f>
        <v>0</v>
      </c>
      <c r="Q76" s="76">
        <f>SUM(E76:P76)</f>
        <v>0</v>
      </c>
    </row>
    <row r="77" spans="1:17" ht="13.5" thickBot="1">
      <c r="C77" s="48" t="s">
        <v>14</v>
      </c>
      <c r="D77" s="266"/>
      <c r="E77" s="908"/>
      <c r="F77" s="908"/>
      <c r="G77" s="908"/>
      <c r="H77" s="908"/>
      <c r="I77" s="908"/>
      <c r="J77" s="908"/>
      <c r="K77" s="908"/>
      <c r="L77" s="908"/>
      <c r="M77" s="908"/>
      <c r="N77" s="908"/>
      <c r="O77" s="908"/>
      <c r="P77" s="908"/>
      <c r="Q77" s="76">
        <f>SUM(E77:P77)</f>
        <v>0</v>
      </c>
    </row>
    <row r="78" spans="1:17" ht="13.5" thickBot="1">
      <c r="C78" s="48" t="str">
        <f>'A4'!C78</f>
        <v>Achats prévus</v>
      </c>
      <c r="D78" s="266"/>
      <c r="E78" s="394">
        <f>IF(RG!$A$78=5,0,E76*$D75)</f>
        <v>0</v>
      </c>
      <c r="F78" s="394">
        <f>IF(RG!$A$78=5,0,F76*$D75)</f>
        <v>0</v>
      </c>
      <c r="G78" s="394">
        <f>IF(RG!$A$78=5,0,G76*$D75)</f>
        <v>0</v>
      </c>
      <c r="H78" s="394">
        <f>IF(RG!$A$78=5,0,H76*$D75)</f>
        <v>0</v>
      </c>
      <c r="I78" s="394">
        <f>IF(RG!$A$78=5,0,I76*$D75)</f>
        <v>0</v>
      </c>
      <c r="J78" s="394">
        <f>IF(RG!$A$78=5,0,J76*$D75)</f>
        <v>0</v>
      </c>
      <c r="K78" s="394">
        <f>IF(RG!$A$78=5,0,K76*$D75)</f>
        <v>0</v>
      </c>
      <c r="L78" s="394">
        <f>IF(RG!$A$78=5,0,L76*$D75)</f>
        <v>0</v>
      </c>
      <c r="M78" s="394">
        <f>IF(RG!$A$78=5,0,M76*$D75)</f>
        <v>0</v>
      </c>
      <c r="N78" s="394">
        <f>IF(RG!$A$78=5,0,N76*$D75)</f>
        <v>0</v>
      </c>
      <c r="O78" s="394">
        <f>IF(RG!$A$78=5,0,O76*$D75)</f>
        <v>0</v>
      </c>
      <c r="P78" s="394">
        <f>IF(RG!$A$78=5,0,P76*$D75)</f>
        <v>0</v>
      </c>
      <c r="Q78" s="76">
        <f>SUM(E78:P78)</f>
        <v>0</v>
      </c>
    </row>
    <row r="79" spans="1:17" hidden="1">
      <c r="D79" s="266"/>
      <c r="E79" s="77"/>
      <c r="F79" s="77"/>
      <c r="G79" s="77"/>
      <c r="H79" s="77"/>
      <c r="I79" s="77"/>
      <c r="J79" s="77"/>
      <c r="K79" s="77"/>
      <c r="L79" s="77"/>
      <c r="M79" s="77"/>
      <c r="N79" s="77"/>
      <c r="O79" s="77"/>
      <c r="P79" s="77"/>
      <c r="Q79" s="77"/>
    </row>
    <row r="80" spans="1:17">
      <c r="D80" s="266"/>
      <c r="E80" s="77"/>
      <c r="F80" s="77"/>
      <c r="G80" s="77"/>
      <c r="H80" s="77"/>
      <c r="I80" s="77"/>
      <c r="J80" s="77"/>
      <c r="K80" s="77"/>
      <c r="L80" s="77"/>
      <c r="M80" s="77"/>
      <c r="N80" s="77"/>
      <c r="O80" s="77"/>
      <c r="P80" s="77"/>
      <c r="Q80" s="77"/>
    </row>
    <row r="81" spans="1:17" ht="17.25" customHeight="1">
      <c r="C81" s="909" t="str">
        <f>'A4'!C81</f>
        <v>Produit/service 6</v>
      </c>
      <c r="D81" s="910"/>
      <c r="E81" s="1181" t="str">
        <f>C81</f>
        <v>Produit/service 6</v>
      </c>
      <c r="F81" s="1182"/>
      <c r="G81" s="1182"/>
      <c r="H81" s="1182"/>
      <c r="I81" s="1182"/>
      <c r="J81" s="1182"/>
      <c r="K81" s="1182"/>
      <c r="L81" s="1182"/>
      <c r="M81" s="1182"/>
      <c r="N81" s="1182"/>
      <c r="O81" s="1182"/>
      <c r="P81" s="1182"/>
      <c r="Q81" s="1182"/>
    </row>
    <row r="82" spans="1:17" hidden="1">
      <c r="B82" s="265" t="s">
        <v>328</v>
      </c>
      <c r="D82" s="106"/>
      <c r="E82" s="106">
        <f t="shared" ref="E82:P82" si="26">IF($A85=1,E91,0)</f>
        <v>0</v>
      </c>
      <c r="F82" s="106">
        <f t="shared" si="26"/>
        <v>0</v>
      </c>
      <c r="G82" s="106">
        <f t="shared" si="26"/>
        <v>0</v>
      </c>
      <c r="H82" s="106">
        <f t="shared" si="26"/>
        <v>0</v>
      </c>
      <c r="I82" s="106">
        <f t="shared" si="26"/>
        <v>0</v>
      </c>
      <c r="J82" s="106">
        <f t="shared" si="26"/>
        <v>0</v>
      </c>
      <c r="K82" s="106">
        <f t="shared" si="26"/>
        <v>0</v>
      </c>
      <c r="L82" s="106">
        <f t="shared" si="26"/>
        <v>0</v>
      </c>
      <c r="M82" s="106">
        <f t="shared" si="26"/>
        <v>0</v>
      </c>
      <c r="N82" s="106">
        <f t="shared" si="26"/>
        <v>0</v>
      </c>
      <c r="O82" s="106">
        <f t="shared" si="26"/>
        <v>0</v>
      </c>
      <c r="P82" s="106">
        <f t="shared" si="26"/>
        <v>0</v>
      </c>
      <c r="Q82" s="48"/>
    </row>
    <row r="83" spans="1:17" hidden="1">
      <c r="B83" s="264" t="s">
        <v>329</v>
      </c>
      <c r="D83" s="106"/>
      <c r="E83" s="270">
        <f>IF('A4'!$A85=2,'A4'!P91,0)</f>
        <v>0</v>
      </c>
      <c r="F83" s="106">
        <f>IF($A85=2,E91,0)</f>
        <v>0</v>
      </c>
      <c r="G83" s="106">
        <f>IF($A85=2,F91,0)</f>
        <v>0</v>
      </c>
      <c r="H83" s="106">
        <f>IF($A85=2,G91,0)</f>
        <v>0</v>
      </c>
      <c r="I83" s="106">
        <f t="shared" ref="I83:P83" si="27">IF($A85=2,H91,0)</f>
        <v>0</v>
      </c>
      <c r="J83" s="106">
        <f t="shared" si="27"/>
        <v>0</v>
      </c>
      <c r="K83" s="106">
        <f t="shared" si="27"/>
        <v>0</v>
      </c>
      <c r="L83" s="106">
        <f t="shared" si="27"/>
        <v>0</v>
      </c>
      <c r="M83" s="106">
        <f t="shared" si="27"/>
        <v>0</v>
      </c>
      <c r="N83" s="106">
        <f t="shared" si="27"/>
        <v>0</v>
      </c>
      <c r="O83" s="106">
        <f t="shared" si="27"/>
        <v>0</v>
      </c>
      <c r="P83" s="106">
        <f t="shared" si="27"/>
        <v>0</v>
      </c>
      <c r="Q83" s="48"/>
    </row>
    <row r="84" spans="1:17" hidden="1">
      <c r="B84" s="264" t="s">
        <v>448</v>
      </c>
      <c r="D84" s="106"/>
      <c r="E84" s="270">
        <f>IF('A4'!$A85=3,'A4'!O91,0)</f>
        <v>0</v>
      </c>
      <c r="F84" s="264">
        <f>IF('A4'!$A85=3,'A4'!P91,0)</f>
        <v>0</v>
      </c>
      <c r="G84" s="106">
        <f t="shared" ref="G84:P84" si="28">IF($A85=3,E91,0)</f>
        <v>0</v>
      </c>
      <c r="H84" s="106">
        <f t="shared" si="28"/>
        <v>0</v>
      </c>
      <c r="I84" s="106">
        <f t="shared" si="28"/>
        <v>0</v>
      </c>
      <c r="J84" s="106">
        <f t="shared" si="28"/>
        <v>0</v>
      </c>
      <c r="K84" s="106">
        <f t="shared" si="28"/>
        <v>0</v>
      </c>
      <c r="L84" s="106">
        <f t="shared" si="28"/>
        <v>0</v>
      </c>
      <c r="M84" s="106">
        <f t="shared" si="28"/>
        <v>0</v>
      </c>
      <c r="N84" s="106">
        <f t="shared" si="28"/>
        <v>0</v>
      </c>
      <c r="O84" s="106">
        <f t="shared" si="28"/>
        <v>0</v>
      </c>
      <c r="P84" s="106">
        <f t="shared" si="28"/>
        <v>0</v>
      </c>
      <c r="Q84" s="48"/>
    </row>
    <row r="85" spans="1:17" hidden="1">
      <c r="A85" s="243">
        <v>1</v>
      </c>
      <c r="B85" s="264" t="s">
        <v>330</v>
      </c>
      <c r="D85" s="48"/>
      <c r="E85" s="270">
        <f>IF('A4'!$A85=4,'A4'!N91,0)</f>
        <v>0</v>
      </c>
      <c r="F85" s="264">
        <f>IF('A4'!$A85=4,'A4'!O91,0)</f>
        <v>0</v>
      </c>
      <c r="G85" s="264">
        <f>IF('A4'!$A85=4,'A4'!P91,0)</f>
        <v>0</v>
      </c>
      <c r="H85" s="106">
        <f t="shared" ref="H85:P85" si="29">IF($A85=4,E91,0)</f>
        <v>0</v>
      </c>
      <c r="I85" s="106">
        <f t="shared" si="29"/>
        <v>0</v>
      </c>
      <c r="J85" s="106">
        <f t="shared" si="29"/>
        <v>0</v>
      </c>
      <c r="K85" s="106">
        <f t="shared" si="29"/>
        <v>0</v>
      </c>
      <c r="L85" s="106">
        <f t="shared" si="29"/>
        <v>0</v>
      </c>
      <c r="M85" s="106">
        <f t="shared" si="29"/>
        <v>0</v>
      </c>
      <c r="N85" s="106">
        <f t="shared" si="29"/>
        <v>0</v>
      </c>
      <c r="O85" s="106">
        <f t="shared" si="29"/>
        <v>0</v>
      </c>
      <c r="P85" s="106">
        <f t="shared" si="29"/>
        <v>0</v>
      </c>
      <c r="Q85" s="48"/>
    </row>
    <row r="86" spans="1:17" hidden="1">
      <c r="A86" s="243"/>
      <c r="B86" s="264"/>
      <c r="D86" s="271"/>
      <c r="E86" s="272">
        <f t="shared" ref="E86:P86" si="30">SUM(E82:E85)</f>
        <v>0</v>
      </c>
      <c r="F86" s="272">
        <f t="shared" si="30"/>
        <v>0</v>
      </c>
      <c r="G86" s="272">
        <f t="shared" si="30"/>
        <v>0</v>
      </c>
      <c r="H86" s="272">
        <f t="shared" si="30"/>
        <v>0</v>
      </c>
      <c r="I86" s="272">
        <f t="shared" si="30"/>
        <v>0</v>
      </c>
      <c r="J86" s="272">
        <f t="shared" si="30"/>
        <v>0</v>
      </c>
      <c r="K86" s="272">
        <f t="shared" si="30"/>
        <v>0</v>
      </c>
      <c r="L86" s="272">
        <f t="shared" si="30"/>
        <v>0</v>
      </c>
      <c r="M86" s="272">
        <f t="shared" si="30"/>
        <v>0</v>
      </c>
      <c r="N86" s="272">
        <f t="shared" si="30"/>
        <v>0</v>
      </c>
      <c r="O86" s="272">
        <f t="shared" si="30"/>
        <v>0</v>
      </c>
      <c r="P86" s="272">
        <f t="shared" si="30"/>
        <v>0</v>
      </c>
      <c r="Q86" s="77"/>
    </row>
    <row r="87" spans="1:17" ht="13.5" thickBot="1">
      <c r="A87" s="243"/>
      <c r="B87" s="264"/>
      <c r="D87" s="271"/>
      <c r="E87" s="270"/>
      <c r="F87" s="264"/>
      <c r="G87" s="264"/>
      <c r="H87" s="106"/>
      <c r="I87" s="106"/>
      <c r="J87" s="106"/>
      <c r="K87" s="106"/>
      <c r="L87" s="106"/>
      <c r="M87" s="106"/>
      <c r="N87" s="106"/>
      <c r="O87" s="106"/>
      <c r="P87" s="106"/>
      <c r="Q87" s="264"/>
    </row>
    <row r="88" spans="1:17" ht="13.5" thickBot="1">
      <c r="C88" s="48" t="str">
        <f>'A4'!C88</f>
        <v>Coût des marchandises</v>
      </c>
      <c r="D88" s="907">
        <f>'A4'!D88</f>
        <v>0</v>
      </c>
      <c r="E88" s="48"/>
      <c r="F88" s="48"/>
      <c r="G88" s="48"/>
      <c r="H88" s="48"/>
      <c r="I88" s="48"/>
      <c r="J88" s="48"/>
      <c r="K88" s="48"/>
      <c r="L88" s="48"/>
      <c r="M88" s="48"/>
      <c r="N88" s="48"/>
      <c r="O88" s="48"/>
      <c r="P88" s="48"/>
      <c r="Q88" s="48"/>
    </row>
    <row r="89" spans="1:17" ht="13.5" thickBot="1">
      <c r="C89" s="48" t="str">
        <f>'A4'!C89</f>
        <v>Ventes estimées</v>
      </c>
      <c r="D89" s="106"/>
      <c r="E89" s="388">
        <f>'V5'!F96</f>
        <v>0</v>
      </c>
      <c r="F89" s="388">
        <f>'V5'!G96</f>
        <v>0</v>
      </c>
      <c r="G89" s="388">
        <f>'V5'!H96</f>
        <v>0</v>
      </c>
      <c r="H89" s="388">
        <f>'V5'!I96</f>
        <v>0</v>
      </c>
      <c r="I89" s="388">
        <f>'V5'!J96</f>
        <v>0</v>
      </c>
      <c r="J89" s="388">
        <f>'V5'!K96</f>
        <v>0</v>
      </c>
      <c r="K89" s="388">
        <f>'V5'!L96</f>
        <v>0</v>
      </c>
      <c r="L89" s="388">
        <f>'V5'!M96</f>
        <v>0</v>
      </c>
      <c r="M89" s="388">
        <f>'V5'!N96</f>
        <v>0</v>
      </c>
      <c r="N89" s="388">
        <f>'V5'!O96</f>
        <v>0</v>
      </c>
      <c r="O89" s="388">
        <f>'V5'!P96</f>
        <v>0</v>
      </c>
      <c r="P89" s="388">
        <f>'V5'!Q96</f>
        <v>0</v>
      </c>
      <c r="Q89" s="76">
        <f>SUM(E89:P89)</f>
        <v>0</v>
      </c>
    </row>
    <row r="90" spans="1:17" ht="13.5" thickBot="1">
      <c r="C90" s="48" t="s">
        <v>14</v>
      </c>
      <c r="D90" s="266"/>
      <c r="E90" s="908"/>
      <c r="F90" s="908"/>
      <c r="G90" s="908"/>
      <c r="H90" s="908"/>
      <c r="I90" s="908"/>
      <c r="J90" s="908"/>
      <c r="K90" s="908"/>
      <c r="L90" s="908"/>
      <c r="M90" s="908"/>
      <c r="N90" s="908"/>
      <c r="O90" s="908"/>
      <c r="P90" s="908"/>
      <c r="Q90" s="76">
        <f>SUM(E90:P90)</f>
        <v>0</v>
      </c>
    </row>
    <row r="91" spans="1:17" ht="13.5" thickBot="1">
      <c r="C91" s="48" t="str">
        <f>'A4'!C91</f>
        <v>Achats prévus</v>
      </c>
      <c r="D91" s="106"/>
      <c r="E91" s="394">
        <f>IF(RG!$A$78=5,0,E89*$D88)</f>
        <v>0</v>
      </c>
      <c r="F91" s="394">
        <f>IF(RG!$A$78=5,0,F89*$D88)</f>
        <v>0</v>
      </c>
      <c r="G91" s="394">
        <f>IF(RG!$A$78=5,0,G89*$D88)</f>
        <v>0</v>
      </c>
      <c r="H91" s="394">
        <f>IF(RG!$A$78=5,0,H89*$D88)</f>
        <v>0</v>
      </c>
      <c r="I91" s="394">
        <f>IF(RG!$A$78=5,0,I89*$D88)</f>
        <v>0</v>
      </c>
      <c r="J91" s="394">
        <f>IF(RG!$A$78=5,0,J89*$D88)</f>
        <v>0</v>
      </c>
      <c r="K91" s="394">
        <f>IF(RG!$A$78=5,0,K89*$D88)</f>
        <v>0</v>
      </c>
      <c r="L91" s="394">
        <f>IF(RG!$A$78=5,0,L89*$D88)</f>
        <v>0</v>
      </c>
      <c r="M91" s="394">
        <f>IF(RG!$A$78=5,0,M89*$D88)</f>
        <v>0</v>
      </c>
      <c r="N91" s="394">
        <f>IF(RG!$A$78=5,0,N89*$D88)</f>
        <v>0</v>
      </c>
      <c r="O91" s="394">
        <f>IF(RG!$A$78=5,0,O89*$D88)</f>
        <v>0</v>
      </c>
      <c r="P91" s="394">
        <f>IF(RG!$A$78=5,0,P89*$D88)</f>
        <v>0</v>
      </c>
      <c r="Q91" s="76">
        <f>SUM(E91:P91)</f>
        <v>0</v>
      </c>
    </row>
    <row r="92" spans="1:17" hidden="1">
      <c r="C92" s="143"/>
      <c r="D92" s="106"/>
      <c r="E92" s="273"/>
      <c r="F92" s="273"/>
      <c r="G92" s="273"/>
      <c r="H92" s="273"/>
      <c r="I92" s="273"/>
      <c r="J92" s="273"/>
      <c r="K92" s="273"/>
      <c r="L92" s="273"/>
      <c r="M92" s="273"/>
      <c r="N92" s="273"/>
      <c r="O92" s="273"/>
      <c r="P92" s="273"/>
      <c r="Q92" s="268"/>
    </row>
    <row r="93" spans="1:17" ht="13.5" thickBot="1">
      <c r="C93" s="143"/>
      <c r="D93" s="106"/>
      <c r="E93" s="1058">
        <f>E90+E77+E64+E51+E38+E25</f>
        <v>0</v>
      </c>
      <c r="F93" s="1058">
        <f t="shared" ref="F93:Q93" si="31">F90+F77+F64+F51+F38+F25</f>
        <v>0</v>
      </c>
      <c r="G93" s="1058">
        <f t="shared" si="31"/>
        <v>0</v>
      </c>
      <c r="H93" s="1058">
        <f t="shared" si="31"/>
        <v>0</v>
      </c>
      <c r="I93" s="1058">
        <f t="shared" si="31"/>
        <v>0</v>
      </c>
      <c r="J93" s="1058">
        <f t="shared" si="31"/>
        <v>0</v>
      </c>
      <c r="K93" s="1058">
        <f t="shared" si="31"/>
        <v>0</v>
      </c>
      <c r="L93" s="1058">
        <f t="shared" si="31"/>
        <v>0</v>
      </c>
      <c r="M93" s="1058">
        <f t="shared" si="31"/>
        <v>0</v>
      </c>
      <c r="N93" s="1058">
        <f t="shared" si="31"/>
        <v>0</v>
      </c>
      <c r="O93" s="1058">
        <f t="shared" si="31"/>
        <v>0</v>
      </c>
      <c r="P93" s="1058">
        <f t="shared" si="31"/>
        <v>0</v>
      </c>
      <c r="Q93" s="1058">
        <f t="shared" si="31"/>
        <v>0</v>
      </c>
    </row>
    <row r="94" spans="1:17" ht="13.5" thickBot="1">
      <c r="C94" s="143" t="s">
        <v>252</v>
      </c>
      <c r="D94" s="106"/>
      <c r="E94" s="76">
        <f>E26+E39+E52+E65+E78+E91</f>
        <v>0</v>
      </c>
      <c r="F94" s="76">
        <f t="shared" ref="F94:Q94" si="32">F26+F39+F52+F65+F78+F91</f>
        <v>0</v>
      </c>
      <c r="G94" s="76">
        <f t="shared" si="32"/>
        <v>0</v>
      </c>
      <c r="H94" s="76">
        <f t="shared" si="32"/>
        <v>0</v>
      </c>
      <c r="I94" s="76">
        <f t="shared" si="32"/>
        <v>0</v>
      </c>
      <c r="J94" s="76">
        <f t="shared" si="32"/>
        <v>0</v>
      </c>
      <c r="K94" s="76">
        <f t="shared" si="32"/>
        <v>0</v>
      </c>
      <c r="L94" s="76">
        <f t="shared" si="32"/>
        <v>0</v>
      </c>
      <c r="M94" s="76">
        <f t="shared" si="32"/>
        <v>0</v>
      </c>
      <c r="N94" s="76">
        <f t="shared" si="32"/>
        <v>0</v>
      </c>
      <c r="O94" s="76">
        <f t="shared" si="32"/>
        <v>0</v>
      </c>
      <c r="P94" s="76">
        <f t="shared" si="32"/>
        <v>0</v>
      </c>
      <c r="Q94" s="76">
        <f t="shared" si="32"/>
        <v>0</v>
      </c>
    </row>
    <row r="95" spans="1:17">
      <c r="E95" s="664">
        <f>E86+E73+E60+E47+E34+E21</f>
        <v>0</v>
      </c>
      <c r="F95" s="664">
        <f t="shared" ref="F95:P95" si="33">F86+F73+F60+F47+F34+F21</f>
        <v>0</v>
      </c>
      <c r="G95" s="664">
        <f t="shared" si="33"/>
        <v>0</v>
      </c>
      <c r="H95" s="664">
        <f t="shared" si="33"/>
        <v>0</v>
      </c>
      <c r="I95" s="664">
        <f t="shared" si="33"/>
        <v>0</v>
      </c>
      <c r="J95" s="664">
        <f t="shared" si="33"/>
        <v>0</v>
      </c>
      <c r="K95" s="664">
        <f t="shared" si="33"/>
        <v>0</v>
      </c>
      <c r="L95" s="664">
        <f t="shared" si="33"/>
        <v>0</v>
      </c>
      <c r="M95" s="664">
        <f t="shared" si="33"/>
        <v>0</v>
      </c>
      <c r="N95" s="664">
        <f t="shared" si="33"/>
        <v>0</v>
      </c>
      <c r="O95" s="664">
        <f t="shared" si="33"/>
        <v>0</v>
      </c>
      <c r="P95" s="664">
        <f t="shared" si="33"/>
        <v>0</v>
      </c>
      <c r="Q95" s="664">
        <f>SUM(E95:P95)</f>
        <v>0</v>
      </c>
    </row>
    <row r="111" spans="3:3">
      <c r="C111" s="267"/>
    </row>
    <row r="132" spans="3:3">
      <c r="C132" s="78"/>
    </row>
    <row r="133" spans="3:3">
      <c r="C133" s="78"/>
    </row>
    <row r="135" spans="3:3" ht="15">
      <c r="C135" s="59"/>
    </row>
    <row r="183" spans="3:3">
      <c r="C183" s="143"/>
    </row>
  </sheetData>
  <sheetProtection password="E242" sheet="1" objects="1" scenarios="1"/>
  <customSheetViews>
    <customSheetView guid="{30D0538C-360A-4CDF-8D89-584CED1967CC}"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1"/>
      <headerFooter alignWithMargins="0"/>
    </customSheetView>
    <customSheetView guid="{4F3169C3-3348-49DE-A6DC-8AA4D2A9D7A1}"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3297" r:id="rId6" name="Drop Down 1">
              <controlPr defaultSize="0" autoFill="0" autoLine="0" autoPict="0">
                <anchor moveWithCells="1">
                  <from>
                    <xdr:col>3</xdr:col>
                    <xdr:colOff>0</xdr:colOff>
                    <xdr:row>15</xdr:row>
                    <xdr:rowOff>25400</xdr:rowOff>
                  </from>
                  <to>
                    <xdr:col>3</xdr:col>
                    <xdr:colOff>825500</xdr:colOff>
                    <xdr:row>15</xdr:row>
                    <xdr:rowOff>203200</xdr:rowOff>
                  </to>
                </anchor>
              </controlPr>
            </control>
          </mc:Choice>
        </mc:AlternateContent>
        <mc:AlternateContent xmlns:mc="http://schemas.openxmlformats.org/markup-compatibility/2006">
          <mc:Choice Requires="x14">
            <control shapeId="183298" r:id="rId7" name="Drop Down 2">
              <controlPr defaultSize="0" autoFill="0" autoLine="0" autoPict="0">
                <anchor moveWithCells="1">
                  <from>
                    <xdr:col>3</xdr:col>
                    <xdr:colOff>12700</xdr:colOff>
                    <xdr:row>28</xdr:row>
                    <xdr:rowOff>25400</xdr:rowOff>
                  </from>
                  <to>
                    <xdr:col>3</xdr:col>
                    <xdr:colOff>825500</xdr:colOff>
                    <xdr:row>28</xdr:row>
                    <xdr:rowOff>203200</xdr:rowOff>
                  </to>
                </anchor>
              </controlPr>
            </control>
          </mc:Choice>
        </mc:AlternateContent>
        <mc:AlternateContent xmlns:mc="http://schemas.openxmlformats.org/markup-compatibility/2006">
          <mc:Choice Requires="x14">
            <control shapeId="183301" r:id="rId8" name="Drop Down 5">
              <controlPr defaultSize="0" autoFill="0" autoLine="0" autoPict="0">
                <anchor moveWithCells="1">
                  <from>
                    <xdr:col>3</xdr:col>
                    <xdr:colOff>12700</xdr:colOff>
                    <xdr:row>80</xdr:row>
                    <xdr:rowOff>0</xdr:rowOff>
                  </from>
                  <to>
                    <xdr:col>3</xdr:col>
                    <xdr:colOff>825500</xdr:colOff>
                    <xdr:row>80</xdr:row>
                    <xdr:rowOff>203200</xdr:rowOff>
                  </to>
                </anchor>
              </controlPr>
            </control>
          </mc:Choice>
        </mc:AlternateContent>
        <mc:AlternateContent xmlns:mc="http://schemas.openxmlformats.org/markup-compatibility/2006">
          <mc:Choice Requires="x14">
            <control shapeId="183302" r:id="rId9" name="Drop Down 6">
              <controlPr defaultSize="0" autoFill="0" autoLine="0" autoPict="0">
                <anchor moveWithCells="1">
                  <from>
                    <xdr:col>3</xdr:col>
                    <xdr:colOff>12700</xdr:colOff>
                    <xdr:row>40</xdr:row>
                    <xdr:rowOff>152400</xdr:rowOff>
                  </from>
                  <to>
                    <xdr:col>3</xdr:col>
                    <xdr:colOff>825500</xdr:colOff>
                    <xdr:row>47</xdr:row>
                    <xdr:rowOff>12700</xdr:rowOff>
                  </to>
                </anchor>
              </controlPr>
            </control>
          </mc:Choice>
        </mc:AlternateContent>
        <mc:AlternateContent xmlns:mc="http://schemas.openxmlformats.org/markup-compatibility/2006">
          <mc:Choice Requires="x14">
            <control shapeId="183375" r:id="rId10" name="Drop Down 79">
              <controlPr defaultSize="0" autoFill="0" autoLine="0" autoPict="0">
                <anchor moveWithCells="1">
                  <from>
                    <xdr:col>2</xdr:col>
                    <xdr:colOff>2540000</xdr:colOff>
                    <xdr:row>53</xdr:row>
                    <xdr:rowOff>152400</xdr:rowOff>
                  </from>
                  <to>
                    <xdr:col>3</xdr:col>
                    <xdr:colOff>812800</xdr:colOff>
                    <xdr:row>60</xdr:row>
                    <xdr:rowOff>12700</xdr:rowOff>
                  </to>
                </anchor>
              </controlPr>
            </control>
          </mc:Choice>
        </mc:AlternateContent>
        <mc:AlternateContent xmlns:mc="http://schemas.openxmlformats.org/markup-compatibility/2006">
          <mc:Choice Requires="x14">
            <control shapeId="183376" r:id="rId11" name="Drop Down 80">
              <controlPr defaultSize="0" autoFill="0" autoLine="0" autoPict="0">
                <anchor moveWithCells="1">
                  <from>
                    <xdr:col>2</xdr:col>
                    <xdr:colOff>2540000</xdr:colOff>
                    <xdr:row>66</xdr:row>
                    <xdr:rowOff>152400</xdr:rowOff>
                  </from>
                  <to>
                    <xdr:col>3</xdr:col>
                    <xdr:colOff>825500</xdr:colOff>
                    <xdr:row>67</xdr:row>
                    <xdr:rowOff>215900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39">
    <pageSetUpPr fitToPage="1"/>
  </sheetPr>
  <dimension ref="A1:P311"/>
  <sheetViews>
    <sheetView showGridLines="0" showRowColHeaders="0" showOutlineSymbols="0" zoomScaleNormal="100" workbookViewId="0">
      <pane ySplit="16" topLeftCell="A17" activePane="bottomLeft" state="frozen"/>
      <selection activeCell="G24" sqref="G24"/>
      <selection pane="bottomLeft" activeCell="C21" sqref="C21"/>
    </sheetView>
  </sheetViews>
  <sheetFormatPr baseColWidth="10" defaultColWidth="11.453125" defaultRowHeight="12.5"/>
  <cols>
    <col min="1" max="1" width="30" style="261" customWidth="1"/>
    <col min="2" max="2" width="10" style="261" customWidth="1"/>
    <col min="3" max="16384" width="11.453125" style="261"/>
  </cols>
  <sheetData>
    <row r="1" spans="1:16" customFormat="1"/>
    <row r="2" spans="1:16" customFormat="1"/>
    <row r="3" spans="1:16" customFormat="1"/>
    <row r="9" spans="1:16" hidden="1"/>
    <row r="10" spans="1:16" s="251" customFormat="1" ht="13" hidden="1">
      <c r="P10" s="48"/>
    </row>
    <row r="11" spans="1:16" s="251" customFormat="1" ht="25.5" customHeight="1">
      <c r="A11" s="105" t="str">
        <f>RG!$D$17</f>
        <v>Jhon Wesly inc.</v>
      </c>
      <c r="F11" s="808"/>
      <c r="P11" s="48"/>
    </row>
    <row r="12" spans="1:16" s="251" customFormat="1" ht="13">
      <c r="B12" s="88"/>
      <c r="C12" s="268"/>
      <c r="D12" s="268"/>
      <c r="E12" s="268"/>
      <c r="F12" s="268"/>
      <c r="G12" s="268"/>
      <c r="H12" s="268"/>
      <c r="I12" s="268"/>
      <c r="J12" s="268"/>
      <c r="K12" s="268"/>
      <c r="L12" s="268"/>
      <c r="M12" s="268"/>
      <c r="N12" s="268"/>
      <c r="O12" s="268"/>
      <c r="P12" s="48"/>
    </row>
    <row r="13" spans="1:16" s="251" customFormat="1" ht="13.5" thickBot="1">
      <c r="B13" s="88"/>
      <c r="C13" s="268"/>
      <c r="D13" s="268"/>
      <c r="E13" s="268"/>
      <c r="F13" s="268"/>
      <c r="G13" s="268"/>
      <c r="H13" s="268"/>
      <c r="I13" s="268"/>
      <c r="J13" s="268"/>
      <c r="K13" s="268"/>
      <c r="L13" s="268"/>
      <c r="M13" s="268"/>
      <c r="N13" s="268"/>
      <c r="O13" s="268"/>
      <c r="P13" s="48"/>
    </row>
    <row r="14" spans="1:16" s="822" customFormat="1" ht="30.5" thickBot="1">
      <c r="A14" s="911" t="s">
        <v>664</v>
      </c>
      <c r="B14" s="98"/>
      <c r="C14" s="821">
        <f>'A1'!E14</f>
        <v>45292</v>
      </c>
      <c r="D14" s="821">
        <f>'A1'!F14</f>
        <v>45323</v>
      </c>
      <c r="E14" s="821">
        <f>'A1'!G14</f>
        <v>45354</v>
      </c>
      <c r="F14" s="821">
        <f>'A1'!H14</f>
        <v>45385</v>
      </c>
      <c r="G14" s="821">
        <f>'A1'!I14</f>
        <v>45416</v>
      </c>
      <c r="H14" s="821">
        <f>'A1'!J14</f>
        <v>45447</v>
      </c>
      <c r="I14" s="821">
        <f>'A1'!K14</f>
        <v>45478</v>
      </c>
      <c r="J14" s="821">
        <f>'A1'!L14</f>
        <v>45509</v>
      </c>
      <c r="K14" s="821">
        <f>'A1'!M14</f>
        <v>45540</v>
      </c>
      <c r="L14" s="821">
        <f>'A1'!N14</f>
        <v>45571</v>
      </c>
      <c r="M14" s="821">
        <f>'A1'!O14</f>
        <v>45602</v>
      </c>
      <c r="N14" s="821">
        <f>'A1'!P14</f>
        <v>45633</v>
      </c>
      <c r="O14" s="821" t="str">
        <f>'A1'!Q14</f>
        <v>Année</v>
      </c>
      <c r="P14" s="816"/>
    </row>
    <row r="15" spans="1:16" s="822" customFormat="1" ht="15">
      <c r="A15" s="911"/>
      <c r="B15" s="98"/>
      <c r="C15" s="912"/>
      <c r="D15" s="912"/>
      <c r="E15" s="912"/>
      <c r="F15" s="912"/>
      <c r="G15" s="912"/>
      <c r="H15" s="912"/>
      <c r="I15" s="912"/>
      <c r="J15" s="912"/>
      <c r="K15" s="912"/>
      <c r="L15" s="912"/>
      <c r="M15" s="912"/>
      <c r="N15" s="912"/>
      <c r="O15" s="912"/>
      <c r="P15" s="816"/>
    </row>
    <row r="16" spans="1:16" s="822" customFormat="1" ht="15">
      <c r="A16" s="911"/>
      <c r="B16" s="98"/>
      <c r="C16" s="912"/>
      <c r="D16" s="912"/>
      <c r="E16" s="912"/>
      <c r="F16" s="912"/>
      <c r="G16" s="912"/>
      <c r="H16" s="912"/>
      <c r="I16" s="912"/>
      <c r="J16" s="912"/>
      <c r="K16" s="912"/>
      <c r="L16" s="912"/>
      <c r="M16" s="912"/>
      <c r="N16" s="912"/>
      <c r="O16" s="912"/>
      <c r="P16" s="816"/>
    </row>
    <row r="17" spans="1:16" s="251" customFormat="1" ht="13">
      <c r="B17" s="88"/>
      <c r="C17" s="268"/>
      <c r="D17" s="268"/>
      <c r="E17" s="268"/>
      <c r="F17" s="268"/>
      <c r="G17" s="268"/>
      <c r="H17" s="268"/>
      <c r="I17" s="268"/>
      <c r="J17" s="268"/>
      <c r="K17" s="268"/>
      <c r="L17" s="268"/>
      <c r="M17" s="268"/>
      <c r="N17" s="268"/>
      <c r="O17" s="268"/>
      <c r="P17" s="48"/>
    </row>
    <row r="18" spans="1:16" s="251" customFormat="1" ht="13">
      <c r="A18" s="913" t="str">
        <f>'V1'!A15</f>
        <v>Produit/service 1</v>
      </c>
      <c r="C18" s="1189" t="str">
        <f>A18</f>
        <v>Produit/service 1</v>
      </c>
      <c r="D18" s="1189"/>
      <c r="E18" s="1189"/>
      <c r="F18" s="1189"/>
      <c r="G18" s="1189"/>
      <c r="H18" s="1189"/>
      <c r="I18" s="1189"/>
      <c r="J18" s="1189"/>
      <c r="K18" s="1189"/>
      <c r="L18" s="1189"/>
      <c r="M18" s="1189"/>
      <c r="N18" s="1189"/>
      <c r="O18" s="1189"/>
      <c r="P18" s="48"/>
    </row>
    <row r="19" spans="1:16" s="251" customFormat="1" ht="13.5" thickBot="1">
      <c r="A19" s="143"/>
      <c r="B19" s="88"/>
      <c r="C19" s="268"/>
      <c r="D19" s="268"/>
      <c r="E19" s="268"/>
      <c r="F19" s="268"/>
      <c r="G19" s="268"/>
      <c r="H19" s="268"/>
      <c r="I19" s="268"/>
      <c r="J19" s="268"/>
      <c r="K19" s="268"/>
      <c r="L19" s="268"/>
      <c r="M19" s="268"/>
      <c r="N19" s="268"/>
      <c r="O19" s="268"/>
      <c r="P19" s="48"/>
    </row>
    <row r="20" spans="1:16" s="251" customFormat="1" ht="13.5" thickBot="1">
      <c r="A20" s="79"/>
      <c r="B20" s="391">
        <v>2.5000000000000001E-2</v>
      </c>
      <c r="C20" s="394">
        <f>INT($B20*'A1'!E$24)</f>
        <v>18</v>
      </c>
      <c r="D20" s="394">
        <f>INT($B20*'A1'!F$24)</f>
        <v>19</v>
      </c>
      <c r="E20" s="394">
        <f>INT($B20*'A1'!G$24)</f>
        <v>20</v>
      </c>
      <c r="F20" s="394">
        <f>INT($B20*'A1'!H$24)</f>
        <v>20</v>
      </c>
      <c r="G20" s="394">
        <f>INT($B20*'A1'!I$24)</f>
        <v>21</v>
      </c>
      <c r="H20" s="394">
        <f>INT($B20*'A1'!J$24)</f>
        <v>21</v>
      </c>
      <c r="I20" s="394">
        <f>INT($B20*'A1'!K$24)</f>
        <v>22</v>
      </c>
      <c r="J20" s="394">
        <f>INT($B20*'A1'!L$24)</f>
        <v>23</v>
      </c>
      <c r="K20" s="394">
        <f>INT($B20*'A1'!M$24)</f>
        <v>23</v>
      </c>
      <c r="L20" s="394">
        <f>INT($B20*'A1'!N$24)</f>
        <v>24</v>
      </c>
      <c r="M20" s="394">
        <f>INT($B20*'A1'!O$24)</f>
        <v>25</v>
      </c>
      <c r="N20" s="394">
        <f>INT($B20*'A1'!P$24)</f>
        <v>25</v>
      </c>
      <c r="O20" s="390">
        <f t="shared" ref="O20:O25" si="0">SUM(C20:N20)</f>
        <v>261</v>
      </c>
      <c r="P20" s="48"/>
    </row>
    <row r="21" spans="1:16" s="251" customFormat="1" ht="13.5" thickBot="1">
      <c r="A21" s="79"/>
      <c r="B21" s="391">
        <v>0</v>
      </c>
      <c r="C21" s="394">
        <f>INT($B21*'A1'!E$24)</f>
        <v>0</v>
      </c>
      <c r="D21" s="394">
        <f>INT($B21*'A1'!F$24)</f>
        <v>0</v>
      </c>
      <c r="E21" s="394">
        <f>INT($B21*'A1'!G$24)</f>
        <v>0</v>
      </c>
      <c r="F21" s="394">
        <f>INT($B21*'A1'!H$24)</f>
        <v>0</v>
      </c>
      <c r="G21" s="394">
        <f>INT($B21*'A1'!I$24)</f>
        <v>0</v>
      </c>
      <c r="H21" s="394">
        <f>INT($B21*'A1'!J$24)</f>
        <v>0</v>
      </c>
      <c r="I21" s="394">
        <f>INT($B21*'A1'!K$24)</f>
        <v>0</v>
      </c>
      <c r="J21" s="394">
        <f>INT($B21*'A1'!L$24)</f>
        <v>0</v>
      </c>
      <c r="K21" s="394">
        <f>INT($B21*'A1'!M$24)</f>
        <v>0</v>
      </c>
      <c r="L21" s="394">
        <f>INT($B21*'A1'!N$24)</f>
        <v>0</v>
      </c>
      <c r="M21" s="394">
        <f>INT($B21*'A1'!O$24)</f>
        <v>0</v>
      </c>
      <c r="N21" s="394">
        <f>INT($B21*'A1'!P$24)</f>
        <v>0</v>
      </c>
      <c r="O21" s="390">
        <f t="shared" si="0"/>
        <v>0</v>
      </c>
      <c r="P21" s="48"/>
    </row>
    <row r="22" spans="1:16" s="251" customFormat="1" ht="13.5" thickBot="1">
      <c r="A22" s="79"/>
      <c r="B22" s="391">
        <v>0</v>
      </c>
      <c r="C22" s="394">
        <f>INT($B22*'A1'!E$24)</f>
        <v>0</v>
      </c>
      <c r="D22" s="394">
        <f>INT($B22*'A1'!F$24)</f>
        <v>0</v>
      </c>
      <c r="E22" s="394">
        <f>INT($B22*'A1'!G$24)</f>
        <v>0</v>
      </c>
      <c r="F22" s="394">
        <f>INT($B22*'A1'!H$24)</f>
        <v>0</v>
      </c>
      <c r="G22" s="394">
        <f>INT($B22*'A1'!I$24)</f>
        <v>0</v>
      </c>
      <c r="H22" s="394">
        <f>INT($B22*'A1'!J$24)</f>
        <v>0</v>
      </c>
      <c r="I22" s="394">
        <f>INT($B22*'A1'!K$24)</f>
        <v>0</v>
      </c>
      <c r="J22" s="394">
        <f>INT($B22*'A1'!L$24)</f>
        <v>0</v>
      </c>
      <c r="K22" s="394">
        <f>INT($B22*'A1'!M$24)</f>
        <v>0</v>
      </c>
      <c r="L22" s="394">
        <f>INT($B22*'A1'!N$24)</f>
        <v>0</v>
      </c>
      <c r="M22" s="394">
        <f>INT($B22*'A1'!O$24)</f>
        <v>0</v>
      </c>
      <c r="N22" s="394">
        <f>INT($B22*'A1'!P$24)</f>
        <v>0</v>
      </c>
      <c r="O22" s="390">
        <f t="shared" si="0"/>
        <v>0</v>
      </c>
      <c r="P22" s="48"/>
    </row>
    <row r="23" spans="1:16" s="251" customFormat="1" ht="13.5" thickBot="1">
      <c r="A23" s="79"/>
      <c r="B23" s="391">
        <v>0</v>
      </c>
      <c r="C23" s="394">
        <f>INT($B23*'A1'!E$24)</f>
        <v>0</v>
      </c>
      <c r="D23" s="394">
        <f>INT($B23*'A1'!F$24)</f>
        <v>0</v>
      </c>
      <c r="E23" s="394">
        <f>INT($B23*'A1'!G$24)</f>
        <v>0</v>
      </c>
      <c r="F23" s="394">
        <f>INT($B23*'A1'!H$24)</f>
        <v>0</v>
      </c>
      <c r="G23" s="394">
        <f>INT($B23*'A1'!I$24)</f>
        <v>0</v>
      </c>
      <c r="H23" s="394">
        <f>INT($B23*'A1'!J$24)</f>
        <v>0</v>
      </c>
      <c r="I23" s="394">
        <f>INT($B23*'A1'!K$24)</f>
        <v>0</v>
      </c>
      <c r="J23" s="394">
        <f>INT($B23*'A1'!L$24)</f>
        <v>0</v>
      </c>
      <c r="K23" s="394">
        <f>INT($B23*'A1'!M$24)</f>
        <v>0</v>
      </c>
      <c r="L23" s="394">
        <f>INT($B23*'A1'!N$24)</f>
        <v>0</v>
      </c>
      <c r="M23" s="394">
        <f>INT($B23*'A1'!O$24)</f>
        <v>0</v>
      </c>
      <c r="N23" s="394">
        <f>INT($B23*'A1'!P$24)</f>
        <v>0</v>
      </c>
      <c r="O23" s="390">
        <f t="shared" si="0"/>
        <v>0</v>
      </c>
      <c r="P23" s="48"/>
    </row>
    <row r="24" spans="1:16" s="251" customFormat="1" ht="13.5" thickBot="1">
      <c r="A24" s="79"/>
      <c r="B24" s="391">
        <v>0</v>
      </c>
      <c r="C24" s="394">
        <f>INT($B24*'A1'!E$24)</f>
        <v>0</v>
      </c>
      <c r="D24" s="394">
        <f>INT($B24*'A1'!F$24)</f>
        <v>0</v>
      </c>
      <c r="E24" s="394">
        <f>INT($B24*'A1'!G$24)</f>
        <v>0</v>
      </c>
      <c r="F24" s="394">
        <f>INT($B24*'A1'!H$24)</f>
        <v>0</v>
      </c>
      <c r="G24" s="394">
        <f>INT($B24*'A1'!I$24)</f>
        <v>0</v>
      </c>
      <c r="H24" s="394">
        <f>INT($B24*'A1'!J$24)</f>
        <v>0</v>
      </c>
      <c r="I24" s="394">
        <f>INT($B24*'A1'!K$24)</f>
        <v>0</v>
      </c>
      <c r="J24" s="394">
        <f>INT($B24*'A1'!L$24)</f>
        <v>0</v>
      </c>
      <c r="K24" s="394">
        <f>INT($B24*'A1'!M$24)</f>
        <v>0</v>
      </c>
      <c r="L24" s="394">
        <f>INT($B24*'A1'!N$24)</f>
        <v>0</v>
      </c>
      <c r="M24" s="394">
        <f>INT($B24*'A1'!O$24)</f>
        <v>0</v>
      </c>
      <c r="N24" s="394">
        <f>INT($B24*'A1'!P$24)</f>
        <v>0</v>
      </c>
      <c r="O24" s="390">
        <f t="shared" si="0"/>
        <v>0</v>
      </c>
      <c r="P24" s="48"/>
    </row>
    <row r="25" spans="1:16" s="251" customFormat="1" ht="13.5" thickBot="1">
      <c r="A25" s="79"/>
      <c r="B25" s="391">
        <v>0</v>
      </c>
      <c r="C25" s="394">
        <f>INT($B25*'A1'!E$24)</f>
        <v>0</v>
      </c>
      <c r="D25" s="394">
        <f>INT($B25*'A1'!F$24)</f>
        <v>0</v>
      </c>
      <c r="E25" s="394">
        <f>INT($B25*'A1'!G$24)</f>
        <v>0</v>
      </c>
      <c r="F25" s="394">
        <f>INT($B25*'A1'!H$24)</f>
        <v>0</v>
      </c>
      <c r="G25" s="394">
        <f>INT($B25*'A1'!I$24)</f>
        <v>0</v>
      </c>
      <c r="H25" s="394">
        <f>INT($B25*'A1'!J$24)</f>
        <v>0</v>
      </c>
      <c r="I25" s="394">
        <f>INT($B25*'A1'!K$24)</f>
        <v>0</v>
      </c>
      <c r="J25" s="394">
        <f>INT($B25*'A1'!L$24)</f>
        <v>0</v>
      </c>
      <c r="K25" s="394">
        <f>INT($B25*'A1'!M$24)</f>
        <v>0</v>
      </c>
      <c r="L25" s="394">
        <f>INT($B25*'A1'!N$24)</f>
        <v>0</v>
      </c>
      <c r="M25" s="394">
        <f>INT($B25*'A1'!O$24)</f>
        <v>0</v>
      </c>
      <c r="N25" s="394">
        <f>INT($B25*'A1'!P$24)</f>
        <v>0</v>
      </c>
      <c r="O25" s="390">
        <f t="shared" si="0"/>
        <v>0</v>
      </c>
      <c r="P25" s="48"/>
    </row>
    <row r="26" spans="1:16" s="251" customFormat="1" ht="13.5" thickBot="1">
      <c r="A26" s="267"/>
      <c r="B26" s="88"/>
      <c r="C26" s="268"/>
      <c r="D26" s="268"/>
      <c r="E26" s="268"/>
      <c r="F26" s="268"/>
      <c r="G26" s="268"/>
      <c r="H26" s="268"/>
      <c r="I26" s="268"/>
      <c r="J26" s="268"/>
      <c r="K26" s="268"/>
      <c r="L26" s="268"/>
      <c r="M26" s="268"/>
      <c r="N26" s="268"/>
      <c r="O26" s="268"/>
      <c r="P26" s="48"/>
    </row>
    <row r="27" spans="1:16" s="251" customFormat="1" ht="13.5" thickBot="1">
      <c r="A27" s="43" t="s">
        <v>242</v>
      </c>
      <c r="B27" s="275"/>
      <c r="C27" s="319">
        <f t="shared" ref="C27:O27" si="1">SUM(C20:C26)</f>
        <v>18</v>
      </c>
      <c r="D27" s="319">
        <f t="shared" si="1"/>
        <v>19</v>
      </c>
      <c r="E27" s="319">
        <f t="shared" si="1"/>
        <v>20</v>
      </c>
      <c r="F27" s="319">
        <f t="shared" si="1"/>
        <v>20</v>
      </c>
      <c r="G27" s="319">
        <f t="shared" si="1"/>
        <v>21</v>
      </c>
      <c r="H27" s="319">
        <f t="shared" si="1"/>
        <v>21</v>
      </c>
      <c r="I27" s="319">
        <f t="shared" si="1"/>
        <v>22</v>
      </c>
      <c r="J27" s="319">
        <f t="shared" si="1"/>
        <v>23</v>
      </c>
      <c r="K27" s="319">
        <f t="shared" si="1"/>
        <v>23</v>
      </c>
      <c r="L27" s="319">
        <f t="shared" si="1"/>
        <v>24</v>
      </c>
      <c r="M27" s="319">
        <f t="shared" si="1"/>
        <v>25</v>
      </c>
      <c r="N27" s="319">
        <f t="shared" si="1"/>
        <v>25</v>
      </c>
      <c r="O27" s="319">
        <f t="shared" si="1"/>
        <v>261</v>
      </c>
    </row>
    <row r="28" spans="1:16" ht="13">
      <c r="A28" s="521"/>
      <c r="B28" s="522"/>
      <c r="C28" s="142"/>
      <c r="D28" s="142"/>
      <c r="E28" s="142"/>
      <c r="F28" s="142"/>
      <c r="G28" s="142"/>
      <c r="H28" s="142"/>
      <c r="I28" s="142"/>
      <c r="J28" s="142"/>
      <c r="K28" s="142"/>
      <c r="L28" s="142"/>
      <c r="M28" s="142"/>
      <c r="N28" s="142"/>
      <c r="O28" s="142"/>
    </row>
    <row r="29" spans="1:16" s="255" customFormat="1" ht="13">
      <c r="A29" s="913" t="str">
        <f>'V1'!A28</f>
        <v>Produit/service 2</v>
      </c>
      <c r="C29" s="1189" t="str">
        <f>A29</f>
        <v>Produit/service 2</v>
      </c>
      <c r="D29" s="1189"/>
      <c r="E29" s="1189"/>
      <c r="F29" s="1189"/>
      <c r="G29" s="1189"/>
      <c r="H29" s="1189"/>
      <c r="I29" s="1189"/>
      <c r="J29" s="1189"/>
      <c r="K29" s="1189"/>
      <c r="L29" s="1189"/>
      <c r="M29" s="1189"/>
      <c r="N29" s="1189"/>
      <c r="O29" s="1189"/>
    </row>
    <row r="30" spans="1:16" ht="13" thickBot="1">
      <c r="A30" s="143"/>
      <c r="B30" s="88"/>
      <c r="C30" s="268"/>
      <c r="D30" s="268"/>
      <c r="E30" s="268"/>
      <c r="F30" s="268"/>
      <c r="G30" s="268"/>
      <c r="H30" s="268"/>
      <c r="I30" s="268"/>
      <c r="J30" s="268"/>
      <c r="K30" s="268"/>
      <c r="L30" s="268"/>
      <c r="M30" s="268"/>
      <c r="N30" s="268"/>
      <c r="O30" s="268"/>
    </row>
    <row r="31" spans="1:16" ht="13.5" thickBot="1">
      <c r="A31" s="78" t="str">
        <f>IF(DG!$D$127=1,"Aucun",IF(DG!$D$127=2,DG!$B$28,IF(DG!$D$127=3,DG!$B$29,IF(DG!$D$127=4,DG!$B$30,IF(DG!$D$127=5,DG!$B$31,IF(DG!$D$127=6,DG!$B$32,IF(DG!$D$127=7,DG!$B$33)))))))</f>
        <v>Frais de variable 1</v>
      </c>
      <c r="B31" s="391">
        <v>2.5000000000000001E-2</v>
      </c>
      <c r="C31" s="394">
        <f>INT($B31*'A1'!E$37)</f>
        <v>25</v>
      </c>
      <c r="D31" s="394">
        <f>INT($B31*'A1'!F$37)</f>
        <v>26</v>
      </c>
      <c r="E31" s="394">
        <f>INT($B31*'A1'!G$37)</f>
        <v>27</v>
      </c>
      <c r="F31" s="394">
        <f>INT($B31*'A1'!H$37)</f>
        <v>28</v>
      </c>
      <c r="G31" s="394">
        <f>INT($B31*'A1'!I$37)</f>
        <v>30</v>
      </c>
      <c r="H31" s="394">
        <f>INT($B31*'A1'!J$37)</f>
        <v>31</v>
      </c>
      <c r="I31" s="394">
        <f>INT($B31*'A1'!K$37)</f>
        <v>32</v>
      </c>
      <c r="J31" s="394">
        <f>INT($B31*'A1'!L$37)</f>
        <v>33</v>
      </c>
      <c r="K31" s="394">
        <f>INT($B31*'A1'!M$37)</f>
        <v>35</v>
      </c>
      <c r="L31" s="394">
        <f>INT($B31*'A1'!N$37)</f>
        <v>36</v>
      </c>
      <c r="M31" s="394">
        <f>INT($B31*'A1'!O$37)</f>
        <v>37</v>
      </c>
      <c r="N31" s="394">
        <f>INT($B31*'A1'!P$37)</f>
        <v>38</v>
      </c>
      <c r="O31" s="390">
        <f t="shared" ref="O31:O36" si="2">SUM(C31:N31)</f>
        <v>378</v>
      </c>
    </row>
    <row r="32" spans="1:16" ht="13.5" thickBot="1">
      <c r="A32" s="78" t="str">
        <f>IF(DG!$D$128=1,"Aucun",IF(DG!$D$128=2,DG!$B$28,IF(DG!$D$128=3,DG!$B$29,IF(DG!$D$128=4,DG!$B$30,IF(DG!$D$128=5,DG!$B$31,IF(DG!$D$128=6,DG!$B$32,IF(DG!$D$128=7,DG!$B$33)))))))</f>
        <v>Frais de variable 2</v>
      </c>
      <c r="B32" s="391">
        <v>0</v>
      </c>
      <c r="C32" s="394">
        <f>INT($B32*'A1'!E$37)</f>
        <v>0</v>
      </c>
      <c r="D32" s="394">
        <f>INT($B32*'A1'!F$37)</f>
        <v>0</v>
      </c>
      <c r="E32" s="394">
        <f>INT($B32*'A1'!G$37)</f>
        <v>0</v>
      </c>
      <c r="F32" s="394">
        <f>INT($B32*'A1'!H$37)</f>
        <v>0</v>
      </c>
      <c r="G32" s="394">
        <f>INT($B32*'A1'!I$37)</f>
        <v>0</v>
      </c>
      <c r="H32" s="394">
        <f>INT($B32*'A1'!J$37)</f>
        <v>0</v>
      </c>
      <c r="I32" s="394">
        <f>INT($B32*'A1'!K$37)</f>
        <v>0</v>
      </c>
      <c r="J32" s="394">
        <f>INT($B32*'A1'!L$37)</f>
        <v>0</v>
      </c>
      <c r="K32" s="394">
        <f>INT($B32*'A1'!M$37)</f>
        <v>0</v>
      </c>
      <c r="L32" s="394">
        <f>INT($B32*'A1'!N$37)</f>
        <v>0</v>
      </c>
      <c r="M32" s="394">
        <f>INT($B32*'A1'!O$37)</f>
        <v>0</v>
      </c>
      <c r="N32" s="394">
        <f>INT($B32*'A1'!P$37)</f>
        <v>0</v>
      </c>
      <c r="O32" s="390">
        <f t="shared" si="2"/>
        <v>0</v>
      </c>
    </row>
    <row r="33" spans="1:15" ht="13.5" thickBot="1">
      <c r="A33" s="78" t="str">
        <f>IF(DG!$D$129=1,"Aucun",IF(DG!$D$129=2,DG!$B$28,IF(DG!$D$129=3,DG!$B$29,IF(DG!$D$129=4,DG!$B$30,IF(DG!$D$129=5,DG!$B$31,IF(DG!$D$129=6,DG!$B$32,IF(DG!$D$129=7,DG!$B$33)))))))</f>
        <v>Frais de variable 3</v>
      </c>
      <c r="B33" s="391">
        <v>0</v>
      </c>
      <c r="C33" s="394">
        <f>INT($B33*'A1'!E$37)</f>
        <v>0</v>
      </c>
      <c r="D33" s="394">
        <f>INT($B33*'A1'!F$37)</f>
        <v>0</v>
      </c>
      <c r="E33" s="394">
        <f>INT($B33*'A1'!G$37)</f>
        <v>0</v>
      </c>
      <c r="F33" s="394">
        <f>INT($B33*'A1'!H$37)</f>
        <v>0</v>
      </c>
      <c r="G33" s="394">
        <f>INT($B33*'A1'!I$37)</f>
        <v>0</v>
      </c>
      <c r="H33" s="394">
        <f>INT($B33*'A1'!J$37)</f>
        <v>0</v>
      </c>
      <c r="I33" s="394">
        <f>INT($B33*'A1'!K$37)</f>
        <v>0</v>
      </c>
      <c r="J33" s="394">
        <f>INT($B33*'A1'!L$37)</f>
        <v>0</v>
      </c>
      <c r="K33" s="394">
        <f>INT($B33*'A1'!M$37)</f>
        <v>0</v>
      </c>
      <c r="L33" s="394">
        <f>INT($B33*'A1'!N$37)</f>
        <v>0</v>
      </c>
      <c r="M33" s="394">
        <f>INT($B33*'A1'!O$37)</f>
        <v>0</v>
      </c>
      <c r="N33" s="394">
        <f>INT($B33*'A1'!P$37)</f>
        <v>0</v>
      </c>
      <c r="O33" s="390">
        <f t="shared" si="2"/>
        <v>0</v>
      </c>
    </row>
    <row r="34" spans="1:15" ht="13.5" thickBot="1">
      <c r="A34" s="78" t="str">
        <f>IF(DG!$D$130=1,"Aucun",IF(DG!$D$130=2,DG!$B$28,IF(DG!$D$130=3,DG!$B$29,IF(DG!$D$130=4,DG!$B$30,IF(DG!$D$130=5,DG!$B$31,IF(DG!$D$130=6,DG!$B$32,IF(DG!$D$130=7,DG!$B$33)))))))</f>
        <v>Frais de variable 4</v>
      </c>
      <c r="B34" s="391">
        <v>0</v>
      </c>
      <c r="C34" s="394">
        <f>INT($B34*'A1'!E$37)</f>
        <v>0</v>
      </c>
      <c r="D34" s="394">
        <f>INT($B34*'A1'!F$37)</f>
        <v>0</v>
      </c>
      <c r="E34" s="394">
        <f>INT($B34*'A1'!G$37)</f>
        <v>0</v>
      </c>
      <c r="F34" s="394">
        <f>INT($B34*'A1'!H$37)</f>
        <v>0</v>
      </c>
      <c r="G34" s="394">
        <f>INT($B34*'A1'!I$37)</f>
        <v>0</v>
      </c>
      <c r="H34" s="394">
        <f>INT($B34*'A1'!J$37)</f>
        <v>0</v>
      </c>
      <c r="I34" s="394">
        <f>INT($B34*'A1'!K$37)</f>
        <v>0</v>
      </c>
      <c r="J34" s="394">
        <f>INT($B34*'A1'!L$37)</f>
        <v>0</v>
      </c>
      <c r="K34" s="394">
        <f>INT($B34*'A1'!M$37)</f>
        <v>0</v>
      </c>
      <c r="L34" s="394">
        <f>INT($B34*'A1'!N$37)</f>
        <v>0</v>
      </c>
      <c r="M34" s="394">
        <f>INT($B34*'A1'!O$37)</f>
        <v>0</v>
      </c>
      <c r="N34" s="394">
        <f>INT($B34*'A1'!P$37)</f>
        <v>0</v>
      </c>
      <c r="O34" s="390">
        <f t="shared" si="2"/>
        <v>0</v>
      </c>
    </row>
    <row r="35" spans="1:15" ht="13.5" thickBot="1">
      <c r="A35" s="78" t="str">
        <f>IF(DG!$D$131=1,"Aucun",IF(DG!$D$131=2,DG!$B$28,IF(DG!$D$131=3,DG!$B$29,IF(DG!$D$131=4,DG!$B$30,IF(DG!$D$131=5,DG!$B$31,IF(DG!$D$131=6,DG!$B$32,IF(DG!$D$131=7,DG!$B$33)))))))</f>
        <v>Frais de variable 5</v>
      </c>
      <c r="B35" s="391">
        <v>0</v>
      </c>
      <c r="C35" s="394">
        <f>INT($B35*'A1'!E$37)</f>
        <v>0</v>
      </c>
      <c r="D35" s="394">
        <f>INT($B35*'A1'!F$37)</f>
        <v>0</v>
      </c>
      <c r="E35" s="394">
        <f>INT($B35*'A1'!G$37)</f>
        <v>0</v>
      </c>
      <c r="F35" s="394">
        <f>INT($B35*'A1'!H$37)</f>
        <v>0</v>
      </c>
      <c r="G35" s="394">
        <f>INT($B35*'A1'!I$37)</f>
        <v>0</v>
      </c>
      <c r="H35" s="394">
        <f>INT($B35*'A1'!J$37)</f>
        <v>0</v>
      </c>
      <c r="I35" s="394">
        <f>INT($B35*'A1'!K$37)</f>
        <v>0</v>
      </c>
      <c r="J35" s="394">
        <f>INT($B35*'A1'!L$37)</f>
        <v>0</v>
      </c>
      <c r="K35" s="394">
        <f>INT($B35*'A1'!M$37)</f>
        <v>0</v>
      </c>
      <c r="L35" s="394">
        <f>INT($B35*'A1'!N$37)</f>
        <v>0</v>
      </c>
      <c r="M35" s="394">
        <f>INT($B35*'A1'!O$37)</f>
        <v>0</v>
      </c>
      <c r="N35" s="394">
        <f>INT($B35*'A1'!P$37)</f>
        <v>0</v>
      </c>
      <c r="O35" s="390">
        <f t="shared" si="2"/>
        <v>0</v>
      </c>
    </row>
    <row r="36" spans="1:15" ht="13.5" thickBot="1">
      <c r="A36" s="78" t="str">
        <f>IF(DG!$D$132=1,"Aucun",IF(DG!$D$132=2,DG!$B$28,IF(DG!$D$132=3,DG!$B$29,IF(DG!$D$132=4,DG!$B$30,IF(DG!$D$132=5,DG!$B$31,IF(DG!$D$132=6,DG!$B$32,IF(DG!$D$132=7,DG!$B$33)))))))</f>
        <v>Frais de variable 6</v>
      </c>
      <c r="B36" s="391">
        <v>0</v>
      </c>
      <c r="C36" s="394">
        <f>INT($B36*'A1'!E$37)</f>
        <v>0</v>
      </c>
      <c r="D36" s="394">
        <f>INT($B36*'A1'!F$37)</f>
        <v>0</v>
      </c>
      <c r="E36" s="394">
        <f>INT($B36*'A1'!G$37)</f>
        <v>0</v>
      </c>
      <c r="F36" s="394">
        <f>INT($B36*'A1'!H$37)</f>
        <v>0</v>
      </c>
      <c r="G36" s="394">
        <f>INT($B36*'A1'!I$37)</f>
        <v>0</v>
      </c>
      <c r="H36" s="394">
        <f>INT($B36*'A1'!J$37)</f>
        <v>0</v>
      </c>
      <c r="I36" s="394">
        <f>INT($B36*'A1'!K$37)</f>
        <v>0</v>
      </c>
      <c r="J36" s="394">
        <f>INT($B36*'A1'!L$37)</f>
        <v>0</v>
      </c>
      <c r="K36" s="394">
        <f>INT($B36*'A1'!M$37)</f>
        <v>0</v>
      </c>
      <c r="L36" s="394">
        <f>INT($B36*'A1'!N$37)</f>
        <v>0</v>
      </c>
      <c r="M36" s="394">
        <f>INT($B36*'A1'!O$37)</f>
        <v>0</v>
      </c>
      <c r="N36" s="394">
        <f>INT($B36*'A1'!P$37)</f>
        <v>0</v>
      </c>
      <c r="O36" s="390">
        <f t="shared" si="2"/>
        <v>0</v>
      </c>
    </row>
    <row r="37" spans="1:15" ht="13" thickBot="1">
      <c r="A37" s="267"/>
      <c r="B37" s="88"/>
      <c r="C37" s="268"/>
      <c r="D37" s="268"/>
      <c r="E37" s="268"/>
      <c r="F37" s="268"/>
      <c r="G37" s="268"/>
      <c r="H37" s="268"/>
      <c r="I37" s="268"/>
      <c r="J37" s="268"/>
      <c r="K37" s="268"/>
      <c r="L37" s="268"/>
      <c r="M37" s="268"/>
      <c r="N37" s="268"/>
      <c r="O37" s="268"/>
    </row>
    <row r="38" spans="1:15" s="251" customFormat="1" ht="13.5" thickBot="1">
      <c r="A38" s="43" t="s">
        <v>242</v>
      </c>
      <c r="B38" s="275"/>
      <c r="C38" s="319">
        <f t="shared" ref="C38:O38" si="3">SUM(C31:C37)</f>
        <v>25</v>
      </c>
      <c r="D38" s="319">
        <f t="shared" si="3"/>
        <v>26</v>
      </c>
      <c r="E38" s="319">
        <f t="shared" si="3"/>
        <v>27</v>
      </c>
      <c r="F38" s="319">
        <f t="shared" si="3"/>
        <v>28</v>
      </c>
      <c r="G38" s="319">
        <f t="shared" si="3"/>
        <v>30</v>
      </c>
      <c r="H38" s="319">
        <f t="shared" si="3"/>
        <v>31</v>
      </c>
      <c r="I38" s="319">
        <f t="shared" si="3"/>
        <v>32</v>
      </c>
      <c r="J38" s="319">
        <f t="shared" si="3"/>
        <v>33</v>
      </c>
      <c r="K38" s="319">
        <f t="shared" si="3"/>
        <v>35</v>
      </c>
      <c r="L38" s="319">
        <f t="shared" si="3"/>
        <v>36</v>
      </c>
      <c r="M38" s="319">
        <f t="shared" si="3"/>
        <v>37</v>
      </c>
      <c r="N38" s="319">
        <f t="shared" si="3"/>
        <v>38</v>
      </c>
      <c r="O38" s="319">
        <f t="shared" si="3"/>
        <v>378</v>
      </c>
    </row>
    <row r="39" spans="1:15" ht="13">
      <c r="A39" s="521"/>
      <c r="B39" s="522"/>
      <c r="C39" s="142"/>
      <c r="D39" s="142"/>
      <c r="E39" s="142"/>
      <c r="F39" s="142"/>
      <c r="G39" s="142"/>
      <c r="H39" s="142"/>
      <c r="I39" s="142"/>
      <c r="J39" s="142"/>
      <c r="K39" s="142"/>
      <c r="L39" s="142"/>
      <c r="M39" s="142"/>
      <c r="N39" s="142"/>
      <c r="O39" s="142"/>
    </row>
    <row r="40" spans="1:15" ht="13">
      <c r="A40" s="913" t="str">
        <f>'V1'!A41</f>
        <v>Produit/service 3</v>
      </c>
      <c r="B40" s="251"/>
      <c r="C40" s="1189" t="str">
        <f>A40</f>
        <v>Produit/service 3</v>
      </c>
      <c r="D40" s="1189"/>
      <c r="E40" s="1189"/>
      <c r="F40" s="1189"/>
      <c r="G40" s="1189"/>
      <c r="H40" s="1189"/>
      <c r="I40" s="1189"/>
      <c r="J40" s="1189"/>
      <c r="K40" s="1189"/>
      <c r="L40" s="1189"/>
      <c r="M40" s="1189"/>
      <c r="N40" s="1189"/>
      <c r="O40" s="1189"/>
    </row>
    <row r="41" spans="1:15" ht="13" thickBot="1">
      <c r="A41" s="143"/>
      <c r="B41" s="88"/>
      <c r="C41" s="268"/>
      <c r="D41" s="268"/>
      <c r="E41" s="268"/>
      <c r="F41" s="268"/>
      <c r="G41" s="268"/>
      <c r="H41" s="268"/>
      <c r="I41" s="268"/>
      <c r="J41" s="268"/>
      <c r="K41" s="268"/>
      <c r="L41" s="268"/>
      <c r="M41" s="268"/>
      <c r="N41" s="268"/>
      <c r="O41" s="268"/>
    </row>
    <row r="42" spans="1:15" ht="13.5" thickBot="1">
      <c r="A42" s="78" t="str">
        <f>IF(DG!$D$127=1,"Aucun",IF(DG!$D$127=2,DG!$B$28,IF(DG!$D$127=3,DG!$B$29,IF(DG!$D$127=4,DG!$B$30,IF(DG!$D$127=5,DG!$B$31,IF(DG!$D$127=6,DG!$B$32,IF(DG!$D$127=7,DG!$B$33)))))))</f>
        <v>Frais de variable 1</v>
      </c>
      <c r="B42" s="391">
        <v>2.5000000000000001E-2</v>
      </c>
      <c r="C42" s="394">
        <f>INT($B42*'A1'!E$50)</f>
        <v>37</v>
      </c>
      <c r="D42" s="394">
        <f>INT($B42*'A1'!F$50)</f>
        <v>39</v>
      </c>
      <c r="E42" s="394">
        <f>INT($B42*'A1'!G$50)</f>
        <v>41</v>
      </c>
      <c r="F42" s="394">
        <f>INT($B42*'A1'!H$50)</f>
        <v>43</v>
      </c>
      <c r="G42" s="394">
        <f>INT($B42*'A1'!I$50)</f>
        <v>45</v>
      </c>
      <c r="H42" s="394">
        <f>INT($B42*'A1'!J$50)</f>
        <v>46</v>
      </c>
      <c r="I42" s="394">
        <f>INT($B42*'A1'!K$50)</f>
        <v>48</v>
      </c>
      <c r="J42" s="394">
        <f>INT($B42*'A1'!L$50)</f>
        <v>50</v>
      </c>
      <c r="K42" s="394">
        <f>INT($B42*'A1'!M$50)</f>
        <v>52</v>
      </c>
      <c r="L42" s="394">
        <f>INT($B42*'A1'!N$50)</f>
        <v>54</v>
      </c>
      <c r="M42" s="394">
        <f>INT($B42*'A1'!O$50)</f>
        <v>56</v>
      </c>
      <c r="N42" s="394">
        <f>INT($B42*'A1'!P$50)</f>
        <v>58</v>
      </c>
      <c r="O42" s="390">
        <f t="shared" ref="O42:O47" si="4">SUM(C42:N42)</f>
        <v>569</v>
      </c>
    </row>
    <row r="43" spans="1:15" ht="13.5" thickBot="1">
      <c r="A43" s="78" t="str">
        <f>IF(DG!$D$128=1,"Aucun",IF(DG!$D$128=2,DG!$B$28,IF(DG!$D$128=3,DG!$B$29,IF(DG!$D$128=4,DG!$B$30,IF(DG!$D$128=5,DG!$B$31,IF(DG!$D$128=6,DG!$B$32,IF(DG!$D$128=7,DG!$B$33)))))))</f>
        <v>Frais de variable 2</v>
      </c>
      <c r="B43" s="391">
        <v>0</v>
      </c>
      <c r="C43" s="394">
        <f>INT($B43*'A1'!E$50)</f>
        <v>0</v>
      </c>
      <c r="D43" s="394">
        <f>INT($B43*'A1'!F$50)</f>
        <v>0</v>
      </c>
      <c r="E43" s="394">
        <f>INT($B43*'A1'!G$50)</f>
        <v>0</v>
      </c>
      <c r="F43" s="394">
        <f>INT($B43*'A1'!H$50)</f>
        <v>0</v>
      </c>
      <c r="G43" s="394">
        <f>INT($B43*'A1'!I$50)</f>
        <v>0</v>
      </c>
      <c r="H43" s="394">
        <f>INT($B43*'A1'!J$50)</f>
        <v>0</v>
      </c>
      <c r="I43" s="394">
        <f>INT($B43*'A1'!K$50)</f>
        <v>0</v>
      </c>
      <c r="J43" s="394">
        <f>INT($B43*'A1'!L$50)</f>
        <v>0</v>
      </c>
      <c r="K43" s="394">
        <f>INT($B43*'A1'!M$50)</f>
        <v>0</v>
      </c>
      <c r="L43" s="394">
        <f>INT($B43*'A1'!N$50)</f>
        <v>0</v>
      </c>
      <c r="M43" s="394">
        <f>INT($B43*'A1'!O$50)</f>
        <v>0</v>
      </c>
      <c r="N43" s="394">
        <f>INT($B43*'A1'!P$50)</f>
        <v>0</v>
      </c>
      <c r="O43" s="390">
        <f t="shared" si="4"/>
        <v>0</v>
      </c>
    </row>
    <row r="44" spans="1:15" ht="13.5" thickBot="1">
      <c r="A44" s="78" t="str">
        <f>IF(DG!$D$129=1,"Aucun",IF(DG!$D$129=2,DG!$B$28,IF(DG!$D$129=3,DG!$B$29,IF(DG!$D$129=4,DG!$B$30,IF(DG!$D$129=5,DG!$B$31,IF(DG!$D$129=6,DG!$B$32,IF(DG!$D$129=7,DG!$B$33)))))))</f>
        <v>Frais de variable 3</v>
      </c>
      <c r="B44" s="391">
        <v>0</v>
      </c>
      <c r="C44" s="394">
        <f>INT($B44*'A1'!E$50)</f>
        <v>0</v>
      </c>
      <c r="D44" s="394">
        <f>INT($B44*'A1'!F$50)</f>
        <v>0</v>
      </c>
      <c r="E44" s="394">
        <f>INT($B44*'A1'!G$50)</f>
        <v>0</v>
      </c>
      <c r="F44" s="394">
        <f>INT($B44*'A1'!H$50)</f>
        <v>0</v>
      </c>
      <c r="G44" s="394">
        <f>INT($B44*'A1'!I$50)</f>
        <v>0</v>
      </c>
      <c r="H44" s="394">
        <f>INT($B44*'A1'!J$50)</f>
        <v>0</v>
      </c>
      <c r="I44" s="394">
        <f>INT($B44*'A1'!K$50)</f>
        <v>0</v>
      </c>
      <c r="J44" s="394">
        <f>INT($B44*'A1'!L$50)</f>
        <v>0</v>
      </c>
      <c r="K44" s="394">
        <f>INT($B44*'A1'!M$50)</f>
        <v>0</v>
      </c>
      <c r="L44" s="394">
        <f>INT($B44*'A1'!N$50)</f>
        <v>0</v>
      </c>
      <c r="M44" s="394">
        <f>INT($B44*'A1'!O$50)</f>
        <v>0</v>
      </c>
      <c r="N44" s="394">
        <f>INT($B44*'A1'!P$50)</f>
        <v>0</v>
      </c>
      <c r="O44" s="390">
        <f t="shared" si="4"/>
        <v>0</v>
      </c>
    </row>
    <row r="45" spans="1:15" ht="13.5" thickBot="1">
      <c r="A45" s="78" t="str">
        <f>IF(DG!$D$130=1,"Aucun",IF(DG!$D$130=2,DG!$B$28,IF(DG!$D$130=3,DG!$B$29,IF(DG!$D$130=4,DG!$B$30,IF(DG!$D$130=5,DG!$B$31,IF(DG!$D$130=6,DG!$B$32,IF(DG!$D$130=7,DG!$B$33)))))))</f>
        <v>Frais de variable 4</v>
      </c>
      <c r="B45" s="391">
        <v>0</v>
      </c>
      <c r="C45" s="394">
        <f>INT($B45*'A1'!E$50)</f>
        <v>0</v>
      </c>
      <c r="D45" s="394">
        <f>INT($B45*'A1'!F$50)</f>
        <v>0</v>
      </c>
      <c r="E45" s="394">
        <f>INT($B45*'A1'!G$50)</f>
        <v>0</v>
      </c>
      <c r="F45" s="394">
        <f>INT($B45*'A1'!H$50)</f>
        <v>0</v>
      </c>
      <c r="G45" s="394">
        <f>INT($B45*'A1'!I$50)</f>
        <v>0</v>
      </c>
      <c r="H45" s="394">
        <f>INT($B45*'A1'!J$50)</f>
        <v>0</v>
      </c>
      <c r="I45" s="394">
        <f>INT($B45*'A1'!K$50)</f>
        <v>0</v>
      </c>
      <c r="J45" s="394">
        <f>INT($B45*'A1'!L$50)</f>
        <v>0</v>
      </c>
      <c r="K45" s="394">
        <f>INT($B45*'A1'!M$50)</f>
        <v>0</v>
      </c>
      <c r="L45" s="394">
        <f>INT($B45*'A1'!N$50)</f>
        <v>0</v>
      </c>
      <c r="M45" s="394">
        <f>INT($B45*'A1'!O$50)</f>
        <v>0</v>
      </c>
      <c r="N45" s="394">
        <f>INT($B45*'A1'!P$50)</f>
        <v>0</v>
      </c>
      <c r="O45" s="390">
        <f t="shared" si="4"/>
        <v>0</v>
      </c>
    </row>
    <row r="46" spans="1:15" ht="13.5" thickBot="1">
      <c r="A46" s="78" t="str">
        <f>IF(DG!$D$131=1,"Aucun",IF(DG!$D$131=2,DG!$B$28,IF(DG!$D$131=3,DG!$B$29,IF(DG!$D$131=4,DG!$B$30,IF(DG!$D$131=5,DG!$B$31,IF(DG!$D$131=6,DG!$B$32,IF(DG!$D$131=7,DG!$B$33)))))))</f>
        <v>Frais de variable 5</v>
      </c>
      <c r="B46" s="391">
        <v>0</v>
      </c>
      <c r="C46" s="394">
        <f>INT($B46*'A1'!E$50)</f>
        <v>0</v>
      </c>
      <c r="D46" s="394">
        <f>INT($B46*'A1'!F$50)</f>
        <v>0</v>
      </c>
      <c r="E46" s="394">
        <f>INT($B46*'A1'!G$50)</f>
        <v>0</v>
      </c>
      <c r="F46" s="394">
        <f>INT($B46*'A1'!H$50)</f>
        <v>0</v>
      </c>
      <c r="G46" s="394">
        <f>INT($B46*'A1'!I$50)</f>
        <v>0</v>
      </c>
      <c r="H46" s="394">
        <f>INT($B46*'A1'!J$50)</f>
        <v>0</v>
      </c>
      <c r="I46" s="394">
        <f>INT($B46*'A1'!K$50)</f>
        <v>0</v>
      </c>
      <c r="J46" s="394">
        <f>INT($B46*'A1'!L$50)</f>
        <v>0</v>
      </c>
      <c r="K46" s="394">
        <f>INT($B46*'A1'!M$50)</f>
        <v>0</v>
      </c>
      <c r="L46" s="394">
        <f>INT($B46*'A1'!N$50)</f>
        <v>0</v>
      </c>
      <c r="M46" s="394">
        <f>INT($B46*'A1'!O$50)</f>
        <v>0</v>
      </c>
      <c r="N46" s="394">
        <f>INT($B46*'A1'!P$50)</f>
        <v>0</v>
      </c>
      <c r="O46" s="390">
        <f t="shared" si="4"/>
        <v>0</v>
      </c>
    </row>
    <row r="47" spans="1:15" ht="13.5" thickBot="1">
      <c r="A47" s="78" t="str">
        <f>IF(DG!$D$132=1,"Aucun",IF(DG!$D$132=2,DG!$B$28,IF(DG!$D$132=3,DG!$B$29,IF(DG!$D$132=4,DG!$B$30,IF(DG!$D$132=5,DG!$B$31,IF(DG!$D$132=6,DG!$B$32,IF(DG!$D$132=7,DG!$B$33)))))))</f>
        <v>Frais de variable 6</v>
      </c>
      <c r="B47" s="391">
        <v>0</v>
      </c>
      <c r="C47" s="394">
        <f>INT($B47*'A1'!E$50)</f>
        <v>0</v>
      </c>
      <c r="D47" s="394">
        <f>INT($B47*'A1'!F$50)</f>
        <v>0</v>
      </c>
      <c r="E47" s="394">
        <f>INT($B47*'A1'!G$50)</f>
        <v>0</v>
      </c>
      <c r="F47" s="394">
        <f>INT($B47*'A1'!H$50)</f>
        <v>0</v>
      </c>
      <c r="G47" s="394">
        <f>INT($B47*'A1'!I$50)</f>
        <v>0</v>
      </c>
      <c r="H47" s="394">
        <f>INT($B47*'A1'!J$50)</f>
        <v>0</v>
      </c>
      <c r="I47" s="394">
        <f>INT($B47*'A1'!K$50)</f>
        <v>0</v>
      </c>
      <c r="J47" s="394">
        <f>INT($B47*'A1'!L$50)</f>
        <v>0</v>
      </c>
      <c r="K47" s="394">
        <f>INT($B47*'A1'!M$50)</f>
        <v>0</v>
      </c>
      <c r="L47" s="394">
        <f>INT($B47*'A1'!N$50)</f>
        <v>0</v>
      </c>
      <c r="M47" s="394">
        <f>INT($B47*'A1'!O$50)</f>
        <v>0</v>
      </c>
      <c r="N47" s="394">
        <f>INT($B47*'A1'!P$50)</f>
        <v>0</v>
      </c>
      <c r="O47" s="390">
        <f t="shared" si="4"/>
        <v>0</v>
      </c>
    </row>
    <row r="48" spans="1:15" ht="13" thickBot="1">
      <c r="A48" s="267"/>
      <c r="B48" s="88"/>
      <c r="C48" s="268"/>
      <c r="D48" s="268"/>
      <c r="E48" s="268"/>
      <c r="F48" s="268"/>
      <c r="G48" s="268"/>
      <c r="H48" s="268"/>
      <c r="I48" s="268"/>
      <c r="J48" s="268"/>
      <c r="K48" s="268"/>
      <c r="L48" s="268"/>
      <c r="M48" s="268"/>
      <c r="N48" s="268"/>
      <c r="O48" s="268"/>
    </row>
    <row r="49" spans="1:15" s="251" customFormat="1" ht="13.5" thickBot="1">
      <c r="A49" s="43" t="s">
        <v>242</v>
      </c>
      <c r="B49" s="275"/>
      <c r="C49" s="319">
        <f t="shared" ref="C49:O49" si="5">SUM(C42:C48)</f>
        <v>37</v>
      </c>
      <c r="D49" s="319">
        <f t="shared" si="5"/>
        <v>39</v>
      </c>
      <c r="E49" s="319">
        <f t="shared" si="5"/>
        <v>41</v>
      </c>
      <c r="F49" s="319">
        <f t="shared" si="5"/>
        <v>43</v>
      </c>
      <c r="G49" s="319">
        <f t="shared" si="5"/>
        <v>45</v>
      </c>
      <c r="H49" s="319">
        <f t="shared" si="5"/>
        <v>46</v>
      </c>
      <c r="I49" s="319">
        <f t="shared" si="5"/>
        <v>48</v>
      </c>
      <c r="J49" s="319">
        <f t="shared" si="5"/>
        <v>50</v>
      </c>
      <c r="K49" s="319">
        <f t="shared" si="5"/>
        <v>52</v>
      </c>
      <c r="L49" s="319">
        <f t="shared" si="5"/>
        <v>54</v>
      </c>
      <c r="M49" s="319">
        <f t="shared" si="5"/>
        <v>56</v>
      </c>
      <c r="N49" s="319">
        <f t="shared" si="5"/>
        <v>58</v>
      </c>
      <c r="O49" s="319">
        <f t="shared" si="5"/>
        <v>569</v>
      </c>
    </row>
    <row r="50" spans="1:15" ht="13">
      <c r="A50" s="521"/>
      <c r="B50" s="522"/>
      <c r="C50" s="142"/>
      <c r="D50" s="142"/>
      <c r="E50" s="142"/>
      <c r="F50" s="142"/>
      <c r="G50" s="142"/>
      <c r="H50" s="142"/>
      <c r="I50" s="142"/>
      <c r="J50" s="142"/>
      <c r="K50" s="142"/>
      <c r="L50" s="142"/>
      <c r="M50" s="142"/>
      <c r="N50" s="142"/>
      <c r="O50" s="142"/>
    </row>
    <row r="51" spans="1:15" ht="13">
      <c r="A51" s="913" t="str">
        <f>'V1'!A54</f>
        <v>Produit/service 4</v>
      </c>
      <c r="B51" s="251"/>
      <c r="C51" s="1189" t="str">
        <f>A51</f>
        <v>Produit/service 4</v>
      </c>
      <c r="D51" s="1189"/>
      <c r="E51" s="1189"/>
      <c r="F51" s="1189"/>
      <c r="G51" s="1189"/>
      <c r="H51" s="1189"/>
      <c r="I51" s="1189"/>
      <c r="J51" s="1189"/>
      <c r="K51" s="1189"/>
      <c r="L51" s="1189"/>
      <c r="M51" s="1189"/>
      <c r="N51" s="1189"/>
      <c r="O51" s="1189"/>
    </row>
    <row r="52" spans="1:15" ht="13" thickBot="1">
      <c r="A52" s="143"/>
      <c r="B52" s="88"/>
      <c r="C52" s="268"/>
      <c r="D52" s="268"/>
      <c r="E52" s="268"/>
      <c r="F52" s="268"/>
      <c r="G52" s="268"/>
      <c r="H52" s="268"/>
      <c r="I52" s="268"/>
      <c r="J52" s="268"/>
      <c r="K52" s="268"/>
      <c r="L52" s="268"/>
      <c r="M52" s="268"/>
      <c r="N52" s="268"/>
      <c r="O52" s="268"/>
    </row>
    <row r="53" spans="1:15" ht="13.5" thickBot="1">
      <c r="A53" s="78" t="str">
        <f>IF(DG!$D$127=1,"Aucun",IF(DG!$D$127=2,DG!$B$28,IF(DG!$D$127=3,DG!$B$29,IF(DG!$D$127=4,DG!$B$30,IF(DG!$D$127=5,DG!$B$31,IF(DG!$D$127=6,DG!$B$32,IF(DG!$D$127=7,DG!$B$33)))))))</f>
        <v>Frais de variable 1</v>
      </c>
      <c r="B53" s="391">
        <v>0</v>
      </c>
      <c r="C53" s="394">
        <f>INT($B53*'A1'!E$63)</f>
        <v>0</v>
      </c>
      <c r="D53" s="394">
        <f>INT($B53*'A1'!F$63)</f>
        <v>0</v>
      </c>
      <c r="E53" s="394">
        <f>INT($B53*'A1'!G$63)</f>
        <v>0</v>
      </c>
      <c r="F53" s="394">
        <f>INT($B53*'A1'!H$63)</f>
        <v>0</v>
      </c>
      <c r="G53" s="394">
        <f>INT($B53*'A1'!I$63)</f>
        <v>0</v>
      </c>
      <c r="H53" s="394">
        <f>INT($B53*'A1'!J$63)</f>
        <v>0</v>
      </c>
      <c r="I53" s="394">
        <f>INT($B53*'A1'!K$63)</f>
        <v>0</v>
      </c>
      <c r="J53" s="394">
        <f>INT($B53*'A1'!L$63)</f>
        <v>0</v>
      </c>
      <c r="K53" s="394">
        <f>INT($B53*'A1'!M$63)</f>
        <v>0</v>
      </c>
      <c r="L53" s="394">
        <f>INT($B53*'A1'!N$63)</f>
        <v>0</v>
      </c>
      <c r="M53" s="394">
        <f>INT($B53*'A1'!O$63)</f>
        <v>0</v>
      </c>
      <c r="N53" s="394">
        <f>INT($B53*'A1'!P$63)</f>
        <v>0</v>
      </c>
      <c r="O53" s="390">
        <f t="shared" ref="O53:O58" si="6">SUM(C53:N53)</f>
        <v>0</v>
      </c>
    </row>
    <row r="54" spans="1:15" ht="13.5" thickBot="1">
      <c r="A54" s="78" t="str">
        <f>IF(DG!$D$128=1,"Aucun",IF(DG!$D$128=2,DG!$B$28,IF(DG!$D$128=3,DG!$B$29,IF(DG!$D$128=4,DG!$B$30,IF(DG!$D$128=5,DG!$B$31,IF(DG!$D$128=6,DG!$B$32,IF(DG!$D$128=7,DG!$B$33)))))))</f>
        <v>Frais de variable 2</v>
      </c>
      <c r="B54" s="391">
        <v>0</v>
      </c>
      <c r="C54" s="394">
        <f>INT($B54*'A1'!E$63)</f>
        <v>0</v>
      </c>
      <c r="D54" s="394">
        <f>INT($B54*'A1'!F$63)</f>
        <v>0</v>
      </c>
      <c r="E54" s="394">
        <f>INT($B54*'A1'!G$63)</f>
        <v>0</v>
      </c>
      <c r="F54" s="394">
        <f>INT($B54*'A1'!H$63)</f>
        <v>0</v>
      </c>
      <c r="G54" s="394">
        <f>INT($B54*'A1'!I$63)</f>
        <v>0</v>
      </c>
      <c r="H54" s="394">
        <f>INT($B54*'A1'!J$63)</f>
        <v>0</v>
      </c>
      <c r="I54" s="394">
        <f>INT($B54*'A1'!K$63)</f>
        <v>0</v>
      </c>
      <c r="J54" s="394">
        <f>INT($B54*'A1'!L$63)</f>
        <v>0</v>
      </c>
      <c r="K54" s="394">
        <f>INT($B54*'A1'!M$63)</f>
        <v>0</v>
      </c>
      <c r="L54" s="394">
        <f>INT($B54*'A1'!N$63)</f>
        <v>0</v>
      </c>
      <c r="M54" s="394">
        <f>INT($B54*'A1'!O$63)</f>
        <v>0</v>
      </c>
      <c r="N54" s="394">
        <f>INT($B54*'A1'!P$63)</f>
        <v>0</v>
      </c>
      <c r="O54" s="390">
        <f t="shared" si="6"/>
        <v>0</v>
      </c>
    </row>
    <row r="55" spans="1:15" ht="13.5" thickBot="1">
      <c r="A55" s="78" t="str">
        <f>IF(DG!$D$129=1,"Aucun",IF(DG!$D$129=2,DG!$B$28,IF(DG!$D$129=3,DG!$B$29,IF(DG!$D$129=4,DG!$B$30,IF(DG!$D$129=5,DG!$B$31,IF(DG!$D$129=6,DG!$B$32,IF(DG!$D$129=7,DG!$B$33)))))))</f>
        <v>Frais de variable 3</v>
      </c>
      <c r="B55" s="391">
        <v>0</v>
      </c>
      <c r="C55" s="394">
        <f>INT($B55*'A1'!E$63)</f>
        <v>0</v>
      </c>
      <c r="D55" s="394">
        <f>INT($B55*'A1'!F$63)</f>
        <v>0</v>
      </c>
      <c r="E55" s="394">
        <f>INT($B55*'A1'!G$63)</f>
        <v>0</v>
      </c>
      <c r="F55" s="394">
        <f>INT($B55*'A1'!H$63)</f>
        <v>0</v>
      </c>
      <c r="G55" s="394">
        <f>INT($B55*'A1'!I$63)</f>
        <v>0</v>
      </c>
      <c r="H55" s="394">
        <f>INT($B55*'A1'!J$63)</f>
        <v>0</v>
      </c>
      <c r="I55" s="394">
        <f>INT($B55*'A1'!K$63)</f>
        <v>0</v>
      </c>
      <c r="J55" s="394">
        <f>INT($B55*'A1'!L$63)</f>
        <v>0</v>
      </c>
      <c r="K55" s="394">
        <f>INT($B55*'A1'!M$63)</f>
        <v>0</v>
      </c>
      <c r="L55" s="394">
        <f>INT($B55*'A1'!N$63)</f>
        <v>0</v>
      </c>
      <c r="M55" s="394">
        <f>INT($B55*'A1'!O$63)</f>
        <v>0</v>
      </c>
      <c r="N55" s="394">
        <f>INT($B55*'A1'!P$63)</f>
        <v>0</v>
      </c>
      <c r="O55" s="390">
        <f t="shared" si="6"/>
        <v>0</v>
      </c>
    </row>
    <row r="56" spans="1:15" ht="13.5" thickBot="1">
      <c r="A56" s="78" t="str">
        <f>IF(DG!$D$130=1,"Aucun",IF(DG!$D$130=2,DG!$B$28,IF(DG!$D$130=3,DG!$B$29,IF(DG!$D$130=4,DG!$B$30,IF(DG!$D$130=5,DG!$B$31,IF(DG!$D$130=6,DG!$B$32,IF(DG!$D$130=7,DG!$B$33)))))))</f>
        <v>Frais de variable 4</v>
      </c>
      <c r="B56" s="391">
        <v>0</v>
      </c>
      <c r="C56" s="394">
        <f>INT($B56*'A1'!E$63)</f>
        <v>0</v>
      </c>
      <c r="D56" s="394">
        <f>INT($B56*'A1'!F$63)</f>
        <v>0</v>
      </c>
      <c r="E56" s="394">
        <f>INT($B56*'A1'!G$63)</f>
        <v>0</v>
      </c>
      <c r="F56" s="394">
        <f>INT($B56*'A1'!H$63)</f>
        <v>0</v>
      </c>
      <c r="G56" s="394">
        <f>INT($B56*'A1'!I$63)</f>
        <v>0</v>
      </c>
      <c r="H56" s="394">
        <f>INT($B56*'A1'!J$63)</f>
        <v>0</v>
      </c>
      <c r="I56" s="394">
        <f>INT($B56*'A1'!K$63)</f>
        <v>0</v>
      </c>
      <c r="J56" s="394">
        <f>INT($B56*'A1'!L$63)</f>
        <v>0</v>
      </c>
      <c r="K56" s="394">
        <f>INT($B56*'A1'!M$63)</f>
        <v>0</v>
      </c>
      <c r="L56" s="394">
        <f>INT($B56*'A1'!N$63)</f>
        <v>0</v>
      </c>
      <c r="M56" s="394">
        <f>INT($B56*'A1'!O$63)</f>
        <v>0</v>
      </c>
      <c r="N56" s="394">
        <f>INT($B56*'A1'!P$63)</f>
        <v>0</v>
      </c>
      <c r="O56" s="390">
        <f t="shared" si="6"/>
        <v>0</v>
      </c>
    </row>
    <row r="57" spans="1:15" ht="13.5" thickBot="1">
      <c r="A57" s="78" t="str">
        <f>IF(DG!$D$131=1,"Aucun",IF(DG!$D$131=2,DG!$B$28,IF(DG!$D$131=3,DG!$B$29,IF(DG!$D$131=4,DG!$B$30,IF(DG!$D$131=5,DG!$B$31,IF(DG!$D$131=6,DG!$B$32,IF(DG!$D$131=7,DG!$B$33)))))))</f>
        <v>Frais de variable 5</v>
      </c>
      <c r="B57" s="391">
        <v>0</v>
      </c>
      <c r="C57" s="394">
        <f>INT($B57*'A1'!E$63)</f>
        <v>0</v>
      </c>
      <c r="D57" s="394">
        <f>INT($B57*'A1'!F$63)</f>
        <v>0</v>
      </c>
      <c r="E57" s="394">
        <f>INT($B57*'A1'!G$63)</f>
        <v>0</v>
      </c>
      <c r="F57" s="394">
        <f>INT($B57*'A1'!H$63)</f>
        <v>0</v>
      </c>
      <c r="G57" s="394">
        <f>INT($B57*'A1'!I$63)</f>
        <v>0</v>
      </c>
      <c r="H57" s="394">
        <f>INT($B57*'A1'!J$63)</f>
        <v>0</v>
      </c>
      <c r="I57" s="394">
        <f>INT($B57*'A1'!K$63)</f>
        <v>0</v>
      </c>
      <c r="J57" s="394">
        <f>INT($B57*'A1'!L$63)</f>
        <v>0</v>
      </c>
      <c r="K57" s="394">
        <f>INT($B57*'A1'!M$63)</f>
        <v>0</v>
      </c>
      <c r="L57" s="394">
        <f>INT($B57*'A1'!N$63)</f>
        <v>0</v>
      </c>
      <c r="M57" s="394">
        <f>INT($B57*'A1'!O$63)</f>
        <v>0</v>
      </c>
      <c r="N57" s="394">
        <f>INT($B57*'A1'!P$63)</f>
        <v>0</v>
      </c>
      <c r="O57" s="390">
        <f t="shared" si="6"/>
        <v>0</v>
      </c>
    </row>
    <row r="58" spans="1:15" ht="13.5" thickBot="1">
      <c r="A58" s="78" t="str">
        <f>IF(DG!$D$132=1,"Aucun",IF(DG!$D$132=2,DG!$B$28,IF(DG!$D$132=3,DG!$B$29,IF(DG!$D$132=4,DG!$B$30,IF(DG!$D$132=5,DG!$B$31,IF(DG!$D$132=6,DG!$B$32,IF(DG!$D$132=7,DG!$B$33)))))))</f>
        <v>Frais de variable 6</v>
      </c>
      <c r="B58" s="391">
        <v>0</v>
      </c>
      <c r="C58" s="394">
        <f>INT($B58*'A1'!E$63)</f>
        <v>0</v>
      </c>
      <c r="D58" s="394">
        <f>INT($B58*'A1'!F$63)</f>
        <v>0</v>
      </c>
      <c r="E58" s="394">
        <f>INT($B58*'A1'!G$63)</f>
        <v>0</v>
      </c>
      <c r="F58" s="394">
        <f>INT($B58*'A1'!H$63)</f>
        <v>0</v>
      </c>
      <c r="G58" s="394">
        <f>INT($B58*'A1'!I$63)</f>
        <v>0</v>
      </c>
      <c r="H58" s="394">
        <f>INT($B58*'A1'!J$63)</f>
        <v>0</v>
      </c>
      <c r="I58" s="394">
        <f>INT($B58*'A1'!K$63)</f>
        <v>0</v>
      </c>
      <c r="J58" s="394">
        <f>INT($B58*'A1'!L$63)</f>
        <v>0</v>
      </c>
      <c r="K58" s="394">
        <f>INT($B58*'A1'!M$63)</f>
        <v>0</v>
      </c>
      <c r="L58" s="394">
        <f>INT($B58*'A1'!N$63)</f>
        <v>0</v>
      </c>
      <c r="M58" s="394">
        <f>INT($B58*'A1'!O$63)</f>
        <v>0</v>
      </c>
      <c r="N58" s="394">
        <f>INT($B58*'A1'!P$63)</f>
        <v>0</v>
      </c>
      <c r="O58" s="390">
        <f t="shared" si="6"/>
        <v>0</v>
      </c>
    </row>
    <row r="59" spans="1:15" ht="13" thickBot="1">
      <c r="A59" s="267"/>
      <c r="B59" s="88"/>
      <c r="C59" s="268"/>
      <c r="D59" s="268"/>
      <c r="E59" s="268"/>
      <c r="F59" s="268"/>
      <c r="G59" s="268"/>
      <c r="H59" s="268"/>
      <c r="I59" s="268"/>
      <c r="J59" s="268"/>
      <c r="K59" s="268"/>
      <c r="L59" s="268"/>
      <c r="M59" s="268"/>
      <c r="N59" s="268"/>
      <c r="O59" s="268"/>
    </row>
    <row r="60" spans="1:15" s="251" customFormat="1" ht="13.5" thickBot="1">
      <c r="A60" s="43" t="s">
        <v>242</v>
      </c>
      <c r="B60" s="275"/>
      <c r="C60" s="319">
        <f t="shared" ref="C60:O60" si="7">SUM(C53:C59)</f>
        <v>0</v>
      </c>
      <c r="D60" s="319">
        <f t="shared" si="7"/>
        <v>0</v>
      </c>
      <c r="E60" s="319">
        <f t="shared" si="7"/>
        <v>0</v>
      </c>
      <c r="F60" s="319">
        <f t="shared" si="7"/>
        <v>0</v>
      </c>
      <c r="G60" s="319">
        <f t="shared" si="7"/>
        <v>0</v>
      </c>
      <c r="H60" s="319">
        <f t="shared" si="7"/>
        <v>0</v>
      </c>
      <c r="I60" s="319">
        <f t="shared" si="7"/>
        <v>0</v>
      </c>
      <c r="J60" s="319">
        <f t="shared" si="7"/>
        <v>0</v>
      </c>
      <c r="K60" s="319">
        <f t="shared" si="7"/>
        <v>0</v>
      </c>
      <c r="L60" s="319">
        <f t="shared" si="7"/>
        <v>0</v>
      </c>
      <c r="M60" s="319">
        <f t="shared" si="7"/>
        <v>0</v>
      </c>
      <c r="N60" s="319">
        <f t="shared" si="7"/>
        <v>0</v>
      </c>
      <c r="O60" s="319">
        <f t="shared" si="7"/>
        <v>0</v>
      </c>
    </row>
    <row r="61" spans="1:15" ht="13">
      <c r="A61" s="521"/>
      <c r="B61" s="522"/>
      <c r="C61" s="142"/>
      <c r="D61" s="142"/>
      <c r="E61" s="142"/>
      <c r="F61" s="142"/>
      <c r="G61" s="142"/>
      <c r="H61" s="142"/>
      <c r="I61" s="142"/>
      <c r="J61" s="142"/>
      <c r="K61" s="142"/>
      <c r="L61" s="142"/>
      <c r="M61" s="142"/>
      <c r="N61" s="142"/>
      <c r="O61" s="142"/>
    </row>
    <row r="62" spans="1:15" ht="13">
      <c r="A62" s="913" t="str">
        <f>'V1'!A67</f>
        <v>Produit/service 5</v>
      </c>
      <c r="B62" s="251"/>
      <c r="C62" s="1189" t="str">
        <f>A62</f>
        <v>Produit/service 5</v>
      </c>
      <c r="D62" s="1189"/>
      <c r="E62" s="1189"/>
      <c r="F62" s="1189"/>
      <c r="G62" s="1189"/>
      <c r="H62" s="1189"/>
      <c r="I62" s="1189"/>
      <c r="J62" s="1189"/>
      <c r="K62" s="1189"/>
      <c r="L62" s="1189"/>
      <c r="M62" s="1189"/>
      <c r="N62" s="1189"/>
      <c r="O62" s="1189"/>
    </row>
    <row r="63" spans="1:15" ht="13" thickBot="1">
      <c r="A63" s="143"/>
      <c r="B63" s="88"/>
      <c r="C63" s="268"/>
      <c r="D63" s="268"/>
      <c r="E63" s="268"/>
      <c r="F63" s="268"/>
      <c r="G63" s="268"/>
      <c r="H63" s="268"/>
      <c r="I63" s="268"/>
      <c r="J63" s="268"/>
      <c r="K63" s="268"/>
      <c r="L63" s="268"/>
      <c r="M63" s="268"/>
      <c r="N63" s="268"/>
      <c r="O63" s="268"/>
    </row>
    <row r="64" spans="1:15" ht="13.5" thickBot="1">
      <c r="A64" s="78" t="str">
        <f>IF(DG!$D$127=1,"Aucun",IF(DG!$D$127=2,DG!$B$28,IF(DG!$D$127=3,DG!$B$29,IF(DG!$D$127=4,DG!$B$30,IF(DG!$D$127=5,DG!$B$31,IF(DG!$D$127=6,DG!$B$32,IF(DG!$D$127=7,DG!$B$33)))))))</f>
        <v>Frais de variable 1</v>
      </c>
      <c r="B64" s="391">
        <v>0</v>
      </c>
      <c r="C64" s="394">
        <f>INT($B64*'A1'!E$76)</f>
        <v>0</v>
      </c>
      <c r="D64" s="394">
        <f>INT($B64*'A1'!F$76)</f>
        <v>0</v>
      </c>
      <c r="E64" s="394">
        <f>INT($B64*'A1'!G$76)</f>
        <v>0</v>
      </c>
      <c r="F64" s="394">
        <f>INT($B64*'A1'!H$76)</f>
        <v>0</v>
      </c>
      <c r="G64" s="394">
        <f>INT($B64*'A1'!I$76)</f>
        <v>0</v>
      </c>
      <c r="H64" s="394">
        <f>INT($B64*'A1'!J$76)</f>
        <v>0</v>
      </c>
      <c r="I64" s="394">
        <f>INT($B64*'A1'!K$76)</f>
        <v>0</v>
      </c>
      <c r="J64" s="394">
        <f>INT($B64*'A1'!L$76)</f>
        <v>0</v>
      </c>
      <c r="K64" s="394">
        <f>INT($B64*'A1'!M$76)</f>
        <v>0</v>
      </c>
      <c r="L64" s="394">
        <f>INT($B64*'A1'!N$76)</f>
        <v>0</v>
      </c>
      <c r="M64" s="394">
        <f>INT($B64*'A1'!O$76)</f>
        <v>0</v>
      </c>
      <c r="N64" s="394">
        <f>INT($B64*'A1'!P$76)</f>
        <v>0</v>
      </c>
      <c r="O64" s="390">
        <f t="shared" ref="O64:O69" si="8">SUM(C64:N64)</f>
        <v>0</v>
      </c>
    </row>
    <row r="65" spans="1:15" ht="13.5" thickBot="1">
      <c r="A65" s="78" t="str">
        <f>IF(DG!$D$128=1,"Aucun",IF(DG!$D$128=2,DG!$B$28,IF(DG!$D$128=3,DG!$B$29,IF(DG!$D$128=4,DG!$B$30,IF(DG!$D$128=5,DG!$B$31,IF(DG!$D$128=6,DG!$B$32,IF(DG!$D$128=7,DG!$B$33)))))))</f>
        <v>Frais de variable 2</v>
      </c>
      <c r="B65" s="391">
        <v>0</v>
      </c>
      <c r="C65" s="394">
        <f>INT($B65*'A1'!E$76)</f>
        <v>0</v>
      </c>
      <c r="D65" s="394">
        <f>INT($B65*'A1'!F$76)</f>
        <v>0</v>
      </c>
      <c r="E65" s="394">
        <f>INT($B65*'A1'!G$76)</f>
        <v>0</v>
      </c>
      <c r="F65" s="394">
        <f>INT($B65*'A1'!H$76)</f>
        <v>0</v>
      </c>
      <c r="G65" s="394">
        <f>INT($B65*'A1'!I$76)</f>
        <v>0</v>
      </c>
      <c r="H65" s="394">
        <f>INT($B65*'A1'!J$76)</f>
        <v>0</v>
      </c>
      <c r="I65" s="394">
        <f>INT($B65*'A1'!K$76)</f>
        <v>0</v>
      </c>
      <c r="J65" s="394">
        <f>INT($B65*'A1'!L$76)</f>
        <v>0</v>
      </c>
      <c r="K65" s="394">
        <f>INT($B65*'A1'!M$76)</f>
        <v>0</v>
      </c>
      <c r="L65" s="394">
        <f>INT($B65*'A1'!N$76)</f>
        <v>0</v>
      </c>
      <c r="M65" s="394">
        <f>INT($B65*'A1'!O$76)</f>
        <v>0</v>
      </c>
      <c r="N65" s="394">
        <f>INT($B65*'A1'!P$76)</f>
        <v>0</v>
      </c>
      <c r="O65" s="390">
        <f t="shared" si="8"/>
        <v>0</v>
      </c>
    </row>
    <row r="66" spans="1:15" ht="13.5" thickBot="1">
      <c r="A66" s="78" t="str">
        <f>IF(DG!$D$129=1,"Aucun",IF(DG!$D$129=2,DG!$B$28,IF(DG!$D$129=3,DG!$B$29,IF(DG!$D$129=4,DG!$B$30,IF(DG!$D$129=5,DG!$B$31,IF(DG!$D$129=6,DG!$B$32,IF(DG!$D$129=7,DG!$B$33)))))))</f>
        <v>Frais de variable 3</v>
      </c>
      <c r="B66" s="391">
        <v>0</v>
      </c>
      <c r="C66" s="394">
        <f>INT($B66*'A1'!E$76)</f>
        <v>0</v>
      </c>
      <c r="D66" s="394">
        <f>INT($B66*'A1'!F$76)</f>
        <v>0</v>
      </c>
      <c r="E66" s="394">
        <f>INT($B66*'A1'!G$76)</f>
        <v>0</v>
      </c>
      <c r="F66" s="394">
        <f>INT($B66*'A1'!H$76)</f>
        <v>0</v>
      </c>
      <c r="G66" s="394">
        <f>INT($B66*'A1'!I$76)</f>
        <v>0</v>
      </c>
      <c r="H66" s="394">
        <f>INT($B66*'A1'!J$76)</f>
        <v>0</v>
      </c>
      <c r="I66" s="394">
        <f>INT($B66*'A1'!K$76)</f>
        <v>0</v>
      </c>
      <c r="J66" s="394">
        <f>INT($B66*'A1'!L$76)</f>
        <v>0</v>
      </c>
      <c r="K66" s="394">
        <f>INT($B66*'A1'!M$76)</f>
        <v>0</v>
      </c>
      <c r="L66" s="394">
        <f>INT($B66*'A1'!N$76)</f>
        <v>0</v>
      </c>
      <c r="M66" s="394">
        <f>INT($B66*'A1'!O$76)</f>
        <v>0</v>
      </c>
      <c r="N66" s="394">
        <f>INT($B66*'A1'!P$76)</f>
        <v>0</v>
      </c>
      <c r="O66" s="390">
        <f t="shared" si="8"/>
        <v>0</v>
      </c>
    </row>
    <row r="67" spans="1:15" ht="13.5" thickBot="1">
      <c r="A67" s="78" t="str">
        <f>IF(DG!$D$130=1,"Aucun",IF(DG!$D$130=2,DG!$B$28,IF(DG!$D$130=3,DG!$B$29,IF(DG!$D$130=4,DG!$B$30,IF(DG!$D$130=5,DG!$B$31,IF(DG!$D$130=6,DG!$B$32,IF(DG!$D$130=7,DG!$B$33)))))))</f>
        <v>Frais de variable 4</v>
      </c>
      <c r="B67" s="391">
        <v>0</v>
      </c>
      <c r="C67" s="394">
        <f>INT($B67*'A1'!E$76)</f>
        <v>0</v>
      </c>
      <c r="D67" s="394">
        <f>INT($B67*'A1'!F$76)</f>
        <v>0</v>
      </c>
      <c r="E67" s="394">
        <f>INT($B67*'A1'!G$76)</f>
        <v>0</v>
      </c>
      <c r="F67" s="394">
        <f>INT($B67*'A1'!H$76)</f>
        <v>0</v>
      </c>
      <c r="G67" s="394">
        <f>INT($B67*'A1'!I$76)</f>
        <v>0</v>
      </c>
      <c r="H67" s="394">
        <f>INT($B67*'A1'!J$76)</f>
        <v>0</v>
      </c>
      <c r="I67" s="394">
        <f>INT($B67*'A1'!K$76)</f>
        <v>0</v>
      </c>
      <c r="J67" s="394">
        <f>INT($B67*'A1'!L$76)</f>
        <v>0</v>
      </c>
      <c r="K67" s="394">
        <f>INT($B67*'A1'!M$76)</f>
        <v>0</v>
      </c>
      <c r="L67" s="394">
        <f>INT($B67*'A1'!N$76)</f>
        <v>0</v>
      </c>
      <c r="M67" s="394">
        <f>INT($B67*'A1'!O$76)</f>
        <v>0</v>
      </c>
      <c r="N67" s="394">
        <f>INT($B67*'A1'!P$76)</f>
        <v>0</v>
      </c>
      <c r="O67" s="390">
        <f t="shared" si="8"/>
        <v>0</v>
      </c>
    </row>
    <row r="68" spans="1:15" ht="13.5" thickBot="1">
      <c r="A68" s="78" t="str">
        <f>IF(DG!$D$131=1,"Aucun",IF(DG!$D$131=2,DG!$B$28,IF(DG!$D$131=3,DG!$B$29,IF(DG!$D$131=4,DG!$B$30,IF(DG!$D$131=5,DG!$B$31,IF(DG!$D$131=6,DG!$B$32,IF(DG!$D$131=7,DG!$B$33)))))))</f>
        <v>Frais de variable 5</v>
      </c>
      <c r="B68" s="391">
        <v>0</v>
      </c>
      <c r="C68" s="394">
        <f>INT($B68*'A1'!E$76)</f>
        <v>0</v>
      </c>
      <c r="D68" s="394">
        <f>INT($B68*'A1'!F$76)</f>
        <v>0</v>
      </c>
      <c r="E68" s="394">
        <f>INT($B68*'A1'!G$76)</f>
        <v>0</v>
      </c>
      <c r="F68" s="394">
        <f>INT($B68*'A1'!H$76)</f>
        <v>0</v>
      </c>
      <c r="G68" s="394">
        <f>INT($B68*'A1'!I$76)</f>
        <v>0</v>
      </c>
      <c r="H68" s="394">
        <f>INT($B68*'A1'!J$76)</f>
        <v>0</v>
      </c>
      <c r="I68" s="394">
        <f>INT($B68*'A1'!K$76)</f>
        <v>0</v>
      </c>
      <c r="J68" s="394">
        <f>INT($B68*'A1'!L$76)</f>
        <v>0</v>
      </c>
      <c r="K68" s="394">
        <f>INT($B68*'A1'!M$76)</f>
        <v>0</v>
      </c>
      <c r="L68" s="394">
        <f>INT($B68*'A1'!N$76)</f>
        <v>0</v>
      </c>
      <c r="M68" s="394">
        <f>INT($B68*'A1'!O$76)</f>
        <v>0</v>
      </c>
      <c r="N68" s="394">
        <f>INT($B68*'A1'!P$76)</f>
        <v>0</v>
      </c>
      <c r="O68" s="390">
        <f t="shared" si="8"/>
        <v>0</v>
      </c>
    </row>
    <row r="69" spans="1:15" ht="13.5" thickBot="1">
      <c r="A69" s="78" t="str">
        <f>IF(DG!$D$132=1,"Aucun",IF(DG!$D$132=2,DG!$B$28,IF(DG!$D$132=3,DG!$B$29,IF(DG!$D$132=4,DG!$B$30,IF(DG!$D$132=5,DG!$B$31,IF(DG!$D$132=6,DG!$B$32,IF(DG!$D$132=7,DG!$B$33)))))))</f>
        <v>Frais de variable 6</v>
      </c>
      <c r="B69" s="391">
        <v>0</v>
      </c>
      <c r="C69" s="394">
        <f>INT($B69*'A1'!E$76)</f>
        <v>0</v>
      </c>
      <c r="D69" s="394">
        <f>INT($B69*'A1'!F$76)</f>
        <v>0</v>
      </c>
      <c r="E69" s="394">
        <f>INT($B69*'A1'!G$76)</f>
        <v>0</v>
      </c>
      <c r="F69" s="394">
        <f>INT($B69*'A1'!H$76)</f>
        <v>0</v>
      </c>
      <c r="G69" s="394">
        <f>INT($B69*'A1'!I$76)</f>
        <v>0</v>
      </c>
      <c r="H69" s="394">
        <f>INT($B69*'A1'!J$76)</f>
        <v>0</v>
      </c>
      <c r="I69" s="394">
        <f>INT($B69*'A1'!K$76)</f>
        <v>0</v>
      </c>
      <c r="J69" s="394">
        <f>INT($B69*'A1'!L$76)</f>
        <v>0</v>
      </c>
      <c r="K69" s="394">
        <f>INT($B69*'A1'!M$76)</f>
        <v>0</v>
      </c>
      <c r="L69" s="394">
        <f>INT($B69*'A1'!N$76)</f>
        <v>0</v>
      </c>
      <c r="M69" s="394">
        <f>INT($B69*'A1'!O$76)</f>
        <v>0</v>
      </c>
      <c r="N69" s="394">
        <f>INT($B69*'A1'!P$76)</f>
        <v>0</v>
      </c>
      <c r="O69" s="390">
        <f t="shared" si="8"/>
        <v>0</v>
      </c>
    </row>
    <row r="70" spans="1:15" ht="13" thickBot="1">
      <c r="A70" s="267"/>
      <c r="B70" s="88"/>
      <c r="C70" s="268"/>
      <c r="D70" s="268"/>
      <c r="E70" s="268"/>
      <c r="F70" s="268"/>
      <c r="G70" s="268"/>
      <c r="H70" s="268"/>
      <c r="I70" s="268"/>
      <c r="J70" s="268"/>
      <c r="K70" s="268"/>
      <c r="L70" s="268"/>
      <c r="M70" s="268"/>
      <c r="N70" s="268"/>
      <c r="O70" s="268"/>
    </row>
    <row r="71" spans="1:15" s="251" customFormat="1" ht="13.5" thickBot="1">
      <c r="A71" s="43" t="s">
        <v>242</v>
      </c>
      <c r="B71" s="275"/>
      <c r="C71" s="319">
        <f t="shared" ref="C71:O71" si="9">SUM(C64:C70)</f>
        <v>0</v>
      </c>
      <c r="D71" s="319">
        <f t="shared" si="9"/>
        <v>0</v>
      </c>
      <c r="E71" s="319">
        <f t="shared" si="9"/>
        <v>0</v>
      </c>
      <c r="F71" s="319">
        <f t="shared" si="9"/>
        <v>0</v>
      </c>
      <c r="G71" s="319">
        <f t="shared" si="9"/>
        <v>0</v>
      </c>
      <c r="H71" s="319">
        <f t="shared" si="9"/>
        <v>0</v>
      </c>
      <c r="I71" s="319">
        <f t="shared" si="9"/>
        <v>0</v>
      </c>
      <c r="J71" s="319">
        <f t="shared" si="9"/>
        <v>0</v>
      </c>
      <c r="K71" s="319">
        <f t="shared" si="9"/>
        <v>0</v>
      </c>
      <c r="L71" s="319">
        <f t="shared" si="9"/>
        <v>0</v>
      </c>
      <c r="M71" s="319">
        <f t="shared" si="9"/>
        <v>0</v>
      </c>
      <c r="N71" s="319">
        <f t="shared" si="9"/>
        <v>0</v>
      </c>
      <c r="O71" s="319">
        <f t="shared" si="9"/>
        <v>0</v>
      </c>
    </row>
    <row r="72" spans="1:15" ht="13">
      <c r="A72" s="521"/>
      <c r="B72" s="522"/>
      <c r="C72" s="142"/>
      <c r="D72" s="142"/>
      <c r="E72" s="142"/>
      <c r="F72" s="142"/>
      <c r="G72" s="142"/>
      <c r="H72" s="142"/>
      <c r="I72" s="142"/>
      <c r="J72" s="142"/>
      <c r="K72" s="142"/>
      <c r="L72" s="142"/>
      <c r="M72" s="142"/>
      <c r="N72" s="142"/>
      <c r="O72" s="142"/>
    </row>
    <row r="73" spans="1:15" ht="13">
      <c r="A73" s="913" t="str">
        <f>'V1'!A80</f>
        <v>Produit/service 6</v>
      </c>
      <c r="B73" s="251"/>
      <c r="C73" s="1189" t="str">
        <f>A73</f>
        <v>Produit/service 6</v>
      </c>
      <c r="D73" s="1189"/>
      <c r="E73" s="1189"/>
      <c r="F73" s="1189"/>
      <c r="G73" s="1189"/>
      <c r="H73" s="1189"/>
      <c r="I73" s="1189"/>
      <c r="J73" s="1189"/>
      <c r="K73" s="1189"/>
      <c r="L73" s="1189"/>
      <c r="M73" s="1189"/>
      <c r="N73" s="1189"/>
      <c r="O73" s="1189"/>
    </row>
    <row r="74" spans="1:15" ht="13" thickBot="1">
      <c r="A74" s="143"/>
      <c r="B74" s="88"/>
      <c r="C74" s="268"/>
      <c r="D74" s="268"/>
      <c r="E74" s="268"/>
      <c r="F74" s="268"/>
      <c r="G74" s="268"/>
      <c r="H74" s="268"/>
      <c r="I74" s="268"/>
      <c r="J74" s="268"/>
      <c r="K74" s="268"/>
      <c r="L74" s="268"/>
      <c r="M74" s="268"/>
      <c r="N74" s="268"/>
      <c r="O74" s="268"/>
    </row>
    <row r="75" spans="1:15" ht="13.5" thickBot="1">
      <c r="A75" s="78" t="str">
        <f>IF(DG!$D$127=1,"Aucun",IF(DG!$D$127=2,DG!$B$28,IF(DG!$D$127=3,DG!$B$29,IF(DG!$D$127=4,DG!$B$30,IF(DG!$D$127=5,DG!$B$31,IF(DG!$D$127=6,DG!$B$32,IF(DG!$D$127=7,DG!$B$33)))))))</f>
        <v>Frais de variable 1</v>
      </c>
      <c r="B75" s="391">
        <v>0</v>
      </c>
      <c r="C75" s="394">
        <f>INT($B75*'A1'!E$89)</f>
        <v>0</v>
      </c>
      <c r="D75" s="394">
        <f>INT($B75*'A1'!F$89)</f>
        <v>0</v>
      </c>
      <c r="E75" s="394">
        <f>INT($B75*'A1'!G$89)</f>
        <v>0</v>
      </c>
      <c r="F75" s="394">
        <f>INT($B75*'A1'!H$89)</f>
        <v>0</v>
      </c>
      <c r="G75" s="394">
        <f>INT($B75*'A1'!I$89)</f>
        <v>0</v>
      </c>
      <c r="H75" s="394">
        <f>INT($B75*'A1'!J$89)</f>
        <v>0</v>
      </c>
      <c r="I75" s="394">
        <f>INT($B75*'A1'!K$89)</f>
        <v>0</v>
      </c>
      <c r="J75" s="394">
        <f>INT($B75*'A1'!L$89)</f>
        <v>0</v>
      </c>
      <c r="K75" s="394">
        <f>INT($B75*'A1'!M$89)</f>
        <v>0</v>
      </c>
      <c r="L75" s="394">
        <f>INT($B75*'A1'!N$89)</f>
        <v>0</v>
      </c>
      <c r="M75" s="394">
        <f>INT($B75*'A1'!O$89)</f>
        <v>0</v>
      </c>
      <c r="N75" s="395">
        <f>INT($B75*'A1'!P$89)</f>
        <v>0</v>
      </c>
      <c r="O75" s="390">
        <f t="shared" ref="O75:O80" si="10">SUM(C75:N75)</f>
        <v>0</v>
      </c>
    </row>
    <row r="76" spans="1:15" ht="13.5" thickBot="1">
      <c r="A76" s="78" t="str">
        <f>IF(DG!$D$128=1,"Aucun",IF(DG!$D$128=2,DG!$B$28,IF(DG!$D$128=3,DG!$B$29,IF(DG!$D$128=4,DG!$B$30,IF(DG!$D$128=5,DG!$B$31,IF(DG!$D$128=6,DG!$B$32,IF(DG!$D$128=7,DG!$B$33)))))))</f>
        <v>Frais de variable 2</v>
      </c>
      <c r="B76" s="391">
        <v>0</v>
      </c>
      <c r="C76" s="394">
        <f>INT($B76*'A1'!E$89)</f>
        <v>0</v>
      </c>
      <c r="D76" s="394">
        <f>INT($B76*'A1'!F$89)</f>
        <v>0</v>
      </c>
      <c r="E76" s="394">
        <f>INT($B76*'A1'!G$89)</f>
        <v>0</v>
      </c>
      <c r="F76" s="394">
        <f>INT($B76*'A1'!H$89)</f>
        <v>0</v>
      </c>
      <c r="G76" s="394">
        <f>INT($B76*'A1'!I$89)</f>
        <v>0</v>
      </c>
      <c r="H76" s="394">
        <f>INT($B76*'A1'!J$89)</f>
        <v>0</v>
      </c>
      <c r="I76" s="394">
        <f>INT($B76*'A1'!K$89)</f>
        <v>0</v>
      </c>
      <c r="J76" s="394">
        <f>INT($B76*'A1'!L$89)</f>
        <v>0</v>
      </c>
      <c r="K76" s="394">
        <f>INT($B76*'A1'!M$89)</f>
        <v>0</v>
      </c>
      <c r="L76" s="394">
        <f>INT($B76*'A1'!N$89)</f>
        <v>0</v>
      </c>
      <c r="M76" s="394">
        <f>INT($B76*'A1'!O$89)</f>
        <v>0</v>
      </c>
      <c r="N76" s="395">
        <f>INT($B76*'A1'!P$89)</f>
        <v>0</v>
      </c>
      <c r="O76" s="390">
        <f t="shared" si="10"/>
        <v>0</v>
      </c>
    </row>
    <row r="77" spans="1:15" ht="13.5" thickBot="1">
      <c r="A77" s="78" t="str">
        <f>IF(DG!$D$129=1,"Aucun",IF(DG!$D$129=2,DG!$B$28,IF(DG!$D$129=3,DG!$B$29,IF(DG!$D$129=4,DG!$B$30,IF(DG!$D$129=5,DG!$B$31,IF(DG!$D$129=6,DG!$B$32,IF(DG!$D$129=7,DG!$B$33)))))))</f>
        <v>Frais de variable 3</v>
      </c>
      <c r="B77" s="391">
        <v>0</v>
      </c>
      <c r="C77" s="394">
        <f>INT($B77*'A1'!E$89)</f>
        <v>0</v>
      </c>
      <c r="D77" s="394">
        <f>INT($B77*'A1'!F$89)</f>
        <v>0</v>
      </c>
      <c r="E77" s="394">
        <f>INT($B77*'A1'!G$89)</f>
        <v>0</v>
      </c>
      <c r="F77" s="394">
        <f>INT($B77*'A1'!H$89)</f>
        <v>0</v>
      </c>
      <c r="G77" s="394">
        <f>INT($B77*'A1'!I$89)</f>
        <v>0</v>
      </c>
      <c r="H77" s="394">
        <f>INT($B77*'A1'!J$89)</f>
        <v>0</v>
      </c>
      <c r="I77" s="394">
        <f>INT($B77*'A1'!K$89)</f>
        <v>0</v>
      </c>
      <c r="J77" s="394">
        <f>INT($B77*'A1'!L$89)</f>
        <v>0</v>
      </c>
      <c r="K77" s="394">
        <f>INT($B77*'A1'!M$89)</f>
        <v>0</v>
      </c>
      <c r="L77" s="394">
        <f>INT($B77*'A1'!N$89)</f>
        <v>0</v>
      </c>
      <c r="M77" s="394">
        <f>INT($B77*'A1'!O$89)</f>
        <v>0</v>
      </c>
      <c r="N77" s="395">
        <f>INT($B77*'A1'!P$89)</f>
        <v>0</v>
      </c>
      <c r="O77" s="390">
        <f t="shared" si="10"/>
        <v>0</v>
      </c>
    </row>
    <row r="78" spans="1:15" ht="13.5" thickBot="1">
      <c r="A78" s="78" t="str">
        <f>IF(DG!$D$130=1,"Aucun",IF(DG!$D$130=2,DG!$B$28,IF(DG!$D$130=3,DG!$B$29,IF(DG!$D$130=4,DG!$B$30,IF(DG!$D$130=5,DG!$B$31,IF(DG!$D$130=6,DG!$B$32,IF(DG!$D$130=7,DG!$B$33)))))))</f>
        <v>Frais de variable 4</v>
      </c>
      <c r="B78" s="391">
        <v>0</v>
      </c>
      <c r="C78" s="394">
        <f>INT($B78*'A1'!E$89)</f>
        <v>0</v>
      </c>
      <c r="D78" s="394">
        <f>INT($B78*'A1'!F$89)</f>
        <v>0</v>
      </c>
      <c r="E78" s="394">
        <f>INT($B78*'A1'!G$89)</f>
        <v>0</v>
      </c>
      <c r="F78" s="394">
        <f>INT($B78*'A1'!H$89)</f>
        <v>0</v>
      </c>
      <c r="G78" s="394">
        <f>INT($B78*'A1'!I$89)</f>
        <v>0</v>
      </c>
      <c r="H78" s="394">
        <f>INT($B78*'A1'!J$89)</f>
        <v>0</v>
      </c>
      <c r="I78" s="394">
        <f>INT($B78*'A1'!K$89)</f>
        <v>0</v>
      </c>
      <c r="J78" s="394">
        <f>INT($B78*'A1'!L$89)</f>
        <v>0</v>
      </c>
      <c r="K78" s="394">
        <f>INT($B78*'A1'!M$89)</f>
        <v>0</v>
      </c>
      <c r="L78" s="394">
        <f>INT($B78*'A1'!N$89)</f>
        <v>0</v>
      </c>
      <c r="M78" s="394">
        <f>INT($B78*'A1'!O$89)</f>
        <v>0</v>
      </c>
      <c r="N78" s="395">
        <f>INT($B78*'A1'!P$89)</f>
        <v>0</v>
      </c>
      <c r="O78" s="390">
        <f t="shared" si="10"/>
        <v>0</v>
      </c>
    </row>
    <row r="79" spans="1:15" ht="13.5" thickBot="1">
      <c r="A79" s="78" t="str">
        <f>IF(DG!$D$131=1,"Aucun",IF(DG!$D$131=2,DG!$B$28,IF(DG!$D$131=3,DG!$B$29,IF(DG!$D$131=4,DG!$B$30,IF(DG!$D$131=5,DG!$B$31,IF(DG!$D$131=6,DG!$B$32,IF(DG!$D$131=7,DG!$B$33)))))))</f>
        <v>Frais de variable 5</v>
      </c>
      <c r="B79" s="391">
        <v>0</v>
      </c>
      <c r="C79" s="394">
        <f>INT($B79*'A1'!E$89)</f>
        <v>0</v>
      </c>
      <c r="D79" s="394">
        <f>INT($B79*'A1'!F$89)</f>
        <v>0</v>
      </c>
      <c r="E79" s="394">
        <f>INT($B79*'A1'!G$89)</f>
        <v>0</v>
      </c>
      <c r="F79" s="394">
        <f>INT($B79*'A1'!H$89)</f>
        <v>0</v>
      </c>
      <c r="G79" s="394">
        <f>INT($B79*'A1'!I$89)</f>
        <v>0</v>
      </c>
      <c r="H79" s="394">
        <f>INT($B79*'A1'!J$89)</f>
        <v>0</v>
      </c>
      <c r="I79" s="394">
        <f>INT($B79*'A1'!K$89)</f>
        <v>0</v>
      </c>
      <c r="J79" s="394">
        <f>INT($B79*'A1'!L$89)</f>
        <v>0</v>
      </c>
      <c r="K79" s="394">
        <f>INT($B79*'A1'!M$89)</f>
        <v>0</v>
      </c>
      <c r="L79" s="394">
        <f>INT($B79*'A1'!N$89)</f>
        <v>0</v>
      </c>
      <c r="M79" s="394">
        <f>INT($B79*'A1'!O$89)</f>
        <v>0</v>
      </c>
      <c r="N79" s="395">
        <f>INT($B79*'A1'!P$89)</f>
        <v>0</v>
      </c>
      <c r="O79" s="390">
        <f t="shared" si="10"/>
        <v>0</v>
      </c>
    </row>
    <row r="80" spans="1:15" ht="13.5" thickBot="1">
      <c r="A80" s="78" t="str">
        <f>IF(DG!$D$132=1,"Aucun",IF(DG!$D$132=2,DG!$B$28,IF(DG!$D$132=3,DG!$B$29,IF(DG!$D$132=4,DG!$B$30,IF(DG!$D$132=5,DG!$B$31,IF(DG!$D$132=6,DG!$B$32,IF(DG!$D$132=7,DG!$B$33)))))))</f>
        <v>Frais de variable 6</v>
      </c>
      <c r="B80" s="391">
        <v>0</v>
      </c>
      <c r="C80" s="394">
        <f>INT($B80*'A1'!E$89)</f>
        <v>0</v>
      </c>
      <c r="D80" s="394">
        <f>INT($B80*'A1'!F$89)</f>
        <v>0</v>
      </c>
      <c r="E80" s="394">
        <f>INT($B80*'A1'!G$89)</f>
        <v>0</v>
      </c>
      <c r="F80" s="394">
        <f>INT($B80*'A1'!H$89)</f>
        <v>0</v>
      </c>
      <c r="G80" s="394">
        <f>INT($B80*'A1'!I$89)</f>
        <v>0</v>
      </c>
      <c r="H80" s="394">
        <f>INT($B80*'A1'!J$89)</f>
        <v>0</v>
      </c>
      <c r="I80" s="394">
        <f>INT($B80*'A1'!K$89)</f>
        <v>0</v>
      </c>
      <c r="J80" s="394">
        <f>INT($B80*'A1'!L$89)</f>
        <v>0</v>
      </c>
      <c r="K80" s="394">
        <f>INT($B80*'A1'!M$89)</f>
        <v>0</v>
      </c>
      <c r="L80" s="394">
        <f>INT($B80*'A1'!N$89)</f>
        <v>0</v>
      </c>
      <c r="M80" s="394">
        <f>INT($B80*'A1'!O$89)</f>
        <v>0</v>
      </c>
      <c r="N80" s="395">
        <f>INT($B80*'A1'!P$89)</f>
        <v>0</v>
      </c>
      <c r="O80" s="390">
        <f t="shared" si="10"/>
        <v>0</v>
      </c>
    </row>
    <row r="81" spans="1:15" ht="13" thickBot="1">
      <c r="A81" s="267"/>
      <c r="B81" s="88"/>
      <c r="C81" s="268"/>
      <c r="D81" s="268"/>
      <c r="E81" s="268"/>
      <c r="F81" s="268"/>
      <c r="G81" s="268"/>
      <c r="H81" s="268"/>
      <c r="I81" s="268"/>
      <c r="J81" s="268"/>
      <c r="K81" s="268"/>
      <c r="L81" s="268"/>
      <c r="M81" s="268"/>
      <c r="N81" s="268"/>
      <c r="O81" s="268"/>
    </row>
    <row r="82" spans="1:15" s="251" customFormat="1" ht="13.5" thickBot="1">
      <c r="A82" s="43" t="s">
        <v>242</v>
      </c>
      <c r="B82" s="275"/>
      <c r="C82" s="319">
        <f t="shared" ref="C82:O82" si="11">SUM(C75:C81)</f>
        <v>0</v>
      </c>
      <c r="D82" s="319">
        <f t="shared" si="11"/>
        <v>0</v>
      </c>
      <c r="E82" s="319">
        <f t="shared" si="11"/>
        <v>0</v>
      </c>
      <c r="F82" s="319">
        <f t="shared" si="11"/>
        <v>0</v>
      </c>
      <c r="G82" s="319">
        <f t="shared" si="11"/>
        <v>0</v>
      </c>
      <c r="H82" s="319">
        <f t="shared" si="11"/>
        <v>0</v>
      </c>
      <c r="I82" s="319">
        <f t="shared" si="11"/>
        <v>0</v>
      </c>
      <c r="J82" s="319">
        <f t="shared" si="11"/>
        <v>0</v>
      </c>
      <c r="K82" s="319">
        <f t="shared" si="11"/>
        <v>0</v>
      </c>
      <c r="L82" s="319">
        <f t="shared" si="11"/>
        <v>0</v>
      </c>
      <c r="M82" s="319">
        <f t="shared" si="11"/>
        <v>0</v>
      </c>
      <c r="N82" s="319">
        <f t="shared" si="11"/>
        <v>0</v>
      </c>
      <c r="O82" s="319">
        <f t="shared" si="11"/>
        <v>0</v>
      </c>
    </row>
    <row r="83" spans="1:15" ht="13" thickBot="1"/>
    <row r="84" spans="1:15" ht="13.5" thickBot="1">
      <c r="A84" s="108" t="s">
        <v>758</v>
      </c>
      <c r="C84" s="293">
        <f t="shared" ref="C84:O84" si="12">C82+C71+C60+C49+C38+C27</f>
        <v>80</v>
      </c>
      <c r="D84" s="293">
        <f t="shared" si="12"/>
        <v>84</v>
      </c>
      <c r="E84" s="293">
        <f t="shared" si="12"/>
        <v>88</v>
      </c>
      <c r="F84" s="293">
        <f t="shared" si="12"/>
        <v>91</v>
      </c>
      <c r="G84" s="293">
        <f t="shared" si="12"/>
        <v>96</v>
      </c>
      <c r="H84" s="293">
        <f t="shared" si="12"/>
        <v>98</v>
      </c>
      <c r="I84" s="293">
        <f t="shared" si="12"/>
        <v>102</v>
      </c>
      <c r="J84" s="293">
        <f t="shared" si="12"/>
        <v>106</v>
      </c>
      <c r="K84" s="293">
        <f t="shared" si="12"/>
        <v>110</v>
      </c>
      <c r="L84" s="293">
        <f t="shared" si="12"/>
        <v>114</v>
      </c>
      <c r="M84" s="293">
        <f t="shared" si="12"/>
        <v>118</v>
      </c>
      <c r="N84" s="293">
        <f t="shared" si="12"/>
        <v>121</v>
      </c>
      <c r="O84" s="293">
        <f t="shared" si="12"/>
        <v>1208</v>
      </c>
    </row>
    <row r="85" spans="1:15" ht="13">
      <c r="A85" s="257"/>
      <c r="C85" s="142"/>
      <c r="D85" s="142"/>
      <c r="E85" s="142"/>
      <c r="F85" s="142"/>
      <c r="G85" s="142"/>
      <c r="H85" s="142"/>
      <c r="I85" s="142"/>
      <c r="J85" s="142"/>
      <c r="K85" s="142"/>
      <c r="L85" s="142"/>
      <c r="M85" s="142"/>
      <c r="N85" s="142"/>
      <c r="O85" s="142"/>
    </row>
    <row r="86" spans="1:15" ht="13">
      <c r="A86" s="257"/>
      <c r="C86" s="142"/>
      <c r="D86" s="142"/>
      <c r="E86" s="142"/>
      <c r="F86" s="142"/>
      <c r="G86" s="142"/>
      <c r="H86" s="142"/>
      <c r="I86" s="142"/>
      <c r="J86" s="142"/>
      <c r="K86" s="142"/>
      <c r="L86" s="142"/>
      <c r="M86" s="142"/>
      <c r="N86" s="142"/>
      <c r="O86" s="142"/>
    </row>
    <row r="88" spans="1:15" s="251" customFormat="1"/>
    <row r="89" spans="1:15" ht="25">
      <c r="A89" s="105"/>
    </row>
    <row r="163" spans="1:1" ht="25">
      <c r="A163" s="105"/>
    </row>
    <row r="237" spans="1:1" ht="25">
      <c r="A237" s="105"/>
    </row>
    <row r="311" spans="1:1" ht="25">
      <c r="A311" s="105"/>
    </row>
  </sheetData>
  <sheetProtection password="E242" sheet="1" objects="1" scenarios="1"/>
  <customSheetViews>
    <customSheetView guid="{30D0538C-360A-4CDF-8D89-584CED1967CC}"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1"/>
      <headerFooter alignWithMargins="0"/>
    </customSheetView>
    <customSheetView guid="{4F3169C3-3348-49DE-A6DC-8AA4D2A9D7A1}"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2"/>
      <headerFooter alignWithMargins="0"/>
    </customSheetView>
  </customSheetViews>
  <mergeCells count="6">
    <mergeCell ref="C62:O62"/>
    <mergeCell ref="C73:O73"/>
    <mergeCell ref="C18:O18"/>
    <mergeCell ref="C29:O29"/>
    <mergeCell ref="C40:O40"/>
    <mergeCell ref="C51:O51"/>
  </mergeCells>
  <phoneticPr fontId="0" type="noConversion"/>
  <pageMargins left="0.7" right="0.7" top="0.75" bottom="0.75" header="0.3" footer="0.3"/>
  <pageSetup scale="6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3014" r:id="rId6" name="Drop Down 6">
              <controlPr defaultSize="0" autoFill="0" autoLine="0" autoPict="0">
                <anchor moveWithCells="1">
                  <from>
                    <xdr:col>0</xdr:col>
                    <xdr:colOff>0</xdr:colOff>
                    <xdr:row>20</xdr:row>
                    <xdr:rowOff>0</xdr:rowOff>
                  </from>
                  <to>
                    <xdr:col>0</xdr:col>
                    <xdr:colOff>1206500</xdr:colOff>
                    <xdr:row>21</xdr:row>
                    <xdr:rowOff>25400</xdr:rowOff>
                  </to>
                </anchor>
              </controlPr>
            </control>
          </mc:Choice>
        </mc:AlternateContent>
        <mc:AlternateContent xmlns:mc="http://schemas.openxmlformats.org/markup-compatibility/2006">
          <mc:Choice Requires="x14">
            <control shapeId="43015" r:id="rId7" name="Drop Down 7">
              <controlPr defaultSize="0" autoFill="0" autoLine="0" autoPict="0">
                <anchor moveWithCells="1">
                  <from>
                    <xdr:col>0</xdr:col>
                    <xdr:colOff>0</xdr:colOff>
                    <xdr:row>21</xdr:row>
                    <xdr:rowOff>0</xdr:rowOff>
                  </from>
                  <to>
                    <xdr:col>0</xdr:col>
                    <xdr:colOff>1206500</xdr:colOff>
                    <xdr:row>22</xdr:row>
                    <xdr:rowOff>25400</xdr:rowOff>
                  </to>
                </anchor>
              </controlPr>
            </control>
          </mc:Choice>
        </mc:AlternateContent>
        <mc:AlternateContent xmlns:mc="http://schemas.openxmlformats.org/markup-compatibility/2006">
          <mc:Choice Requires="x14">
            <control shapeId="43016" r:id="rId8" name="Drop Down 8">
              <controlPr defaultSize="0" autoFill="0" autoLine="0" autoPict="0">
                <anchor moveWithCells="1">
                  <from>
                    <xdr:col>0</xdr:col>
                    <xdr:colOff>0</xdr:colOff>
                    <xdr:row>22</xdr:row>
                    <xdr:rowOff>0</xdr:rowOff>
                  </from>
                  <to>
                    <xdr:col>0</xdr:col>
                    <xdr:colOff>1206500</xdr:colOff>
                    <xdr:row>23</xdr:row>
                    <xdr:rowOff>25400</xdr:rowOff>
                  </to>
                </anchor>
              </controlPr>
            </control>
          </mc:Choice>
        </mc:AlternateContent>
        <mc:AlternateContent xmlns:mc="http://schemas.openxmlformats.org/markup-compatibility/2006">
          <mc:Choice Requires="x14">
            <control shapeId="43017" r:id="rId9" name="Drop Down 9">
              <controlPr defaultSize="0" autoFill="0" autoLine="0" autoPict="0">
                <anchor moveWithCells="1">
                  <from>
                    <xdr:col>0</xdr:col>
                    <xdr:colOff>0</xdr:colOff>
                    <xdr:row>23</xdr:row>
                    <xdr:rowOff>0</xdr:rowOff>
                  </from>
                  <to>
                    <xdr:col>0</xdr:col>
                    <xdr:colOff>1206500</xdr:colOff>
                    <xdr:row>24</xdr:row>
                    <xdr:rowOff>25400</xdr:rowOff>
                  </to>
                </anchor>
              </controlPr>
            </control>
          </mc:Choice>
        </mc:AlternateContent>
        <mc:AlternateContent xmlns:mc="http://schemas.openxmlformats.org/markup-compatibility/2006">
          <mc:Choice Requires="x14">
            <control shapeId="43034" r:id="rId10" name="Drop Down 26">
              <controlPr defaultSize="0" autoFill="0" autoLine="0" autoPict="0">
                <anchor moveWithCells="1">
                  <from>
                    <xdr:col>0</xdr:col>
                    <xdr:colOff>0</xdr:colOff>
                    <xdr:row>24</xdr:row>
                    <xdr:rowOff>0</xdr:rowOff>
                  </from>
                  <to>
                    <xdr:col>0</xdr:col>
                    <xdr:colOff>1206500</xdr:colOff>
                    <xdr:row>25</xdr:row>
                    <xdr:rowOff>25400</xdr:rowOff>
                  </to>
                </anchor>
              </controlPr>
            </control>
          </mc:Choice>
        </mc:AlternateContent>
        <mc:AlternateContent xmlns:mc="http://schemas.openxmlformats.org/markup-compatibility/2006">
          <mc:Choice Requires="x14">
            <control shapeId="43071" r:id="rId11" name="Drop Down 63">
              <controlPr defaultSize="0" autoFill="0" autoLine="0" autoPict="0">
                <anchor moveWithCells="1">
                  <from>
                    <xdr:col>0</xdr:col>
                    <xdr:colOff>0</xdr:colOff>
                    <xdr:row>19</xdr:row>
                    <xdr:rowOff>0</xdr:rowOff>
                  </from>
                  <to>
                    <xdr:col>0</xdr:col>
                    <xdr:colOff>1206500</xdr:colOff>
                    <xdr:row>20</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4">
    <pageSetUpPr fitToPage="1"/>
  </sheetPr>
  <dimension ref="A1:P87"/>
  <sheetViews>
    <sheetView showGridLines="0" showRowColHeaders="0" zoomScaleNormal="100" workbookViewId="0">
      <pane ySplit="15" topLeftCell="A16" activePane="bottomLeft" state="frozen"/>
      <selection activeCell="G24" sqref="G24"/>
      <selection pane="bottomLeft" activeCell="H2" sqref="H2"/>
    </sheetView>
  </sheetViews>
  <sheetFormatPr baseColWidth="10" defaultColWidth="11.453125" defaultRowHeight="12.5"/>
  <cols>
    <col min="1" max="1" width="30" style="261" customWidth="1"/>
    <col min="2" max="2" width="10" style="261" customWidth="1"/>
    <col min="3" max="16384" width="11.453125" style="261"/>
  </cols>
  <sheetData>
    <row r="1" spans="1:16" customFormat="1"/>
    <row r="2" spans="1:16" customFormat="1"/>
    <row r="3" spans="1:16" customFormat="1"/>
    <row r="9" spans="1:16" hidden="1"/>
    <row r="10" spans="1:16" s="251" customFormat="1" ht="13" hidden="1">
      <c r="P10" s="48"/>
    </row>
    <row r="12" spans="1:16" s="251" customFormat="1" ht="25.5" customHeight="1">
      <c r="A12" s="105" t="str">
        <f>RG!$D$17</f>
        <v>Jhon Wesly inc.</v>
      </c>
      <c r="F12" s="808"/>
      <c r="P12" s="48"/>
    </row>
    <row r="13" spans="1:16" s="251" customFormat="1" ht="13.5" thickBot="1">
      <c r="B13" s="88"/>
      <c r="C13" s="268"/>
      <c r="D13" s="268"/>
      <c r="E13" s="268"/>
      <c r="F13" s="268"/>
      <c r="G13" s="268"/>
      <c r="H13" s="268"/>
      <c r="I13" s="268"/>
      <c r="J13" s="268"/>
      <c r="K13" s="268"/>
      <c r="L13" s="268"/>
      <c r="M13" s="268"/>
      <c r="N13" s="268"/>
      <c r="O13" s="268"/>
      <c r="P13" s="48"/>
    </row>
    <row r="14" spans="1:16" s="822" customFormat="1" ht="30.5" thickBot="1">
      <c r="A14" s="911" t="s">
        <v>665</v>
      </c>
      <c r="B14" s="98"/>
      <c r="C14" s="821">
        <f>'A2'!E14</f>
        <v>45658</v>
      </c>
      <c r="D14" s="821">
        <f>'A2'!F14</f>
        <v>45689</v>
      </c>
      <c r="E14" s="821">
        <f>'A2'!G14</f>
        <v>45720</v>
      </c>
      <c r="F14" s="821">
        <f>'A2'!H14</f>
        <v>45751</v>
      </c>
      <c r="G14" s="821">
        <f>'A2'!I14</f>
        <v>45782</v>
      </c>
      <c r="H14" s="821">
        <f>'A2'!J14</f>
        <v>45813</v>
      </c>
      <c r="I14" s="821">
        <f>'A2'!K14</f>
        <v>45844</v>
      </c>
      <c r="J14" s="821">
        <f>'A2'!L14</f>
        <v>45875</v>
      </c>
      <c r="K14" s="821">
        <f>'A2'!M14</f>
        <v>45906</v>
      </c>
      <c r="L14" s="821">
        <f>'A2'!N14</f>
        <v>45937</v>
      </c>
      <c r="M14" s="821">
        <f>'A2'!O14</f>
        <v>45968</v>
      </c>
      <c r="N14" s="821">
        <f>'A2'!P14</f>
        <v>45999</v>
      </c>
      <c r="O14" s="821" t="str">
        <f>'A2'!Q14</f>
        <v>Année</v>
      </c>
      <c r="P14" s="816"/>
    </row>
    <row r="15" spans="1:16" ht="13">
      <c r="C15" s="523"/>
      <c r="D15" s="523"/>
      <c r="E15" s="523"/>
      <c r="F15" s="523"/>
      <c r="G15" s="523"/>
      <c r="H15" s="523"/>
      <c r="I15" s="523"/>
      <c r="J15" s="523"/>
      <c r="K15" s="523"/>
      <c r="L15" s="523"/>
      <c r="M15" s="523"/>
      <c r="N15" s="523"/>
      <c r="O15" s="523"/>
    </row>
    <row r="16" spans="1:16" ht="13">
      <c r="A16" s="914" t="str">
        <f>'V2'!A16</f>
        <v>Produit/service 1</v>
      </c>
      <c r="C16" s="1190" t="str">
        <f>A16</f>
        <v>Produit/service 1</v>
      </c>
      <c r="D16" s="1191"/>
      <c r="E16" s="1191"/>
      <c r="F16" s="1191"/>
      <c r="G16" s="1191"/>
      <c r="H16" s="1191"/>
      <c r="I16" s="1191"/>
      <c r="J16" s="1191"/>
      <c r="K16" s="1191"/>
      <c r="L16" s="1191"/>
      <c r="M16" s="1191"/>
      <c r="N16" s="1191"/>
      <c r="O16" s="1191"/>
    </row>
    <row r="17" spans="1:16" s="251" customFormat="1" ht="13.5" thickBot="1">
      <c r="A17" s="143"/>
      <c r="B17" s="88"/>
      <c r="C17" s="268"/>
      <c r="D17" s="268"/>
      <c r="E17" s="268"/>
      <c r="F17" s="268"/>
      <c r="G17" s="268"/>
      <c r="H17" s="268"/>
      <c r="I17" s="268"/>
      <c r="J17" s="268"/>
      <c r="K17" s="268"/>
      <c r="L17" s="268"/>
      <c r="M17" s="268"/>
      <c r="N17" s="268"/>
      <c r="O17" s="268"/>
      <c r="P17" s="48"/>
    </row>
    <row r="18" spans="1:16" s="251" customFormat="1" ht="13.5" thickBot="1">
      <c r="A18" s="78" t="str">
        <f>IF(DG!$D$127=1,"Aucun",IF(DG!$D$127=2,DG!$B$28,IF(DG!$D$127=3,DG!$B$29,IF(DG!$D$127=4,DG!$B$30,IF(DG!$D$127=5,DG!$B$31,IF(DG!$D$127=6,DG!$B$32,IF(DG!$D$127=7,DG!$B$33)))))))</f>
        <v>Frais de variable 1</v>
      </c>
      <c r="B18" s="495">
        <f>'FD1'!B20</f>
        <v>2.5000000000000001E-2</v>
      </c>
      <c r="C18" s="394">
        <f>INT($B18*'A2'!E$24)</f>
        <v>19</v>
      </c>
      <c r="D18" s="394">
        <f>INT($B18*'A2'!F$24)</f>
        <v>20</v>
      </c>
      <c r="E18" s="394">
        <f>INT($B18*'A2'!G$24)</f>
        <v>21</v>
      </c>
      <c r="F18" s="394">
        <f>INT($B18*'A2'!H$24)</f>
        <v>21</v>
      </c>
      <c r="G18" s="394">
        <f>INT($B18*'A2'!I$24)</f>
        <v>22</v>
      </c>
      <c r="H18" s="394">
        <f>INT($B18*'A2'!J$24)</f>
        <v>22</v>
      </c>
      <c r="I18" s="394">
        <f>INT($B18*'A2'!K$24)</f>
        <v>23</v>
      </c>
      <c r="J18" s="394">
        <f>INT($B18*'A2'!L$24)</f>
        <v>24</v>
      </c>
      <c r="K18" s="394">
        <f>INT($B18*'A2'!M$24)</f>
        <v>24</v>
      </c>
      <c r="L18" s="394">
        <f>INT($B18*'A2'!N$24)</f>
        <v>25</v>
      </c>
      <c r="M18" s="394">
        <f>INT($B18*'A2'!O$24)</f>
        <v>26</v>
      </c>
      <c r="N18" s="394">
        <f>INT($B18*'A2'!P$24)</f>
        <v>26</v>
      </c>
      <c r="O18" s="390">
        <f t="shared" ref="O18:O23" si="0">SUM(C18:N18)</f>
        <v>273</v>
      </c>
      <c r="P18" s="48"/>
    </row>
    <row r="19" spans="1:16" s="251" customFormat="1" ht="13.5" thickBot="1">
      <c r="A19" s="78" t="str">
        <f>IF(DG!$D$128=1,"Aucun",IF(DG!$D$128=2,DG!$B$28,IF(DG!$D$128=3,DG!$B$29,IF(DG!$D$128=4,DG!$B$30,IF(DG!$D$128=5,DG!$B$31,IF(DG!$D$128=6,DG!$B$32,IF(DG!$D$128=7,DG!$B$33)))))))</f>
        <v>Frais de variable 2</v>
      </c>
      <c r="B19" s="495">
        <f>'FD1'!B21</f>
        <v>0</v>
      </c>
      <c r="C19" s="394">
        <f>INT($B19*'A2'!E$24)</f>
        <v>0</v>
      </c>
      <c r="D19" s="394">
        <f>INT($B19*'A2'!F$24)</f>
        <v>0</v>
      </c>
      <c r="E19" s="394">
        <f>INT($B19*'A2'!G$24)</f>
        <v>0</v>
      </c>
      <c r="F19" s="394">
        <f>INT($B19*'A2'!H$24)</f>
        <v>0</v>
      </c>
      <c r="G19" s="394">
        <f>INT($B19*'A2'!I$24)</f>
        <v>0</v>
      </c>
      <c r="H19" s="394">
        <f>INT($B19*'A2'!J$24)</f>
        <v>0</v>
      </c>
      <c r="I19" s="394">
        <f>INT($B19*'A2'!K$24)</f>
        <v>0</v>
      </c>
      <c r="J19" s="394">
        <f>INT($B19*'A2'!L$24)</f>
        <v>0</v>
      </c>
      <c r="K19" s="394">
        <f>INT($B19*'A2'!M$24)</f>
        <v>0</v>
      </c>
      <c r="L19" s="394">
        <f>INT($B19*'A2'!N$24)</f>
        <v>0</v>
      </c>
      <c r="M19" s="394">
        <f>INT($B19*'A2'!O$24)</f>
        <v>0</v>
      </c>
      <c r="N19" s="394">
        <f>INT($B19*'A2'!P$24)</f>
        <v>0</v>
      </c>
      <c r="O19" s="390">
        <f t="shared" si="0"/>
        <v>0</v>
      </c>
      <c r="P19" s="48"/>
    </row>
    <row r="20" spans="1:16" s="251" customFormat="1" ht="13.5" thickBot="1">
      <c r="A20" s="78" t="str">
        <f>IF(DG!$D$129=1,"Aucun",IF(DG!$D$129=2,DG!$B$28,IF(DG!$D$129=3,DG!$B$29,IF(DG!$D$129=4,DG!$B$30,IF(DG!$D$129=5,DG!$B$31,IF(DG!$D$129=6,DG!$B$32,IF(DG!$D$129=7,DG!$B$33)))))))</f>
        <v>Frais de variable 3</v>
      </c>
      <c r="B20" s="495">
        <f>'FD1'!B22</f>
        <v>0</v>
      </c>
      <c r="C20" s="394">
        <f>INT($B20*'A2'!E$24)</f>
        <v>0</v>
      </c>
      <c r="D20" s="394">
        <f>INT($B20*'A2'!F$24)</f>
        <v>0</v>
      </c>
      <c r="E20" s="394">
        <f>INT($B20*'A2'!G$24)</f>
        <v>0</v>
      </c>
      <c r="F20" s="394">
        <f>INT($B20*'A2'!H$24)</f>
        <v>0</v>
      </c>
      <c r="G20" s="394">
        <f>INT($B20*'A2'!I$24)</f>
        <v>0</v>
      </c>
      <c r="H20" s="394">
        <f>INT($B20*'A2'!J$24)</f>
        <v>0</v>
      </c>
      <c r="I20" s="394">
        <f>INT($B20*'A2'!K$24)</f>
        <v>0</v>
      </c>
      <c r="J20" s="394">
        <f>INT($B20*'A2'!L$24)</f>
        <v>0</v>
      </c>
      <c r="K20" s="394">
        <f>INT($B20*'A2'!M$24)</f>
        <v>0</v>
      </c>
      <c r="L20" s="394">
        <f>INT($B20*'A2'!N$24)</f>
        <v>0</v>
      </c>
      <c r="M20" s="394">
        <f>INT($B20*'A2'!O$24)</f>
        <v>0</v>
      </c>
      <c r="N20" s="394">
        <f>INT($B20*'A2'!P$24)</f>
        <v>0</v>
      </c>
      <c r="O20" s="390">
        <f t="shared" si="0"/>
        <v>0</v>
      </c>
      <c r="P20" s="48"/>
    </row>
    <row r="21" spans="1:16" s="251" customFormat="1" ht="13.5" thickBot="1">
      <c r="A21" s="78" t="str">
        <f>IF(DG!$D$130=1,"Aucun",IF(DG!$D$130=2,DG!$B$28,IF(DG!$D$130=3,DG!$B$29,IF(DG!$D$130=4,DG!$B$30,IF(DG!$D$130=5,DG!$B$31,IF(DG!$D$130=6,DG!$B$32,IF(DG!$D$130=7,DG!$B$33)))))))</f>
        <v>Frais de variable 4</v>
      </c>
      <c r="B21" s="495">
        <f>'FD1'!B23</f>
        <v>0</v>
      </c>
      <c r="C21" s="394">
        <f>INT($B21*'A2'!E$24)</f>
        <v>0</v>
      </c>
      <c r="D21" s="394">
        <f>INT($B21*'A2'!F$24)</f>
        <v>0</v>
      </c>
      <c r="E21" s="394">
        <f>INT($B21*'A2'!G$24)</f>
        <v>0</v>
      </c>
      <c r="F21" s="394">
        <f>INT($B21*'A2'!H$24)</f>
        <v>0</v>
      </c>
      <c r="G21" s="394">
        <f>INT($B21*'A2'!I$24)</f>
        <v>0</v>
      </c>
      <c r="H21" s="394">
        <f>INT($B21*'A2'!J$24)</f>
        <v>0</v>
      </c>
      <c r="I21" s="394">
        <f>INT($B21*'A2'!K$24)</f>
        <v>0</v>
      </c>
      <c r="J21" s="394">
        <f>INT($B21*'A2'!L$24)</f>
        <v>0</v>
      </c>
      <c r="K21" s="394">
        <f>INT($B21*'A2'!M$24)</f>
        <v>0</v>
      </c>
      <c r="L21" s="394">
        <f>INT($B21*'A2'!N$24)</f>
        <v>0</v>
      </c>
      <c r="M21" s="394">
        <f>INT($B21*'A2'!O$24)</f>
        <v>0</v>
      </c>
      <c r="N21" s="394">
        <f>INT($B21*'A2'!P$24)</f>
        <v>0</v>
      </c>
      <c r="O21" s="390">
        <f t="shared" si="0"/>
        <v>0</v>
      </c>
      <c r="P21" s="48"/>
    </row>
    <row r="22" spans="1:16" s="251" customFormat="1" ht="13.5" thickBot="1">
      <c r="A22" s="78" t="str">
        <f>IF(DG!$D$131=1,"Aucun",IF(DG!$D$131=2,DG!$B$28,IF(DG!$D$131=3,DG!$B$29,IF(DG!$D$131=4,DG!$B$30,IF(DG!$D$131=5,DG!$B$31,IF(DG!$D$131=6,DG!$B$32,IF(DG!$D$131=7,DG!$B$33)))))))</f>
        <v>Frais de variable 5</v>
      </c>
      <c r="B22" s="495">
        <f>'FD1'!B24</f>
        <v>0</v>
      </c>
      <c r="C22" s="394">
        <f>INT($B22*'A2'!E$24)</f>
        <v>0</v>
      </c>
      <c r="D22" s="394">
        <f>INT($B22*'A2'!F$24)</f>
        <v>0</v>
      </c>
      <c r="E22" s="394">
        <f>INT($B22*'A2'!G$24)</f>
        <v>0</v>
      </c>
      <c r="F22" s="394">
        <f>INT($B22*'A2'!H$24)</f>
        <v>0</v>
      </c>
      <c r="G22" s="394">
        <f>INT($B22*'A2'!I$24)</f>
        <v>0</v>
      </c>
      <c r="H22" s="394">
        <f>INT($B22*'A2'!J$24)</f>
        <v>0</v>
      </c>
      <c r="I22" s="394">
        <f>INT($B22*'A2'!K$24)</f>
        <v>0</v>
      </c>
      <c r="J22" s="394">
        <f>INT($B22*'A2'!L$24)</f>
        <v>0</v>
      </c>
      <c r="K22" s="394">
        <f>INT($B22*'A2'!M$24)</f>
        <v>0</v>
      </c>
      <c r="L22" s="394">
        <f>INT($B22*'A2'!N$24)</f>
        <v>0</v>
      </c>
      <c r="M22" s="394">
        <f>INT($B22*'A2'!O$24)</f>
        <v>0</v>
      </c>
      <c r="N22" s="394">
        <f>INT($B22*'A2'!P$24)</f>
        <v>0</v>
      </c>
      <c r="O22" s="390">
        <f t="shared" si="0"/>
        <v>0</v>
      </c>
      <c r="P22" s="48"/>
    </row>
    <row r="23" spans="1:16" s="251" customFormat="1" ht="13.5" thickBot="1">
      <c r="A23" s="78" t="str">
        <f>IF(DG!$D$132=1,"Aucun",IF(DG!$D$132=2,DG!$B$28,IF(DG!$D$132=3,DG!$B$29,IF(DG!$D$132=4,DG!$B$30,IF(DG!$D$132=5,DG!$B$31,IF(DG!$D$132=6,DG!$B$32,IF(DG!$D$132=7,DG!$B$33)))))))</f>
        <v>Frais de variable 6</v>
      </c>
      <c r="B23" s="495">
        <f>'FD1'!B25</f>
        <v>0</v>
      </c>
      <c r="C23" s="394">
        <f>INT($B23*'A2'!E$24)</f>
        <v>0</v>
      </c>
      <c r="D23" s="394">
        <f>INT($B23*'A2'!F$24)</f>
        <v>0</v>
      </c>
      <c r="E23" s="394">
        <f>INT($B23*'A2'!G$24)</f>
        <v>0</v>
      </c>
      <c r="F23" s="394">
        <f>INT($B23*'A2'!H$24)</f>
        <v>0</v>
      </c>
      <c r="G23" s="394">
        <f>INT($B23*'A2'!I$24)</f>
        <v>0</v>
      </c>
      <c r="H23" s="394">
        <f>INT($B23*'A2'!J$24)</f>
        <v>0</v>
      </c>
      <c r="I23" s="394">
        <f>INT($B23*'A2'!K$24)</f>
        <v>0</v>
      </c>
      <c r="J23" s="394">
        <f>INT($B23*'A2'!L$24)</f>
        <v>0</v>
      </c>
      <c r="K23" s="394">
        <f>INT($B23*'A2'!M$24)</f>
        <v>0</v>
      </c>
      <c r="L23" s="394">
        <f>INT($B23*'A2'!N$24)</f>
        <v>0</v>
      </c>
      <c r="M23" s="394">
        <f>INT($B23*'A2'!O$24)</f>
        <v>0</v>
      </c>
      <c r="N23" s="394">
        <f>INT($B23*'A2'!P$24)</f>
        <v>0</v>
      </c>
      <c r="O23" s="390">
        <f t="shared" si="0"/>
        <v>0</v>
      </c>
      <c r="P23" s="48"/>
    </row>
    <row r="24" spans="1:16" s="251" customFormat="1" ht="13.5" thickBot="1">
      <c r="A24" s="267"/>
      <c r="B24" s="88"/>
      <c r="C24" s="268"/>
      <c r="D24" s="268"/>
      <c r="E24" s="268"/>
      <c r="F24" s="268"/>
      <c r="G24" s="268"/>
      <c r="H24" s="268"/>
      <c r="I24" s="268"/>
      <c r="J24" s="268"/>
      <c r="K24" s="268"/>
      <c r="L24" s="268"/>
      <c r="M24" s="268"/>
      <c r="N24" s="268"/>
      <c r="O24" s="268"/>
      <c r="P24" s="48"/>
    </row>
    <row r="25" spans="1:16" s="251" customFormat="1" ht="13.5" thickBot="1">
      <c r="A25" s="43" t="s">
        <v>242</v>
      </c>
      <c r="C25" s="524">
        <f t="shared" ref="C25:O25" si="1">SUM(C18:C24)</f>
        <v>19</v>
      </c>
      <c r="D25" s="524">
        <f t="shared" si="1"/>
        <v>20</v>
      </c>
      <c r="E25" s="524">
        <f t="shared" si="1"/>
        <v>21</v>
      </c>
      <c r="F25" s="524">
        <f t="shared" si="1"/>
        <v>21</v>
      </c>
      <c r="G25" s="524">
        <f t="shared" si="1"/>
        <v>22</v>
      </c>
      <c r="H25" s="524">
        <f t="shared" si="1"/>
        <v>22</v>
      </c>
      <c r="I25" s="524">
        <f t="shared" si="1"/>
        <v>23</v>
      </c>
      <c r="J25" s="524">
        <f t="shared" si="1"/>
        <v>24</v>
      </c>
      <c r="K25" s="524">
        <f t="shared" si="1"/>
        <v>24</v>
      </c>
      <c r="L25" s="524">
        <f t="shared" si="1"/>
        <v>25</v>
      </c>
      <c r="M25" s="524">
        <f t="shared" si="1"/>
        <v>26</v>
      </c>
      <c r="N25" s="524">
        <f t="shared" si="1"/>
        <v>26</v>
      </c>
      <c r="O25" s="524">
        <f t="shared" si="1"/>
        <v>273</v>
      </c>
    </row>
    <row r="27" spans="1:16" ht="13">
      <c r="A27" s="914" t="str">
        <f>'V2'!A30</f>
        <v>Produit/service 2</v>
      </c>
      <c r="C27" s="1190" t="str">
        <f>A27</f>
        <v>Produit/service 2</v>
      </c>
      <c r="D27" s="1191"/>
      <c r="E27" s="1191"/>
      <c r="F27" s="1191"/>
      <c r="G27" s="1191"/>
      <c r="H27" s="1191"/>
      <c r="I27" s="1191"/>
      <c r="J27" s="1191"/>
      <c r="K27" s="1191"/>
      <c r="L27" s="1191"/>
      <c r="M27" s="1191"/>
      <c r="N27" s="1191"/>
      <c r="O27" s="1191"/>
    </row>
    <row r="28" spans="1:16" ht="13" thickBot="1">
      <c r="A28" s="143"/>
      <c r="B28" s="88"/>
      <c r="C28" s="268"/>
      <c r="D28" s="268"/>
      <c r="E28" s="268"/>
      <c r="F28" s="268"/>
      <c r="G28" s="268"/>
      <c r="H28" s="268"/>
      <c r="I28" s="268"/>
      <c r="J28" s="268"/>
      <c r="K28" s="268"/>
      <c r="L28" s="268"/>
      <c r="M28" s="268"/>
      <c r="N28" s="268"/>
      <c r="O28" s="268"/>
    </row>
    <row r="29" spans="1:16" ht="13.5" thickBot="1">
      <c r="A29" s="78" t="str">
        <f>IF(DG!$D$127=1,"Aucun",IF(DG!$D$127=2,DG!$B$28,IF(DG!$D$127=3,DG!$B$29,IF(DG!$D$127=4,DG!$B$30,IF(DG!$D$127=5,DG!$B$31,IF(DG!$D$127=6,DG!$B$32,IF(DG!$D$127=7,DG!$B$33)))))))</f>
        <v>Frais de variable 1</v>
      </c>
      <c r="B29" s="495">
        <f>'FD1'!B31</f>
        <v>2.5000000000000001E-2</v>
      </c>
      <c r="C29" s="394">
        <f>INT($B29*'A2'!E$37)</f>
        <v>26</v>
      </c>
      <c r="D29" s="394">
        <f>INT($B29*'A2'!F$37)</f>
        <v>27</v>
      </c>
      <c r="E29" s="394">
        <f>INT($B29*'A2'!G$37)</f>
        <v>28</v>
      </c>
      <c r="F29" s="394">
        <f>INT($B29*'A2'!H$37)</f>
        <v>30</v>
      </c>
      <c r="G29" s="394">
        <f>INT($B29*'A2'!I$37)</f>
        <v>31</v>
      </c>
      <c r="H29" s="394">
        <f>INT($B29*'A2'!J$37)</f>
        <v>32</v>
      </c>
      <c r="I29" s="394">
        <f>INT($B29*'A2'!K$37)</f>
        <v>34</v>
      </c>
      <c r="J29" s="394">
        <f>INT($B29*'A2'!L$37)</f>
        <v>35</v>
      </c>
      <c r="K29" s="394">
        <f>INT($B29*'A2'!M$37)</f>
        <v>36</v>
      </c>
      <c r="L29" s="394">
        <f>INT($B29*'A2'!N$37)</f>
        <v>38</v>
      </c>
      <c r="M29" s="394">
        <f>INT($B29*'A2'!O$37)</f>
        <v>39</v>
      </c>
      <c r="N29" s="394">
        <f>INT($B29*'A2'!P$37)</f>
        <v>40</v>
      </c>
      <c r="O29" s="390">
        <f t="shared" ref="O29:O34" si="2">SUM(C29:N29)</f>
        <v>396</v>
      </c>
    </row>
    <row r="30" spans="1:16" ht="13.5" thickBot="1">
      <c r="A30" s="78" t="str">
        <f>IF(DG!$D$128=1,"Aucun",IF(DG!$D$128=2,DG!$B$28,IF(DG!$D$128=3,DG!$B$29,IF(DG!$D$128=4,DG!$B$30,IF(DG!$D$128=5,DG!$B$31,IF(DG!$D$128=6,DG!$B$32,IF(DG!$D$128=7,DG!$B$33)))))))</f>
        <v>Frais de variable 2</v>
      </c>
      <c r="B30" s="495">
        <f>'FD1'!B32</f>
        <v>0</v>
      </c>
      <c r="C30" s="394">
        <f>INT($B30*'A2'!E$37)</f>
        <v>0</v>
      </c>
      <c r="D30" s="394">
        <f>INT($B30*'A2'!F$37)</f>
        <v>0</v>
      </c>
      <c r="E30" s="394">
        <f>INT($B30*'A2'!G$37)</f>
        <v>0</v>
      </c>
      <c r="F30" s="394">
        <f>INT($B30*'A2'!H$37)</f>
        <v>0</v>
      </c>
      <c r="G30" s="394">
        <f>INT($B30*'A2'!I$37)</f>
        <v>0</v>
      </c>
      <c r="H30" s="394">
        <f>INT($B30*'A2'!J$37)</f>
        <v>0</v>
      </c>
      <c r="I30" s="394">
        <f>INT($B30*'A2'!K$37)</f>
        <v>0</v>
      </c>
      <c r="J30" s="394">
        <f>INT($B30*'A2'!L$37)</f>
        <v>0</v>
      </c>
      <c r="K30" s="394">
        <f>INT($B30*'A2'!M$37)</f>
        <v>0</v>
      </c>
      <c r="L30" s="394">
        <f>INT($B30*'A2'!N$37)</f>
        <v>0</v>
      </c>
      <c r="M30" s="394">
        <f>INT($B30*'A2'!O$37)</f>
        <v>0</v>
      </c>
      <c r="N30" s="394">
        <f>INT($B30*'A2'!P$37)</f>
        <v>0</v>
      </c>
      <c r="O30" s="390">
        <f t="shared" si="2"/>
        <v>0</v>
      </c>
    </row>
    <row r="31" spans="1:16" ht="13.5" thickBot="1">
      <c r="A31" s="78" t="str">
        <f>IF(DG!$D$129=1,"Aucun",IF(DG!$D$129=2,DG!$B$28,IF(DG!$D$129=3,DG!$B$29,IF(DG!$D$129=4,DG!$B$30,IF(DG!$D$129=5,DG!$B$31,IF(DG!$D$129=6,DG!$B$32,IF(DG!$D$129=7,DG!$B$33)))))))</f>
        <v>Frais de variable 3</v>
      </c>
      <c r="B31" s="495">
        <f>'FD1'!B33</f>
        <v>0</v>
      </c>
      <c r="C31" s="394">
        <f>INT($B31*'A2'!E$37)</f>
        <v>0</v>
      </c>
      <c r="D31" s="394">
        <f>INT($B31*'A2'!F$37)</f>
        <v>0</v>
      </c>
      <c r="E31" s="394">
        <f>INT($B31*'A2'!G$37)</f>
        <v>0</v>
      </c>
      <c r="F31" s="394">
        <f>INT($B31*'A2'!H$37)</f>
        <v>0</v>
      </c>
      <c r="G31" s="394">
        <f>INT($B31*'A2'!I$37)</f>
        <v>0</v>
      </c>
      <c r="H31" s="394">
        <f>INT($B31*'A2'!J$37)</f>
        <v>0</v>
      </c>
      <c r="I31" s="394">
        <f>INT($B31*'A2'!K$37)</f>
        <v>0</v>
      </c>
      <c r="J31" s="394">
        <f>INT($B31*'A2'!L$37)</f>
        <v>0</v>
      </c>
      <c r="K31" s="394">
        <f>INT($B31*'A2'!M$37)</f>
        <v>0</v>
      </c>
      <c r="L31" s="394">
        <f>INT($B31*'A2'!N$37)</f>
        <v>0</v>
      </c>
      <c r="M31" s="394">
        <f>INT($B31*'A2'!O$37)</f>
        <v>0</v>
      </c>
      <c r="N31" s="394">
        <f>INT($B31*'A2'!P$37)</f>
        <v>0</v>
      </c>
      <c r="O31" s="390">
        <f t="shared" si="2"/>
        <v>0</v>
      </c>
    </row>
    <row r="32" spans="1:16" ht="13.5" thickBot="1">
      <c r="A32" s="78" t="str">
        <f>IF(DG!$D$130=1,"Aucun",IF(DG!$D$130=2,DG!$B$28,IF(DG!$D$130=3,DG!$B$29,IF(DG!$D$130=4,DG!$B$30,IF(DG!$D$130=5,DG!$B$31,IF(DG!$D$130=6,DG!$B$32,IF(DG!$D$130=7,DG!$B$33)))))))</f>
        <v>Frais de variable 4</v>
      </c>
      <c r="B32" s="495">
        <f>'FD1'!B34</f>
        <v>0</v>
      </c>
      <c r="C32" s="394">
        <f>INT($B32*'A2'!E$37)</f>
        <v>0</v>
      </c>
      <c r="D32" s="394">
        <f>INT($B32*'A2'!F$37)</f>
        <v>0</v>
      </c>
      <c r="E32" s="394">
        <f>INT($B32*'A2'!G$37)</f>
        <v>0</v>
      </c>
      <c r="F32" s="394">
        <f>INT($B32*'A2'!H$37)</f>
        <v>0</v>
      </c>
      <c r="G32" s="394">
        <f>INT($B32*'A2'!I$37)</f>
        <v>0</v>
      </c>
      <c r="H32" s="394">
        <f>INT($B32*'A2'!J$37)</f>
        <v>0</v>
      </c>
      <c r="I32" s="394">
        <f>INT($B32*'A2'!K$37)</f>
        <v>0</v>
      </c>
      <c r="J32" s="394">
        <f>INT($B32*'A2'!L$37)</f>
        <v>0</v>
      </c>
      <c r="K32" s="394">
        <f>INT($B32*'A2'!M$37)</f>
        <v>0</v>
      </c>
      <c r="L32" s="394">
        <f>INT($B32*'A2'!N$37)</f>
        <v>0</v>
      </c>
      <c r="M32" s="394">
        <f>INT($B32*'A2'!O$37)</f>
        <v>0</v>
      </c>
      <c r="N32" s="394">
        <f>INT($B32*'A2'!P$37)</f>
        <v>0</v>
      </c>
      <c r="O32" s="390">
        <f t="shared" si="2"/>
        <v>0</v>
      </c>
    </row>
    <row r="33" spans="1:15" ht="13.5" thickBot="1">
      <c r="A33" s="78" t="str">
        <f>IF(DG!$D$131=1,"Aucun",IF(DG!$D$131=2,DG!$B$28,IF(DG!$D$131=3,DG!$B$29,IF(DG!$D$131=4,DG!$B$30,IF(DG!$D$131=5,DG!$B$31,IF(DG!$D$131=6,DG!$B$32,IF(DG!$D$131=7,DG!$B$33)))))))</f>
        <v>Frais de variable 5</v>
      </c>
      <c r="B33" s="495">
        <f>'FD1'!B35</f>
        <v>0</v>
      </c>
      <c r="C33" s="394">
        <f>INT($B33*'A2'!E$37)</f>
        <v>0</v>
      </c>
      <c r="D33" s="394">
        <f>INT($B33*'A2'!F$37)</f>
        <v>0</v>
      </c>
      <c r="E33" s="394">
        <f>INT($B33*'A2'!G$37)</f>
        <v>0</v>
      </c>
      <c r="F33" s="394">
        <f>INT($B33*'A2'!H$37)</f>
        <v>0</v>
      </c>
      <c r="G33" s="394">
        <f>INT($B33*'A2'!I$37)</f>
        <v>0</v>
      </c>
      <c r="H33" s="394">
        <f>INT($B33*'A2'!J$37)</f>
        <v>0</v>
      </c>
      <c r="I33" s="394">
        <f>INT($B33*'A2'!K$37)</f>
        <v>0</v>
      </c>
      <c r="J33" s="394">
        <f>INT($B33*'A2'!L$37)</f>
        <v>0</v>
      </c>
      <c r="K33" s="394">
        <f>INT($B33*'A2'!M$37)</f>
        <v>0</v>
      </c>
      <c r="L33" s="394">
        <f>INT($B33*'A2'!N$37)</f>
        <v>0</v>
      </c>
      <c r="M33" s="394">
        <f>INT($B33*'A2'!O$37)</f>
        <v>0</v>
      </c>
      <c r="N33" s="394">
        <f>INT($B33*'A2'!P$37)</f>
        <v>0</v>
      </c>
      <c r="O33" s="390">
        <f t="shared" si="2"/>
        <v>0</v>
      </c>
    </row>
    <row r="34" spans="1:15" ht="13.5" thickBot="1">
      <c r="A34" s="78" t="str">
        <f>IF(DG!$D$132=1,"Aucun",IF(DG!$D$132=2,DG!$B$28,IF(DG!$D$132=3,DG!$B$29,IF(DG!$D$132=4,DG!$B$30,IF(DG!$D$132=5,DG!$B$31,IF(DG!$D$132=6,DG!$B$32,IF(DG!$D$132=7,DG!$B$33)))))))</f>
        <v>Frais de variable 6</v>
      </c>
      <c r="B34" s="495">
        <f>'FD1'!B36</f>
        <v>0</v>
      </c>
      <c r="C34" s="394">
        <f>INT($B34*'A2'!E$37)</f>
        <v>0</v>
      </c>
      <c r="D34" s="394">
        <f>INT($B34*'A2'!F$37)</f>
        <v>0</v>
      </c>
      <c r="E34" s="394">
        <f>INT($B34*'A2'!G$37)</f>
        <v>0</v>
      </c>
      <c r="F34" s="394">
        <f>INT($B34*'A2'!H$37)</f>
        <v>0</v>
      </c>
      <c r="G34" s="394">
        <f>INT($B34*'A2'!I$37)</f>
        <v>0</v>
      </c>
      <c r="H34" s="394">
        <f>INT($B34*'A2'!J$37)</f>
        <v>0</v>
      </c>
      <c r="I34" s="394">
        <f>INT($B34*'A2'!K$37)</f>
        <v>0</v>
      </c>
      <c r="J34" s="394">
        <f>INT($B34*'A2'!L$37)</f>
        <v>0</v>
      </c>
      <c r="K34" s="394">
        <f>INT($B34*'A2'!M$37)</f>
        <v>0</v>
      </c>
      <c r="L34" s="394">
        <f>INT($B34*'A2'!N$37)</f>
        <v>0</v>
      </c>
      <c r="M34" s="394">
        <f>INT($B34*'A2'!O$37)</f>
        <v>0</v>
      </c>
      <c r="N34" s="394">
        <f>INT($B34*'A2'!P$37)</f>
        <v>0</v>
      </c>
      <c r="O34" s="390">
        <f t="shared" si="2"/>
        <v>0</v>
      </c>
    </row>
    <row r="35" spans="1:15" ht="13" thickBot="1">
      <c r="A35" s="267"/>
      <c r="B35" s="88"/>
      <c r="C35" s="268"/>
      <c r="D35" s="268"/>
      <c r="E35" s="268"/>
      <c r="F35" s="268"/>
      <c r="G35" s="268"/>
      <c r="H35" s="268"/>
      <c r="I35" s="268"/>
      <c r="J35" s="268"/>
      <c r="K35" s="268"/>
      <c r="L35" s="268"/>
      <c r="M35" s="268"/>
      <c r="N35" s="268"/>
      <c r="O35" s="268"/>
    </row>
    <row r="36" spans="1:15" s="251" customFormat="1" ht="13.5" thickBot="1">
      <c r="A36" s="43" t="s">
        <v>242</v>
      </c>
      <c r="C36" s="524">
        <f t="shared" ref="C36:O36" si="3">SUM(C29:C35)</f>
        <v>26</v>
      </c>
      <c r="D36" s="524">
        <f t="shared" si="3"/>
        <v>27</v>
      </c>
      <c r="E36" s="524">
        <f t="shared" si="3"/>
        <v>28</v>
      </c>
      <c r="F36" s="524">
        <f t="shared" si="3"/>
        <v>30</v>
      </c>
      <c r="G36" s="524">
        <f t="shared" si="3"/>
        <v>31</v>
      </c>
      <c r="H36" s="524">
        <f t="shared" si="3"/>
        <v>32</v>
      </c>
      <c r="I36" s="524">
        <f t="shared" si="3"/>
        <v>34</v>
      </c>
      <c r="J36" s="524">
        <f t="shared" si="3"/>
        <v>35</v>
      </c>
      <c r="K36" s="524">
        <f t="shared" si="3"/>
        <v>36</v>
      </c>
      <c r="L36" s="524">
        <f t="shared" si="3"/>
        <v>38</v>
      </c>
      <c r="M36" s="524">
        <f t="shared" si="3"/>
        <v>39</v>
      </c>
      <c r="N36" s="524">
        <f t="shared" si="3"/>
        <v>40</v>
      </c>
      <c r="O36" s="524">
        <f t="shared" si="3"/>
        <v>396</v>
      </c>
    </row>
    <row r="38" spans="1:15" ht="13">
      <c r="A38" s="914" t="str">
        <f>'V2'!A44</f>
        <v>Produit/service 3</v>
      </c>
      <c r="C38" s="1190" t="str">
        <f>A38</f>
        <v>Produit/service 3</v>
      </c>
      <c r="D38" s="1191"/>
      <c r="E38" s="1191"/>
      <c r="F38" s="1191"/>
      <c r="G38" s="1191"/>
      <c r="H38" s="1191"/>
      <c r="I38" s="1191"/>
      <c r="J38" s="1191"/>
      <c r="K38" s="1191"/>
      <c r="L38" s="1191"/>
      <c r="M38" s="1191"/>
      <c r="N38" s="1191"/>
      <c r="O38" s="1191"/>
    </row>
    <row r="39" spans="1:15" ht="13" thickBot="1">
      <c r="A39" s="143"/>
      <c r="B39" s="88"/>
      <c r="C39" s="268"/>
      <c r="D39" s="268"/>
      <c r="E39" s="268"/>
      <c r="F39" s="268"/>
      <c r="G39" s="268"/>
      <c r="H39" s="268"/>
      <c r="I39" s="268"/>
      <c r="J39" s="268"/>
      <c r="K39" s="268"/>
      <c r="L39" s="268"/>
      <c r="M39" s="268"/>
      <c r="N39" s="268"/>
      <c r="O39" s="268"/>
    </row>
    <row r="40" spans="1:15" ht="13.5" thickBot="1">
      <c r="A40" s="78" t="str">
        <f>IF(DG!$D$127=1,"Aucun",IF(DG!$D$127=2,DG!$B$28,IF(DG!$D$127=3,DG!$B$29,IF(DG!$D$127=4,DG!$B$30,IF(DG!$D$127=5,DG!$B$31,IF(DG!$D$127=6,DG!$B$32,IF(DG!$D$127=7,DG!$B$33)))))))</f>
        <v>Frais de variable 1</v>
      </c>
      <c r="B40" s="495">
        <f>'FD1'!B42</f>
        <v>2.5000000000000001E-2</v>
      </c>
      <c r="C40" s="394">
        <f>INT($B40*'A2'!E$50)</f>
        <v>39</v>
      </c>
      <c r="D40" s="394">
        <f>INT($B40*'A2'!F$50)</f>
        <v>41</v>
      </c>
      <c r="E40" s="394">
        <f>INT($B40*'A2'!G$50)</f>
        <v>43</v>
      </c>
      <c r="F40" s="394">
        <f>INT($B40*'A2'!H$50)</f>
        <v>45</v>
      </c>
      <c r="G40" s="394">
        <f>INT($B40*'A2'!I$50)</f>
        <v>47</v>
      </c>
      <c r="H40" s="394">
        <f>INT($B40*'A2'!J$50)</f>
        <v>49</v>
      </c>
      <c r="I40" s="394">
        <f>INT($B40*'A2'!K$50)</f>
        <v>51</v>
      </c>
      <c r="J40" s="394">
        <f>INT($B40*'A2'!L$50)</f>
        <v>53</v>
      </c>
      <c r="K40" s="394">
        <f>INT($B40*'A2'!M$50)</f>
        <v>55</v>
      </c>
      <c r="L40" s="394">
        <f>INT($B40*'A2'!N$50)</f>
        <v>57</v>
      </c>
      <c r="M40" s="394">
        <f>INT($B40*'A2'!O$50)</f>
        <v>59</v>
      </c>
      <c r="N40" s="394">
        <f>INT($B40*'A2'!P$50)</f>
        <v>61</v>
      </c>
      <c r="O40" s="390">
        <f t="shared" ref="O40:O45" si="4">SUM(C40:N40)</f>
        <v>600</v>
      </c>
    </row>
    <row r="41" spans="1:15" ht="13.5" thickBot="1">
      <c r="A41" s="78" t="str">
        <f>IF(DG!$D$128=1,"Aucun",IF(DG!$D$128=2,DG!$B$28,IF(DG!$D$128=3,DG!$B$29,IF(DG!$D$128=4,DG!$B$30,IF(DG!$D$128=5,DG!$B$31,IF(DG!$D$128=6,DG!$B$32,IF(DG!$D$128=7,DG!$B$33)))))))</f>
        <v>Frais de variable 2</v>
      </c>
      <c r="B41" s="495">
        <f>'FD1'!B43</f>
        <v>0</v>
      </c>
      <c r="C41" s="394">
        <f>INT($B41*'A2'!E$50)</f>
        <v>0</v>
      </c>
      <c r="D41" s="394">
        <f>INT($B41*'A2'!F$50)</f>
        <v>0</v>
      </c>
      <c r="E41" s="394">
        <f>INT($B41*'A2'!G$50)</f>
        <v>0</v>
      </c>
      <c r="F41" s="394">
        <f>INT($B41*'A2'!H$50)</f>
        <v>0</v>
      </c>
      <c r="G41" s="394">
        <f>INT($B41*'A2'!I$50)</f>
        <v>0</v>
      </c>
      <c r="H41" s="394">
        <f>INT($B41*'A2'!J$50)</f>
        <v>0</v>
      </c>
      <c r="I41" s="394">
        <f>INT($B41*'A2'!K$50)</f>
        <v>0</v>
      </c>
      <c r="J41" s="394">
        <f>INT($B41*'A2'!L$50)</f>
        <v>0</v>
      </c>
      <c r="K41" s="394">
        <f>INT($B41*'A2'!M$50)</f>
        <v>0</v>
      </c>
      <c r="L41" s="394">
        <f>INT($B41*'A2'!N$50)</f>
        <v>0</v>
      </c>
      <c r="M41" s="394">
        <f>INT($B41*'A2'!O$50)</f>
        <v>0</v>
      </c>
      <c r="N41" s="394">
        <f>INT($B41*'A2'!P$50)</f>
        <v>0</v>
      </c>
      <c r="O41" s="390">
        <f t="shared" si="4"/>
        <v>0</v>
      </c>
    </row>
    <row r="42" spans="1:15" ht="13.5" thickBot="1">
      <c r="A42" s="78" t="str">
        <f>IF(DG!$D$129=1,"Aucun",IF(DG!$D$129=2,DG!$B$28,IF(DG!$D$129=3,DG!$B$29,IF(DG!$D$129=4,DG!$B$30,IF(DG!$D$129=5,DG!$B$31,IF(DG!$D$129=6,DG!$B$32,IF(DG!$D$129=7,DG!$B$33)))))))</f>
        <v>Frais de variable 3</v>
      </c>
      <c r="B42" s="495">
        <f>'FD1'!B44</f>
        <v>0</v>
      </c>
      <c r="C42" s="394">
        <f>INT($B42*'A2'!E$50)</f>
        <v>0</v>
      </c>
      <c r="D42" s="394">
        <f>INT($B42*'A2'!F$50)</f>
        <v>0</v>
      </c>
      <c r="E42" s="394">
        <f>INT($B42*'A2'!G$50)</f>
        <v>0</v>
      </c>
      <c r="F42" s="394">
        <f>INT($B42*'A2'!H$50)</f>
        <v>0</v>
      </c>
      <c r="G42" s="394">
        <f>INT($B42*'A2'!I$50)</f>
        <v>0</v>
      </c>
      <c r="H42" s="394">
        <f>INT($B42*'A2'!J$50)</f>
        <v>0</v>
      </c>
      <c r="I42" s="394">
        <f>INT($B42*'A2'!K$50)</f>
        <v>0</v>
      </c>
      <c r="J42" s="394">
        <f>INT($B42*'A2'!L$50)</f>
        <v>0</v>
      </c>
      <c r="K42" s="394">
        <f>INT($B42*'A2'!M$50)</f>
        <v>0</v>
      </c>
      <c r="L42" s="394">
        <f>INT($B42*'A2'!N$50)</f>
        <v>0</v>
      </c>
      <c r="M42" s="394">
        <f>INT($B42*'A2'!O$50)</f>
        <v>0</v>
      </c>
      <c r="N42" s="394">
        <f>INT($B42*'A2'!P$50)</f>
        <v>0</v>
      </c>
      <c r="O42" s="390">
        <f t="shared" si="4"/>
        <v>0</v>
      </c>
    </row>
    <row r="43" spans="1:15" ht="13.5" thickBot="1">
      <c r="A43" s="78" t="str">
        <f>IF(DG!$D$130=1,"Aucun",IF(DG!$D$130=2,DG!$B$28,IF(DG!$D$130=3,DG!$B$29,IF(DG!$D$130=4,DG!$B$30,IF(DG!$D$130=5,DG!$B$31,IF(DG!$D$130=6,DG!$B$32,IF(DG!$D$130=7,DG!$B$33)))))))</f>
        <v>Frais de variable 4</v>
      </c>
      <c r="B43" s="495">
        <f>'FD1'!B45</f>
        <v>0</v>
      </c>
      <c r="C43" s="394">
        <f>INT($B43*'A2'!E$50)</f>
        <v>0</v>
      </c>
      <c r="D43" s="394">
        <f>INT($B43*'A2'!F$50)</f>
        <v>0</v>
      </c>
      <c r="E43" s="394">
        <f>INT($B43*'A2'!G$50)</f>
        <v>0</v>
      </c>
      <c r="F43" s="394">
        <f>INT($B43*'A2'!H$50)</f>
        <v>0</v>
      </c>
      <c r="G43" s="394">
        <f>INT($B43*'A2'!I$50)</f>
        <v>0</v>
      </c>
      <c r="H43" s="394">
        <f>INT($B43*'A2'!J$50)</f>
        <v>0</v>
      </c>
      <c r="I43" s="394">
        <f>INT($B43*'A2'!K$50)</f>
        <v>0</v>
      </c>
      <c r="J43" s="394">
        <f>INT($B43*'A2'!L$50)</f>
        <v>0</v>
      </c>
      <c r="K43" s="394">
        <f>INT($B43*'A2'!M$50)</f>
        <v>0</v>
      </c>
      <c r="L43" s="394">
        <f>INT($B43*'A2'!N$50)</f>
        <v>0</v>
      </c>
      <c r="M43" s="394">
        <f>INT($B43*'A2'!O$50)</f>
        <v>0</v>
      </c>
      <c r="N43" s="394">
        <f>INT($B43*'A2'!P$50)</f>
        <v>0</v>
      </c>
      <c r="O43" s="390">
        <f t="shared" si="4"/>
        <v>0</v>
      </c>
    </row>
    <row r="44" spans="1:15" ht="13.5" thickBot="1">
      <c r="A44" s="78" t="str">
        <f>IF(DG!$D$131=1,"Aucun",IF(DG!$D$131=2,DG!$B$28,IF(DG!$D$131=3,DG!$B$29,IF(DG!$D$131=4,DG!$B$30,IF(DG!$D$131=5,DG!$B$31,IF(DG!$D$131=6,DG!$B$32,IF(DG!$D$131=7,DG!$B$33)))))))</f>
        <v>Frais de variable 5</v>
      </c>
      <c r="B44" s="495">
        <f>'FD1'!B46</f>
        <v>0</v>
      </c>
      <c r="C44" s="394">
        <f>INT($B44*'A2'!E$50)</f>
        <v>0</v>
      </c>
      <c r="D44" s="394">
        <f>INT($B44*'A2'!F$50)</f>
        <v>0</v>
      </c>
      <c r="E44" s="394">
        <f>INT($B44*'A2'!G$50)</f>
        <v>0</v>
      </c>
      <c r="F44" s="394">
        <f>INT($B44*'A2'!H$50)</f>
        <v>0</v>
      </c>
      <c r="G44" s="394">
        <f>INT($B44*'A2'!I$50)</f>
        <v>0</v>
      </c>
      <c r="H44" s="394">
        <f>INT($B44*'A2'!J$50)</f>
        <v>0</v>
      </c>
      <c r="I44" s="394">
        <f>INT($B44*'A2'!K$50)</f>
        <v>0</v>
      </c>
      <c r="J44" s="394">
        <f>INT($B44*'A2'!L$50)</f>
        <v>0</v>
      </c>
      <c r="K44" s="394">
        <f>INT($B44*'A2'!M$50)</f>
        <v>0</v>
      </c>
      <c r="L44" s="394">
        <f>INT($B44*'A2'!N$50)</f>
        <v>0</v>
      </c>
      <c r="M44" s="394">
        <f>INT($B44*'A2'!O$50)</f>
        <v>0</v>
      </c>
      <c r="N44" s="394">
        <f>INT($B44*'A2'!P$50)</f>
        <v>0</v>
      </c>
      <c r="O44" s="390">
        <f t="shared" si="4"/>
        <v>0</v>
      </c>
    </row>
    <row r="45" spans="1:15" ht="13.5" thickBot="1">
      <c r="A45" s="78" t="str">
        <f>IF(DG!$D$132=1,"Aucun",IF(DG!$D$132=2,DG!$B$28,IF(DG!$D$132=3,DG!$B$29,IF(DG!$D$132=4,DG!$B$30,IF(DG!$D$132=5,DG!$B$31,IF(DG!$D$132=6,DG!$B$32,IF(DG!$D$132=7,DG!$B$33)))))))</f>
        <v>Frais de variable 6</v>
      </c>
      <c r="B45" s="495">
        <f>'FD1'!B47</f>
        <v>0</v>
      </c>
      <c r="C45" s="394">
        <f>INT($B45*'A2'!E$50)</f>
        <v>0</v>
      </c>
      <c r="D45" s="394">
        <f>INT($B45*'A2'!F$50)</f>
        <v>0</v>
      </c>
      <c r="E45" s="394">
        <f>INT($B45*'A2'!G$50)</f>
        <v>0</v>
      </c>
      <c r="F45" s="394">
        <f>INT($B45*'A2'!H$50)</f>
        <v>0</v>
      </c>
      <c r="G45" s="394">
        <f>INT($B45*'A2'!I$50)</f>
        <v>0</v>
      </c>
      <c r="H45" s="394">
        <f>INT($B45*'A2'!J$50)</f>
        <v>0</v>
      </c>
      <c r="I45" s="394">
        <f>INT($B45*'A2'!K$50)</f>
        <v>0</v>
      </c>
      <c r="J45" s="394">
        <f>INT($B45*'A2'!L$50)</f>
        <v>0</v>
      </c>
      <c r="K45" s="394">
        <f>INT($B45*'A2'!M$50)</f>
        <v>0</v>
      </c>
      <c r="L45" s="394">
        <f>INT($B45*'A2'!N$50)</f>
        <v>0</v>
      </c>
      <c r="M45" s="394">
        <f>INT($B45*'A2'!O$50)</f>
        <v>0</v>
      </c>
      <c r="N45" s="394">
        <f>INT($B45*'A2'!P$50)</f>
        <v>0</v>
      </c>
      <c r="O45" s="390">
        <f t="shared" si="4"/>
        <v>0</v>
      </c>
    </row>
    <row r="46" spans="1:15" ht="13" thickBot="1">
      <c r="A46" s="267"/>
      <c r="B46" s="88"/>
      <c r="C46" s="268"/>
      <c r="D46" s="268"/>
      <c r="E46" s="268"/>
      <c r="F46" s="268"/>
      <c r="G46" s="268"/>
      <c r="H46" s="268"/>
      <c r="I46" s="268"/>
      <c r="J46" s="268"/>
      <c r="K46" s="268"/>
      <c r="L46" s="268"/>
      <c r="M46" s="268"/>
      <c r="N46" s="268"/>
      <c r="O46" s="268"/>
    </row>
    <row r="47" spans="1:15" s="251" customFormat="1" ht="13.5" thickBot="1">
      <c r="A47" s="43" t="s">
        <v>242</v>
      </c>
      <c r="C47" s="524">
        <f t="shared" ref="C47:O47" si="5">SUM(C40:C46)</f>
        <v>39</v>
      </c>
      <c r="D47" s="524">
        <f t="shared" si="5"/>
        <v>41</v>
      </c>
      <c r="E47" s="524">
        <f t="shared" si="5"/>
        <v>43</v>
      </c>
      <c r="F47" s="524">
        <f t="shared" si="5"/>
        <v>45</v>
      </c>
      <c r="G47" s="524">
        <f t="shared" si="5"/>
        <v>47</v>
      </c>
      <c r="H47" s="524">
        <f t="shared" si="5"/>
        <v>49</v>
      </c>
      <c r="I47" s="524">
        <f t="shared" si="5"/>
        <v>51</v>
      </c>
      <c r="J47" s="524">
        <f t="shared" si="5"/>
        <v>53</v>
      </c>
      <c r="K47" s="524">
        <f t="shared" si="5"/>
        <v>55</v>
      </c>
      <c r="L47" s="524">
        <f t="shared" si="5"/>
        <v>57</v>
      </c>
      <c r="M47" s="524">
        <f t="shared" si="5"/>
        <v>59</v>
      </c>
      <c r="N47" s="524">
        <f t="shared" si="5"/>
        <v>61</v>
      </c>
      <c r="O47" s="524">
        <f t="shared" si="5"/>
        <v>600</v>
      </c>
    </row>
    <row r="49" spans="1:15" ht="13">
      <c r="A49" s="914" t="str">
        <f>'V2'!A58</f>
        <v>Produit/service 4</v>
      </c>
      <c r="C49" s="1190" t="str">
        <f>A49</f>
        <v>Produit/service 4</v>
      </c>
      <c r="D49" s="1191"/>
      <c r="E49" s="1191"/>
      <c r="F49" s="1191"/>
      <c r="G49" s="1191"/>
      <c r="H49" s="1191"/>
      <c r="I49" s="1191"/>
      <c r="J49" s="1191"/>
      <c r="K49" s="1191"/>
      <c r="L49" s="1191"/>
      <c r="M49" s="1191"/>
      <c r="N49" s="1191"/>
      <c r="O49" s="1191"/>
    </row>
    <row r="50" spans="1:15" ht="13" thickBot="1">
      <c r="A50" s="143"/>
      <c r="B50" s="88"/>
      <c r="C50" s="268"/>
      <c r="D50" s="268"/>
      <c r="E50" s="268"/>
      <c r="F50" s="268"/>
      <c r="G50" s="268"/>
      <c r="H50" s="268"/>
      <c r="I50" s="268"/>
      <c r="J50" s="268"/>
      <c r="K50" s="268"/>
      <c r="L50" s="268"/>
      <c r="M50" s="268"/>
      <c r="N50" s="268"/>
      <c r="O50" s="268"/>
    </row>
    <row r="51" spans="1:15" ht="13.5" thickBot="1">
      <c r="A51" s="78" t="str">
        <f>IF(DG!$D$127=1,"Aucun",IF(DG!$D$127=2,DG!$B$28,IF(DG!$D$127=3,DG!$B$29,IF(DG!$D$127=4,DG!$B$30,IF(DG!$D$127=5,DG!$B$31,IF(DG!$D$127=6,DG!$B$32,IF(DG!$D$127=7,DG!$B$33)))))))</f>
        <v>Frais de variable 1</v>
      </c>
      <c r="B51" s="495">
        <f>'FD1'!B53</f>
        <v>0</v>
      </c>
      <c r="C51" s="394">
        <f>INT($B51*'A2'!E$63)</f>
        <v>0</v>
      </c>
      <c r="D51" s="394">
        <f>INT($B51*'A2'!F$63)</f>
        <v>0</v>
      </c>
      <c r="E51" s="394">
        <f>INT($B51*'A2'!G$63)</f>
        <v>0</v>
      </c>
      <c r="F51" s="394">
        <f>INT($B51*'A2'!H$63)</f>
        <v>0</v>
      </c>
      <c r="G51" s="394">
        <f>INT($B51*'A2'!I$63)</f>
        <v>0</v>
      </c>
      <c r="H51" s="394">
        <f>INT($B51*'A2'!J$63)</f>
        <v>0</v>
      </c>
      <c r="I51" s="394">
        <f>INT($B51*'A2'!K$63)</f>
        <v>0</v>
      </c>
      <c r="J51" s="394">
        <f>INT($B51*'A2'!L$63)</f>
        <v>0</v>
      </c>
      <c r="K51" s="394">
        <f>INT($B51*'A2'!M$63)</f>
        <v>0</v>
      </c>
      <c r="L51" s="394">
        <f>INT($B51*'A2'!N$63)</f>
        <v>0</v>
      </c>
      <c r="M51" s="394">
        <f>INT($B51*'A2'!O$63)</f>
        <v>0</v>
      </c>
      <c r="N51" s="394">
        <f>INT($B51*'A2'!P$63)</f>
        <v>0</v>
      </c>
      <c r="O51" s="390">
        <f t="shared" ref="O51:O56" si="6">SUM(C51:N51)</f>
        <v>0</v>
      </c>
    </row>
    <row r="52" spans="1:15" ht="13.5" thickBot="1">
      <c r="A52" s="78" t="str">
        <f>IF(DG!$D$128=1,"Aucun",IF(DG!$D$128=2,DG!$B$28,IF(DG!$D$128=3,DG!$B$29,IF(DG!$D$128=4,DG!$B$30,IF(DG!$D$128=5,DG!$B$31,IF(DG!$D$128=6,DG!$B$32,IF(DG!$D$128=7,DG!$B$33)))))))</f>
        <v>Frais de variable 2</v>
      </c>
      <c r="B52" s="495">
        <f>'FD1'!B54</f>
        <v>0</v>
      </c>
      <c r="C52" s="394">
        <f>INT($B52*'A2'!E$63)</f>
        <v>0</v>
      </c>
      <c r="D52" s="394">
        <f>INT($B52*'A2'!F$63)</f>
        <v>0</v>
      </c>
      <c r="E52" s="394">
        <f>INT($B52*'A2'!G$63)</f>
        <v>0</v>
      </c>
      <c r="F52" s="394">
        <f>INT($B52*'A2'!H$63)</f>
        <v>0</v>
      </c>
      <c r="G52" s="394">
        <f>INT($B52*'A2'!I$63)</f>
        <v>0</v>
      </c>
      <c r="H52" s="394">
        <f>INT($B52*'A2'!J$63)</f>
        <v>0</v>
      </c>
      <c r="I52" s="394">
        <f>INT($B52*'A2'!K$63)</f>
        <v>0</v>
      </c>
      <c r="J52" s="394">
        <f>INT($B52*'A2'!L$63)</f>
        <v>0</v>
      </c>
      <c r="K52" s="394">
        <f>INT($B52*'A2'!M$63)</f>
        <v>0</v>
      </c>
      <c r="L52" s="394">
        <f>INT($B52*'A2'!N$63)</f>
        <v>0</v>
      </c>
      <c r="M52" s="394">
        <f>INT($B52*'A2'!O$63)</f>
        <v>0</v>
      </c>
      <c r="N52" s="394">
        <f>INT($B52*'A2'!P$63)</f>
        <v>0</v>
      </c>
      <c r="O52" s="390">
        <f t="shared" si="6"/>
        <v>0</v>
      </c>
    </row>
    <row r="53" spans="1:15" ht="13.5" thickBot="1">
      <c r="A53" s="78" t="str">
        <f>IF(DG!$D$129=1,"Aucun",IF(DG!$D$129=2,DG!$B$28,IF(DG!$D$129=3,DG!$B$29,IF(DG!$D$129=4,DG!$B$30,IF(DG!$D$129=5,DG!$B$31,IF(DG!$D$129=6,DG!$B$32,IF(DG!$D$129=7,DG!$B$33)))))))</f>
        <v>Frais de variable 3</v>
      </c>
      <c r="B53" s="495">
        <f>'FD1'!B55</f>
        <v>0</v>
      </c>
      <c r="C53" s="394">
        <f>INT($B53*'A2'!E$63)</f>
        <v>0</v>
      </c>
      <c r="D53" s="394">
        <f>INT($B53*'A2'!F$63)</f>
        <v>0</v>
      </c>
      <c r="E53" s="394">
        <f>INT($B53*'A2'!G$63)</f>
        <v>0</v>
      </c>
      <c r="F53" s="394">
        <f>INT($B53*'A2'!H$63)</f>
        <v>0</v>
      </c>
      <c r="G53" s="394">
        <f>INT($B53*'A2'!I$63)</f>
        <v>0</v>
      </c>
      <c r="H53" s="394">
        <f>INT($B53*'A2'!J$63)</f>
        <v>0</v>
      </c>
      <c r="I53" s="394">
        <f>INT($B53*'A2'!K$63)</f>
        <v>0</v>
      </c>
      <c r="J53" s="394">
        <f>INT($B53*'A2'!L$63)</f>
        <v>0</v>
      </c>
      <c r="K53" s="394">
        <f>INT($B53*'A2'!M$63)</f>
        <v>0</v>
      </c>
      <c r="L53" s="394">
        <f>INT($B53*'A2'!N$63)</f>
        <v>0</v>
      </c>
      <c r="M53" s="394">
        <f>INT($B53*'A2'!O$63)</f>
        <v>0</v>
      </c>
      <c r="N53" s="394">
        <f>INT($B53*'A2'!P$63)</f>
        <v>0</v>
      </c>
      <c r="O53" s="390">
        <f t="shared" si="6"/>
        <v>0</v>
      </c>
    </row>
    <row r="54" spans="1:15" ht="13.5" thickBot="1">
      <c r="A54" s="78" t="str">
        <f>IF(DG!$D$130=1,"Aucun",IF(DG!$D$130=2,DG!$B$28,IF(DG!$D$130=3,DG!$B$29,IF(DG!$D$130=4,DG!$B$30,IF(DG!$D$130=5,DG!$B$31,IF(DG!$D$130=6,DG!$B$32,IF(DG!$D$130=7,DG!$B$33)))))))</f>
        <v>Frais de variable 4</v>
      </c>
      <c r="B54" s="495">
        <f>'FD1'!B56</f>
        <v>0</v>
      </c>
      <c r="C54" s="394">
        <f>INT($B54*'A2'!E$63)</f>
        <v>0</v>
      </c>
      <c r="D54" s="394">
        <f>INT($B54*'A2'!F$63)</f>
        <v>0</v>
      </c>
      <c r="E54" s="394">
        <f>INT($B54*'A2'!G$63)</f>
        <v>0</v>
      </c>
      <c r="F54" s="394">
        <f>INT($B54*'A2'!H$63)</f>
        <v>0</v>
      </c>
      <c r="G54" s="394">
        <f>INT($B54*'A2'!I$63)</f>
        <v>0</v>
      </c>
      <c r="H54" s="394">
        <f>INT($B54*'A2'!J$63)</f>
        <v>0</v>
      </c>
      <c r="I54" s="394">
        <f>INT($B54*'A2'!K$63)</f>
        <v>0</v>
      </c>
      <c r="J54" s="394">
        <f>INT($B54*'A2'!L$63)</f>
        <v>0</v>
      </c>
      <c r="K54" s="394">
        <f>INT($B54*'A2'!M$63)</f>
        <v>0</v>
      </c>
      <c r="L54" s="394">
        <f>INT($B54*'A2'!N$63)</f>
        <v>0</v>
      </c>
      <c r="M54" s="394">
        <f>INT($B54*'A2'!O$63)</f>
        <v>0</v>
      </c>
      <c r="N54" s="394">
        <f>INT($B54*'A2'!P$63)</f>
        <v>0</v>
      </c>
      <c r="O54" s="390">
        <f t="shared" si="6"/>
        <v>0</v>
      </c>
    </row>
    <row r="55" spans="1:15" ht="13.5" thickBot="1">
      <c r="A55" s="78" t="str">
        <f>IF(DG!$D$131=1,"Aucun",IF(DG!$D$131=2,DG!$B$28,IF(DG!$D$131=3,DG!$B$29,IF(DG!$D$131=4,DG!$B$30,IF(DG!$D$131=5,DG!$B$31,IF(DG!$D$131=6,DG!$B$32,IF(DG!$D$131=7,DG!$B$33)))))))</f>
        <v>Frais de variable 5</v>
      </c>
      <c r="B55" s="495">
        <f>'FD1'!B57</f>
        <v>0</v>
      </c>
      <c r="C55" s="394">
        <f>INT($B55*'A2'!E$63)</f>
        <v>0</v>
      </c>
      <c r="D55" s="394">
        <f>INT($B55*'A2'!F$63)</f>
        <v>0</v>
      </c>
      <c r="E55" s="394">
        <f>INT($B55*'A2'!G$63)</f>
        <v>0</v>
      </c>
      <c r="F55" s="394">
        <f>INT($B55*'A2'!H$63)</f>
        <v>0</v>
      </c>
      <c r="G55" s="394">
        <f>INT($B55*'A2'!I$63)</f>
        <v>0</v>
      </c>
      <c r="H55" s="394">
        <f>INT($B55*'A2'!J$63)</f>
        <v>0</v>
      </c>
      <c r="I55" s="394">
        <f>INT($B55*'A2'!K$63)</f>
        <v>0</v>
      </c>
      <c r="J55" s="394">
        <f>INT($B55*'A2'!L$63)</f>
        <v>0</v>
      </c>
      <c r="K55" s="394">
        <f>INT($B55*'A2'!M$63)</f>
        <v>0</v>
      </c>
      <c r="L55" s="394">
        <f>INT($B55*'A2'!N$63)</f>
        <v>0</v>
      </c>
      <c r="M55" s="394">
        <f>INT($B55*'A2'!O$63)</f>
        <v>0</v>
      </c>
      <c r="N55" s="394">
        <f>INT($B55*'A2'!P$63)</f>
        <v>0</v>
      </c>
      <c r="O55" s="390">
        <f t="shared" si="6"/>
        <v>0</v>
      </c>
    </row>
    <row r="56" spans="1:15" ht="13.5" thickBot="1">
      <c r="A56" s="78" t="str">
        <f>IF(DG!$D$132=1,"Aucun",IF(DG!$D$132=2,DG!$B$28,IF(DG!$D$132=3,DG!$B$29,IF(DG!$D$132=4,DG!$B$30,IF(DG!$D$132=5,DG!$B$31,IF(DG!$D$132=6,DG!$B$32,IF(DG!$D$132=7,DG!$B$33)))))))</f>
        <v>Frais de variable 6</v>
      </c>
      <c r="B56" s="495">
        <f>'FD1'!B58</f>
        <v>0</v>
      </c>
      <c r="C56" s="394">
        <f>INT($B56*'A2'!E$63)</f>
        <v>0</v>
      </c>
      <c r="D56" s="394">
        <f>INT($B56*'A2'!F$63)</f>
        <v>0</v>
      </c>
      <c r="E56" s="394">
        <f>INT($B56*'A2'!G$63)</f>
        <v>0</v>
      </c>
      <c r="F56" s="394">
        <f>INT($B56*'A2'!H$63)</f>
        <v>0</v>
      </c>
      <c r="G56" s="394">
        <f>INT($B56*'A2'!I$63)</f>
        <v>0</v>
      </c>
      <c r="H56" s="394">
        <f>INT($B56*'A2'!J$63)</f>
        <v>0</v>
      </c>
      <c r="I56" s="394">
        <f>INT($B56*'A2'!K$63)</f>
        <v>0</v>
      </c>
      <c r="J56" s="394">
        <f>INT($B56*'A2'!L$63)</f>
        <v>0</v>
      </c>
      <c r="K56" s="394">
        <f>INT($B56*'A2'!M$63)</f>
        <v>0</v>
      </c>
      <c r="L56" s="394">
        <f>INT($B56*'A2'!N$63)</f>
        <v>0</v>
      </c>
      <c r="M56" s="394">
        <f>INT($B56*'A2'!O$63)</f>
        <v>0</v>
      </c>
      <c r="N56" s="394">
        <f>INT($B56*'A2'!P$63)</f>
        <v>0</v>
      </c>
      <c r="O56" s="390">
        <f t="shared" si="6"/>
        <v>0</v>
      </c>
    </row>
    <row r="57" spans="1:15" ht="13" thickBot="1">
      <c r="A57" s="267"/>
      <c r="B57" s="88"/>
      <c r="C57" s="268"/>
      <c r="D57" s="268"/>
      <c r="E57" s="268"/>
      <c r="F57" s="268"/>
      <c r="G57" s="268"/>
      <c r="H57" s="268"/>
      <c r="I57" s="268"/>
      <c r="J57" s="268"/>
      <c r="K57" s="268"/>
      <c r="L57" s="268"/>
      <c r="M57" s="268"/>
      <c r="N57" s="268"/>
      <c r="O57" s="268"/>
    </row>
    <row r="58" spans="1:15" s="251" customFormat="1" ht="13.5" thickBot="1">
      <c r="A58" s="43" t="s">
        <v>242</v>
      </c>
      <c r="C58" s="524">
        <f t="shared" ref="C58:O58" si="7">SUM(C51:C57)</f>
        <v>0</v>
      </c>
      <c r="D58" s="524">
        <f t="shared" si="7"/>
        <v>0</v>
      </c>
      <c r="E58" s="524">
        <f t="shared" si="7"/>
        <v>0</v>
      </c>
      <c r="F58" s="524">
        <f t="shared" si="7"/>
        <v>0</v>
      </c>
      <c r="G58" s="524">
        <f t="shared" si="7"/>
        <v>0</v>
      </c>
      <c r="H58" s="524">
        <f t="shared" si="7"/>
        <v>0</v>
      </c>
      <c r="I58" s="524">
        <f t="shared" si="7"/>
        <v>0</v>
      </c>
      <c r="J58" s="524">
        <f t="shared" si="7"/>
        <v>0</v>
      </c>
      <c r="K58" s="524">
        <f t="shared" si="7"/>
        <v>0</v>
      </c>
      <c r="L58" s="524">
        <f t="shared" si="7"/>
        <v>0</v>
      </c>
      <c r="M58" s="524">
        <f t="shared" si="7"/>
        <v>0</v>
      </c>
      <c r="N58" s="524">
        <f t="shared" si="7"/>
        <v>0</v>
      </c>
      <c r="O58" s="524">
        <f t="shared" si="7"/>
        <v>0</v>
      </c>
    </row>
    <row r="60" spans="1:15" ht="13">
      <c r="A60" s="914" t="str">
        <f>'V2'!A72</f>
        <v>Produit/service 5</v>
      </c>
      <c r="C60" s="1190" t="str">
        <f>A60</f>
        <v>Produit/service 5</v>
      </c>
      <c r="D60" s="1191"/>
      <c r="E60" s="1191"/>
      <c r="F60" s="1191"/>
      <c r="G60" s="1191"/>
      <c r="H60" s="1191"/>
      <c r="I60" s="1191"/>
      <c r="J60" s="1191"/>
      <c r="K60" s="1191"/>
      <c r="L60" s="1191"/>
      <c r="M60" s="1191"/>
      <c r="N60" s="1191"/>
      <c r="O60" s="1191"/>
    </row>
    <row r="61" spans="1:15" ht="13" thickBot="1">
      <c r="A61" s="143"/>
      <c r="B61" s="88"/>
      <c r="C61" s="268"/>
      <c r="D61" s="268"/>
      <c r="E61" s="268"/>
      <c r="F61" s="268"/>
      <c r="G61" s="268"/>
      <c r="H61" s="268"/>
      <c r="I61" s="268"/>
      <c r="J61" s="268"/>
      <c r="K61" s="268"/>
      <c r="L61" s="268"/>
      <c r="M61" s="268"/>
      <c r="N61" s="268"/>
      <c r="O61" s="268"/>
    </row>
    <row r="62" spans="1:15" ht="13.5" thickBot="1">
      <c r="A62" s="78" t="str">
        <f>IF(DG!$D$127=1,"Aucun",IF(DG!$D$127=2,DG!$B$28,IF(DG!$D$127=3,DG!$B$29,IF(DG!$D$127=4,DG!$B$30,IF(DG!$D$127=5,DG!$B$31,IF(DG!$D$127=6,DG!$B$32,IF(DG!$D$127=7,DG!$B$33)))))))</f>
        <v>Frais de variable 1</v>
      </c>
      <c r="B62" s="495">
        <f>'FD1'!B64</f>
        <v>0</v>
      </c>
      <c r="C62" s="394">
        <f>INT($B62*'A2'!E$76)</f>
        <v>0</v>
      </c>
      <c r="D62" s="394">
        <f>INT($B62*'A2'!F$76)</f>
        <v>0</v>
      </c>
      <c r="E62" s="394">
        <f>INT($B62*'A2'!G$76)</f>
        <v>0</v>
      </c>
      <c r="F62" s="394">
        <f>INT($B62*'A2'!H$76)</f>
        <v>0</v>
      </c>
      <c r="G62" s="394">
        <f>INT($B62*'A2'!I$76)</f>
        <v>0</v>
      </c>
      <c r="H62" s="394">
        <f>INT($B62*'A2'!J$76)</f>
        <v>0</v>
      </c>
      <c r="I62" s="394">
        <f>INT($B62*'A2'!K$76)</f>
        <v>0</v>
      </c>
      <c r="J62" s="394">
        <f>INT($B62*'A2'!L$76)</f>
        <v>0</v>
      </c>
      <c r="K62" s="394">
        <f>INT($B62*'A2'!M$76)</f>
        <v>0</v>
      </c>
      <c r="L62" s="394">
        <f>INT($B62*'A2'!N$76)</f>
        <v>0</v>
      </c>
      <c r="M62" s="394">
        <f>INT($B62*'A2'!O$76)</f>
        <v>0</v>
      </c>
      <c r="N62" s="394">
        <f>INT($B62*'A2'!P$76)</f>
        <v>0</v>
      </c>
      <c r="O62" s="390">
        <f t="shared" ref="O62:O67" si="8">SUM(C62:N62)</f>
        <v>0</v>
      </c>
    </row>
    <row r="63" spans="1:15" ht="13.5" thickBot="1">
      <c r="A63" s="78" t="str">
        <f>IF(DG!$D$128=1,"Aucun",IF(DG!$D$128=2,DG!$B$28,IF(DG!$D$128=3,DG!$B$29,IF(DG!$D$128=4,DG!$B$30,IF(DG!$D$128=5,DG!$B$31,IF(DG!$D$128=6,DG!$B$32,IF(DG!$D$128=7,DG!$B$33)))))))</f>
        <v>Frais de variable 2</v>
      </c>
      <c r="B63" s="495">
        <f>'FD1'!B65</f>
        <v>0</v>
      </c>
      <c r="C63" s="394">
        <f>INT($B63*'A2'!E$76)</f>
        <v>0</v>
      </c>
      <c r="D63" s="394">
        <f>INT($B63*'A2'!F$76)</f>
        <v>0</v>
      </c>
      <c r="E63" s="394">
        <f>INT($B63*'A2'!G$76)</f>
        <v>0</v>
      </c>
      <c r="F63" s="394">
        <f>INT($B63*'A2'!H$76)</f>
        <v>0</v>
      </c>
      <c r="G63" s="394">
        <f>INT($B63*'A2'!I$76)</f>
        <v>0</v>
      </c>
      <c r="H63" s="394">
        <f>INT($B63*'A2'!J$76)</f>
        <v>0</v>
      </c>
      <c r="I63" s="394">
        <f>INT($B63*'A2'!K$76)</f>
        <v>0</v>
      </c>
      <c r="J63" s="394">
        <f>INT($B63*'A2'!L$76)</f>
        <v>0</v>
      </c>
      <c r="K63" s="394">
        <f>INT($B63*'A2'!M$76)</f>
        <v>0</v>
      </c>
      <c r="L63" s="394">
        <f>INT($B63*'A2'!N$76)</f>
        <v>0</v>
      </c>
      <c r="M63" s="394">
        <f>INT($B63*'A2'!O$76)</f>
        <v>0</v>
      </c>
      <c r="N63" s="394">
        <f>INT($B63*'A2'!P$76)</f>
        <v>0</v>
      </c>
      <c r="O63" s="390">
        <f t="shared" si="8"/>
        <v>0</v>
      </c>
    </row>
    <row r="64" spans="1:15" ht="13.5" thickBot="1">
      <c r="A64" s="78" t="str">
        <f>IF(DG!$D$129=1,"Aucun",IF(DG!$D$129=2,DG!$B$28,IF(DG!$D$129=3,DG!$B$29,IF(DG!$D$129=4,DG!$B$30,IF(DG!$D$129=5,DG!$B$31,IF(DG!$D$129=6,DG!$B$32,IF(DG!$D$129=7,DG!$B$33)))))))</f>
        <v>Frais de variable 3</v>
      </c>
      <c r="B64" s="495">
        <f>'FD1'!B66</f>
        <v>0</v>
      </c>
      <c r="C64" s="394">
        <f>INT($B64*'A2'!E$76)</f>
        <v>0</v>
      </c>
      <c r="D64" s="394">
        <f>INT($B64*'A2'!F$76)</f>
        <v>0</v>
      </c>
      <c r="E64" s="394">
        <f>INT($B64*'A2'!G$76)</f>
        <v>0</v>
      </c>
      <c r="F64" s="394">
        <f>INT($B64*'A2'!H$76)</f>
        <v>0</v>
      </c>
      <c r="G64" s="394">
        <f>INT($B64*'A2'!I$76)</f>
        <v>0</v>
      </c>
      <c r="H64" s="394">
        <f>INT($B64*'A2'!J$76)</f>
        <v>0</v>
      </c>
      <c r="I64" s="394">
        <f>INT($B64*'A2'!K$76)</f>
        <v>0</v>
      </c>
      <c r="J64" s="394">
        <f>INT($B64*'A2'!L$76)</f>
        <v>0</v>
      </c>
      <c r="K64" s="394">
        <f>INT($B64*'A2'!M$76)</f>
        <v>0</v>
      </c>
      <c r="L64" s="394">
        <f>INT($B64*'A2'!N$76)</f>
        <v>0</v>
      </c>
      <c r="M64" s="394">
        <f>INT($B64*'A2'!O$76)</f>
        <v>0</v>
      </c>
      <c r="N64" s="394">
        <f>INT($B64*'A2'!P$76)</f>
        <v>0</v>
      </c>
      <c r="O64" s="390">
        <f t="shared" si="8"/>
        <v>0</v>
      </c>
    </row>
    <row r="65" spans="1:15" ht="13.5" thickBot="1">
      <c r="A65" s="78" t="str">
        <f>IF(DG!$D$130=1,"Aucun",IF(DG!$D$130=2,DG!$B$28,IF(DG!$D$130=3,DG!$B$29,IF(DG!$D$130=4,DG!$B$30,IF(DG!$D$130=5,DG!$B$31,IF(DG!$D$130=6,DG!$B$32,IF(DG!$D$130=7,DG!$B$33)))))))</f>
        <v>Frais de variable 4</v>
      </c>
      <c r="B65" s="495">
        <f>'FD1'!B67</f>
        <v>0</v>
      </c>
      <c r="C65" s="394">
        <f>INT($B65*'A2'!E$76)</f>
        <v>0</v>
      </c>
      <c r="D65" s="394">
        <f>INT($B65*'A2'!F$76)</f>
        <v>0</v>
      </c>
      <c r="E65" s="394">
        <f>INT($B65*'A2'!G$76)</f>
        <v>0</v>
      </c>
      <c r="F65" s="394">
        <f>INT($B65*'A2'!H$76)</f>
        <v>0</v>
      </c>
      <c r="G65" s="394">
        <f>INT($B65*'A2'!I$76)</f>
        <v>0</v>
      </c>
      <c r="H65" s="394">
        <f>INT($B65*'A2'!J$76)</f>
        <v>0</v>
      </c>
      <c r="I65" s="394">
        <f>INT($B65*'A2'!K$76)</f>
        <v>0</v>
      </c>
      <c r="J65" s="394">
        <f>INT($B65*'A2'!L$76)</f>
        <v>0</v>
      </c>
      <c r="K65" s="394">
        <f>INT($B65*'A2'!M$76)</f>
        <v>0</v>
      </c>
      <c r="L65" s="394">
        <f>INT($B65*'A2'!N$76)</f>
        <v>0</v>
      </c>
      <c r="M65" s="394">
        <f>INT($B65*'A2'!O$76)</f>
        <v>0</v>
      </c>
      <c r="N65" s="394">
        <f>INT($B65*'A2'!P$76)</f>
        <v>0</v>
      </c>
      <c r="O65" s="390">
        <f t="shared" si="8"/>
        <v>0</v>
      </c>
    </row>
    <row r="66" spans="1:15" ht="13.5" thickBot="1">
      <c r="A66" s="78" t="str">
        <f>IF(DG!$D$131=1,"Aucun",IF(DG!$D$131=2,DG!$B$28,IF(DG!$D$131=3,DG!$B$29,IF(DG!$D$131=4,DG!$B$30,IF(DG!$D$131=5,DG!$B$31,IF(DG!$D$131=6,DG!$B$32,IF(DG!$D$131=7,DG!$B$33)))))))</f>
        <v>Frais de variable 5</v>
      </c>
      <c r="B66" s="495">
        <f>'FD1'!B68</f>
        <v>0</v>
      </c>
      <c r="C66" s="394">
        <f>INT($B66*'A2'!E$76)</f>
        <v>0</v>
      </c>
      <c r="D66" s="394">
        <f>INT($B66*'A2'!F$76)</f>
        <v>0</v>
      </c>
      <c r="E66" s="394">
        <f>INT($B66*'A2'!G$76)</f>
        <v>0</v>
      </c>
      <c r="F66" s="394">
        <f>INT($B66*'A2'!H$76)</f>
        <v>0</v>
      </c>
      <c r="G66" s="394">
        <f>INT($B66*'A2'!I$76)</f>
        <v>0</v>
      </c>
      <c r="H66" s="394">
        <f>INT($B66*'A2'!J$76)</f>
        <v>0</v>
      </c>
      <c r="I66" s="394">
        <f>INT($B66*'A2'!K$76)</f>
        <v>0</v>
      </c>
      <c r="J66" s="394">
        <f>INT($B66*'A2'!L$76)</f>
        <v>0</v>
      </c>
      <c r="K66" s="394">
        <f>INT($B66*'A2'!M$76)</f>
        <v>0</v>
      </c>
      <c r="L66" s="394">
        <f>INT($B66*'A2'!N$76)</f>
        <v>0</v>
      </c>
      <c r="M66" s="394">
        <f>INT($B66*'A2'!O$76)</f>
        <v>0</v>
      </c>
      <c r="N66" s="394">
        <f>INT($B66*'A2'!P$76)</f>
        <v>0</v>
      </c>
      <c r="O66" s="390">
        <f t="shared" si="8"/>
        <v>0</v>
      </c>
    </row>
    <row r="67" spans="1:15" ht="13.5" thickBot="1">
      <c r="A67" s="78" t="str">
        <f>IF(DG!$D$132=1,"Aucun",IF(DG!$D$132=2,DG!$B$28,IF(DG!$D$132=3,DG!$B$29,IF(DG!$D$132=4,DG!$B$30,IF(DG!$D$132=5,DG!$B$31,IF(DG!$D$132=6,DG!$B$32,IF(DG!$D$132=7,DG!$B$33)))))))</f>
        <v>Frais de variable 6</v>
      </c>
      <c r="B67" s="495">
        <f>'FD1'!B69</f>
        <v>0</v>
      </c>
      <c r="C67" s="394">
        <f>INT($B67*'A2'!E$76)</f>
        <v>0</v>
      </c>
      <c r="D67" s="394">
        <f>INT($B67*'A2'!F$76)</f>
        <v>0</v>
      </c>
      <c r="E67" s="394">
        <f>INT($B67*'A2'!G$76)</f>
        <v>0</v>
      </c>
      <c r="F67" s="394">
        <f>INT($B67*'A2'!H$76)</f>
        <v>0</v>
      </c>
      <c r="G67" s="394">
        <f>INT($B67*'A2'!I$76)</f>
        <v>0</v>
      </c>
      <c r="H67" s="394">
        <f>INT($B67*'A2'!J$76)</f>
        <v>0</v>
      </c>
      <c r="I67" s="394">
        <f>INT($B67*'A2'!K$76)</f>
        <v>0</v>
      </c>
      <c r="J67" s="394">
        <f>INT($B67*'A2'!L$76)</f>
        <v>0</v>
      </c>
      <c r="K67" s="394">
        <f>INT($B67*'A2'!M$76)</f>
        <v>0</v>
      </c>
      <c r="L67" s="394">
        <f>INT($B67*'A2'!N$76)</f>
        <v>0</v>
      </c>
      <c r="M67" s="394">
        <f>INT($B67*'A2'!O$76)</f>
        <v>0</v>
      </c>
      <c r="N67" s="394">
        <f>INT($B67*'A2'!P$76)</f>
        <v>0</v>
      </c>
      <c r="O67" s="390">
        <f t="shared" si="8"/>
        <v>0</v>
      </c>
    </row>
    <row r="68" spans="1:15" ht="13" thickBot="1">
      <c r="A68" s="267"/>
      <c r="B68" s="88"/>
      <c r="C68" s="268"/>
      <c r="D68" s="268"/>
      <c r="E68" s="268"/>
      <c r="F68" s="268"/>
      <c r="G68" s="268"/>
      <c r="H68" s="268"/>
      <c r="I68" s="268"/>
      <c r="J68" s="268"/>
      <c r="K68" s="268"/>
      <c r="L68" s="268"/>
      <c r="M68" s="268"/>
      <c r="N68" s="268"/>
      <c r="O68" s="268"/>
    </row>
    <row r="69" spans="1:15" s="251" customFormat="1" ht="13.5" thickBot="1">
      <c r="A69" s="43" t="s">
        <v>242</v>
      </c>
      <c r="C69" s="524">
        <f t="shared" ref="C69:O69" si="9">SUM(C62:C68)</f>
        <v>0</v>
      </c>
      <c r="D69" s="524">
        <f t="shared" si="9"/>
        <v>0</v>
      </c>
      <c r="E69" s="524">
        <f t="shared" si="9"/>
        <v>0</v>
      </c>
      <c r="F69" s="524">
        <f t="shared" si="9"/>
        <v>0</v>
      </c>
      <c r="G69" s="524">
        <f t="shared" si="9"/>
        <v>0</v>
      </c>
      <c r="H69" s="524">
        <f t="shared" si="9"/>
        <v>0</v>
      </c>
      <c r="I69" s="524">
        <f t="shared" si="9"/>
        <v>0</v>
      </c>
      <c r="J69" s="524">
        <f t="shared" si="9"/>
        <v>0</v>
      </c>
      <c r="K69" s="524">
        <f t="shared" si="9"/>
        <v>0</v>
      </c>
      <c r="L69" s="524">
        <f t="shared" si="9"/>
        <v>0</v>
      </c>
      <c r="M69" s="524">
        <f t="shared" si="9"/>
        <v>0</v>
      </c>
      <c r="N69" s="524">
        <f t="shared" si="9"/>
        <v>0</v>
      </c>
      <c r="O69" s="524">
        <f t="shared" si="9"/>
        <v>0</v>
      </c>
    </row>
    <row r="71" spans="1:15" ht="13">
      <c r="A71" s="914" t="str">
        <f>'V2'!A86</f>
        <v>Produit/service 6</v>
      </c>
      <c r="C71" s="1190" t="str">
        <f>A71</f>
        <v>Produit/service 6</v>
      </c>
      <c r="D71" s="1191"/>
      <c r="E71" s="1191"/>
      <c r="F71" s="1191"/>
      <c r="G71" s="1191"/>
      <c r="H71" s="1191"/>
      <c r="I71" s="1191"/>
      <c r="J71" s="1191"/>
      <c r="K71" s="1191"/>
      <c r="L71" s="1191"/>
      <c r="M71" s="1191"/>
      <c r="N71" s="1191"/>
      <c r="O71" s="1191"/>
    </row>
    <row r="72" spans="1:15" ht="13" thickBot="1">
      <c r="A72" s="143"/>
      <c r="B72" s="88"/>
      <c r="C72" s="268"/>
      <c r="D72" s="268"/>
      <c r="E72" s="268"/>
      <c r="F72" s="268"/>
      <c r="G72" s="268"/>
      <c r="H72" s="268"/>
      <c r="I72" s="268"/>
      <c r="J72" s="268"/>
      <c r="K72" s="268"/>
      <c r="L72" s="268"/>
      <c r="M72" s="268"/>
      <c r="N72" s="268"/>
      <c r="O72" s="268"/>
    </row>
    <row r="73" spans="1:15" ht="13.5" thickBot="1">
      <c r="A73" s="78" t="str">
        <f>IF(DG!$D$127=1,"Aucun",IF(DG!$D$127=2,DG!$B$28,IF(DG!$D$127=3,DG!$B$29,IF(DG!$D$127=4,DG!$B$30,IF(DG!$D$127=5,DG!$B$31,IF(DG!$D$127=6,DG!$B$32,IF(DG!$D$127=7,DG!$B$33)))))))</f>
        <v>Frais de variable 1</v>
      </c>
      <c r="B73" s="495">
        <f>'FD1'!B75</f>
        <v>0</v>
      </c>
      <c r="C73" s="394">
        <f>INT($B73*'A2'!E$89)</f>
        <v>0</v>
      </c>
      <c r="D73" s="394">
        <f>INT($B73*'A2'!F$89)</f>
        <v>0</v>
      </c>
      <c r="E73" s="394">
        <f>INT($B73*'A2'!G$89)</f>
        <v>0</v>
      </c>
      <c r="F73" s="394">
        <f>INT($B73*'A2'!H$89)</f>
        <v>0</v>
      </c>
      <c r="G73" s="394">
        <f>INT($B73*'A2'!I$89)</f>
        <v>0</v>
      </c>
      <c r="H73" s="394">
        <f>INT($B73*'A2'!J$89)</f>
        <v>0</v>
      </c>
      <c r="I73" s="394">
        <f>INT($B73*'A2'!K$89)</f>
        <v>0</v>
      </c>
      <c r="J73" s="394">
        <f>INT($B73*'A2'!L$89)</f>
        <v>0</v>
      </c>
      <c r="K73" s="394">
        <f>INT($B73*'A2'!M$89)</f>
        <v>0</v>
      </c>
      <c r="L73" s="394">
        <f>INT($B73*'A2'!N$89)</f>
        <v>0</v>
      </c>
      <c r="M73" s="394">
        <f>INT($B73*'A2'!O$89)</f>
        <v>0</v>
      </c>
      <c r="N73" s="395">
        <f>INT($B73*'A2'!P$89)</f>
        <v>0</v>
      </c>
      <c r="O73" s="390">
        <f t="shared" ref="O73:O78" si="10">SUM(C73:N73)</f>
        <v>0</v>
      </c>
    </row>
    <row r="74" spans="1:15" ht="13.5" thickBot="1">
      <c r="A74" s="78" t="str">
        <f>IF(DG!$D$128=1,"Aucun",IF(DG!$D$128=2,DG!$B$28,IF(DG!$D$128=3,DG!$B$29,IF(DG!$D$128=4,DG!$B$30,IF(DG!$D$128=5,DG!$B$31,IF(DG!$D$128=6,DG!$B$32,IF(DG!$D$128=7,DG!$B$33)))))))</f>
        <v>Frais de variable 2</v>
      </c>
      <c r="B74" s="495">
        <f>'FD1'!B76</f>
        <v>0</v>
      </c>
      <c r="C74" s="394">
        <f>INT($B74*'A2'!E$89)</f>
        <v>0</v>
      </c>
      <c r="D74" s="394">
        <f>INT($B74*'A2'!F$89)</f>
        <v>0</v>
      </c>
      <c r="E74" s="394">
        <f>INT($B74*'A2'!G$89)</f>
        <v>0</v>
      </c>
      <c r="F74" s="394">
        <f>INT($B74*'A2'!H$89)</f>
        <v>0</v>
      </c>
      <c r="G74" s="394">
        <f>INT($B74*'A2'!I$89)</f>
        <v>0</v>
      </c>
      <c r="H74" s="394">
        <f>INT($B74*'A2'!J$89)</f>
        <v>0</v>
      </c>
      <c r="I74" s="394">
        <f>INT($B74*'A2'!K$89)</f>
        <v>0</v>
      </c>
      <c r="J74" s="394">
        <f>INT($B74*'A2'!L$89)</f>
        <v>0</v>
      </c>
      <c r="K74" s="394">
        <f>INT($B74*'A2'!M$89)</f>
        <v>0</v>
      </c>
      <c r="L74" s="394">
        <f>INT($B74*'A2'!N$89)</f>
        <v>0</v>
      </c>
      <c r="M74" s="394">
        <f>INT($B74*'A2'!O$89)</f>
        <v>0</v>
      </c>
      <c r="N74" s="395">
        <f>INT($B74*'A2'!P$89)</f>
        <v>0</v>
      </c>
      <c r="O74" s="390">
        <f t="shared" si="10"/>
        <v>0</v>
      </c>
    </row>
    <row r="75" spans="1:15" ht="13.5" thickBot="1">
      <c r="A75" s="78" t="str">
        <f>IF(DG!$D$129=1,"Aucun",IF(DG!$D$129=2,DG!$B$28,IF(DG!$D$129=3,DG!$B$29,IF(DG!$D$129=4,DG!$B$30,IF(DG!$D$129=5,DG!$B$31,IF(DG!$D$129=6,DG!$B$32,IF(DG!$D$129=7,DG!$B$33)))))))</f>
        <v>Frais de variable 3</v>
      </c>
      <c r="B75" s="495">
        <f>'FD1'!B77</f>
        <v>0</v>
      </c>
      <c r="C75" s="394">
        <f>INT($B75*'A2'!E$89)</f>
        <v>0</v>
      </c>
      <c r="D75" s="394">
        <f>INT($B75*'A2'!F$89)</f>
        <v>0</v>
      </c>
      <c r="E75" s="394">
        <f>INT($B75*'A2'!G$89)</f>
        <v>0</v>
      </c>
      <c r="F75" s="394">
        <f>INT($B75*'A2'!H$89)</f>
        <v>0</v>
      </c>
      <c r="G75" s="394">
        <f>INT($B75*'A2'!I$89)</f>
        <v>0</v>
      </c>
      <c r="H75" s="394">
        <f>INT($B75*'A2'!J$89)</f>
        <v>0</v>
      </c>
      <c r="I75" s="394">
        <f>INT($B75*'A2'!K$89)</f>
        <v>0</v>
      </c>
      <c r="J75" s="394">
        <f>INT($B75*'A2'!L$89)</f>
        <v>0</v>
      </c>
      <c r="K75" s="394">
        <f>INT($B75*'A2'!M$89)</f>
        <v>0</v>
      </c>
      <c r="L75" s="394">
        <f>INT($B75*'A2'!N$89)</f>
        <v>0</v>
      </c>
      <c r="M75" s="394">
        <f>INT($B75*'A2'!O$89)</f>
        <v>0</v>
      </c>
      <c r="N75" s="395">
        <f>INT($B75*'A2'!P$89)</f>
        <v>0</v>
      </c>
      <c r="O75" s="390">
        <f t="shared" si="10"/>
        <v>0</v>
      </c>
    </row>
    <row r="76" spans="1:15" ht="13.5" thickBot="1">
      <c r="A76" s="78" t="str">
        <f>IF(DG!$D$130=1,"Aucun",IF(DG!$D$130=2,DG!$B$28,IF(DG!$D$130=3,DG!$B$29,IF(DG!$D$130=4,DG!$B$30,IF(DG!$D$130=5,DG!$B$31,IF(DG!$D$130=6,DG!$B$32,IF(DG!$D$130=7,DG!$B$33)))))))</f>
        <v>Frais de variable 4</v>
      </c>
      <c r="B76" s="495">
        <f>'FD1'!B78</f>
        <v>0</v>
      </c>
      <c r="C76" s="394">
        <f>INT($B76*'A2'!E$89)</f>
        <v>0</v>
      </c>
      <c r="D76" s="394">
        <f>INT($B76*'A2'!F$89)</f>
        <v>0</v>
      </c>
      <c r="E76" s="394">
        <f>INT($B76*'A2'!G$89)</f>
        <v>0</v>
      </c>
      <c r="F76" s="394">
        <f>INT($B76*'A2'!H$89)</f>
        <v>0</v>
      </c>
      <c r="G76" s="394">
        <f>INT($B76*'A2'!I$89)</f>
        <v>0</v>
      </c>
      <c r="H76" s="394">
        <f>INT($B76*'A2'!J$89)</f>
        <v>0</v>
      </c>
      <c r="I76" s="394">
        <f>INT($B76*'A2'!K$89)</f>
        <v>0</v>
      </c>
      <c r="J76" s="394">
        <f>INT($B76*'A2'!L$89)</f>
        <v>0</v>
      </c>
      <c r="K76" s="394">
        <f>INT($B76*'A2'!M$89)</f>
        <v>0</v>
      </c>
      <c r="L76" s="394">
        <f>INT($B76*'A2'!N$89)</f>
        <v>0</v>
      </c>
      <c r="M76" s="394">
        <f>INT($B76*'A2'!O$89)</f>
        <v>0</v>
      </c>
      <c r="N76" s="395">
        <f>INT($B76*'A2'!P$89)</f>
        <v>0</v>
      </c>
      <c r="O76" s="390">
        <f t="shared" si="10"/>
        <v>0</v>
      </c>
    </row>
    <row r="77" spans="1:15" ht="13.5" thickBot="1">
      <c r="A77" s="78" t="str">
        <f>IF(DG!$D$131=1,"Aucun",IF(DG!$D$131=2,DG!$B$28,IF(DG!$D$131=3,DG!$B$29,IF(DG!$D$131=4,DG!$B$30,IF(DG!$D$131=5,DG!$B$31,IF(DG!$D$131=6,DG!$B$32,IF(DG!$D$131=7,DG!$B$33)))))))</f>
        <v>Frais de variable 5</v>
      </c>
      <c r="B77" s="495">
        <f>'FD1'!B79</f>
        <v>0</v>
      </c>
      <c r="C77" s="394">
        <f>INT($B77*'A2'!E$89)</f>
        <v>0</v>
      </c>
      <c r="D77" s="394">
        <f>INT($B77*'A2'!F$89)</f>
        <v>0</v>
      </c>
      <c r="E77" s="394">
        <f>INT($B77*'A2'!G$89)</f>
        <v>0</v>
      </c>
      <c r="F77" s="394">
        <f>INT($B77*'A2'!H$89)</f>
        <v>0</v>
      </c>
      <c r="G77" s="394">
        <f>INT($B77*'A2'!I$89)</f>
        <v>0</v>
      </c>
      <c r="H77" s="394">
        <f>INT($B77*'A2'!J$89)</f>
        <v>0</v>
      </c>
      <c r="I77" s="394">
        <f>INT($B77*'A2'!K$89)</f>
        <v>0</v>
      </c>
      <c r="J77" s="394">
        <f>INT($B77*'A2'!L$89)</f>
        <v>0</v>
      </c>
      <c r="K77" s="394">
        <f>INT($B77*'A2'!M$89)</f>
        <v>0</v>
      </c>
      <c r="L77" s="394">
        <f>INT($B77*'A2'!N$89)</f>
        <v>0</v>
      </c>
      <c r="M77" s="394">
        <f>INT($B77*'A2'!O$89)</f>
        <v>0</v>
      </c>
      <c r="N77" s="395">
        <f>INT($B77*'A2'!P$89)</f>
        <v>0</v>
      </c>
      <c r="O77" s="390">
        <f t="shared" si="10"/>
        <v>0</v>
      </c>
    </row>
    <row r="78" spans="1:15" ht="13.5" thickBot="1">
      <c r="A78" s="78" t="str">
        <f>IF(DG!$D$132=1,"Aucun",IF(DG!$D$132=2,DG!$B$28,IF(DG!$D$132=3,DG!$B$29,IF(DG!$D$132=4,DG!$B$30,IF(DG!$D$132=5,DG!$B$31,IF(DG!$D$132=6,DG!$B$32,IF(DG!$D$132=7,DG!$B$33)))))))</f>
        <v>Frais de variable 6</v>
      </c>
      <c r="B78" s="495">
        <f>'FD1'!B80</f>
        <v>0</v>
      </c>
      <c r="C78" s="394">
        <f>INT($B78*'A2'!E$89)</f>
        <v>0</v>
      </c>
      <c r="D78" s="394">
        <f>INT($B78*'A2'!F$89)</f>
        <v>0</v>
      </c>
      <c r="E78" s="394">
        <f>INT($B78*'A2'!G$89)</f>
        <v>0</v>
      </c>
      <c r="F78" s="394">
        <f>INT($B78*'A2'!H$89)</f>
        <v>0</v>
      </c>
      <c r="G78" s="394">
        <f>INT($B78*'A2'!I$89)</f>
        <v>0</v>
      </c>
      <c r="H78" s="394">
        <f>INT($B78*'A2'!J$89)</f>
        <v>0</v>
      </c>
      <c r="I78" s="394">
        <f>INT($B78*'A2'!K$89)</f>
        <v>0</v>
      </c>
      <c r="J78" s="394">
        <f>INT($B78*'A2'!L$89)</f>
        <v>0</v>
      </c>
      <c r="K78" s="394">
        <f>INT($B78*'A2'!M$89)</f>
        <v>0</v>
      </c>
      <c r="L78" s="394">
        <f>INT($B78*'A2'!N$89)</f>
        <v>0</v>
      </c>
      <c r="M78" s="394">
        <f>INT($B78*'A2'!O$89)</f>
        <v>0</v>
      </c>
      <c r="N78" s="395">
        <f>INT($B78*'A2'!P$89)</f>
        <v>0</v>
      </c>
      <c r="O78" s="390">
        <f t="shared" si="10"/>
        <v>0</v>
      </c>
    </row>
    <row r="79" spans="1:15" ht="13" thickBot="1">
      <c r="A79" s="267"/>
      <c r="B79" s="88"/>
      <c r="C79" s="268"/>
      <c r="D79" s="268"/>
      <c r="E79" s="268"/>
      <c r="F79" s="268"/>
      <c r="G79" s="268"/>
      <c r="H79" s="268"/>
      <c r="I79" s="268"/>
      <c r="J79" s="268"/>
      <c r="K79" s="268"/>
      <c r="L79" s="268"/>
      <c r="M79" s="268"/>
      <c r="N79" s="268"/>
      <c r="O79" s="268"/>
    </row>
    <row r="80" spans="1:15" s="251" customFormat="1" ht="13.5" thickBot="1">
      <c r="A80" s="43" t="s">
        <v>242</v>
      </c>
      <c r="C80" s="524">
        <f t="shared" ref="C80:O80" si="11">SUM(C73:C79)</f>
        <v>0</v>
      </c>
      <c r="D80" s="524">
        <f t="shared" si="11"/>
        <v>0</v>
      </c>
      <c r="E80" s="524">
        <f t="shared" si="11"/>
        <v>0</v>
      </c>
      <c r="F80" s="524">
        <f t="shared" si="11"/>
        <v>0</v>
      </c>
      <c r="G80" s="524">
        <f t="shared" si="11"/>
        <v>0</v>
      </c>
      <c r="H80" s="524">
        <f t="shared" si="11"/>
        <v>0</v>
      </c>
      <c r="I80" s="524">
        <f t="shared" si="11"/>
        <v>0</v>
      </c>
      <c r="J80" s="524">
        <f t="shared" si="11"/>
        <v>0</v>
      </c>
      <c r="K80" s="524">
        <f t="shared" si="11"/>
        <v>0</v>
      </c>
      <c r="L80" s="524">
        <f t="shared" si="11"/>
        <v>0</v>
      </c>
      <c r="M80" s="524">
        <f t="shared" si="11"/>
        <v>0</v>
      </c>
      <c r="N80" s="524">
        <f t="shared" si="11"/>
        <v>0</v>
      </c>
      <c r="O80" s="524">
        <f t="shared" si="11"/>
        <v>0</v>
      </c>
    </row>
    <row r="81" spans="1:15" ht="13" thickBot="1"/>
    <row r="82" spans="1:15" ht="13.5" thickBot="1">
      <c r="A82" s="108" t="s">
        <v>757</v>
      </c>
      <c r="C82" s="293">
        <f t="shared" ref="C82:O82" si="12">C80+C69+C58+C47+C36+C25</f>
        <v>84</v>
      </c>
      <c r="D82" s="293">
        <f t="shared" si="12"/>
        <v>88</v>
      </c>
      <c r="E82" s="293">
        <f t="shared" si="12"/>
        <v>92</v>
      </c>
      <c r="F82" s="293">
        <f t="shared" si="12"/>
        <v>96</v>
      </c>
      <c r="G82" s="293">
        <f t="shared" si="12"/>
        <v>100</v>
      </c>
      <c r="H82" s="293">
        <f t="shared" si="12"/>
        <v>103</v>
      </c>
      <c r="I82" s="293">
        <f t="shared" si="12"/>
        <v>108</v>
      </c>
      <c r="J82" s="293">
        <f t="shared" si="12"/>
        <v>112</v>
      </c>
      <c r="K82" s="293">
        <f t="shared" si="12"/>
        <v>115</v>
      </c>
      <c r="L82" s="293">
        <f t="shared" si="12"/>
        <v>120</v>
      </c>
      <c r="M82" s="293">
        <f t="shared" si="12"/>
        <v>124</v>
      </c>
      <c r="N82" s="293">
        <f t="shared" si="12"/>
        <v>127</v>
      </c>
      <c r="O82" s="293">
        <f t="shared" si="12"/>
        <v>1269</v>
      </c>
    </row>
    <row r="83" spans="1:15" ht="13.5" customHeight="1"/>
    <row r="84" spans="1:15" ht="13.5" customHeight="1"/>
    <row r="85" spans="1:15" ht="13.5" customHeight="1"/>
    <row r="86" spans="1:15" ht="13.5" customHeight="1"/>
    <row r="87" spans="1:15" ht="25">
      <c r="A87" s="105"/>
    </row>
  </sheetData>
  <sheetProtection password="E242" sheet="1" objects="1" scenarios="1"/>
  <customSheetViews>
    <customSheetView guid="{30D0538C-360A-4CDF-8D89-584CED1967CC}" scale="90" showGridLines="0" hiddenRows="1" topLeftCell="A2">
      <selection activeCell="H10" sqref="H10"/>
      <pageMargins left="0.7" right="0.7" top="0.75" bottom="0.75" header="0.3" footer="0.3"/>
    </customSheetView>
    <customSheetView guid="{4F3169C3-3348-49DE-A6DC-8AA4D2A9D7A1}" scale="90" showGridLines="0" hiddenRows="1" topLeftCell="A2">
      <selection activeCell="H10" sqref="H10"/>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55">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ColWidth="11.453125" defaultRowHeight="12.5"/>
  <cols>
    <col min="1" max="1" width="30" style="261" customWidth="1"/>
    <col min="2" max="2" width="10" style="261" customWidth="1"/>
    <col min="3" max="16384" width="11.453125" style="261"/>
  </cols>
  <sheetData>
    <row r="1" spans="1:16" customFormat="1"/>
    <row r="2" spans="1:16" customFormat="1"/>
    <row r="3" spans="1:16" customFormat="1"/>
    <row r="9" spans="1:16" hidden="1"/>
    <row r="10" spans="1:16" s="251" customFormat="1" ht="13" hidden="1">
      <c r="P10" s="48"/>
    </row>
    <row r="11" spans="1:16" s="251" customFormat="1" ht="25.5" customHeight="1">
      <c r="A11" s="105" t="str">
        <f>RG!$D$17</f>
        <v>Jhon Wesly inc.</v>
      </c>
      <c r="F11" s="808"/>
      <c r="P11" s="48"/>
    </row>
    <row r="12" spans="1:16" s="251" customFormat="1" ht="13">
      <c r="B12" s="88"/>
      <c r="C12" s="268"/>
      <c r="D12" s="268"/>
      <c r="E12" s="268"/>
      <c r="F12" s="268"/>
      <c r="G12" s="268"/>
      <c r="H12" s="268"/>
      <c r="I12" s="268"/>
      <c r="J12" s="268"/>
      <c r="K12" s="268"/>
      <c r="L12" s="268"/>
      <c r="M12" s="268"/>
      <c r="N12" s="268"/>
      <c r="O12" s="268"/>
      <c r="P12" s="48"/>
    </row>
    <row r="13" spans="1:16" s="251" customFormat="1" ht="13.5" thickBot="1">
      <c r="B13" s="88"/>
      <c r="C13" s="268"/>
      <c r="D13" s="268"/>
      <c r="E13" s="268"/>
      <c r="F13" s="268"/>
      <c r="G13" s="268"/>
      <c r="H13" s="268"/>
      <c r="I13" s="268"/>
      <c r="J13" s="268"/>
      <c r="K13" s="268"/>
      <c r="L13" s="268"/>
      <c r="M13" s="268"/>
      <c r="N13" s="268"/>
      <c r="O13" s="268"/>
      <c r="P13" s="48"/>
    </row>
    <row r="14" spans="1:16" s="822" customFormat="1" ht="30.5" thickBot="1">
      <c r="A14" s="911" t="s">
        <v>666</v>
      </c>
      <c r="B14" s="98"/>
      <c r="C14" s="821">
        <f>'A2'!E14+366</f>
        <v>46024</v>
      </c>
      <c r="D14" s="821">
        <f>'A2'!F14+366</f>
        <v>46055</v>
      </c>
      <c r="E14" s="821">
        <f>'A2'!G14+366</f>
        <v>46086</v>
      </c>
      <c r="F14" s="821">
        <f>'A2'!H14+366</f>
        <v>46117</v>
      </c>
      <c r="G14" s="821">
        <f>'A2'!I14+366</f>
        <v>46148</v>
      </c>
      <c r="H14" s="821">
        <f>'A2'!J14+366</f>
        <v>46179</v>
      </c>
      <c r="I14" s="821">
        <f>'A2'!K14+366</f>
        <v>46210</v>
      </c>
      <c r="J14" s="821">
        <f>'A2'!L14+366</f>
        <v>46241</v>
      </c>
      <c r="K14" s="821">
        <f>'A2'!M14+366</f>
        <v>46272</v>
      </c>
      <c r="L14" s="821">
        <f>'A2'!N14+366</f>
        <v>46303</v>
      </c>
      <c r="M14" s="821">
        <f>'A2'!O14+366</f>
        <v>46334</v>
      </c>
      <c r="N14" s="821">
        <f>'A2'!P14+366</f>
        <v>46365</v>
      </c>
      <c r="O14" s="821" t="str">
        <f>'A1'!Q14</f>
        <v>Année</v>
      </c>
      <c r="P14" s="816"/>
    </row>
    <row r="15" spans="1:16" s="251" customFormat="1" ht="13">
      <c r="B15" s="88"/>
      <c r="C15" s="268"/>
      <c r="D15" s="268"/>
      <c r="E15" s="268"/>
      <c r="F15" s="268"/>
      <c r="G15" s="268"/>
      <c r="H15" s="268"/>
      <c r="I15" s="268"/>
      <c r="J15" s="268"/>
      <c r="K15" s="268"/>
      <c r="L15" s="268"/>
      <c r="M15" s="268"/>
      <c r="N15" s="268"/>
      <c r="O15" s="268"/>
      <c r="P15" s="48"/>
    </row>
    <row r="16" spans="1:16" s="251" customFormat="1" ht="13">
      <c r="A16" s="913" t="str">
        <f>'FD2'!A16</f>
        <v>Produit/service 1</v>
      </c>
      <c r="B16" s="88"/>
      <c r="C16" s="1192" t="str">
        <f>A16</f>
        <v>Produit/service 1</v>
      </c>
      <c r="D16" s="1193"/>
      <c r="E16" s="1193"/>
      <c r="F16" s="1193"/>
      <c r="G16" s="1193"/>
      <c r="H16" s="1193"/>
      <c r="I16" s="1193"/>
      <c r="J16" s="1193"/>
      <c r="K16" s="1193"/>
      <c r="L16" s="1193"/>
      <c r="M16" s="1193"/>
      <c r="N16" s="1193"/>
      <c r="O16" s="1193"/>
      <c r="P16" s="48"/>
    </row>
    <row r="17" spans="1:18" s="251" customFormat="1" ht="13.5" thickBot="1">
      <c r="A17" s="143"/>
      <c r="B17" s="88"/>
      <c r="C17" s="268"/>
      <c r="D17" s="268"/>
      <c r="E17" s="268"/>
      <c r="F17" s="268"/>
      <c r="G17" s="268"/>
      <c r="H17" s="268"/>
      <c r="I17" s="268"/>
      <c r="J17" s="268"/>
      <c r="K17" s="268"/>
      <c r="L17" s="268"/>
      <c r="M17" s="268"/>
      <c r="N17" s="268"/>
      <c r="O17" s="268"/>
      <c r="P17" s="48"/>
    </row>
    <row r="18" spans="1:18" s="251" customFormat="1" ht="13.5" thickBot="1">
      <c r="A18" s="79" t="str">
        <f>IF(DG!$D$127=1,"Aucun",IF(DG!$D$127=2,DG!$B$28,IF(DG!$D$127=3,DG!$B$29,IF(DG!$D$127=4,DG!$B$30,IF(DG!$D$127=5,DG!$B$31,IF(DG!$D$127=6,DG!$B$32,IF(DG!$D$127=7,DG!$B$33)))))))</f>
        <v>Frais de variable 1</v>
      </c>
      <c r="B18" s="723">
        <f>'FD2'!B18</f>
        <v>2.5000000000000001E-2</v>
      </c>
      <c r="C18" s="481">
        <f>INT($B18*'A3'!E$24)</f>
        <v>20</v>
      </c>
      <c r="D18" s="481">
        <f>INT($B18*'A3'!F$24)</f>
        <v>21</v>
      </c>
      <c r="E18" s="481">
        <f>INT($B18*'A3'!G$24)</f>
        <v>22</v>
      </c>
      <c r="F18" s="481">
        <f>INT($B18*'A3'!H$24)</f>
        <v>22</v>
      </c>
      <c r="G18" s="481">
        <f>INT($B18*'A3'!I$24)</f>
        <v>23</v>
      </c>
      <c r="H18" s="481">
        <f>INT($B18*'A3'!J$24)</f>
        <v>24</v>
      </c>
      <c r="I18" s="481">
        <f>INT($B18*'A3'!K$24)</f>
        <v>24</v>
      </c>
      <c r="J18" s="481">
        <f>INT($B18*'A3'!L$24)</f>
        <v>25</v>
      </c>
      <c r="K18" s="481">
        <f>INT($B18*'A3'!M$24)</f>
        <v>26</v>
      </c>
      <c r="L18" s="481">
        <f>INT($B18*'A3'!N$24)</f>
        <v>26</v>
      </c>
      <c r="M18" s="481">
        <f>INT($B18*'A3'!O$24)</f>
        <v>27</v>
      </c>
      <c r="N18" s="481">
        <f>INT($B18*'A3'!P$24)</f>
        <v>28</v>
      </c>
      <c r="O18" s="390">
        <f t="shared" ref="O18:O23" si="0">SUM(C18:N18)</f>
        <v>288</v>
      </c>
      <c r="P18" s="48"/>
      <c r="Q18"/>
      <c r="R18"/>
    </row>
    <row r="19" spans="1:18" s="251" customFormat="1" ht="13.5" thickBot="1">
      <c r="A19" s="79" t="str">
        <f>IF(DG!$D$128=1,"Aucun",IF(DG!$D$128=2,DG!$B$28,IF(DG!$D$128=3,DG!$B$29,IF(DG!$D$128=4,DG!$B$30,IF(DG!$D$128=5,DG!$B$31,IF(DG!$D$128=6,DG!$B$32,IF(DG!$D$128=7,DG!$B$33)))))))</f>
        <v>Frais de variable 2</v>
      </c>
      <c r="B19" s="723">
        <f>'FD2'!B19</f>
        <v>0</v>
      </c>
      <c r="C19" s="481">
        <f>INT($B19*'A3'!E$24)</f>
        <v>0</v>
      </c>
      <c r="D19" s="481">
        <f>INT($B19*'A3'!F$24)</f>
        <v>0</v>
      </c>
      <c r="E19" s="481">
        <f>INT($B19*'A3'!G$24)</f>
        <v>0</v>
      </c>
      <c r="F19" s="481">
        <f>INT($B19*'A3'!H$24)</f>
        <v>0</v>
      </c>
      <c r="G19" s="481">
        <f>INT($B19*'A3'!I$24)</f>
        <v>0</v>
      </c>
      <c r="H19" s="481">
        <f>INT($B19*'A3'!J$24)</f>
        <v>0</v>
      </c>
      <c r="I19" s="481">
        <f>INT($B19*'A3'!K$24)</f>
        <v>0</v>
      </c>
      <c r="J19" s="481">
        <f>INT($B19*'A3'!L$24)</f>
        <v>0</v>
      </c>
      <c r="K19" s="481">
        <f>INT($B19*'A3'!M$24)</f>
        <v>0</v>
      </c>
      <c r="L19" s="481">
        <f>INT($B19*'A3'!N$24)</f>
        <v>0</v>
      </c>
      <c r="M19" s="481">
        <f>INT($B19*'A3'!O$24)</f>
        <v>0</v>
      </c>
      <c r="N19" s="481">
        <f>INT($B19*'A3'!P$24)</f>
        <v>0</v>
      </c>
      <c r="O19" s="390">
        <f t="shared" si="0"/>
        <v>0</v>
      </c>
      <c r="P19" s="48"/>
      <c r="Q19"/>
      <c r="R19"/>
    </row>
    <row r="20" spans="1:18" s="251" customFormat="1" ht="13.5" thickBot="1">
      <c r="A20" s="79" t="str">
        <f>IF(DG!$D$129=1,"Aucun",IF(DG!$D$129=2,DG!$B$28,IF(DG!$D$129=3,DG!$B$29,IF(DG!$D$129=4,DG!$B$30,IF(DG!$D$129=5,DG!$B$31,IF(DG!$D$129=6,DG!$B$32,IF(DG!$D$129=7,DG!$B$33)))))))</f>
        <v>Frais de variable 3</v>
      </c>
      <c r="B20" s="723">
        <f>'FD2'!B20</f>
        <v>0</v>
      </c>
      <c r="C20" s="481">
        <f>INT($B20*'A3'!E$24)</f>
        <v>0</v>
      </c>
      <c r="D20" s="481">
        <f>INT($B20*'A3'!F$24)</f>
        <v>0</v>
      </c>
      <c r="E20" s="481">
        <f>INT($B20*'A3'!G$24)</f>
        <v>0</v>
      </c>
      <c r="F20" s="481">
        <f>INT($B20*'A3'!H$24)</f>
        <v>0</v>
      </c>
      <c r="G20" s="481">
        <f>INT($B20*'A3'!I$24)</f>
        <v>0</v>
      </c>
      <c r="H20" s="481">
        <f>INT($B20*'A3'!J$24)</f>
        <v>0</v>
      </c>
      <c r="I20" s="481">
        <f>INT($B20*'A3'!K$24)</f>
        <v>0</v>
      </c>
      <c r="J20" s="481">
        <f>INT($B20*'A3'!L$24)</f>
        <v>0</v>
      </c>
      <c r="K20" s="481">
        <f>INT($B20*'A3'!M$24)</f>
        <v>0</v>
      </c>
      <c r="L20" s="481">
        <f>INT($B20*'A3'!N$24)</f>
        <v>0</v>
      </c>
      <c r="M20" s="481">
        <f>INT($B20*'A3'!O$24)</f>
        <v>0</v>
      </c>
      <c r="N20" s="481">
        <f>INT($B20*'A3'!P$24)</f>
        <v>0</v>
      </c>
      <c r="O20" s="390">
        <f t="shared" si="0"/>
        <v>0</v>
      </c>
      <c r="P20" s="48"/>
      <c r="Q20"/>
      <c r="R20"/>
    </row>
    <row r="21" spans="1:18" s="251" customFormat="1" ht="13.5" thickBot="1">
      <c r="A21" s="79" t="str">
        <f>IF(DG!$D$130=1,"Aucun",IF(DG!$D$130=2,DG!$B$28,IF(DG!$D$130=3,DG!$B$29,IF(DG!$D$130=4,DG!$B$30,IF(DG!$D$130=5,DG!$B$31,IF(DG!$D$130=6,DG!$B$32,IF(DG!$D$130=7,DG!$B$33)))))))</f>
        <v>Frais de variable 4</v>
      </c>
      <c r="B21" s="723">
        <f>'FD2'!B21</f>
        <v>0</v>
      </c>
      <c r="C21" s="481">
        <f>INT($B21*'A3'!E$24)</f>
        <v>0</v>
      </c>
      <c r="D21" s="481">
        <f>INT($B21*'A3'!F$24)</f>
        <v>0</v>
      </c>
      <c r="E21" s="481">
        <f>INT($B21*'A3'!G$24)</f>
        <v>0</v>
      </c>
      <c r="F21" s="481">
        <f>INT($B21*'A3'!H$24)</f>
        <v>0</v>
      </c>
      <c r="G21" s="481">
        <f>INT($B21*'A3'!I$24)</f>
        <v>0</v>
      </c>
      <c r="H21" s="481">
        <f>INT($B21*'A3'!J$24)</f>
        <v>0</v>
      </c>
      <c r="I21" s="481">
        <f>INT($B21*'A3'!K$24)</f>
        <v>0</v>
      </c>
      <c r="J21" s="481">
        <f>INT($B21*'A3'!L$24)</f>
        <v>0</v>
      </c>
      <c r="K21" s="481">
        <f>INT($B21*'A3'!M$24)</f>
        <v>0</v>
      </c>
      <c r="L21" s="481">
        <f>INT($B21*'A3'!N$24)</f>
        <v>0</v>
      </c>
      <c r="M21" s="481">
        <f>INT($B21*'A3'!O$24)</f>
        <v>0</v>
      </c>
      <c r="N21" s="481">
        <f>INT($B21*'A3'!P$24)</f>
        <v>0</v>
      </c>
      <c r="O21" s="390">
        <f t="shared" si="0"/>
        <v>0</v>
      </c>
      <c r="P21" s="48"/>
      <c r="Q21"/>
      <c r="R21"/>
    </row>
    <row r="22" spans="1:18" s="251" customFormat="1" ht="13.5" thickBot="1">
      <c r="A22" s="79" t="str">
        <f>IF(DG!$D$131=1,"Aucun",IF(DG!$D$131=2,DG!$B$28,IF(DG!$D$131=3,DG!$B$29,IF(DG!$D$131=4,DG!$B$30,IF(DG!$D$131=5,DG!$B$31,IF(DG!$D$131=6,DG!$B$32,IF(DG!$D$131=7,DG!$B$33)))))))</f>
        <v>Frais de variable 5</v>
      </c>
      <c r="B22" s="723">
        <f>'FD2'!B22</f>
        <v>0</v>
      </c>
      <c r="C22" s="481">
        <f>INT($B22*'A3'!E$24)</f>
        <v>0</v>
      </c>
      <c r="D22" s="481">
        <f>INT($B22*'A3'!F$24)</f>
        <v>0</v>
      </c>
      <c r="E22" s="481">
        <f>INT($B22*'A3'!G$24)</f>
        <v>0</v>
      </c>
      <c r="F22" s="481">
        <f>INT($B22*'A3'!H$24)</f>
        <v>0</v>
      </c>
      <c r="G22" s="481">
        <f>INT($B22*'A3'!I$24)</f>
        <v>0</v>
      </c>
      <c r="H22" s="481">
        <f>INT($B22*'A3'!J$24)</f>
        <v>0</v>
      </c>
      <c r="I22" s="481">
        <f>INT($B22*'A3'!K$24)</f>
        <v>0</v>
      </c>
      <c r="J22" s="481">
        <f>INT($B22*'A3'!L$24)</f>
        <v>0</v>
      </c>
      <c r="K22" s="481">
        <f>INT($B22*'A3'!M$24)</f>
        <v>0</v>
      </c>
      <c r="L22" s="481">
        <f>INT($B22*'A3'!N$24)</f>
        <v>0</v>
      </c>
      <c r="M22" s="481">
        <f>INT($B22*'A3'!O$24)</f>
        <v>0</v>
      </c>
      <c r="N22" s="481">
        <f>INT($B22*'A3'!P$24)</f>
        <v>0</v>
      </c>
      <c r="O22" s="390">
        <f t="shared" si="0"/>
        <v>0</v>
      </c>
      <c r="P22" s="48"/>
      <c r="Q22"/>
      <c r="R22"/>
    </row>
    <row r="23" spans="1:18" s="251" customFormat="1" ht="13.5" thickBot="1">
      <c r="A23" s="79" t="str">
        <f>IF(DG!$D$132=1,"Aucun",IF(DG!$D$132=2,DG!$B$28,IF(DG!$D$132=3,DG!$B$29,IF(DG!$D$132=4,DG!$B$30,IF(DG!$D$132=5,DG!$B$31,IF(DG!$D$132=6,DG!$B$32,IF(DG!$D$132=7,DG!$B$33)))))))</f>
        <v>Frais de variable 6</v>
      </c>
      <c r="B23" s="723">
        <f>'FD2'!B23</f>
        <v>0</v>
      </c>
      <c r="C23" s="481">
        <f>INT($B23*'A3'!E$24)</f>
        <v>0</v>
      </c>
      <c r="D23" s="481">
        <f>INT($B23*'A3'!F$24)</f>
        <v>0</v>
      </c>
      <c r="E23" s="481">
        <f>INT($B23*'A3'!G$24)</f>
        <v>0</v>
      </c>
      <c r="F23" s="481">
        <f>INT($B23*'A3'!H$24)</f>
        <v>0</v>
      </c>
      <c r="G23" s="481">
        <f>INT($B23*'A3'!I$24)</f>
        <v>0</v>
      </c>
      <c r="H23" s="481">
        <f>INT($B23*'A3'!J$24)</f>
        <v>0</v>
      </c>
      <c r="I23" s="481">
        <f>INT($B23*'A3'!K$24)</f>
        <v>0</v>
      </c>
      <c r="J23" s="481">
        <f>INT($B23*'A3'!L$24)</f>
        <v>0</v>
      </c>
      <c r="K23" s="481">
        <f>INT($B23*'A3'!M$24)</f>
        <v>0</v>
      </c>
      <c r="L23" s="481">
        <f>INT($B23*'A3'!N$24)</f>
        <v>0</v>
      </c>
      <c r="M23" s="481">
        <f>INT($B23*'A3'!O$24)</f>
        <v>0</v>
      </c>
      <c r="N23" s="481">
        <f>INT($B23*'A3'!P$24)</f>
        <v>0</v>
      </c>
      <c r="O23" s="390">
        <f t="shared" si="0"/>
        <v>0</v>
      </c>
      <c r="P23" s="48"/>
      <c r="Q23"/>
      <c r="R23"/>
    </row>
    <row r="24" spans="1:18" s="251" customFormat="1" ht="13.5" thickBot="1">
      <c r="A24" s="267"/>
      <c r="B24" s="88"/>
      <c r="C24" s="268"/>
      <c r="D24" s="268"/>
      <c r="E24" s="268"/>
      <c r="F24" s="268"/>
      <c r="G24" s="268"/>
      <c r="H24" s="268"/>
      <c r="I24" s="268"/>
      <c r="J24" s="268"/>
      <c r="K24" s="268"/>
      <c r="L24" s="268"/>
      <c r="M24" s="268"/>
      <c r="N24" s="268"/>
      <c r="O24" s="268"/>
      <c r="P24" s="48"/>
      <c r="Q24"/>
      <c r="R24"/>
    </row>
    <row r="25" spans="1:18" s="251" customFormat="1" ht="13.5" thickBot="1">
      <c r="A25" s="43" t="s">
        <v>242</v>
      </c>
      <c r="B25" s="325"/>
      <c r="C25" s="319">
        <f t="shared" ref="C25:O25" si="1">SUM(C18:C24)</f>
        <v>20</v>
      </c>
      <c r="D25" s="319">
        <f t="shared" si="1"/>
        <v>21</v>
      </c>
      <c r="E25" s="319">
        <f t="shared" si="1"/>
        <v>22</v>
      </c>
      <c r="F25" s="319">
        <f t="shared" si="1"/>
        <v>22</v>
      </c>
      <c r="G25" s="319">
        <f t="shared" si="1"/>
        <v>23</v>
      </c>
      <c r="H25" s="319">
        <f t="shared" si="1"/>
        <v>24</v>
      </c>
      <c r="I25" s="319">
        <f t="shared" si="1"/>
        <v>24</v>
      </c>
      <c r="J25" s="319">
        <f t="shared" si="1"/>
        <v>25</v>
      </c>
      <c r="K25" s="319">
        <f t="shared" si="1"/>
        <v>26</v>
      </c>
      <c r="L25" s="319">
        <f t="shared" si="1"/>
        <v>26</v>
      </c>
      <c r="M25" s="319">
        <f t="shared" si="1"/>
        <v>27</v>
      </c>
      <c r="N25" s="319">
        <f t="shared" si="1"/>
        <v>28</v>
      </c>
      <c r="O25" s="319">
        <f t="shared" si="1"/>
        <v>288</v>
      </c>
      <c r="P25"/>
      <c r="Q25"/>
      <c r="R25"/>
    </row>
    <row r="26" spans="1:18" ht="13">
      <c r="A26" s="521"/>
      <c r="B26" s="325"/>
      <c r="C26" s="142"/>
      <c r="D26" s="142"/>
      <c r="E26" s="142"/>
      <c r="F26" s="142"/>
      <c r="G26" s="142"/>
      <c r="H26" s="142"/>
      <c r="I26" s="142"/>
      <c r="J26" s="142"/>
      <c r="K26" s="142"/>
      <c r="L26" s="142"/>
      <c r="M26" s="142"/>
      <c r="N26" s="142"/>
      <c r="O26" s="142"/>
      <c r="P26"/>
      <c r="Q26"/>
      <c r="R26"/>
    </row>
    <row r="27" spans="1:18" s="255" customFormat="1" ht="13">
      <c r="A27" s="913" t="str">
        <f>'FD2'!A27</f>
        <v>Produit/service 2</v>
      </c>
      <c r="B27" s="88"/>
      <c r="C27" s="1192" t="str">
        <f>A27</f>
        <v>Produit/service 2</v>
      </c>
      <c r="D27" s="1193"/>
      <c r="E27" s="1193"/>
      <c r="F27" s="1193"/>
      <c r="G27" s="1193"/>
      <c r="H27" s="1193"/>
      <c r="I27" s="1193"/>
      <c r="J27" s="1193"/>
      <c r="K27" s="1193"/>
      <c r="L27" s="1193"/>
      <c r="M27" s="1193"/>
      <c r="N27" s="1193"/>
      <c r="O27" s="1193"/>
      <c r="P27"/>
      <c r="Q27"/>
      <c r="R27"/>
    </row>
    <row r="28" spans="1:18" ht="13" thickBot="1">
      <c r="A28" s="143"/>
      <c r="B28" s="88"/>
      <c r="C28" s="268"/>
      <c r="D28" s="268"/>
      <c r="E28" s="268"/>
      <c r="F28" s="268"/>
      <c r="G28" s="268"/>
      <c r="H28" s="268"/>
      <c r="I28" s="268"/>
      <c r="J28" s="268"/>
      <c r="K28" s="268"/>
      <c r="L28" s="268"/>
      <c r="M28" s="268"/>
      <c r="N28" s="268"/>
      <c r="O28" s="268"/>
      <c r="P28"/>
      <c r="Q28"/>
      <c r="R28"/>
    </row>
    <row r="29" spans="1:18" ht="13.5" thickBot="1">
      <c r="A29" s="78" t="str">
        <f>IF(DG!$D$127=1,"Aucun",IF(DG!$D$127=2,DG!$B$28,IF(DG!$D$127=3,DG!$B$29,IF(DG!$D$127=4,DG!$B$30,IF(DG!$D$127=5,DG!$B$31,IF(DG!$D$127=6,DG!$B$32,IF(DG!$D$127=7,DG!$B$33)))))))</f>
        <v>Frais de variable 1</v>
      </c>
      <c r="B29" s="723">
        <f>'FD2'!B29</f>
        <v>2.5000000000000001E-2</v>
      </c>
      <c r="C29" s="481">
        <f>INT($B29*'A3'!E$37)</f>
        <v>27</v>
      </c>
      <c r="D29" s="481">
        <f>INT($B29*'A3'!F$37)</f>
        <v>28</v>
      </c>
      <c r="E29" s="481">
        <f>INT($B29*'A3'!G$37)</f>
        <v>30</v>
      </c>
      <c r="F29" s="481">
        <f>INT($B29*'A3'!H$37)</f>
        <v>31</v>
      </c>
      <c r="G29" s="481">
        <f>INT($B29*'A3'!I$37)</f>
        <v>33</v>
      </c>
      <c r="H29" s="481">
        <f>INT($B29*'A3'!J$37)</f>
        <v>34</v>
      </c>
      <c r="I29" s="481">
        <f>INT($B29*'A3'!K$37)</f>
        <v>35</v>
      </c>
      <c r="J29" s="481">
        <f>INT($B29*'A3'!L$37)</f>
        <v>37</v>
      </c>
      <c r="K29" s="481">
        <f>INT($B29*'A3'!M$37)</f>
        <v>38</v>
      </c>
      <c r="L29" s="481">
        <f>INT($B29*'A3'!N$37)</f>
        <v>39</v>
      </c>
      <c r="M29" s="481">
        <f>INT($B29*'A3'!O$37)</f>
        <v>41</v>
      </c>
      <c r="N29" s="481">
        <f>INT($B29*'A3'!P$37)</f>
        <v>42</v>
      </c>
      <c r="O29" s="390">
        <f t="shared" ref="O29:O34" si="2">SUM(C29:N29)</f>
        <v>415</v>
      </c>
      <c r="P29"/>
      <c r="Q29"/>
      <c r="R29"/>
    </row>
    <row r="30" spans="1:18" ht="13.5" thickBot="1">
      <c r="A30" s="78" t="str">
        <f>IF(DG!$D$128=1,"Aucun",IF(DG!$D$128=2,DG!$B$28,IF(DG!$D$128=3,DG!$B$29,IF(DG!$D$128=4,DG!$B$30,IF(DG!$D$128=5,DG!$B$31,IF(DG!$D$128=6,DG!$B$32,IF(DG!$D$128=7,DG!$B$33)))))))</f>
        <v>Frais de variable 2</v>
      </c>
      <c r="B30" s="723">
        <f>'FD2'!B30</f>
        <v>0</v>
      </c>
      <c r="C30" s="481">
        <f>INT($B30*'A3'!E$37)</f>
        <v>0</v>
      </c>
      <c r="D30" s="481">
        <f>INT($B30*'A3'!F$37)</f>
        <v>0</v>
      </c>
      <c r="E30" s="481">
        <f>INT($B30*'A3'!G$37)</f>
        <v>0</v>
      </c>
      <c r="F30" s="481">
        <f>INT($B30*'A3'!H$37)</f>
        <v>0</v>
      </c>
      <c r="G30" s="481">
        <f>INT($B30*'A3'!I$37)</f>
        <v>0</v>
      </c>
      <c r="H30" s="481">
        <f>INT($B30*'A3'!J$37)</f>
        <v>0</v>
      </c>
      <c r="I30" s="481">
        <f>INT($B30*'A3'!K$37)</f>
        <v>0</v>
      </c>
      <c r="J30" s="481">
        <f>INT($B30*'A3'!L$37)</f>
        <v>0</v>
      </c>
      <c r="K30" s="481">
        <f>INT($B30*'A3'!M$37)</f>
        <v>0</v>
      </c>
      <c r="L30" s="481">
        <f>INT($B30*'A3'!N$37)</f>
        <v>0</v>
      </c>
      <c r="M30" s="481">
        <f>INT($B30*'A3'!O$37)</f>
        <v>0</v>
      </c>
      <c r="N30" s="481">
        <f>INT($B30*'A3'!P$37)</f>
        <v>0</v>
      </c>
      <c r="O30" s="390">
        <f t="shared" si="2"/>
        <v>0</v>
      </c>
      <c r="P30"/>
      <c r="Q30"/>
      <c r="R30"/>
    </row>
    <row r="31" spans="1:18" ht="13.5" thickBot="1">
      <c r="A31" s="78" t="str">
        <f>IF(DG!$D$129=1,"Aucun",IF(DG!$D$129=2,DG!$B$28,IF(DG!$D$129=3,DG!$B$29,IF(DG!$D$129=4,DG!$B$30,IF(DG!$D$129=5,DG!$B$31,IF(DG!$D$129=6,DG!$B$32,IF(DG!$D$129=7,DG!$B$33)))))))</f>
        <v>Frais de variable 3</v>
      </c>
      <c r="B31" s="723">
        <f>'FD2'!B31</f>
        <v>0</v>
      </c>
      <c r="C31" s="481">
        <f>INT($B31*'A3'!E$37)</f>
        <v>0</v>
      </c>
      <c r="D31" s="481">
        <f>INT($B31*'A3'!F$37)</f>
        <v>0</v>
      </c>
      <c r="E31" s="481">
        <f>INT($B31*'A3'!G$37)</f>
        <v>0</v>
      </c>
      <c r="F31" s="481">
        <f>INT($B31*'A3'!H$37)</f>
        <v>0</v>
      </c>
      <c r="G31" s="481">
        <f>INT($B31*'A3'!I$37)</f>
        <v>0</v>
      </c>
      <c r="H31" s="481">
        <f>INT($B31*'A3'!J$37)</f>
        <v>0</v>
      </c>
      <c r="I31" s="481">
        <f>INT($B31*'A3'!K$37)</f>
        <v>0</v>
      </c>
      <c r="J31" s="481">
        <f>INT($B31*'A3'!L$37)</f>
        <v>0</v>
      </c>
      <c r="K31" s="481">
        <f>INT($B31*'A3'!M$37)</f>
        <v>0</v>
      </c>
      <c r="L31" s="481">
        <f>INT($B31*'A3'!N$37)</f>
        <v>0</v>
      </c>
      <c r="M31" s="481">
        <f>INT($B31*'A3'!O$37)</f>
        <v>0</v>
      </c>
      <c r="N31" s="481">
        <f>INT($B31*'A3'!P$37)</f>
        <v>0</v>
      </c>
      <c r="O31" s="390">
        <f t="shared" si="2"/>
        <v>0</v>
      </c>
      <c r="P31"/>
      <c r="Q31"/>
      <c r="R31"/>
    </row>
    <row r="32" spans="1:18" ht="13.5" thickBot="1">
      <c r="A32" s="78" t="str">
        <f>IF(DG!$D$130=1,"Aucun",IF(DG!$D$130=2,DG!$B$28,IF(DG!$D$130=3,DG!$B$29,IF(DG!$D$130=4,DG!$B$30,IF(DG!$D$130=5,DG!$B$31,IF(DG!$D$130=6,DG!$B$32,IF(DG!$D$130=7,DG!$B$33)))))))</f>
        <v>Frais de variable 4</v>
      </c>
      <c r="B32" s="723">
        <f>'FD2'!B32</f>
        <v>0</v>
      </c>
      <c r="C32" s="481">
        <f>INT($B32*'A3'!E$37)</f>
        <v>0</v>
      </c>
      <c r="D32" s="481">
        <f>INT($B32*'A3'!F$37)</f>
        <v>0</v>
      </c>
      <c r="E32" s="481">
        <f>INT($B32*'A3'!G$37)</f>
        <v>0</v>
      </c>
      <c r="F32" s="481">
        <f>INT($B32*'A3'!H$37)</f>
        <v>0</v>
      </c>
      <c r="G32" s="481">
        <f>INT($B32*'A3'!I$37)</f>
        <v>0</v>
      </c>
      <c r="H32" s="481">
        <f>INT($B32*'A3'!J$37)</f>
        <v>0</v>
      </c>
      <c r="I32" s="481">
        <f>INT($B32*'A3'!K$37)</f>
        <v>0</v>
      </c>
      <c r="J32" s="481">
        <f>INT($B32*'A3'!L$37)</f>
        <v>0</v>
      </c>
      <c r="K32" s="481">
        <f>INT($B32*'A3'!M$37)</f>
        <v>0</v>
      </c>
      <c r="L32" s="481">
        <f>INT($B32*'A3'!N$37)</f>
        <v>0</v>
      </c>
      <c r="M32" s="481">
        <f>INT($B32*'A3'!O$37)</f>
        <v>0</v>
      </c>
      <c r="N32" s="481">
        <f>INT($B32*'A3'!P$37)</f>
        <v>0</v>
      </c>
      <c r="O32" s="390">
        <f t="shared" si="2"/>
        <v>0</v>
      </c>
      <c r="P32"/>
      <c r="Q32"/>
      <c r="R32"/>
    </row>
    <row r="33" spans="1:18" ht="13.5" thickBot="1">
      <c r="A33" s="78" t="str">
        <f>IF(DG!$D$131=1,"Aucun",IF(DG!$D$131=2,DG!$B$28,IF(DG!$D$131=3,DG!$B$29,IF(DG!$D$131=4,DG!$B$30,IF(DG!$D$131=5,DG!$B$31,IF(DG!$D$131=6,DG!$B$32,IF(DG!$D$131=7,DG!$B$33)))))))</f>
        <v>Frais de variable 5</v>
      </c>
      <c r="B33" s="723">
        <f>'FD2'!B33</f>
        <v>0</v>
      </c>
      <c r="C33" s="481">
        <f>INT($B33*'A3'!E$37)</f>
        <v>0</v>
      </c>
      <c r="D33" s="481">
        <f>INT($B33*'A3'!F$37)</f>
        <v>0</v>
      </c>
      <c r="E33" s="481">
        <f>INT($B33*'A3'!G$37)</f>
        <v>0</v>
      </c>
      <c r="F33" s="481">
        <f>INT($B33*'A3'!H$37)</f>
        <v>0</v>
      </c>
      <c r="G33" s="481">
        <f>INT($B33*'A3'!I$37)</f>
        <v>0</v>
      </c>
      <c r="H33" s="481">
        <f>INT($B33*'A3'!J$37)</f>
        <v>0</v>
      </c>
      <c r="I33" s="481">
        <f>INT($B33*'A3'!K$37)</f>
        <v>0</v>
      </c>
      <c r="J33" s="481">
        <f>INT($B33*'A3'!L$37)</f>
        <v>0</v>
      </c>
      <c r="K33" s="481">
        <f>INT($B33*'A3'!M$37)</f>
        <v>0</v>
      </c>
      <c r="L33" s="481">
        <f>INT($B33*'A3'!N$37)</f>
        <v>0</v>
      </c>
      <c r="M33" s="481">
        <f>INT($B33*'A3'!O$37)</f>
        <v>0</v>
      </c>
      <c r="N33" s="481">
        <f>INT($B33*'A3'!P$37)</f>
        <v>0</v>
      </c>
      <c r="O33" s="390">
        <f t="shared" si="2"/>
        <v>0</v>
      </c>
      <c r="P33"/>
      <c r="Q33"/>
      <c r="R33"/>
    </row>
    <row r="34" spans="1:18" ht="13.5" thickBot="1">
      <c r="A34" s="78" t="str">
        <f>IF(DG!$D$132=1,"Aucun",IF(DG!$D$132=2,DG!$B$28,IF(DG!$D$132=3,DG!$B$29,IF(DG!$D$132=4,DG!$B$30,IF(DG!$D$132=5,DG!$B$31,IF(DG!$D$132=6,DG!$B$32,IF(DG!$D$132=7,DG!$B$33)))))))</f>
        <v>Frais de variable 6</v>
      </c>
      <c r="B34" s="723">
        <f>'FD2'!B34</f>
        <v>0</v>
      </c>
      <c r="C34" s="481">
        <f>INT($B34*'A3'!E$37)</f>
        <v>0</v>
      </c>
      <c r="D34" s="481">
        <f>INT($B34*'A3'!F$37)</f>
        <v>0</v>
      </c>
      <c r="E34" s="481">
        <f>INT($B34*'A3'!G$37)</f>
        <v>0</v>
      </c>
      <c r="F34" s="481">
        <f>INT($B34*'A3'!H$37)</f>
        <v>0</v>
      </c>
      <c r="G34" s="481">
        <f>INT($B34*'A3'!I$37)</f>
        <v>0</v>
      </c>
      <c r="H34" s="481">
        <f>INT($B34*'A3'!J$37)</f>
        <v>0</v>
      </c>
      <c r="I34" s="481">
        <f>INT($B34*'A3'!K$37)</f>
        <v>0</v>
      </c>
      <c r="J34" s="481">
        <f>INT($B34*'A3'!L$37)</f>
        <v>0</v>
      </c>
      <c r="K34" s="481">
        <f>INT($B34*'A3'!M$37)</f>
        <v>0</v>
      </c>
      <c r="L34" s="481">
        <f>INT($B34*'A3'!N$37)</f>
        <v>0</v>
      </c>
      <c r="M34" s="481">
        <f>INT($B34*'A3'!O$37)</f>
        <v>0</v>
      </c>
      <c r="N34" s="481">
        <f>INT($B34*'A3'!P$37)</f>
        <v>0</v>
      </c>
      <c r="O34" s="390">
        <f t="shared" si="2"/>
        <v>0</v>
      </c>
      <c r="P34"/>
      <c r="Q34"/>
      <c r="R34"/>
    </row>
    <row r="35" spans="1:18" ht="13" thickBot="1">
      <c r="A35" s="267"/>
      <c r="B35" s="88"/>
      <c r="C35" s="268"/>
      <c r="D35" s="268"/>
      <c r="E35" s="268"/>
      <c r="F35" s="268"/>
      <c r="G35" s="268"/>
      <c r="H35" s="268"/>
      <c r="I35" s="268"/>
      <c r="J35" s="268"/>
      <c r="K35" s="268"/>
      <c r="L35" s="268"/>
      <c r="M35" s="268"/>
      <c r="N35" s="268"/>
      <c r="O35" s="268"/>
      <c r="P35"/>
      <c r="Q35"/>
      <c r="R35"/>
    </row>
    <row r="36" spans="1:18" s="251" customFormat="1" ht="13.5" thickBot="1">
      <c r="A36" s="43" t="s">
        <v>242</v>
      </c>
      <c r="B36" s="325"/>
      <c r="C36" s="319">
        <f t="shared" ref="C36:O36" si="3">SUM(C29:C35)</f>
        <v>27</v>
      </c>
      <c r="D36" s="319">
        <f t="shared" si="3"/>
        <v>28</v>
      </c>
      <c r="E36" s="319">
        <f t="shared" si="3"/>
        <v>30</v>
      </c>
      <c r="F36" s="319">
        <f t="shared" si="3"/>
        <v>31</v>
      </c>
      <c r="G36" s="319">
        <f t="shared" si="3"/>
        <v>33</v>
      </c>
      <c r="H36" s="319">
        <f t="shared" si="3"/>
        <v>34</v>
      </c>
      <c r="I36" s="319">
        <f t="shared" si="3"/>
        <v>35</v>
      </c>
      <c r="J36" s="319">
        <f t="shared" si="3"/>
        <v>37</v>
      </c>
      <c r="K36" s="319">
        <f t="shared" si="3"/>
        <v>38</v>
      </c>
      <c r="L36" s="319">
        <f t="shared" si="3"/>
        <v>39</v>
      </c>
      <c r="M36" s="319">
        <f t="shared" si="3"/>
        <v>41</v>
      </c>
      <c r="N36" s="319">
        <f t="shared" si="3"/>
        <v>42</v>
      </c>
      <c r="O36" s="319">
        <f t="shared" si="3"/>
        <v>415</v>
      </c>
      <c r="P36"/>
      <c r="Q36"/>
      <c r="R36"/>
    </row>
    <row r="37" spans="1:18" ht="13">
      <c r="A37" s="521"/>
      <c r="B37" s="325"/>
      <c r="C37" s="142"/>
      <c r="D37" s="142"/>
      <c r="E37" s="142"/>
      <c r="F37" s="142"/>
      <c r="G37" s="142"/>
      <c r="H37" s="142"/>
      <c r="I37" s="142"/>
      <c r="J37" s="142"/>
      <c r="K37" s="142"/>
      <c r="L37" s="142"/>
      <c r="M37" s="142"/>
      <c r="N37" s="142"/>
      <c r="O37" s="142"/>
      <c r="P37"/>
      <c r="Q37"/>
      <c r="R37"/>
    </row>
    <row r="38" spans="1:18" ht="13">
      <c r="A38" s="913" t="str">
        <f>'FD2'!A38</f>
        <v>Produit/service 3</v>
      </c>
      <c r="B38" s="88"/>
      <c r="C38" s="1192" t="str">
        <f>A38</f>
        <v>Produit/service 3</v>
      </c>
      <c r="D38" s="1193"/>
      <c r="E38" s="1193"/>
      <c r="F38" s="1193"/>
      <c r="G38" s="1193"/>
      <c r="H38" s="1193"/>
      <c r="I38" s="1193"/>
      <c r="J38" s="1193"/>
      <c r="K38" s="1193"/>
      <c r="L38" s="1193"/>
      <c r="M38" s="1193"/>
      <c r="N38" s="1193"/>
      <c r="O38" s="1193"/>
      <c r="P38"/>
      <c r="Q38"/>
      <c r="R38"/>
    </row>
    <row r="39" spans="1:18" ht="13" thickBot="1">
      <c r="A39" s="143"/>
      <c r="B39" s="88"/>
      <c r="C39" s="268"/>
      <c r="D39" s="268"/>
      <c r="E39" s="268"/>
      <c r="F39" s="268"/>
      <c r="G39" s="268"/>
      <c r="H39" s="268"/>
      <c r="I39" s="268"/>
      <c r="J39" s="268"/>
      <c r="K39" s="268"/>
      <c r="L39" s="268"/>
      <c r="M39" s="268"/>
      <c r="N39" s="268"/>
      <c r="O39" s="268"/>
      <c r="P39"/>
      <c r="Q39"/>
      <c r="R39"/>
    </row>
    <row r="40" spans="1:18" ht="13.5" thickBot="1">
      <c r="A40" s="78" t="str">
        <f>IF(DG!$D$127=1,"Aucun",IF(DG!$D$127=2,DG!$B$28,IF(DG!$D$127=3,DG!$B$29,IF(DG!$D$127=4,DG!$B$30,IF(DG!$D$127=5,DG!$B$31,IF(DG!$D$127=6,DG!$B$32,IF(DG!$D$127=7,DG!$B$33)))))))</f>
        <v>Frais de variable 1</v>
      </c>
      <c r="B40" s="723">
        <f>'FD2'!B40</f>
        <v>2.5000000000000001E-2</v>
      </c>
      <c r="C40" s="481">
        <f>INT($B40*'A3'!E$50)</f>
        <v>41</v>
      </c>
      <c r="D40" s="481">
        <f>INT($B40*'A3'!F$50)</f>
        <v>43</v>
      </c>
      <c r="E40" s="481">
        <f>INT($B40*'A3'!G$50)</f>
        <v>45</v>
      </c>
      <c r="F40" s="481">
        <f>INT($B40*'A3'!H$50)</f>
        <v>47</v>
      </c>
      <c r="G40" s="481">
        <f>INT($B40*'A3'!I$50)</f>
        <v>49</v>
      </c>
      <c r="H40" s="481">
        <f>INT($B40*'A3'!J$50)</f>
        <v>51</v>
      </c>
      <c r="I40" s="481">
        <f>INT($B40*'A3'!K$50)</f>
        <v>53</v>
      </c>
      <c r="J40" s="481">
        <f>INT($B40*'A3'!L$50)</f>
        <v>55</v>
      </c>
      <c r="K40" s="481">
        <f>INT($B40*'A3'!M$50)</f>
        <v>57</v>
      </c>
      <c r="L40" s="481">
        <f>INT($B40*'A3'!N$50)</f>
        <v>59</v>
      </c>
      <c r="M40" s="481">
        <f>INT($B40*'A3'!O$50)</f>
        <v>62</v>
      </c>
      <c r="N40" s="481">
        <f>INT($B40*'A3'!P$50)</f>
        <v>64</v>
      </c>
      <c r="O40" s="390">
        <f t="shared" ref="O40:O45" si="4">SUM(C40:N40)</f>
        <v>626</v>
      </c>
      <c r="P40"/>
      <c r="Q40"/>
      <c r="R40"/>
    </row>
    <row r="41" spans="1:18" ht="13.5" thickBot="1">
      <c r="A41" s="78" t="str">
        <f>IF(DG!$D$128=1,"Aucun",IF(DG!$D$128=2,DG!$B$28,IF(DG!$D$128=3,DG!$B$29,IF(DG!$D$128=4,DG!$B$30,IF(DG!$D$128=5,DG!$B$31,IF(DG!$D$128=6,DG!$B$32,IF(DG!$D$128=7,DG!$B$33)))))))</f>
        <v>Frais de variable 2</v>
      </c>
      <c r="B41" s="723">
        <f>'FD2'!B41</f>
        <v>0</v>
      </c>
      <c r="C41" s="481">
        <f>INT($B41*'A3'!E$50)</f>
        <v>0</v>
      </c>
      <c r="D41" s="481">
        <f>INT($B41*'A3'!F$50)</f>
        <v>0</v>
      </c>
      <c r="E41" s="481">
        <f>INT($B41*'A3'!G$50)</f>
        <v>0</v>
      </c>
      <c r="F41" s="481">
        <f>INT($B41*'A3'!H$50)</f>
        <v>0</v>
      </c>
      <c r="G41" s="481">
        <f>INT($B41*'A3'!I$50)</f>
        <v>0</v>
      </c>
      <c r="H41" s="481">
        <f>INT($B41*'A3'!J$50)</f>
        <v>0</v>
      </c>
      <c r="I41" s="481">
        <f>INT($B41*'A3'!K$50)</f>
        <v>0</v>
      </c>
      <c r="J41" s="481">
        <f>INT($B41*'A3'!L$50)</f>
        <v>0</v>
      </c>
      <c r="K41" s="481">
        <f>INT($B41*'A3'!M$50)</f>
        <v>0</v>
      </c>
      <c r="L41" s="481">
        <f>INT($B41*'A3'!N$50)</f>
        <v>0</v>
      </c>
      <c r="M41" s="481">
        <f>INT($B41*'A3'!O$50)</f>
        <v>0</v>
      </c>
      <c r="N41" s="481">
        <f>INT($B41*'A3'!P$50)</f>
        <v>0</v>
      </c>
      <c r="O41" s="390">
        <f t="shared" si="4"/>
        <v>0</v>
      </c>
      <c r="P41"/>
      <c r="Q41"/>
      <c r="R41"/>
    </row>
    <row r="42" spans="1:18" ht="13.5" thickBot="1">
      <c r="A42" s="78" t="str">
        <f>IF(DG!$D$129=1,"Aucun",IF(DG!$D$129=2,DG!$B$28,IF(DG!$D$129=3,DG!$B$29,IF(DG!$D$129=4,DG!$B$30,IF(DG!$D$129=5,DG!$B$31,IF(DG!$D$129=6,DG!$B$32,IF(DG!$D$129=7,DG!$B$33)))))))</f>
        <v>Frais de variable 3</v>
      </c>
      <c r="B42" s="723">
        <f>'FD2'!B42</f>
        <v>0</v>
      </c>
      <c r="C42" s="481">
        <f>INT($B42*'A3'!E$50)</f>
        <v>0</v>
      </c>
      <c r="D42" s="481">
        <f>INT($B42*'A3'!F$50)</f>
        <v>0</v>
      </c>
      <c r="E42" s="481">
        <f>INT($B42*'A3'!G$50)</f>
        <v>0</v>
      </c>
      <c r="F42" s="481">
        <f>INT($B42*'A3'!H$50)</f>
        <v>0</v>
      </c>
      <c r="G42" s="481">
        <f>INT($B42*'A3'!I$50)</f>
        <v>0</v>
      </c>
      <c r="H42" s="481">
        <f>INT($B42*'A3'!J$50)</f>
        <v>0</v>
      </c>
      <c r="I42" s="481">
        <f>INT($B42*'A3'!K$50)</f>
        <v>0</v>
      </c>
      <c r="J42" s="481">
        <f>INT($B42*'A3'!L$50)</f>
        <v>0</v>
      </c>
      <c r="K42" s="481">
        <f>INT($B42*'A3'!M$50)</f>
        <v>0</v>
      </c>
      <c r="L42" s="481">
        <f>INT($B42*'A3'!N$50)</f>
        <v>0</v>
      </c>
      <c r="M42" s="481">
        <f>INT($B42*'A3'!O$50)</f>
        <v>0</v>
      </c>
      <c r="N42" s="481">
        <f>INT($B42*'A3'!P$50)</f>
        <v>0</v>
      </c>
      <c r="O42" s="390">
        <f t="shared" si="4"/>
        <v>0</v>
      </c>
      <c r="P42"/>
      <c r="Q42"/>
      <c r="R42"/>
    </row>
    <row r="43" spans="1:18" ht="13.5" thickBot="1">
      <c r="A43" s="78" t="str">
        <f>IF(DG!$D$130=1,"Aucun",IF(DG!$D$130=2,DG!$B$28,IF(DG!$D$130=3,DG!$B$29,IF(DG!$D$130=4,DG!$B$30,IF(DG!$D$130=5,DG!$B$31,IF(DG!$D$130=6,DG!$B$32,IF(DG!$D$130=7,DG!$B$33)))))))</f>
        <v>Frais de variable 4</v>
      </c>
      <c r="B43" s="723">
        <f>'FD2'!B43</f>
        <v>0</v>
      </c>
      <c r="C43" s="481">
        <f>INT($B43*'A3'!E$50)</f>
        <v>0</v>
      </c>
      <c r="D43" s="481">
        <f>INT($B43*'A3'!F$50)</f>
        <v>0</v>
      </c>
      <c r="E43" s="481">
        <f>INT($B43*'A3'!G$50)</f>
        <v>0</v>
      </c>
      <c r="F43" s="481">
        <f>INT($B43*'A3'!H$50)</f>
        <v>0</v>
      </c>
      <c r="G43" s="481">
        <f>INT($B43*'A3'!I$50)</f>
        <v>0</v>
      </c>
      <c r="H43" s="481">
        <f>INT($B43*'A3'!J$50)</f>
        <v>0</v>
      </c>
      <c r="I43" s="481">
        <f>INT($B43*'A3'!K$50)</f>
        <v>0</v>
      </c>
      <c r="J43" s="481">
        <f>INT($B43*'A3'!L$50)</f>
        <v>0</v>
      </c>
      <c r="K43" s="481">
        <f>INT($B43*'A3'!M$50)</f>
        <v>0</v>
      </c>
      <c r="L43" s="481">
        <f>INT($B43*'A3'!N$50)</f>
        <v>0</v>
      </c>
      <c r="M43" s="481">
        <f>INT($B43*'A3'!O$50)</f>
        <v>0</v>
      </c>
      <c r="N43" s="481">
        <f>INT($B43*'A3'!P$50)</f>
        <v>0</v>
      </c>
      <c r="O43" s="390">
        <f t="shared" si="4"/>
        <v>0</v>
      </c>
      <c r="P43"/>
      <c r="Q43"/>
      <c r="R43"/>
    </row>
    <row r="44" spans="1:18" ht="13.5" thickBot="1">
      <c r="A44" s="78" t="str">
        <f>IF(DG!$D$131=1,"Aucun",IF(DG!$D$131=2,DG!$B$28,IF(DG!$D$131=3,DG!$B$29,IF(DG!$D$131=4,DG!$B$30,IF(DG!$D$131=5,DG!$B$31,IF(DG!$D$131=6,DG!$B$32,IF(DG!$D$131=7,DG!$B$33)))))))</f>
        <v>Frais de variable 5</v>
      </c>
      <c r="B44" s="723">
        <f>'FD2'!B44</f>
        <v>0</v>
      </c>
      <c r="C44" s="481">
        <f>INT($B44*'A3'!E$50)</f>
        <v>0</v>
      </c>
      <c r="D44" s="481">
        <f>INT($B44*'A3'!F$50)</f>
        <v>0</v>
      </c>
      <c r="E44" s="481">
        <f>INT($B44*'A3'!G$50)</f>
        <v>0</v>
      </c>
      <c r="F44" s="481">
        <f>INT($B44*'A3'!H$50)</f>
        <v>0</v>
      </c>
      <c r="G44" s="481">
        <f>INT($B44*'A3'!I$50)</f>
        <v>0</v>
      </c>
      <c r="H44" s="481">
        <f>INT($B44*'A3'!J$50)</f>
        <v>0</v>
      </c>
      <c r="I44" s="481">
        <f>INT($B44*'A3'!K$50)</f>
        <v>0</v>
      </c>
      <c r="J44" s="481">
        <f>INT($B44*'A3'!L$50)</f>
        <v>0</v>
      </c>
      <c r="K44" s="481">
        <f>INT($B44*'A3'!M$50)</f>
        <v>0</v>
      </c>
      <c r="L44" s="481">
        <f>INT($B44*'A3'!N$50)</f>
        <v>0</v>
      </c>
      <c r="M44" s="481">
        <f>INT($B44*'A3'!O$50)</f>
        <v>0</v>
      </c>
      <c r="N44" s="481">
        <f>INT($B44*'A3'!P$50)</f>
        <v>0</v>
      </c>
      <c r="O44" s="390">
        <f t="shared" si="4"/>
        <v>0</v>
      </c>
      <c r="P44"/>
      <c r="Q44"/>
      <c r="R44"/>
    </row>
    <row r="45" spans="1:18" ht="13.5" thickBot="1">
      <c r="A45" s="78" t="str">
        <f>IF(DG!$D$132=1,"Aucun",IF(DG!$D$132=2,DG!$B$28,IF(DG!$D$132=3,DG!$B$29,IF(DG!$D$132=4,DG!$B$30,IF(DG!$D$132=5,DG!$B$31,IF(DG!$D$132=6,DG!$B$32,IF(DG!$D$132=7,DG!$B$33)))))))</f>
        <v>Frais de variable 6</v>
      </c>
      <c r="B45" s="723">
        <f>'FD2'!B45</f>
        <v>0</v>
      </c>
      <c r="C45" s="481">
        <f>INT($B45*'A3'!E$50)</f>
        <v>0</v>
      </c>
      <c r="D45" s="481">
        <f>INT($B45*'A3'!F$50)</f>
        <v>0</v>
      </c>
      <c r="E45" s="481">
        <f>INT($B45*'A3'!G$50)</f>
        <v>0</v>
      </c>
      <c r="F45" s="481">
        <f>INT($B45*'A3'!H$50)</f>
        <v>0</v>
      </c>
      <c r="G45" s="481">
        <f>INT($B45*'A3'!I$50)</f>
        <v>0</v>
      </c>
      <c r="H45" s="481">
        <f>INT($B45*'A3'!J$50)</f>
        <v>0</v>
      </c>
      <c r="I45" s="481">
        <f>INT($B45*'A3'!K$50)</f>
        <v>0</v>
      </c>
      <c r="J45" s="481">
        <f>INT($B45*'A3'!L$50)</f>
        <v>0</v>
      </c>
      <c r="K45" s="481">
        <f>INT($B45*'A3'!M$50)</f>
        <v>0</v>
      </c>
      <c r="L45" s="481">
        <f>INT($B45*'A3'!N$50)</f>
        <v>0</v>
      </c>
      <c r="M45" s="481">
        <f>INT($B45*'A3'!O$50)</f>
        <v>0</v>
      </c>
      <c r="N45" s="481">
        <f>INT($B45*'A3'!P$50)</f>
        <v>0</v>
      </c>
      <c r="O45" s="390">
        <f t="shared" si="4"/>
        <v>0</v>
      </c>
      <c r="P45"/>
      <c r="Q45"/>
      <c r="R45"/>
    </row>
    <row r="46" spans="1:18" ht="13" thickBot="1">
      <c r="A46" s="267"/>
      <c r="B46" s="88"/>
      <c r="C46" s="268"/>
      <c r="D46" s="268"/>
      <c r="E46" s="268"/>
      <c r="F46" s="268"/>
      <c r="G46" s="268"/>
      <c r="H46" s="268"/>
      <c r="I46" s="268"/>
      <c r="J46" s="268"/>
      <c r="K46" s="268"/>
      <c r="L46" s="268"/>
      <c r="M46" s="268"/>
      <c r="N46" s="268"/>
      <c r="O46" s="268"/>
      <c r="P46"/>
      <c r="Q46"/>
      <c r="R46"/>
    </row>
    <row r="47" spans="1:18" s="251" customFormat="1" ht="13.5" thickBot="1">
      <c r="A47" s="43" t="s">
        <v>242</v>
      </c>
      <c r="B47" s="325"/>
      <c r="C47" s="319">
        <f t="shared" ref="C47:O47" si="5">SUM(C40:C46)</f>
        <v>41</v>
      </c>
      <c r="D47" s="319">
        <f t="shared" si="5"/>
        <v>43</v>
      </c>
      <c r="E47" s="319">
        <f t="shared" si="5"/>
        <v>45</v>
      </c>
      <c r="F47" s="319">
        <f t="shared" si="5"/>
        <v>47</v>
      </c>
      <c r="G47" s="319">
        <f t="shared" si="5"/>
        <v>49</v>
      </c>
      <c r="H47" s="319">
        <f t="shared" si="5"/>
        <v>51</v>
      </c>
      <c r="I47" s="319">
        <f t="shared" si="5"/>
        <v>53</v>
      </c>
      <c r="J47" s="319">
        <f t="shared" si="5"/>
        <v>55</v>
      </c>
      <c r="K47" s="319">
        <f t="shared" si="5"/>
        <v>57</v>
      </c>
      <c r="L47" s="319">
        <f t="shared" si="5"/>
        <v>59</v>
      </c>
      <c r="M47" s="319">
        <f t="shared" si="5"/>
        <v>62</v>
      </c>
      <c r="N47" s="319">
        <f t="shared" si="5"/>
        <v>64</v>
      </c>
      <c r="O47" s="319">
        <f t="shared" si="5"/>
        <v>626</v>
      </c>
      <c r="P47"/>
      <c r="Q47"/>
      <c r="R47"/>
    </row>
    <row r="48" spans="1:18" ht="13">
      <c r="A48" s="521"/>
      <c r="B48" s="325"/>
      <c r="C48" s="142"/>
      <c r="D48" s="142"/>
      <c r="E48" s="142"/>
      <c r="F48" s="142"/>
      <c r="G48" s="142"/>
      <c r="H48" s="142"/>
      <c r="I48" s="142"/>
      <c r="J48" s="142"/>
      <c r="K48" s="142"/>
      <c r="L48" s="142"/>
      <c r="M48" s="142"/>
      <c r="N48" s="142"/>
      <c r="O48" s="142"/>
      <c r="P48"/>
      <c r="Q48"/>
      <c r="R48"/>
    </row>
    <row r="49" spans="1:18" ht="13">
      <c r="A49" s="913" t="str">
        <f>'FD2'!A49</f>
        <v>Produit/service 4</v>
      </c>
      <c r="B49" s="88"/>
      <c r="C49" s="1192" t="str">
        <f>A49</f>
        <v>Produit/service 4</v>
      </c>
      <c r="D49" s="1193"/>
      <c r="E49" s="1193"/>
      <c r="F49" s="1193"/>
      <c r="G49" s="1193"/>
      <c r="H49" s="1193"/>
      <c r="I49" s="1193"/>
      <c r="J49" s="1193"/>
      <c r="K49" s="1193"/>
      <c r="L49" s="1193"/>
      <c r="M49" s="1193"/>
      <c r="N49" s="1193"/>
      <c r="O49" s="1193"/>
      <c r="P49"/>
      <c r="Q49"/>
      <c r="R49"/>
    </row>
    <row r="50" spans="1:18" ht="13" thickBot="1">
      <c r="A50" s="143"/>
      <c r="B50" s="88"/>
      <c r="C50" s="268"/>
      <c r="D50" s="268"/>
      <c r="E50" s="268"/>
      <c r="F50" s="268"/>
      <c r="G50" s="268"/>
      <c r="H50" s="268"/>
      <c r="I50" s="268"/>
      <c r="J50" s="268"/>
      <c r="K50" s="268"/>
      <c r="L50" s="268"/>
      <c r="M50" s="268"/>
      <c r="N50" s="268"/>
      <c r="O50" s="268"/>
      <c r="P50"/>
      <c r="Q50"/>
      <c r="R50"/>
    </row>
    <row r="51" spans="1:18" ht="13.5" thickBot="1">
      <c r="A51" s="78" t="str">
        <f>IF(DG!$D$127=1,"Aucun",IF(DG!$D$127=2,DG!$B$28,IF(DG!$D$127=3,DG!$B$29,IF(DG!$D$127=4,DG!$B$30,IF(DG!$D$127=5,DG!$B$31,IF(DG!$D$127=6,DG!$B$32,IF(DG!$D$127=7,DG!$B$33)))))))</f>
        <v>Frais de variable 1</v>
      </c>
      <c r="B51" s="723">
        <f>'FD2'!B51</f>
        <v>0</v>
      </c>
      <c r="C51" s="394">
        <f>INT($B51*'A3'!E$63)</f>
        <v>0</v>
      </c>
      <c r="D51" s="394">
        <f>INT($B51*'A3'!F$63)</f>
        <v>0</v>
      </c>
      <c r="E51" s="394">
        <f>INT($B51*'A3'!G$63)</f>
        <v>0</v>
      </c>
      <c r="F51" s="394">
        <f>INT($B51*'A3'!H$63)</f>
        <v>0</v>
      </c>
      <c r="G51" s="394">
        <f>INT($B51*'A3'!I$63)</f>
        <v>0</v>
      </c>
      <c r="H51" s="394">
        <f>INT($B51*'A3'!J$63)</f>
        <v>0</v>
      </c>
      <c r="I51" s="394">
        <f>INT($B51*'A3'!K$63)</f>
        <v>0</v>
      </c>
      <c r="J51" s="394">
        <f>INT($B51*'A3'!L$63)</f>
        <v>0</v>
      </c>
      <c r="K51" s="394">
        <f>INT($B51*'A3'!M$63)</f>
        <v>0</v>
      </c>
      <c r="L51" s="394">
        <f>INT($B51*'A3'!N$63)</f>
        <v>0</v>
      </c>
      <c r="M51" s="394">
        <f>INT($B51*'A3'!O$63)</f>
        <v>0</v>
      </c>
      <c r="N51" s="394">
        <f>INT($B51*'A3'!P$63)</f>
        <v>0</v>
      </c>
      <c r="O51" s="390">
        <f t="shared" ref="O51:O56" si="6">SUM(C51:N51)</f>
        <v>0</v>
      </c>
      <c r="P51"/>
      <c r="Q51"/>
      <c r="R51"/>
    </row>
    <row r="52" spans="1:18" ht="13.5" thickBot="1">
      <c r="A52" s="78" t="str">
        <f>IF(DG!$D$128=1,"Aucun",IF(DG!$D$128=2,DG!$B$28,IF(DG!$D$128=3,DG!$B$29,IF(DG!$D$128=4,DG!$B$30,IF(DG!$D$128=5,DG!$B$31,IF(DG!$D$128=6,DG!$B$32,IF(DG!$D$128=7,DG!$B$33)))))))</f>
        <v>Frais de variable 2</v>
      </c>
      <c r="B52" s="723">
        <f>'FD2'!B52</f>
        <v>0</v>
      </c>
      <c r="C52" s="394">
        <f>INT($B52*'A3'!E$63)</f>
        <v>0</v>
      </c>
      <c r="D52" s="394">
        <f>INT($B52*'A3'!F$63)</f>
        <v>0</v>
      </c>
      <c r="E52" s="394">
        <f>INT($B52*'A3'!G$63)</f>
        <v>0</v>
      </c>
      <c r="F52" s="394">
        <f>INT($B52*'A3'!H$63)</f>
        <v>0</v>
      </c>
      <c r="G52" s="394">
        <f>INT($B52*'A3'!I$63)</f>
        <v>0</v>
      </c>
      <c r="H52" s="394">
        <f>INT($B52*'A3'!J$63)</f>
        <v>0</v>
      </c>
      <c r="I52" s="394">
        <f>INT($B52*'A3'!K$63)</f>
        <v>0</v>
      </c>
      <c r="J52" s="394">
        <f>INT($B52*'A3'!L$63)</f>
        <v>0</v>
      </c>
      <c r="K52" s="394">
        <f>INT($B52*'A3'!M$63)</f>
        <v>0</v>
      </c>
      <c r="L52" s="394">
        <f>INT($B52*'A3'!N$63)</f>
        <v>0</v>
      </c>
      <c r="M52" s="394">
        <f>INT($B52*'A3'!O$63)</f>
        <v>0</v>
      </c>
      <c r="N52" s="394">
        <f>INT($B52*'A3'!P$63)</f>
        <v>0</v>
      </c>
      <c r="O52" s="390">
        <f t="shared" si="6"/>
        <v>0</v>
      </c>
      <c r="P52"/>
      <c r="Q52"/>
      <c r="R52"/>
    </row>
    <row r="53" spans="1:18" ht="13.5" thickBot="1">
      <c r="A53" s="78" t="str">
        <f>IF(DG!$D$129=1,"Aucun",IF(DG!$D$129=2,DG!$B$28,IF(DG!$D$129=3,DG!$B$29,IF(DG!$D$129=4,DG!$B$30,IF(DG!$D$129=5,DG!$B$31,IF(DG!$D$129=6,DG!$B$32,IF(DG!$D$129=7,DG!$B$33)))))))</f>
        <v>Frais de variable 3</v>
      </c>
      <c r="B53" s="723">
        <f>'FD2'!B53</f>
        <v>0</v>
      </c>
      <c r="C53" s="394">
        <f>INT($B53*'A3'!E$63)</f>
        <v>0</v>
      </c>
      <c r="D53" s="394">
        <f>INT($B53*'A3'!F$63)</f>
        <v>0</v>
      </c>
      <c r="E53" s="394">
        <f>INT($B53*'A3'!G$63)</f>
        <v>0</v>
      </c>
      <c r="F53" s="394">
        <f>INT($B53*'A3'!H$63)</f>
        <v>0</v>
      </c>
      <c r="G53" s="394">
        <f>INT($B53*'A3'!I$63)</f>
        <v>0</v>
      </c>
      <c r="H53" s="394">
        <f>INT($B53*'A3'!J$63)</f>
        <v>0</v>
      </c>
      <c r="I53" s="394">
        <f>INT($B53*'A3'!K$63)</f>
        <v>0</v>
      </c>
      <c r="J53" s="394">
        <f>INT($B53*'A3'!L$63)</f>
        <v>0</v>
      </c>
      <c r="K53" s="394">
        <f>INT($B53*'A3'!M$63)</f>
        <v>0</v>
      </c>
      <c r="L53" s="394">
        <f>INT($B53*'A3'!N$63)</f>
        <v>0</v>
      </c>
      <c r="M53" s="394">
        <f>INT($B53*'A3'!O$63)</f>
        <v>0</v>
      </c>
      <c r="N53" s="394">
        <f>INT($B53*'A3'!P$63)</f>
        <v>0</v>
      </c>
      <c r="O53" s="390">
        <f t="shared" si="6"/>
        <v>0</v>
      </c>
      <c r="P53"/>
      <c r="Q53"/>
      <c r="R53"/>
    </row>
    <row r="54" spans="1:18" ht="13.5" thickBot="1">
      <c r="A54" s="78" t="str">
        <f>IF(DG!$D$130=1,"Aucun",IF(DG!$D$130=2,DG!$B$28,IF(DG!$D$130=3,DG!$B$29,IF(DG!$D$130=4,DG!$B$30,IF(DG!$D$130=5,DG!$B$31,IF(DG!$D$130=6,DG!$B$32,IF(DG!$D$130=7,DG!$B$33)))))))</f>
        <v>Frais de variable 4</v>
      </c>
      <c r="B54" s="723">
        <f>'FD2'!B54</f>
        <v>0</v>
      </c>
      <c r="C54" s="394">
        <f>INT($B54*'A3'!E$63)</f>
        <v>0</v>
      </c>
      <c r="D54" s="394">
        <f>INT($B54*'A3'!F$63)</f>
        <v>0</v>
      </c>
      <c r="E54" s="394">
        <f>INT($B54*'A3'!G$63)</f>
        <v>0</v>
      </c>
      <c r="F54" s="394">
        <f>INT($B54*'A3'!H$63)</f>
        <v>0</v>
      </c>
      <c r="G54" s="394">
        <f>INT($B54*'A3'!I$63)</f>
        <v>0</v>
      </c>
      <c r="H54" s="394">
        <f>INT($B54*'A3'!J$63)</f>
        <v>0</v>
      </c>
      <c r="I54" s="394">
        <f>INT($B54*'A3'!K$63)</f>
        <v>0</v>
      </c>
      <c r="J54" s="394">
        <f>INT($B54*'A3'!L$63)</f>
        <v>0</v>
      </c>
      <c r="K54" s="394">
        <f>INT($B54*'A3'!M$63)</f>
        <v>0</v>
      </c>
      <c r="L54" s="394">
        <f>INT($B54*'A3'!N$63)</f>
        <v>0</v>
      </c>
      <c r="M54" s="394">
        <f>INT($B54*'A3'!O$63)</f>
        <v>0</v>
      </c>
      <c r="N54" s="394">
        <f>INT($B54*'A3'!P$63)</f>
        <v>0</v>
      </c>
      <c r="O54" s="390">
        <f t="shared" si="6"/>
        <v>0</v>
      </c>
      <c r="P54"/>
      <c r="Q54"/>
      <c r="R54"/>
    </row>
    <row r="55" spans="1:18" ht="13.5" thickBot="1">
      <c r="A55" s="78" t="str">
        <f>IF(DG!$D$131=1,"Aucun",IF(DG!$D$131=2,DG!$B$28,IF(DG!$D$131=3,DG!$B$29,IF(DG!$D$131=4,DG!$B$30,IF(DG!$D$131=5,DG!$B$31,IF(DG!$D$131=6,DG!$B$32,IF(DG!$D$131=7,DG!$B$33)))))))</f>
        <v>Frais de variable 5</v>
      </c>
      <c r="B55" s="723">
        <f>'FD2'!B55</f>
        <v>0</v>
      </c>
      <c r="C55" s="394">
        <f>INT($B55*'A3'!E$63)</f>
        <v>0</v>
      </c>
      <c r="D55" s="394">
        <f>INT($B55*'A3'!F$63)</f>
        <v>0</v>
      </c>
      <c r="E55" s="394">
        <f>INT($B55*'A3'!G$63)</f>
        <v>0</v>
      </c>
      <c r="F55" s="394">
        <f>INT($B55*'A3'!H$63)</f>
        <v>0</v>
      </c>
      <c r="G55" s="394">
        <f>INT($B55*'A3'!I$63)</f>
        <v>0</v>
      </c>
      <c r="H55" s="394">
        <f>INT($B55*'A3'!J$63)</f>
        <v>0</v>
      </c>
      <c r="I55" s="394">
        <f>INT($B55*'A3'!K$63)</f>
        <v>0</v>
      </c>
      <c r="J55" s="394">
        <f>INT($B55*'A3'!L$63)</f>
        <v>0</v>
      </c>
      <c r="K55" s="394">
        <f>INT($B55*'A3'!M$63)</f>
        <v>0</v>
      </c>
      <c r="L55" s="394">
        <f>INT($B55*'A3'!N$63)</f>
        <v>0</v>
      </c>
      <c r="M55" s="394">
        <f>INT($B55*'A3'!O$63)</f>
        <v>0</v>
      </c>
      <c r="N55" s="394">
        <f>INT($B55*'A3'!P$63)</f>
        <v>0</v>
      </c>
      <c r="O55" s="390">
        <f t="shared" si="6"/>
        <v>0</v>
      </c>
      <c r="P55"/>
      <c r="Q55"/>
      <c r="R55"/>
    </row>
    <row r="56" spans="1:18" ht="13.5" thickBot="1">
      <c r="A56" s="78" t="str">
        <f>IF(DG!$D$132=1,"Aucun",IF(DG!$D$132=2,DG!$B$28,IF(DG!$D$132=3,DG!$B$29,IF(DG!$D$132=4,DG!$B$30,IF(DG!$D$132=5,DG!$B$31,IF(DG!$D$132=6,DG!$B$32,IF(DG!$D$132=7,DG!$B$33)))))))</f>
        <v>Frais de variable 6</v>
      </c>
      <c r="B56" s="723">
        <f>'FD2'!B56</f>
        <v>0</v>
      </c>
      <c r="C56" s="394">
        <f>INT($B56*'A3'!E$63)</f>
        <v>0</v>
      </c>
      <c r="D56" s="394">
        <f>INT($B56*'A3'!F$63)</f>
        <v>0</v>
      </c>
      <c r="E56" s="394">
        <f>INT($B56*'A3'!G$63)</f>
        <v>0</v>
      </c>
      <c r="F56" s="394">
        <f>INT($B56*'A3'!H$63)</f>
        <v>0</v>
      </c>
      <c r="G56" s="394">
        <f>INT($B56*'A3'!I$63)</f>
        <v>0</v>
      </c>
      <c r="H56" s="394">
        <f>INT($B56*'A3'!J$63)</f>
        <v>0</v>
      </c>
      <c r="I56" s="394">
        <f>INT($B56*'A3'!K$63)</f>
        <v>0</v>
      </c>
      <c r="J56" s="394">
        <f>INT($B56*'A3'!L$63)</f>
        <v>0</v>
      </c>
      <c r="K56" s="394">
        <f>INT($B56*'A3'!M$63)</f>
        <v>0</v>
      </c>
      <c r="L56" s="394">
        <f>INT($B56*'A3'!N$63)</f>
        <v>0</v>
      </c>
      <c r="M56" s="394">
        <f>INT($B56*'A3'!O$63)</f>
        <v>0</v>
      </c>
      <c r="N56" s="394">
        <f>INT($B56*'A3'!P$63)</f>
        <v>0</v>
      </c>
      <c r="O56" s="390">
        <f t="shared" si="6"/>
        <v>0</v>
      </c>
      <c r="P56"/>
      <c r="Q56"/>
      <c r="R56"/>
    </row>
    <row r="57" spans="1:18" ht="13" thickBot="1">
      <c r="A57" s="267"/>
      <c r="B57" s="88"/>
      <c r="C57" s="268"/>
      <c r="D57" s="268"/>
      <c r="E57" s="268"/>
      <c r="F57" s="268"/>
      <c r="G57" s="268"/>
      <c r="H57" s="268"/>
      <c r="I57" s="268"/>
      <c r="J57" s="268"/>
      <c r="K57" s="268"/>
      <c r="L57" s="268"/>
      <c r="M57" s="268"/>
      <c r="N57" s="268"/>
      <c r="O57" s="268"/>
      <c r="P57"/>
      <c r="Q57"/>
      <c r="R57"/>
    </row>
    <row r="58" spans="1:18" s="251" customFormat="1" ht="13.5" thickBot="1">
      <c r="A58" s="43" t="s">
        <v>242</v>
      </c>
      <c r="B58" s="325"/>
      <c r="C58" s="319">
        <f t="shared" ref="C58:O58" si="7">SUM(C51:C57)</f>
        <v>0</v>
      </c>
      <c r="D58" s="319">
        <f t="shared" si="7"/>
        <v>0</v>
      </c>
      <c r="E58" s="319">
        <f t="shared" si="7"/>
        <v>0</v>
      </c>
      <c r="F58" s="319">
        <f t="shared" si="7"/>
        <v>0</v>
      </c>
      <c r="G58" s="319">
        <f t="shared" si="7"/>
        <v>0</v>
      </c>
      <c r="H58" s="319">
        <f t="shared" si="7"/>
        <v>0</v>
      </c>
      <c r="I58" s="319">
        <f t="shared" si="7"/>
        <v>0</v>
      </c>
      <c r="J58" s="319">
        <f t="shared" si="7"/>
        <v>0</v>
      </c>
      <c r="K58" s="319">
        <f t="shared" si="7"/>
        <v>0</v>
      </c>
      <c r="L58" s="319">
        <f t="shared" si="7"/>
        <v>0</v>
      </c>
      <c r="M58" s="319">
        <f t="shared" si="7"/>
        <v>0</v>
      </c>
      <c r="N58" s="319">
        <f t="shared" si="7"/>
        <v>0</v>
      </c>
      <c r="O58" s="319">
        <f t="shared" si="7"/>
        <v>0</v>
      </c>
      <c r="P58"/>
      <c r="Q58"/>
      <c r="R58"/>
    </row>
    <row r="59" spans="1:18" ht="13">
      <c r="A59" s="521"/>
      <c r="B59" s="325"/>
      <c r="C59" s="142"/>
      <c r="D59" s="142"/>
      <c r="E59" s="142"/>
      <c r="F59" s="142"/>
      <c r="G59" s="142"/>
      <c r="H59" s="142"/>
      <c r="I59" s="142"/>
      <c r="J59" s="142"/>
      <c r="K59" s="142"/>
      <c r="L59" s="142"/>
      <c r="M59" s="142"/>
      <c r="N59" s="142"/>
      <c r="O59" s="142"/>
      <c r="P59"/>
      <c r="Q59"/>
      <c r="R59"/>
    </row>
    <row r="60" spans="1:18" ht="13">
      <c r="A60" s="913" t="str">
        <f>'FD2'!A60</f>
        <v>Produit/service 5</v>
      </c>
      <c r="B60" s="88"/>
      <c r="C60" s="1192" t="str">
        <f>A60</f>
        <v>Produit/service 5</v>
      </c>
      <c r="D60" s="1193"/>
      <c r="E60" s="1193"/>
      <c r="F60" s="1193"/>
      <c r="G60" s="1193"/>
      <c r="H60" s="1193"/>
      <c r="I60" s="1193"/>
      <c r="J60" s="1193"/>
      <c r="K60" s="1193"/>
      <c r="L60" s="1193"/>
      <c r="M60" s="1193"/>
      <c r="N60" s="1193"/>
      <c r="O60" s="1193"/>
      <c r="P60"/>
      <c r="Q60"/>
      <c r="R60"/>
    </row>
    <row r="61" spans="1:18" ht="13" thickBot="1">
      <c r="A61" s="143"/>
      <c r="B61" s="88"/>
      <c r="C61" s="268"/>
      <c r="D61" s="268"/>
      <c r="E61" s="268"/>
      <c r="F61" s="268"/>
      <c r="G61" s="268"/>
      <c r="H61" s="268"/>
      <c r="I61" s="268"/>
      <c r="J61" s="268"/>
      <c r="K61" s="268"/>
      <c r="L61" s="268"/>
      <c r="M61" s="268"/>
      <c r="N61" s="268"/>
      <c r="O61" s="268"/>
      <c r="P61"/>
      <c r="Q61"/>
      <c r="R61"/>
    </row>
    <row r="62" spans="1:18" ht="13.5" thickBot="1">
      <c r="A62" s="78" t="str">
        <f>IF(DG!$D$127=1,"Aucun",IF(DG!$D$127=2,DG!$B$28,IF(DG!$D$127=3,DG!$B$29,IF(DG!$D$127=4,DG!$B$30,IF(DG!$D$127=5,DG!$B$31,IF(DG!$D$127=6,DG!$B$32,IF(DG!$D$127=7,DG!$B$33)))))))</f>
        <v>Frais de variable 1</v>
      </c>
      <c r="B62" s="723">
        <f>'FD2'!B62</f>
        <v>0</v>
      </c>
      <c r="C62" s="394">
        <f>INT($B62*'A3'!E$76)</f>
        <v>0</v>
      </c>
      <c r="D62" s="394">
        <f>INT($B62*'A3'!F$76)</f>
        <v>0</v>
      </c>
      <c r="E62" s="394">
        <f>INT($B62*'A3'!G$76)</f>
        <v>0</v>
      </c>
      <c r="F62" s="394">
        <f>INT($B62*'A3'!H$76)</f>
        <v>0</v>
      </c>
      <c r="G62" s="394">
        <f>INT($B62*'A3'!I$76)</f>
        <v>0</v>
      </c>
      <c r="H62" s="394">
        <f>INT($B62*'A3'!J$76)</f>
        <v>0</v>
      </c>
      <c r="I62" s="394">
        <f>INT($B62*'A3'!K$76)</f>
        <v>0</v>
      </c>
      <c r="J62" s="394">
        <f>INT($B62*'A3'!L$76)</f>
        <v>0</v>
      </c>
      <c r="K62" s="394">
        <f>INT($B62*'A3'!M$76)</f>
        <v>0</v>
      </c>
      <c r="L62" s="394">
        <f>INT($B62*'A3'!N$76)</f>
        <v>0</v>
      </c>
      <c r="M62" s="394">
        <f>INT($B62*'A3'!O$76)</f>
        <v>0</v>
      </c>
      <c r="N62" s="394">
        <f>INT($B62*'A3'!P$76)</f>
        <v>0</v>
      </c>
      <c r="O62" s="390">
        <f t="shared" ref="O62:O67" si="8">SUM(C62:N62)</f>
        <v>0</v>
      </c>
      <c r="P62"/>
      <c r="Q62"/>
      <c r="R62"/>
    </row>
    <row r="63" spans="1:18" ht="13.5" thickBot="1">
      <c r="A63" s="78" t="str">
        <f>IF(DG!$D$128=1,"Aucun",IF(DG!$D$128=2,DG!$B$28,IF(DG!$D$128=3,DG!$B$29,IF(DG!$D$128=4,DG!$B$30,IF(DG!$D$128=5,DG!$B$31,IF(DG!$D$128=6,DG!$B$32,IF(DG!$D$128=7,DG!$B$33)))))))</f>
        <v>Frais de variable 2</v>
      </c>
      <c r="B63" s="723">
        <f>'FD2'!B63</f>
        <v>0</v>
      </c>
      <c r="C63" s="394">
        <f>INT($B63*'A3'!E$76)</f>
        <v>0</v>
      </c>
      <c r="D63" s="394">
        <f>INT($B63*'A3'!F$76)</f>
        <v>0</v>
      </c>
      <c r="E63" s="394">
        <f>INT($B63*'A3'!G$76)</f>
        <v>0</v>
      </c>
      <c r="F63" s="394">
        <f>INT($B63*'A3'!H$76)</f>
        <v>0</v>
      </c>
      <c r="G63" s="394">
        <f>INT($B63*'A3'!I$76)</f>
        <v>0</v>
      </c>
      <c r="H63" s="394">
        <f>INT($B63*'A3'!J$76)</f>
        <v>0</v>
      </c>
      <c r="I63" s="394">
        <f>INT($B63*'A3'!K$76)</f>
        <v>0</v>
      </c>
      <c r="J63" s="394">
        <f>INT($B63*'A3'!L$76)</f>
        <v>0</v>
      </c>
      <c r="K63" s="394">
        <f>INT($B63*'A3'!M$76)</f>
        <v>0</v>
      </c>
      <c r="L63" s="394">
        <f>INT($B63*'A3'!N$76)</f>
        <v>0</v>
      </c>
      <c r="M63" s="394">
        <f>INT($B63*'A3'!O$76)</f>
        <v>0</v>
      </c>
      <c r="N63" s="394">
        <f>INT($B63*'A3'!P$76)</f>
        <v>0</v>
      </c>
      <c r="O63" s="390">
        <f t="shared" si="8"/>
        <v>0</v>
      </c>
      <c r="P63"/>
      <c r="Q63"/>
      <c r="R63"/>
    </row>
    <row r="64" spans="1:18" ht="13.5" thickBot="1">
      <c r="A64" s="78" t="str">
        <f>IF(DG!$D$129=1,"Aucun",IF(DG!$D$129=2,DG!$B$28,IF(DG!$D$129=3,DG!$B$29,IF(DG!$D$129=4,DG!$B$30,IF(DG!$D$129=5,DG!$B$31,IF(DG!$D$129=6,DG!$B$32,IF(DG!$D$129=7,DG!$B$33)))))))</f>
        <v>Frais de variable 3</v>
      </c>
      <c r="B64" s="723">
        <f>'FD2'!B64</f>
        <v>0</v>
      </c>
      <c r="C64" s="394">
        <f>INT($B64*'A3'!E$76)</f>
        <v>0</v>
      </c>
      <c r="D64" s="394">
        <f>INT($B64*'A3'!F$76)</f>
        <v>0</v>
      </c>
      <c r="E64" s="394">
        <f>INT($B64*'A3'!G$76)</f>
        <v>0</v>
      </c>
      <c r="F64" s="394">
        <f>INT($B64*'A3'!H$76)</f>
        <v>0</v>
      </c>
      <c r="G64" s="394">
        <f>INT($B64*'A3'!I$76)</f>
        <v>0</v>
      </c>
      <c r="H64" s="394">
        <f>INT($B64*'A3'!J$76)</f>
        <v>0</v>
      </c>
      <c r="I64" s="394">
        <f>INT($B64*'A3'!K$76)</f>
        <v>0</v>
      </c>
      <c r="J64" s="394">
        <f>INT($B64*'A3'!L$76)</f>
        <v>0</v>
      </c>
      <c r="K64" s="394">
        <f>INT($B64*'A3'!M$76)</f>
        <v>0</v>
      </c>
      <c r="L64" s="394">
        <f>INT($B64*'A3'!N$76)</f>
        <v>0</v>
      </c>
      <c r="M64" s="394">
        <f>INT($B64*'A3'!O$76)</f>
        <v>0</v>
      </c>
      <c r="N64" s="394">
        <f>INT($B64*'A3'!P$76)</f>
        <v>0</v>
      </c>
      <c r="O64" s="390">
        <f t="shared" si="8"/>
        <v>0</v>
      </c>
      <c r="P64"/>
      <c r="Q64"/>
      <c r="R64"/>
    </row>
    <row r="65" spans="1:18" ht="13.5" thickBot="1">
      <c r="A65" s="78" t="str">
        <f>IF(DG!$D$130=1,"Aucun",IF(DG!$D$130=2,DG!$B$28,IF(DG!$D$130=3,DG!$B$29,IF(DG!$D$130=4,DG!$B$30,IF(DG!$D$130=5,DG!$B$31,IF(DG!$D$130=6,DG!$B$32,IF(DG!$D$130=7,DG!$B$33)))))))</f>
        <v>Frais de variable 4</v>
      </c>
      <c r="B65" s="723">
        <f>'FD2'!B65</f>
        <v>0</v>
      </c>
      <c r="C65" s="394">
        <f>INT($B65*'A3'!E$76)</f>
        <v>0</v>
      </c>
      <c r="D65" s="394">
        <f>INT($B65*'A3'!F$76)</f>
        <v>0</v>
      </c>
      <c r="E65" s="394">
        <f>INT($B65*'A3'!G$76)</f>
        <v>0</v>
      </c>
      <c r="F65" s="394">
        <f>INT($B65*'A3'!H$76)</f>
        <v>0</v>
      </c>
      <c r="G65" s="394">
        <f>INT($B65*'A3'!I$76)</f>
        <v>0</v>
      </c>
      <c r="H65" s="394">
        <f>INT($B65*'A3'!J$76)</f>
        <v>0</v>
      </c>
      <c r="I65" s="394">
        <f>INT($B65*'A3'!K$76)</f>
        <v>0</v>
      </c>
      <c r="J65" s="394">
        <f>INT($B65*'A3'!L$76)</f>
        <v>0</v>
      </c>
      <c r="K65" s="394">
        <f>INT($B65*'A3'!M$76)</f>
        <v>0</v>
      </c>
      <c r="L65" s="394">
        <f>INT($B65*'A3'!N$76)</f>
        <v>0</v>
      </c>
      <c r="M65" s="394">
        <f>INT($B65*'A3'!O$76)</f>
        <v>0</v>
      </c>
      <c r="N65" s="394">
        <f>INT($B65*'A3'!P$76)</f>
        <v>0</v>
      </c>
      <c r="O65" s="390">
        <f t="shared" si="8"/>
        <v>0</v>
      </c>
      <c r="P65"/>
      <c r="Q65"/>
      <c r="R65"/>
    </row>
    <row r="66" spans="1:18" ht="13.5" thickBot="1">
      <c r="A66" s="78" t="str">
        <f>IF(DG!$D$131=1,"Aucun",IF(DG!$D$131=2,DG!$B$28,IF(DG!$D$131=3,DG!$B$29,IF(DG!$D$131=4,DG!$B$30,IF(DG!$D$131=5,DG!$B$31,IF(DG!$D$131=6,DG!$B$32,IF(DG!$D$131=7,DG!$B$33)))))))</f>
        <v>Frais de variable 5</v>
      </c>
      <c r="B66" s="723">
        <f>'FD2'!B66</f>
        <v>0</v>
      </c>
      <c r="C66" s="394">
        <f>INT($B66*'A3'!E$76)</f>
        <v>0</v>
      </c>
      <c r="D66" s="394">
        <f>INT($B66*'A3'!F$76)</f>
        <v>0</v>
      </c>
      <c r="E66" s="394">
        <f>INT($B66*'A3'!G$76)</f>
        <v>0</v>
      </c>
      <c r="F66" s="394">
        <f>INT($B66*'A3'!H$76)</f>
        <v>0</v>
      </c>
      <c r="G66" s="394">
        <f>INT($B66*'A3'!I$76)</f>
        <v>0</v>
      </c>
      <c r="H66" s="394">
        <f>INT($B66*'A3'!J$76)</f>
        <v>0</v>
      </c>
      <c r="I66" s="394">
        <f>INT($B66*'A3'!K$76)</f>
        <v>0</v>
      </c>
      <c r="J66" s="394">
        <f>INT($B66*'A3'!L$76)</f>
        <v>0</v>
      </c>
      <c r="K66" s="394">
        <f>INT($B66*'A3'!M$76)</f>
        <v>0</v>
      </c>
      <c r="L66" s="394">
        <f>INT($B66*'A3'!N$76)</f>
        <v>0</v>
      </c>
      <c r="M66" s="394">
        <f>INT($B66*'A3'!O$76)</f>
        <v>0</v>
      </c>
      <c r="N66" s="394">
        <f>INT($B66*'A3'!P$76)</f>
        <v>0</v>
      </c>
      <c r="O66" s="390">
        <f t="shared" si="8"/>
        <v>0</v>
      </c>
      <c r="P66"/>
      <c r="Q66"/>
      <c r="R66"/>
    </row>
    <row r="67" spans="1:18" ht="13.5" thickBot="1">
      <c r="A67" s="78" t="str">
        <f>IF(DG!$D$132=1,"Aucun",IF(DG!$D$132=2,DG!$B$28,IF(DG!$D$132=3,DG!$B$29,IF(DG!$D$132=4,DG!$B$30,IF(DG!$D$132=5,DG!$B$31,IF(DG!$D$132=6,DG!$B$32,IF(DG!$D$132=7,DG!$B$33)))))))</f>
        <v>Frais de variable 6</v>
      </c>
      <c r="B67" s="723">
        <f>'FD2'!B67</f>
        <v>0</v>
      </c>
      <c r="C67" s="394">
        <f>INT($B67*'A3'!E$76)</f>
        <v>0</v>
      </c>
      <c r="D67" s="394">
        <f>INT($B67*'A3'!F$76)</f>
        <v>0</v>
      </c>
      <c r="E67" s="394">
        <f>INT($B67*'A3'!G$76)</f>
        <v>0</v>
      </c>
      <c r="F67" s="394">
        <f>INT($B67*'A3'!H$76)</f>
        <v>0</v>
      </c>
      <c r="G67" s="394">
        <f>INT($B67*'A3'!I$76)</f>
        <v>0</v>
      </c>
      <c r="H67" s="394">
        <f>INT($B67*'A3'!J$76)</f>
        <v>0</v>
      </c>
      <c r="I67" s="394">
        <f>INT($B67*'A3'!K$76)</f>
        <v>0</v>
      </c>
      <c r="J67" s="394">
        <f>INT($B67*'A3'!L$76)</f>
        <v>0</v>
      </c>
      <c r="K67" s="394">
        <f>INT($B67*'A3'!M$76)</f>
        <v>0</v>
      </c>
      <c r="L67" s="394">
        <f>INT($B67*'A3'!N$76)</f>
        <v>0</v>
      </c>
      <c r="M67" s="394">
        <f>INT($B67*'A3'!O$76)</f>
        <v>0</v>
      </c>
      <c r="N67" s="394">
        <f>INT($B67*'A3'!P$76)</f>
        <v>0</v>
      </c>
      <c r="O67" s="390">
        <f t="shared" si="8"/>
        <v>0</v>
      </c>
      <c r="P67"/>
      <c r="Q67"/>
      <c r="R67"/>
    </row>
    <row r="68" spans="1:18" ht="13" thickBot="1">
      <c r="A68" s="267"/>
      <c r="B68" s="88"/>
      <c r="C68" s="268"/>
      <c r="D68" s="268"/>
      <c r="E68" s="268"/>
      <c r="F68" s="268"/>
      <c r="G68" s="268"/>
      <c r="H68" s="268"/>
      <c r="I68" s="268"/>
      <c r="J68" s="268"/>
      <c r="K68" s="268"/>
      <c r="L68" s="268"/>
      <c r="M68" s="268"/>
      <c r="N68" s="268"/>
      <c r="O68" s="268"/>
      <c r="P68"/>
      <c r="Q68"/>
      <c r="R68"/>
    </row>
    <row r="69" spans="1:18" s="251" customFormat="1" ht="13.5" thickBot="1">
      <c r="A69" s="43" t="s">
        <v>242</v>
      </c>
      <c r="B69" s="325"/>
      <c r="C69" s="319">
        <f t="shared" ref="C69:O69" si="9">SUM(C62:C68)</f>
        <v>0</v>
      </c>
      <c r="D69" s="319">
        <f t="shared" si="9"/>
        <v>0</v>
      </c>
      <c r="E69" s="319">
        <f t="shared" si="9"/>
        <v>0</v>
      </c>
      <c r="F69" s="319">
        <f t="shared" si="9"/>
        <v>0</v>
      </c>
      <c r="G69" s="319">
        <f t="shared" si="9"/>
        <v>0</v>
      </c>
      <c r="H69" s="319">
        <f t="shared" si="9"/>
        <v>0</v>
      </c>
      <c r="I69" s="319">
        <f t="shared" si="9"/>
        <v>0</v>
      </c>
      <c r="J69" s="319">
        <f t="shared" si="9"/>
        <v>0</v>
      </c>
      <c r="K69" s="319">
        <f t="shared" si="9"/>
        <v>0</v>
      </c>
      <c r="L69" s="319">
        <f t="shared" si="9"/>
        <v>0</v>
      </c>
      <c r="M69" s="319">
        <f t="shared" si="9"/>
        <v>0</v>
      </c>
      <c r="N69" s="319">
        <f t="shared" si="9"/>
        <v>0</v>
      </c>
      <c r="O69" s="319">
        <f t="shared" si="9"/>
        <v>0</v>
      </c>
      <c r="P69"/>
      <c r="Q69"/>
      <c r="R69"/>
    </row>
    <row r="70" spans="1:18" ht="13">
      <c r="A70" s="521"/>
      <c r="B70" s="325"/>
      <c r="C70" s="142"/>
      <c r="D70" s="142"/>
      <c r="E70" s="142"/>
      <c r="F70" s="142"/>
      <c r="G70" s="142"/>
      <c r="H70" s="142"/>
      <c r="I70" s="142"/>
      <c r="J70" s="142"/>
      <c r="K70" s="142"/>
      <c r="L70" s="142"/>
      <c r="M70" s="142"/>
      <c r="N70" s="142"/>
      <c r="O70" s="142"/>
      <c r="P70"/>
      <c r="Q70"/>
      <c r="R70"/>
    </row>
    <row r="71" spans="1:18" ht="13">
      <c r="A71" s="913" t="str">
        <f>'FD2'!A71</f>
        <v>Produit/service 6</v>
      </c>
      <c r="B71" s="88"/>
      <c r="C71" s="1192" t="str">
        <f>A71</f>
        <v>Produit/service 6</v>
      </c>
      <c r="D71" s="1193"/>
      <c r="E71" s="1193"/>
      <c r="F71" s="1193"/>
      <c r="G71" s="1193"/>
      <c r="H71" s="1193"/>
      <c r="I71" s="1193"/>
      <c r="J71" s="1193"/>
      <c r="K71" s="1193"/>
      <c r="L71" s="1193"/>
      <c r="M71" s="1193"/>
      <c r="N71" s="1193"/>
      <c r="O71" s="1193"/>
      <c r="P71"/>
      <c r="Q71"/>
      <c r="R71"/>
    </row>
    <row r="72" spans="1:18" ht="13" thickBot="1">
      <c r="A72" s="143"/>
      <c r="B72" s="88"/>
      <c r="C72" s="268"/>
      <c r="D72" s="268"/>
      <c r="E72" s="268"/>
      <c r="F72" s="268"/>
      <c r="G72" s="268"/>
      <c r="H72" s="268"/>
      <c r="I72" s="268"/>
      <c r="J72" s="268"/>
      <c r="K72" s="268"/>
      <c r="L72" s="268"/>
      <c r="M72" s="268"/>
      <c r="N72" s="268"/>
      <c r="O72" s="268"/>
      <c r="P72"/>
      <c r="Q72"/>
      <c r="R72"/>
    </row>
    <row r="73" spans="1:18" ht="13.5" thickBot="1">
      <c r="A73" s="78" t="str">
        <f>IF(DG!$D$127=1,"Aucun",IF(DG!$D$127=2,DG!$B$28,IF(DG!$D$127=3,DG!$B$29,IF(DG!$D$127=4,DG!$B$30,IF(DG!$D$127=5,DG!$B$31,IF(DG!$D$127=6,DG!$B$32,IF(DG!$D$127=7,DG!$B$33)))))))</f>
        <v>Frais de variable 1</v>
      </c>
      <c r="B73" s="723">
        <f>'FD2'!B73</f>
        <v>0</v>
      </c>
      <c r="C73" s="394">
        <f>INT($B73*'A3'!E$89)</f>
        <v>0</v>
      </c>
      <c r="D73" s="394">
        <f>INT($B73*'A3'!F$89)</f>
        <v>0</v>
      </c>
      <c r="E73" s="394">
        <f>INT($B73*'A3'!G$89)</f>
        <v>0</v>
      </c>
      <c r="F73" s="394">
        <f>INT($B73*'A3'!H$89)</f>
        <v>0</v>
      </c>
      <c r="G73" s="394">
        <f>INT($B73*'A3'!I$89)</f>
        <v>0</v>
      </c>
      <c r="H73" s="394">
        <f>INT($B73*'A3'!J$89)</f>
        <v>0</v>
      </c>
      <c r="I73" s="394">
        <f>INT($B73*'A3'!K$89)</f>
        <v>0</v>
      </c>
      <c r="J73" s="394">
        <f>INT($B73*'A3'!L$89)</f>
        <v>0</v>
      </c>
      <c r="K73" s="394">
        <f>INT($B73*'A3'!M$89)</f>
        <v>0</v>
      </c>
      <c r="L73" s="394">
        <f>INT($B73*'A3'!N$89)</f>
        <v>0</v>
      </c>
      <c r="M73" s="394">
        <f>INT($B73*'A3'!O$89)</f>
        <v>0</v>
      </c>
      <c r="N73" s="395">
        <f>INT($B73*'A3'!P$89)</f>
        <v>0</v>
      </c>
      <c r="O73" s="390">
        <f t="shared" ref="O73:O78" si="10">SUM(C73:N73)</f>
        <v>0</v>
      </c>
      <c r="P73"/>
      <c r="Q73"/>
      <c r="R73"/>
    </row>
    <row r="74" spans="1:18" ht="13.5" thickBot="1">
      <c r="A74" s="78" t="str">
        <f>IF(DG!$D$128=1,"Aucun",IF(DG!$D$128=2,DG!$B$28,IF(DG!$D$128=3,DG!$B$29,IF(DG!$D$128=4,DG!$B$30,IF(DG!$D$128=5,DG!$B$31,IF(DG!$D$128=6,DG!$B$32,IF(DG!$D$128=7,DG!$B$33)))))))</f>
        <v>Frais de variable 2</v>
      </c>
      <c r="B74" s="723">
        <f>'FD2'!B74</f>
        <v>0</v>
      </c>
      <c r="C74" s="394">
        <f>INT($B74*'A3'!E$89)</f>
        <v>0</v>
      </c>
      <c r="D74" s="394">
        <f>INT($B74*'A3'!F$89)</f>
        <v>0</v>
      </c>
      <c r="E74" s="394">
        <f>INT($B74*'A3'!G$89)</f>
        <v>0</v>
      </c>
      <c r="F74" s="394">
        <f>INT($B74*'A3'!H$89)</f>
        <v>0</v>
      </c>
      <c r="G74" s="394">
        <f>INT($B74*'A3'!I$89)</f>
        <v>0</v>
      </c>
      <c r="H74" s="394">
        <f>INT($B74*'A3'!J$89)</f>
        <v>0</v>
      </c>
      <c r="I74" s="394">
        <f>INT($B74*'A3'!K$89)</f>
        <v>0</v>
      </c>
      <c r="J74" s="394">
        <f>INT($B74*'A3'!L$89)</f>
        <v>0</v>
      </c>
      <c r="K74" s="394">
        <f>INT($B74*'A3'!M$89)</f>
        <v>0</v>
      </c>
      <c r="L74" s="394">
        <f>INT($B74*'A3'!N$89)</f>
        <v>0</v>
      </c>
      <c r="M74" s="394">
        <f>INT($B74*'A3'!O$89)</f>
        <v>0</v>
      </c>
      <c r="N74" s="395">
        <f>INT($B74*'A3'!P$89)</f>
        <v>0</v>
      </c>
      <c r="O74" s="390">
        <f t="shared" si="10"/>
        <v>0</v>
      </c>
      <c r="P74"/>
      <c r="Q74"/>
      <c r="R74"/>
    </row>
    <row r="75" spans="1:18" ht="13.5" thickBot="1">
      <c r="A75" s="78" t="str">
        <f>IF(DG!$D$129=1,"Aucun",IF(DG!$D$129=2,DG!$B$28,IF(DG!$D$129=3,DG!$B$29,IF(DG!$D$129=4,DG!$B$30,IF(DG!$D$129=5,DG!$B$31,IF(DG!$D$129=6,DG!$B$32,IF(DG!$D$129=7,DG!$B$33)))))))</f>
        <v>Frais de variable 3</v>
      </c>
      <c r="B75" s="723">
        <f>'FD2'!B75</f>
        <v>0</v>
      </c>
      <c r="C75" s="394">
        <f>INT($B75*'A3'!E$89)</f>
        <v>0</v>
      </c>
      <c r="D75" s="394">
        <f>INT($B75*'A3'!F$89)</f>
        <v>0</v>
      </c>
      <c r="E75" s="394">
        <f>INT($B75*'A3'!G$89)</f>
        <v>0</v>
      </c>
      <c r="F75" s="394">
        <f>INT($B75*'A3'!H$89)</f>
        <v>0</v>
      </c>
      <c r="G75" s="394">
        <f>INT($B75*'A3'!I$89)</f>
        <v>0</v>
      </c>
      <c r="H75" s="394">
        <f>INT($B75*'A3'!J$89)</f>
        <v>0</v>
      </c>
      <c r="I75" s="394">
        <f>INT($B75*'A3'!K$89)</f>
        <v>0</v>
      </c>
      <c r="J75" s="394">
        <f>INT($B75*'A3'!L$89)</f>
        <v>0</v>
      </c>
      <c r="K75" s="394">
        <f>INT($B75*'A3'!M$89)</f>
        <v>0</v>
      </c>
      <c r="L75" s="394">
        <f>INT($B75*'A3'!N$89)</f>
        <v>0</v>
      </c>
      <c r="M75" s="394">
        <f>INT($B75*'A3'!O$89)</f>
        <v>0</v>
      </c>
      <c r="N75" s="395">
        <f>INT($B75*'A3'!P$89)</f>
        <v>0</v>
      </c>
      <c r="O75" s="390">
        <f t="shared" si="10"/>
        <v>0</v>
      </c>
      <c r="P75"/>
      <c r="Q75"/>
      <c r="R75"/>
    </row>
    <row r="76" spans="1:18" ht="13.5" thickBot="1">
      <c r="A76" s="78" t="str">
        <f>IF(DG!$D$130=1,"Aucun",IF(DG!$D$130=2,DG!$B$28,IF(DG!$D$130=3,DG!$B$29,IF(DG!$D$130=4,DG!$B$30,IF(DG!$D$130=5,DG!$B$31,IF(DG!$D$130=6,DG!$B$32,IF(DG!$D$130=7,DG!$B$33)))))))</f>
        <v>Frais de variable 4</v>
      </c>
      <c r="B76" s="723">
        <f>'FD2'!B76</f>
        <v>0</v>
      </c>
      <c r="C76" s="394">
        <f>INT($B76*'A3'!E$89)</f>
        <v>0</v>
      </c>
      <c r="D76" s="394">
        <f>INT($B76*'A3'!F$89)</f>
        <v>0</v>
      </c>
      <c r="E76" s="394">
        <f>INT($B76*'A3'!G$89)</f>
        <v>0</v>
      </c>
      <c r="F76" s="394">
        <f>INT($B76*'A3'!H$89)</f>
        <v>0</v>
      </c>
      <c r="G76" s="394">
        <f>INT($B76*'A3'!I$89)</f>
        <v>0</v>
      </c>
      <c r="H76" s="394">
        <f>INT($B76*'A3'!J$89)</f>
        <v>0</v>
      </c>
      <c r="I76" s="394">
        <f>INT($B76*'A3'!K$89)</f>
        <v>0</v>
      </c>
      <c r="J76" s="394">
        <f>INT($B76*'A3'!L$89)</f>
        <v>0</v>
      </c>
      <c r="K76" s="394">
        <f>INT($B76*'A3'!M$89)</f>
        <v>0</v>
      </c>
      <c r="L76" s="394">
        <f>INT($B76*'A3'!N$89)</f>
        <v>0</v>
      </c>
      <c r="M76" s="394">
        <f>INT($B76*'A3'!O$89)</f>
        <v>0</v>
      </c>
      <c r="N76" s="395">
        <f>INT($B76*'A3'!P$89)</f>
        <v>0</v>
      </c>
      <c r="O76" s="390">
        <f t="shared" si="10"/>
        <v>0</v>
      </c>
      <c r="P76"/>
      <c r="Q76"/>
      <c r="R76"/>
    </row>
    <row r="77" spans="1:18" ht="13.5" thickBot="1">
      <c r="A77" s="78" t="str">
        <f>IF(DG!$D$131=1,"Aucun",IF(DG!$D$131=2,DG!$B$28,IF(DG!$D$131=3,DG!$B$29,IF(DG!$D$131=4,DG!$B$30,IF(DG!$D$131=5,DG!$B$31,IF(DG!$D$131=6,DG!$B$32,IF(DG!$D$131=7,DG!$B$33)))))))</f>
        <v>Frais de variable 5</v>
      </c>
      <c r="B77" s="723">
        <f>'FD2'!B77</f>
        <v>0</v>
      </c>
      <c r="C77" s="394">
        <f>INT($B77*'A3'!E$89)</f>
        <v>0</v>
      </c>
      <c r="D77" s="394">
        <f>INT($B77*'A3'!F$89)</f>
        <v>0</v>
      </c>
      <c r="E77" s="394">
        <f>INT($B77*'A3'!G$89)</f>
        <v>0</v>
      </c>
      <c r="F77" s="394">
        <f>INT($B77*'A3'!H$89)</f>
        <v>0</v>
      </c>
      <c r="G77" s="394">
        <f>INT($B77*'A3'!I$89)</f>
        <v>0</v>
      </c>
      <c r="H77" s="394">
        <f>INT($B77*'A3'!J$89)</f>
        <v>0</v>
      </c>
      <c r="I77" s="394">
        <f>INT($B77*'A3'!K$89)</f>
        <v>0</v>
      </c>
      <c r="J77" s="394">
        <f>INT($B77*'A3'!L$89)</f>
        <v>0</v>
      </c>
      <c r="K77" s="394">
        <f>INT($B77*'A3'!M$89)</f>
        <v>0</v>
      </c>
      <c r="L77" s="394">
        <f>INT($B77*'A3'!N$89)</f>
        <v>0</v>
      </c>
      <c r="M77" s="394">
        <f>INT($B77*'A3'!O$89)</f>
        <v>0</v>
      </c>
      <c r="N77" s="395">
        <f>INT($B77*'A3'!P$89)</f>
        <v>0</v>
      </c>
      <c r="O77" s="390">
        <f t="shared" si="10"/>
        <v>0</v>
      </c>
      <c r="P77"/>
      <c r="Q77"/>
      <c r="R77"/>
    </row>
    <row r="78" spans="1:18" ht="13.5" thickBot="1">
      <c r="A78" s="78" t="str">
        <f>IF(DG!$D$132=1,"Aucun",IF(DG!$D$132=2,DG!$B$28,IF(DG!$D$132=3,DG!$B$29,IF(DG!$D$132=4,DG!$B$30,IF(DG!$D$132=5,DG!$B$31,IF(DG!$D$132=6,DG!$B$32,IF(DG!$D$132=7,DG!$B$33)))))))</f>
        <v>Frais de variable 6</v>
      </c>
      <c r="B78" s="723">
        <f>'FD2'!B78</f>
        <v>0</v>
      </c>
      <c r="C78" s="394">
        <f>INT($B78*'A3'!E$89)</f>
        <v>0</v>
      </c>
      <c r="D78" s="394">
        <f>INT($B78*'A3'!F$89)</f>
        <v>0</v>
      </c>
      <c r="E78" s="394">
        <f>INT($B78*'A3'!G$89)</f>
        <v>0</v>
      </c>
      <c r="F78" s="394">
        <f>INT($B78*'A3'!H$89)</f>
        <v>0</v>
      </c>
      <c r="G78" s="394">
        <f>INT($B78*'A3'!I$89)</f>
        <v>0</v>
      </c>
      <c r="H78" s="394">
        <f>INT($B78*'A3'!J$89)</f>
        <v>0</v>
      </c>
      <c r="I78" s="394">
        <f>INT($B78*'A3'!K$89)</f>
        <v>0</v>
      </c>
      <c r="J78" s="394">
        <f>INT($B78*'A3'!L$89)</f>
        <v>0</v>
      </c>
      <c r="K78" s="394">
        <f>INT($B78*'A3'!M$89)</f>
        <v>0</v>
      </c>
      <c r="L78" s="394">
        <f>INT($B78*'A3'!N$89)</f>
        <v>0</v>
      </c>
      <c r="M78" s="394">
        <f>INT($B78*'A3'!O$89)</f>
        <v>0</v>
      </c>
      <c r="N78" s="395">
        <f>INT($B78*'A3'!P$89)</f>
        <v>0</v>
      </c>
      <c r="O78" s="390">
        <f t="shared" si="10"/>
        <v>0</v>
      </c>
      <c r="P78"/>
      <c r="Q78"/>
      <c r="R78"/>
    </row>
    <row r="79" spans="1:18" ht="13" thickBot="1">
      <c r="A79" s="267"/>
      <c r="B79" s="88"/>
      <c r="C79" s="268"/>
      <c r="D79" s="268"/>
      <c r="E79" s="268"/>
      <c r="F79" s="268"/>
      <c r="G79" s="268"/>
      <c r="H79" s="268"/>
      <c r="I79" s="268"/>
      <c r="J79" s="268"/>
      <c r="K79" s="268"/>
      <c r="L79" s="268"/>
      <c r="M79" s="268"/>
      <c r="N79" s="268"/>
      <c r="O79" s="268"/>
      <c r="P79"/>
      <c r="Q79"/>
      <c r="R79"/>
    </row>
    <row r="80" spans="1:18" s="251" customFormat="1" ht="13.5" thickBot="1">
      <c r="A80" s="43" t="s">
        <v>242</v>
      </c>
      <c r="B80" s="325"/>
      <c r="C80" s="319">
        <f t="shared" ref="C80:O80" si="11">SUM(C73:C79)</f>
        <v>0</v>
      </c>
      <c r="D80" s="319">
        <f t="shared" si="11"/>
        <v>0</v>
      </c>
      <c r="E80" s="319">
        <f t="shared" si="11"/>
        <v>0</v>
      </c>
      <c r="F80" s="319">
        <f t="shared" si="11"/>
        <v>0</v>
      </c>
      <c r="G80" s="319">
        <f t="shared" si="11"/>
        <v>0</v>
      </c>
      <c r="H80" s="319">
        <f t="shared" si="11"/>
        <v>0</v>
      </c>
      <c r="I80" s="319">
        <f t="shared" si="11"/>
        <v>0</v>
      </c>
      <c r="J80" s="319">
        <f t="shared" si="11"/>
        <v>0</v>
      </c>
      <c r="K80" s="319">
        <f t="shared" si="11"/>
        <v>0</v>
      </c>
      <c r="L80" s="319">
        <f t="shared" si="11"/>
        <v>0</v>
      </c>
      <c r="M80" s="319">
        <f t="shared" si="11"/>
        <v>0</v>
      </c>
      <c r="N80" s="319">
        <f t="shared" si="11"/>
        <v>0</v>
      </c>
      <c r="O80" s="319">
        <f t="shared" si="11"/>
        <v>0</v>
      </c>
      <c r="P80"/>
      <c r="Q80"/>
      <c r="R80"/>
    </row>
    <row r="81" spans="1:18" ht="13" thickBot="1">
      <c r="A81"/>
      <c r="B81"/>
      <c r="C81"/>
      <c r="D81"/>
      <c r="E81"/>
      <c r="F81"/>
      <c r="G81"/>
      <c r="H81"/>
      <c r="I81"/>
      <c r="J81"/>
      <c r="K81"/>
      <c r="L81"/>
      <c r="M81"/>
      <c r="N81"/>
      <c r="O81"/>
      <c r="P81"/>
      <c r="Q81"/>
      <c r="R81"/>
    </row>
    <row r="82" spans="1:18" ht="13.5" thickBot="1">
      <c r="A82" s="108" t="s">
        <v>756</v>
      </c>
      <c r="B82"/>
      <c r="C82" s="293">
        <f t="shared" ref="C82:O82" si="12">C80+C69+C58+C47+C36+C25</f>
        <v>88</v>
      </c>
      <c r="D82" s="293">
        <f t="shared" si="12"/>
        <v>92</v>
      </c>
      <c r="E82" s="293">
        <f t="shared" si="12"/>
        <v>97</v>
      </c>
      <c r="F82" s="293">
        <f t="shared" si="12"/>
        <v>100</v>
      </c>
      <c r="G82" s="293">
        <f t="shared" si="12"/>
        <v>105</v>
      </c>
      <c r="H82" s="293">
        <f t="shared" si="12"/>
        <v>109</v>
      </c>
      <c r="I82" s="293">
        <f t="shared" si="12"/>
        <v>112</v>
      </c>
      <c r="J82" s="293">
        <f t="shared" si="12"/>
        <v>117</v>
      </c>
      <c r="K82" s="293">
        <f t="shared" si="12"/>
        <v>121</v>
      </c>
      <c r="L82" s="293">
        <f t="shared" si="12"/>
        <v>124</v>
      </c>
      <c r="M82" s="293">
        <f t="shared" si="12"/>
        <v>130</v>
      </c>
      <c r="N82" s="293">
        <f t="shared" si="12"/>
        <v>134</v>
      </c>
      <c r="O82" s="293">
        <f t="shared" si="12"/>
        <v>1329</v>
      </c>
      <c r="P82"/>
      <c r="Q82"/>
      <c r="R82"/>
    </row>
    <row r="83" spans="1:18" ht="13">
      <c r="A83" s="257"/>
      <c r="B83"/>
      <c r="C83" s="142"/>
      <c r="D83" s="142"/>
      <c r="E83" s="142"/>
      <c r="F83" s="142"/>
      <c r="G83" s="142"/>
      <c r="H83" s="142"/>
      <c r="I83" s="142"/>
      <c r="J83" s="142"/>
      <c r="K83" s="142"/>
      <c r="L83" s="142"/>
      <c r="M83" s="142"/>
      <c r="N83" s="142"/>
      <c r="O83" s="142"/>
      <c r="P83"/>
      <c r="Q83"/>
      <c r="R83"/>
    </row>
    <row r="84" spans="1:18" ht="13">
      <c r="A84" s="257"/>
      <c r="B84"/>
      <c r="C84" s="142"/>
      <c r="D84" s="142"/>
      <c r="E84" s="142"/>
      <c r="F84" s="142"/>
      <c r="G84" s="142"/>
      <c r="H84" s="142"/>
      <c r="I84" s="142"/>
      <c r="J84" s="142"/>
      <c r="K84" s="142"/>
      <c r="L84" s="142"/>
      <c r="M84" s="142"/>
      <c r="N84" s="142"/>
      <c r="O84" s="142"/>
      <c r="P84"/>
      <c r="Q84"/>
      <c r="R84"/>
    </row>
    <row r="85" spans="1:18">
      <c r="A85"/>
      <c r="B85"/>
      <c r="C85"/>
      <c r="D85"/>
      <c r="E85"/>
      <c r="F85"/>
      <c r="G85"/>
      <c r="H85"/>
      <c r="I85"/>
      <c r="J85"/>
      <c r="K85"/>
      <c r="L85"/>
      <c r="M85"/>
      <c r="N85"/>
      <c r="O85"/>
      <c r="P85"/>
      <c r="Q85"/>
      <c r="R85"/>
    </row>
    <row r="86" spans="1:18" s="251" customFormat="1">
      <c r="B86"/>
      <c r="C86"/>
      <c r="D86"/>
      <c r="E86"/>
      <c r="F86"/>
      <c r="G86"/>
      <c r="H86"/>
      <c r="I86"/>
      <c r="J86"/>
      <c r="K86"/>
      <c r="L86"/>
      <c r="M86"/>
      <c r="N86"/>
      <c r="O86"/>
      <c r="P86"/>
      <c r="Q86"/>
      <c r="R86"/>
    </row>
    <row r="87" spans="1:18" ht="25">
      <c r="A87" s="105"/>
    </row>
  </sheetData>
  <sheetProtection password="E242" sheet="1" objects="1" scenarios="1"/>
  <customSheetViews>
    <customSheetView guid="{30D0538C-360A-4CDF-8D89-584CED1967CC}" scale="90" showGridLines="0" hiddenRows="1" topLeftCell="A2">
      <selection activeCell="F4" sqref="F4"/>
      <pageMargins left="0.7" right="0.7" top="0.75" bottom="0.75" header="0.3" footer="0.3"/>
    </customSheetView>
    <customSheetView guid="{4F3169C3-3348-49DE-A6DC-8AA4D2A9D7A1}" scale="90" showGridLines="0" hiddenRows="1" topLeftCell="A2">
      <selection activeCell="F4" sqref="F4"/>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56">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ColWidth="11.453125" defaultRowHeight="12.5"/>
  <cols>
    <col min="1" max="1" width="30" style="261" customWidth="1"/>
    <col min="2" max="2" width="10" style="261" customWidth="1"/>
    <col min="3" max="16384" width="11.453125" style="261"/>
  </cols>
  <sheetData>
    <row r="1" spans="1:18" customFormat="1"/>
    <row r="2" spans="1:18" customFormat="1"/>
    <row r="3" spans="1:18" customFormat="1"/>
    <row r="9" spans="1:18" hidden="1"/>
    <row r="10" spans="1:18" s="251" customFormat="1" ht="13" hidden="1">
      <c r="P10" s="48"/>
    </row>
    <row r="11" spans="1:18" s="251" customFormat="1" ht="25.5" customHeight="1">
      <c r="A11" s="105" t="str">
        <f>RG!$D$17</f>
        <v>Jhon Wesly inc.</v>
      </c>
      <c r="F11" s="808"/>
      <c r="P11" s="48"/>
    </row>
    <row r="12" spans="1:18" s="251" customFormat="1" ht="13">
      <c r="B12" s="88"/>
      <c r="C12" s="268"/>
      <c r="D12" s="268"/>
      <c r="E12" s="268"/>
      <c r="F12" s="268"/>
      <c r="G12" s="268"/>
      <c r="H12" s="268"/>
      <c r="I12" s="268"/>
      <c r="J12" s="268"/>
      <c r="K12" s="268"/>
      <c r="L12" s="268"/>
      <c r="M12" s="268"/>
      <c r="N12" s="268"/>
      <c r="O12" s="268"/>
      <c r="P12" s="48"/>
    </row>
    <row r="13" spans="1:18" s="251" customFormat="1" ht="13.5" thickBot="1">
      <c r="B13" s="88"/>
      <c r="C13" s="268"/>
      <c r="D13" s="268"/>
      <c r="E13" s="268"/>
      <c r="F13" s="268"/>
      <c r="G13" s="268"/>
      <c r="H13" s="268"/>
      <c r="I13" s="268"/>
      <c r="J13" s="268"/>
      <c r="K13" s="268"/>
      <c r="L13" s="268"/>
      <c r="M13" s="268"/>
      <c r="N13" s="268"/>
      <c r="O13" s="268"/>
      <c r="P13" s="48"/>
    </row>
    <row r="14" spans="1:18" s="822" customFormat="1" ht="30.5" thickBot="1">
      <c r="A14" s="911" t="s">
        <v>667</v>
      </c>
      <c r="B14" s="98"/>
      <c r="C14" s="821">
        <f>'FD3'!C14+366</f>
        <v>46390</v>
      </c>
      <c r="D14" s="821">
        <f>'FD3'!D14+366</f>
        <v>46421</v>
      </c>
      <c r="E14" s="821">
        <f>'FD3'!E14+366</f>
        <v>46452</v>
      </c>
      <c r="F14" s="821">
        <f>'FD3'!F14+366</f>
        <v>46483</v>
      </c>
      <c r="G14" s="821">
        <f>'FD3'!G14+366</f>
        <v>46514</v>
      </c>
      <c r="H14" s="821">
        <f>'FD3'!H14+366</f>
        <v>46545</v>
      </c>
      <c r="I14" s="821">
        <f>'FD3'!I14+366</f>
        <v>46576</v>
      </c>
      <c r="J14" s="821">
        <f>'FD3'!J14+366</f>
        <v>46607</v>
      </c>
      <c r="K14" s="821">
        <f>'FD3'!K14+366</f>
        <v>46638</v>
      </c>
      <c r="L14" s="821">
        <f>'FD3'!L14+366</f>
        <v>46669</v>
      </c>
      <c r="M14" s="821">
        <f>'FD3'!M14+366</f>
        <v>46700</v>
      </c>
      <c r="N14" s="821">
        <f>'FD3'!N14+366</f>
        <v>46731</v>
      </c>
      <c r="O14" s="821" t="str">
        <f>'A2'!Q14</f>
        <v>Année</v>
      </c>
      <c r="P14" s="816"/>
    </row>
    <row r="15" spans="1:18" ht="13">
      <c r="A15"/>
      <c r="B15"/>
      <c r="C15" s="523"/>
      <c r="D15" s="523"/>
      <c r="E15" s="523"/>
      <c r="F15" s="523"/>
      <c r="G15" s="523"/>
      <c r="H15" s="523"/>
      <c r="I15" s="523"/>
      <c r="J15" s="523"/>
      <c r="K15" s="523"/>
      <c r="L15" s="523"/>
      <c r="M15" s="523"/>
      <c r="N15" s="523"/>
      <c r="O15" s="523"/>
      <c r="P15"/>
      <c r="Q15"/>
      <c r="R15"/>
    </row>
    <row r="16" spans="1:18" ht="13">
      <c r="A16" s="913" t="str">
        <f>'FD3'!A16</f>
        <v>Produit/service 1</v>
      </c>
      <c r="B16"/>
      <c r="C16" s="1190" t="str">
        <f>A16</f>
        <v>Produit/service 1</v>
      </c>
      <c r="D16" s="1191"/>
      <c r="E16" s="1191"/>
      <c r="F16" s="1191"/>
      <c r="G16" s="1191"/>
      <c r="H16" s="1191"/>
      <c r="I16" s="1191"/>
      <c r="J16" s="1191"/>
      <c r="K16" s="1191"/>
      <c r="L16" s="1191"/>
      <c r="M16" s="1191"/>
      <c r="N16" s="1191"/>
      <c r="O16" s="1191"/>
      <c r="P16"/>
      <c r="Q16"/>
      <c r="R16"/>
    </row>
    <row r="17" spans="1:18" s="251" customFormat="1" ht="13.5" thickBot="1">
      <c r="A17" s="143"/>
      <c r="B17" s="88"/>
      <c r="C17" s="268"/>
      <c r="D17" s="268"/>
      <c r="E17" s="268"/>
      <c r="F17" s="268"/>
      <c r="G17" s="268"/>
      <c r="H17" s="268"/>
      <c r="I17" s="268"/>
      <c r="J17" s="268"/>
      <c r="K17" s="268"/>
      <c r="L17" s="268"/>
      <c r="M17" s="268"/>
      <c r="N17" s="268"/>
      <c r="O17" s="268"/>
      <c r="P17" s="48"/>
      <c r="Q17"/>
      <c r="R17"/>
    </row>
    <row r="18" spans="1:18" s="251" customFormat="1" ht="13.5" thickBot="1">
      <c r="A18" s="78" t="str">
        <f>IF(DG!$D$127=1,"Aucun",IF(DG!$D$127=2,DG!$B$28,IF(DG!$D$127=3,DG!$B$29,IF(DG!$D$127=4,DG!$B$30,IF(DG!$D$127=5,DG!$B$31,IF(DG!$D$127=6,DG!$B$32,IF(DG!$D$127=7,DG!$B$33)))))))</f>
        <v>Frais de variable 1</v>
      </c>
      <c r="B18" s="495">
        <f>'FD3'!B18</f>
        <v>2.5000000000000001E-2</v>
      </c>
      <c r="C18" s="481">
        <f>INT($B18*'A4'!E$24)</f>
        <v>20</v>
      </c>
      <c r="D18" s="481">
        <f>INT($B18*'A4'!F$24)</f>
        <v>21</v>
      </c>
      <c r="E18" s="481">
        <f>INT($B18*'A4'!G$24)</f>
        <v>22</v>
      </c>
      <c r="F18" s="481">
        <f>INT($B18*'A4'!H$24)</f>
        <v>22</v>
      </c>
      <c r="G18" s="481">
        <f>INT($B18*'A4'!I$24)</f>
        <v>23</v>
      </c>
      <c r="H18" s="481">
        <f>INT($B18*'A4'!J$24)</f>
        <v>24</v>
      </c>
      <c r="I18" s="481">
        <f>INT($B18*'A4'!K$24)</f>
        <v>24</v>
      </c>
      <c r="J18" s="481">
        <f>INT($B18*'A4'!L$24)</f>
        <v>25</v>
      </c>
      <c r="K18" s="481">
        <f>INT($B18*'A4'!M$24)</f>
        <v>26</v>
      </c>
      <c r="L18" s="481">
        <f>INT($B18*'A4'!N$24)</f>
        <v>26</v>
      </c>
      <c r="M18" s="481">
        <f>INT($B18*'A4'!O$24)</f>
        <v>27</v>
      </c>
      <c r="N18" s="481">
        <f>INT($B18*'A4'!P$24)</f>
        <v>28</v>
      </c>
      <c r="O18" s="390">
        <f t="shared" ref="O18:O23" si="0">SUM(C18:N18)</f>
        <v>288</v>
      </c>
      <c r="P18" s="48"/>
      <c r="Q18"/>
      <c r="R18"/>
    </row>
    <row r="19" spans="1:18" s="251" customFormat="1" ht="13.5" thickBot="1">
      <c r="A19" s="78" t="str">
        <f>IF(DG!$D$128=1,"Aucun",IF(DG!$D$128=2,DG!$B$28,IF(DG!$D$128=3,DG!$B$29,IF(DG!$D$128=4,DG!$B$30,IF(DG!$D$128=5,DG!$B$31,IF(DG!$D$128=6,DG!$B$32,IF(DG!$D$128=7,DG!$B$33)))))))</f>
        <v>Frais de variable 2</v>
      </c>
      <c r="B19" s="495">
        <f>'FD3'!B19</f>
        <v>0</v>
      </c>
      <c r="C19" s="481">
        <f>INT($B19*'A4'!E$24)</f>
        <v>0</v>
      </c>
      <c r="D19" s="481">
        <f>INT($B19*'A4'!F$24)</f>
        <v>0</v>
      </c>
      <c r="E19" s="481">
        <f>INT($B19*'A4'!G$24)</f>
        <v>0</v>
      </c>
      <c r="F19" s="481">
        <f>INT($B19*'A4'!H$24)</f>
        <v>0</v>
      </c>
      <c r="G19" s="481">
        <f>INT($B19*'A4'!I$24)</f>
        <v>0</v>
      </c>
      <c r="H19" s="481">
        <f>INT($B19*'A4'!J$24)</f>
        <v>0</v>
      </c>
      <c r="I19" s="481">
        <f>INT($B19*'A4'!K$24)</f>
        <v>0</v>
      </c>
      <c r="J19" s="481">
        <f>INT($B19*'A4'!L$24)</f>
        <v>0</v>
      </c>
      <c r="K19" s="481">
        <f>INT($B19*'A4'!M$24)</f>
        <v>0</v>
      </c>
      <c r="L19" s="481">
        <f>INT($B19*'A4'!N$24)</f>
        <v>0</v>
      </c>
      <c r="M19" s="481">
        <f>INT($B19*'A4'!O$24)</f>
        <v>0</v>
      </c>
      <c r="N19" s="481">
        <f>INT($B19*'A4'!P$24)</f>
        <v>0</v>
      </c>
      <c r="O19" s="390">
        <f t="shared" si="0"/>
        <v>0</v>
      </c>
      <c r="P19" s="48"/>
      <c r="Q19"/>
      <c r="R19"/>
    </row>
    <row r="20" spans="1:18" s="251" customFormat="1" ht="13.5" thickBot="1">
      <c r="A20" s="78" t="str">
        <f>IF(DG!$D$129=1,"Aucun",IF(DG!$D$129=2,DG!$B$28,IF(DG!$D$129=3,DG!$B$29,IF(DG!$D$129=4,DG!$B$30,IF(DG!$D$129=5,DG!$B$31,IF(DG!$D$129=6,DG!$B$32,IF(DG!$D$129=7,DG!$B$33)))))))</f>
        <v>Frais de variable 3</v>
      </c>
      <c r="B20" s="495">
        <f>'FD3'!B20</f>
        <v>0</v>
      </c>
      <c r="C20" s="481">
        <f>INT($B20*'A4'!E$24)</f>
        <v>0</v>
      </c>
      <c r="D20" s="481">
        <f>INT($B20*'A4'!F$24)</f>
        <v>0</v>
      </c>
      <c r="E20" s="481">
        <f>INT($B20*'A4'!G$24)</f>
        <v>0</v>
      </c>
      <c r="F20" s="481">
        <f>INT($B20*'A4'!H$24)</f>
        <v>0</v>
      </c>
      <c r="G20" s="481">
        <f>INT($B20*'A4'!I$24)</f>
        <v>0</v>
      </c>
      <c r="H20" s="481">
        <f>INT($B20*'A4'!J$24)</f>
        <v>0</v>
      </c>
      <c r="I20" s="481">
        <f>INT($B20*'A4'!K$24)</f>
        <v>0</v>
      </c>
      <c r="J20" s="481">
        <f>INT($B20*'A4'!L$24)</f>
        <v>0</v>
      </c>
      <c r="K20" s="481">
        <f>INT($B20*'A4'!M$24)</f>
        <v>0</v>
      </c>
      <c r="L20" s="481">
        <f>INT($B20*'A4'!N$24)</f>
        <v>0</v>
      </c>
      <c r="M20" s="481">
        <f>INT($B20*'A4'!O$24)</f>
        <v>0</v>
      </c>
      <c r="N20" s="481">
        <f>INT($B20*'A4'!P$24)</f>
        <v>0</v>
      </c>
      <c r="O20" s="390">
        <f t="shared" si="0"/>
        <v>0</v>
      </c>
      <c r="P20" s="48"/>
      <c r="Q20"/>
      <c r="R20"/>
    </row>
    <row r="21" spans="1:18" s="251" customFormat="1" ht="13.5" thickBot="1">
      <c r="A21" s="78" t="str">
        <f>IF(DG!$D$130=1,"Aucun",IF(DG!$D$130=2,DG!$B$28,IF(DG!$D$130=3,DG!$B$29,IF(DG!$D$130=4,DG!$B$30,IF(DG!$D$130=5,DG!$B$31,IF(DG!$D$130=6,DG!$B$32,IF(DG!$D$130=7,DG!$B$33)))))))</f>
        <v>Frais de variable 4</v>
      </c>
      <c r="B21" s="495">
        <f>'FD3'!B21</f>
        <v>0</v>
      </c>
      <c r="C21" s="481">
        <f>INT($B21*'A4'!E$24)</f>
        <v>0</v>
      </c>
      <c r="D21" s="481">
        <f>INT($B21*'A4'!F$24)</f>
        <v>0</v>
      </c>
      <c r="E21" s="481">
        <f>INT($B21*'A4'!G$24)</f>
        <v>0</v>
      </c>
      <c r="F21" s="481">
        <f>INT($B21*'A4'!H$24)</f>
        <v>0</v>
      </c>
      <c r="G21" s="481">
        <f>INT($B21*'A4'!I$24)</f>
        <v>0</v>
      </c>
      <c r="H21" s="481">
        <f>INT($B21*'A4'!J$24)</f>
        <v>0</v>
      </c>
      <c r="I21" s="481">
        <f>INT($B21*'A4'!K$24)</f>
        <v>0</v>
      </c>
      <c r="J21" s="481">
        <f>INT($B21*'A4'!L$24)</f>
        <v>0</v>
      </c>
      <c r="K21" s="481">
        <f>INT($B21*'A4'!M$24)</f>
        <v>0</v>
      </c>
      <c r="L21" s="481">
        <f>INT($B21*'A4'!N$24)</f>
        <v>0</v>
      </c>
      <c r="M21" s="481">
        <f>INT($B21*'A4'!O$24)</f>
        <v>0</v>
      </c>
      <c r="N21" s="481">
        <f>INT($B21*'A4'!P$24)</f>
        <v>0</v>
      </c>
      <c r="O21" s="390">
        <f t="shared" si="0"/>
        <v>0</v>
      </c>
      <c r="P21" s="48"/>
      <c r="Q21"/>
      <c r="R21"/>
    </row>
    <row r="22" spans="1:18" s="251" customFormat="1" ht="13.5" thickBot="1">
      <c r="A22" s="78" t="str">
        <f>IF(DG!$D$131=1,"Aucun",IF(DG!$D$131=2,DG!$B$28,IF(DG!$D$131=3,DG!$B$29,IF(DG!$D$131=4,DG!$B$30,IF(DG!$D$131=5,DG!$B$31,IF(DG!$D$131=6,DG!$B$32,IF(DG!$D$131=7,DG!$B$33)))))))</f>
        <v>Frais de variable 5</v>
      </c>
      <c r="B22" s="495">
        <f>'FD3'!B22</f>
        <v>0</v>
      </c>
      <c r="C22" s="481">
        <f>INT($B22*'A4'!E$24)</f>
        <v>0</v>
      </c>
      <c r="D22" s="481">
        <f>INT($B22*'A4'!F$24)</f>
        <v>0</v>
      </c>
      <c r="E22" s="481">
        <f>INT($B22*'A4'!G$24)</f>
        <v>0</v>
      </c>
      <c r="F22" s="481">
        <f>INT($B22*'A4'!H$24)</f>
        <v>0</v>
      </c>
      <c r="G22" s="481">
        <f>INT($B22*'A4'!I$24)</f>
        <v>0</v>
      </c>
      <c r="H22" s="481">
        <f>INT($B22*'A4'!J$24)</f>
        <v>0</v>
      </c>
      <c r="I22" s="481">
        <f>INT($B22*'A4'!K$24)</f>
        <v>0</v>
      </c>
      <c r="J22" s="481">
        <f>INT($B22*'A4'!L$24)</f>
        <v>0</v>
      </c>
      <c r="K22" s="481">
        <f>INT($B22*'A4'!M$24)</f>
        <v>0</v>
      </c>
      <c r="L22" s="481">
        <f>INT($B22*'A4'!N$24)</f>
        <v>0</v>
      </c>
      <c r="M22" s="481">
        <f>INT($B22*'A4'!O$24)</f>
        <v>0</v>
      </c>
      <c r="N22" s="481">
        <f>INT($B22*'A4'!P$24)</f>
        <v>0</v>
      </c>
      <c r="O22" s="390">
        <f t="shared" si="0"/>
        <v>0</v>
      </c>
      <c r="P22" s="48"/>
      <c r="Q22"/>
      <c r="R22"/>
    </row>
    <row r="23" spans="1:18" s="251" customFormat="1" ht="13.5" thickBot="1">
      <c r="A23" s="78" t="str">
        <f>IF(DG!$D$132=1,"Aucun",IF(DG!$D$132=2,DG!$B$28,IF(DG!$D$132=3,DG!$B$29,IF(DG!$D$132=4,DG!$B$30,IF(DG!$D$132=5,DG!$B$31,IF(DG!$D$132=6,DG!$B$32,IF(DG!$D$132=7,DG!$B$33)))))))</f>
        <v>Frais de variable 6</v>
      </c>
      <c r="B23" s="495">
        <f>'FD3'!B23</f>
        <v>0</v>
      </c>
      <c r="C23" s="481">
        <f>INT($B23*'A4'!E$24)</f>
        <v>0</v>
      </c>
      <c r="D23" s="481">
        <f>INT($B23*'A4'!F$24)</f>
        <v>0</v>
      </c>
      <c r="E23" s="481">
        <f>INT($B23*'A4'!G$24)</f>
        <v>0</v>
      </c>
      <c r="F23" s="481">
        <f>INT($B23*'A4'!H$24)</f>
        <v>0</v>
      </c>
      <c r="G23" s="481">
        <f>INT($B23*'A4'!I$24)</f>
        <v>0</v>
      </c>
      <c r="H23" s="481">
        <f>INT($B23*'A4'!J$24)</f>
        <v>0</v>
      </c>
      <c r="I23" s="481">
        <f>INT($B23*'A4'!K$24)</f>
        <v>0</v>
      </c>
      <c r="J23" s="481">
        <f>INT($B23*'A4'!L$24)</f>
        <v>0</v>
      </c>
      <c r="K23" s="481">
        <f>INT($B23*'A4'!M$24)</f>
        <v>0</v>
      </c>
      <c r="L23" s="481">
        <f>INT($B23*'A4'!N$24)</f>
        <v>0</v>
      </c>
      <c r="M23" s="481">
        <f>INT($B23*'A4'!O$24)</f>
        <v>0</v>
      </c>
      <c r="N23" s="481">
        <f>INT($B23*'A4'!P$24)</f>
        <v>0</v>
      </c>
      <c r="O23" s="390">
        <f t="shared" si="0"/>
        <v>0</v>
      </c>
      <c r="P23" s="48"/>
      <c r="Q23"/>
      <c r="R23"/>
    </row>
    <row r="24" spans="1:18" s="251" customFormat="1" ht="13.5" thickBot="1">
      <c r="A24" s="267"/>
      <c r="B24" s="88"/>
      <c r="C24" s="268"/>
      <c r="D24" s="268"/>
      <c r="E24" s="268"/>
      <c r="F24" s="268"/>
      <c r="G24" s="268"/>
      <c r="H24" s="268"/>
      <c r="I24" s="268"/>
      <c r="J24" s="268"/>
      <c r="K24" s="268"/>
      <c r="L24" s="268"/>
      <c r="M24" s="268"/>
      <c r="N24" s="268"/>
      <c r="O24" s="268"/>
      <c r="P24" s="48"/>
      <c r="Q24"/>
      <c r="R24"/>
    </row>
    <row r="25" spans="1:18" s="251" customFormat="1" ht="13.5" thickBot="1">
      <c r="A25" s="43" t="s">
        <v>242</v>
      </c>
      <c r="B25"/>
      <c r="C25" s="524">
        <f t="shared" ref="C25:O25" si="1">SUM(C18:C24)</f>
        <v>20</v>
      </c>
      <c r="D25" s="524">
        <f t="shared" si="1"/>
        <v>21</v>
      </c>
      <c r="E25" s="524">
        <f t="shared" si="1"/>
        <v>22</v>
      </c>
      <c r="F25" s="524">
        <f t="shared" si="1"/>
        <v>22</v>
      </c>
      <c r="G25" s="524">
        <f t="shared" si="1"/>
        <v>23</v>
      </c>
      <c r="H25" s="524">
        <f t="shared" si="1"/>
        <v>24</v>
      </c>
      <c r="I25" s="524">
        <f t="shared" si="1"/>
        <v>24</v>
      </c>
      <c r="J25" s="524">
        <f t="shared" si="1"/>
        <v>25</v>
      </c>
      <c r="K25" s="524">
        <f t="shared" si="1"/>
        <v>26</v>
      </c>
      <c r="L25" s="524">
        <f t="shared" si="1"/>
        <v>26</v>
      </c>
      <c r="M25" s="524">
        <f t="shared" si="1"/>
        <v>27</v>
      </c>
      <c r="N25" s="524">
        <f t="shared" si="1"/>
        <v>28</v>
      </c>
      <c r="O25" s="524">
        <f t="shared" si="1"/>
        <v>288</v>
      </c>
      <c r="P25"/>
      <c r="Q25"/>
      <c r="R25"/>
    </row>
    <row r="26" spans="1:18">
      <c r="A26"/>
      <c r="B26"/>
      <c r="C26"/>
      <c r="D26"/>
      <c r="E26"/>
      <c r="F26"/>
      <c r="G26"/>
      <c r="H26"/>
      <c r="I26"/>
      <c r="J26"/>
      <c r="K26"/>
      <c r="L26"/>
      <c r="M26"/>
      <c r="N26"/>
      <c r="O26"/>
      <c r="P26"/>
      <c r="Q26"/>
      <c r="R26"/>
    </row>
    <row r="27" spans="1:18" ht="13">
      <c r="A27" s="913" t="str">
        <f>'FD3'!A27</f>
        <v>Produit/service 2</v>
      </c>
      <c r="B27"/>
      <c r="C27" s="1190" t="str">
        <f>A27</f>
        <v>Produit/service 2</v>
      </c>
      <c r="D27" s="1191"/>
      <c r="E27" s="1191"/>
      <c r="F27" s="1191"/>
      <c r="G27" s="1191"/>
      <c r="H27" s="1191"/>
      <c r="I27" s="1191"/>
      <c r="J27" s="1191"/>
      <c r="K27" s="1191"/>
      <c r="L27" s="1191"/>
      <c r="M27" s="1191"/>
      <c r="N27" s="1191"/>
      <c r="O27" s="1191"/>
      <c r="P27"/>
      <c r="Q27"/>
      <c r="R27"/>
    </row>
    <row r="28" spans="1:18" ht="13" thickBot="1">
      <c r="A28" s="143"/>
      <c r="B28" s="88"/>
      <c r="C28" s="268"/>
      <c r="D28" s="268"/>
      <c r="E28" s="268"/>
      <c r="F28" s="268"/>
      <c r="G28" s="268"/>
      <c r="H28" s="268"/>
      <c r="I28" s="268"/>
      <c r="J28" s="268"/>
      <c r="K28" s="268"/>
      <c r="L28" s="268"/>
      <c r="M28" s="268"/>
      <c r="N28" s="268"/>
      <c r="O28" s="268"/>
      <c r="P28"/>
      <c r="Q28"/>
      <c r="R28"/>
    </row>
    <row r="29" spans="1:18" ht="13.5" thickBot="1">
      <c r="A29" s="78" t="str">
        <f>IF(DG!$D$127=1,"Aucun",IF(DG!$D$127=2,DG!$B$28,IF(DG!$D$127=3,DG!$B$29,IF(DG!$D$127=4,DG!$B$30,IF(DG!$D$127=5,DG!$B$31,IF(DG!$D$127=6,DG!$B$32,IF(DG!$D$127=7,DG!$B$33)))))))</f>
        <v>Frais de variable 1</v>
      </c>
      <c r="B29" s="495">
        <f>'FD3'!B29</f>
        <v>2.5000000000000001E-2</v>
      </c>
      <c r="C29" s="481">
        <f>INT($B29*'A4'!E$37)</f>
        <v>27</v>
      </c>
      <c r="D29" s="481">
        <f>INT($B29*'A4'!F$37)</f>
        <v>28</v>
      </c>
      <c r="E29" s="481">
        <f>INT($B29*'A4'!G$37)</f>
        <v>30</v>
      </c>
      <c r="F29" s="481">
        <f>INT($B29*'A4'!H$37)</f>
        <v>31</v>
      </c>
      <c r="G29" s="481">
        <f>INT($B29*'A4'!I$37)</f>
        <v>33</v>
      </c>
      <c r="H29" s="481">
        <f>INT($B29*'A4'!J$37)</f>
        <v>34</v>
      </c>
      <c r="I29" s="481">
        <f>INT($B29*'A4'!K$37)</f>
        <v>35</v>
      </c>
      <c r="J29" s="481">
        <f>INT($B29*'A4'!L$37)</f>
        <v>37</v>
      </c>
      <c r="K29" s="481">
        <f>INT($B29*'A4'!M$37)</f>
        <v>38</v>
      </c>
      <c r="L29" s="481">
        <f>INT($B29*'A4'!N$37)</f>
        <v>39</v>
      </c>
      <c r="M29" s="481">
        <f>INT($B29*'A4'!O$37)</f>
        <v>41</v>
      </c>
      <c r="N29" s="481">
        <f>INT($B29*'A4'!P$37)</f>
        <v>42</v>
      </c>
      <c r="O29" s="390">
        <f t="shared" ref="O29:O34" si="2">SUM(C29:N29)</f>
        <v>415</v>
      </c>
      <c r="P29"/>
      <c r="Q29"/>
      <c r="R29"/>
    </row>
    <row r="30" spans="1:18" ht="13.5" thickBot="1">
      <c r="A30" s="78" t="str">
        <f>IF(DG!$D$128=1,"Aucun",IF(DG!$D$128=2,DG!$B$28,IF(DG!$D$128=3,DG!$B$29,IF(DG!$D$128=4,DG!$B$30,IF(DG!$D$128=5,DG!$B$31,IF(DG!$D$128=6,DG!$B$32,IF(DG!$D$128=7,DG!$B$33)))))))</f>
        <v>Frais de variable 2</v>
      </c>
      <c r="B30" s="495">
        <f>'FD3'!B30</f>
        <v>0</v>
      </c>
      <c r="C30" s="481">
        <f>INT($B30*'A4'!E$37)</f>
        <v>0</v>
      </c>
      <c r="D30" s="481">
        <f>INT($B30*'A4'!F$37)</f>
        <v>0</v>
      </c>
      <c r="E30" s="481">
        <f>INT($B30*'A4'!G$37)</f>
        <v>0</v>
      </c>
      <c r="F30" s="481">
        <f>INT($B30*'A4'!H$37)</f>
        <v>0</v>
      </c>
      <c r="G30" s="481">
        <f>INT($B30*'A4'!I$37)</f>
        <v>0</v>
      </c>
      <c r="H30" s="481">
        <f>INT($B30*'A4'!J$37)</f>
        <v>0</v>
      </c>
      <c r="I30" s="481">
        <f>INT($B30*'A4'!K$37)</f>
        <v>0</v>
      </c>
      <c r="J30" s="481">
        <f>INT($B30*'A4'!L$37)</f>
        <v>0</v>
      </c>
      <c r="K30" s="481">
        <f>INT($B30*'A4'!M$37)</f>
        <v>0</v>
      </c>
      <c r="L30" s="481">
        <f>INT($B30*'A4'!N$37)</f>
        <v>0</v>
      </c>
      <c r="M30" s="481">
        <f>INT($B30*'A4'!O$37)</f>
        <v>0</v>
      </c>
      <c r="N30" s="481">
        <f>INT($B30*'A4'!P$37)</f>
        <v>0</v>
      </c>
      <c r="O30" s="390">
        <f t="shared" si="2"/>
        <v>0</v>
      </c>
      <c r="P30"/>
      <c r="Q30"/>
      <c r="R30"/>
    </row>
    <row r="31" spans="1:18" ht="13.5" thickBot="1">
      <c r="A31" s="78" t="str">
        <f>IF(DG!$D$129=1,"Aucun",IF(DG!$D$129=2,DG!$B$28,IF(DG!$D$129=3,DG!$B$29,IF(DG!$D$129=4,DG!$B$30,IF(DG!$D$129=5,DG!$B$31,IF(DG!$D$129=6,DG!$B$32,IF(DG!$D$129=7,DG!$B$33)))))))</f>
        <v>Frais de variable 3</v>
      </c>
      <c r="B31" s="495">
        <f>'FD3'!B31</f>
        <v>0</v>
      </c>
      <c r="C31" s="481">
        <f>INT($B31*'A4'!E$37)</f>
        <v>0</v>
      </c>
      <c r="D31" s="481">
        <f>INT($B31*'A4'!F$37)</f>
        <v>0</v>
      </c>
      <c r="E31" s="481">
        <f>INT($B31*'A4'!G$37)</f>
        <v>0</v>
      </c>
      <c r="F31" s="481">
        <f>INT($B31*'A4'!H$37)</f>
        <v>0</v>
      </c>
      <c r="G31" s="481">
        <f>INT($B31*'A4'!I$37)</f>
        <v>0</v>
      </c>
      <c r="H31" s="481">
        <f>INT($B31*'A4'!J$37)</f>
        <v>0</v>
      </c>
      <c r="I31" s="481">
        <f>INT($B31*'A4'!K$37)</f>
        <v>0</v>
      </c>
      <c r="J31" s="481">
        <f>INT($B31*'A4'!L$37)</f>
        <v>0</v>
      </c>
      <c r="K31" s="481">
        <f>INT($B31*'A4'!M$37)</f>
        <v>0</v>
      </c>
      <c r="L31" s="481">
        <f>INT($B31*'A4'!N$37)</f>
        <v>0</v>
      </c>
      <c r="M31" s="481">
        <f>INT($B31*'A4'!O$37)</f>
        <v>0</v>
      </c>
      <c r="N31" s="481">
        <f>INT($B31*'A4'!P$37)</f>
        <v>0</v>
      </c>
      <c r="O31" s="390">
        <f t="shared" si="2"/>
        <v>0</v>
      </c>
      <c r="P31"/>
      <c r="Q31"/>
      <c r="R31"/>
    </row>
    <row r="32" spans="1:18" ht="13.5" thickBot="1">
      <c r="A32" s="78" t="str">
        <f>IF(DG!$D$130=1,"Aucun",IF(DG!$D$130=2,DG!$B$28,IF(DG!$D$130=3,DG!$B$29,IF(DG!$D$130=4,DG!$B$30,IF(DG!$D$130=5,DG!$B$31,IF(DG!$D$130=6,DG!$B$32,IF(DG!$D$130=7,DG!$B$33)))))))</f>
        <v>Frais de variable 4</v>
      </c>
      <c r="B32" s="495">
        <f>'FD3'!B32</f>
        <v>0</v>
      </c>
      <c r="C32" s="481">
        <f>INT($B32*'A4'!E$37)</f>
        <v>0</v>
      </c>
      <c r="D32" s="481">
        <f>INT($B32*'A4'!F$37)</f>
        <v>0</v>
      </c>
      <c r="E32" s="481">
        <f>INT($B32*'A4'!G$37)</f>
        <v>0</v>
      </c>
      <c r="F32" s="481">
        <f>INT($B32*'A4'!H$37)</f>
        <v>0</v>
      </c>
      <c r="G32" s="481">
        <f>INT($B32*'A4'!I$37)</f>
        <v>0</v>
      </c>
      <c r="H32" s="481">
        <f>INT($B32*'A4'!J$37)</f>
        <v>0</v>
      </c>
      <c r="I32" s="481">
        <f>INT($B32*'A4'!K$37)</f>
        <v>0</v>
      </c>
      <c r="J32" s="481">
        <f>INT($B32*'A4'!L$37)</f>
        <v>0</v>
      </c>
      <c r="K32" s="481">
        <f>INT($B32*'A4'!M$37)</f>
        <v>0</v>
      </c>
      <c r="L32" s="481">
        <f>INT($B32*'A4'!N$37)</f>
        <v>0</v>
      </c>
      <c r="M32" s="481">
        <f>INT($B32*'A4'!O$37)</f>
        <v>0</v>
      </c>
      <c r="N32" s="481">
        <f>INT($B32*'A4'!P$37)</f>
        <v>0</v>
      </c>
      <c r="O32" s="390">
        <f t="shared" si="2"/>
        <v>0</v>
      </c>
      <c r="P32"/>
      <c r="Q32"/>
      <c r="R32"/>
    </row>
    <row r="33" spans="1:18" ht="13.5" thickBot="1">
      <c r="A33" s="78" t="str">
        <f>IF(DG!$D$131=1,"Aucun",IF(DG!$D$131=2,DG!$B$28,IF(DG!$D$131=3,DG!$B$29,IF(DG!$D$131=4,DG!$B$30,IF(DG!$D$131=5,DG!$B$31,IF(DG!$D$131=6,DG!$B$32,IF(DG!$D$131=7,DG!$B$33)))))))</f>
        <v>Frais de variable 5</v>
      </c>
      <c r="B33" s="495">
        <f>'FD3'!B33</f>
        <v>0</v>
      </c>
      <c r="C33" s="481">
        <f>INT($B33*'A4'!E$37)</f>
        <v>0</v>
      </c>
      <c r="D33" s="481">
        <f>INT($B33*'A4'!F$37)</f>
        <v>0</v>
      </c>
      <c r="E33" s="481">
        <f>INT($B33*'A4'!G$37)</f>
        <v>0</v>
      </c>
      <c r="F33" s="481">
        <f>INT($B33*'A4'!H$37)</f>
        <v>0</v>
      </c>
      <c r="G33" s="481">
        <f>INT($B33*'A4'!I$37)</f>
        <v>0</v>
      </c>
      <c r="H33" s="481">
        <f>INT($B33*'A4'!J$37)</f>
        <v>0</v>
      </c>
      <c r="I33" s="481">
        <f>INT($B33*'A4'!K$37)</f>
        <v>0</v>
      </c>
      <c r="J33" s="481">
        <f>INT($B33*'A4'!L$37)</f>
        <v>0</v>
      </c>
      <c r="K33" s="481">
        <f>INT($B33*'A4'!M$37)</f>
        <v>0</v>
      </c>
      <c r="L33" s="481">
        <f>INT($B33*'A4'!N$37)</f>
        <v>0</v>
      </c>
      <c r="M33" s="481">
        <f>INT($B33*'A4'!O$37)</f>
        <v>0</v>
      </c>
      <c r="N33" s="481">
        <f>INT($B33*'A4'!P$37)</f>
        <v>0</v>
      </c>
      <c r="O33" s="390">
        <f t="shared" si="2"/>
        <v>0</v>
      </c>
      <c r="P33"/>
      <c r="Q33"/>
      <c r="R33"/>
    </row>
    <row r="34" spans="1:18" ht="13.5" thickBot="1">
      <c r="A34" s="78" t="str">
        <f>IF(DG!$D$132=1,"Aucun",IF(DG!$D$132=2,DG!$B$28,IF(DG!$D$132=3,DG!$B$29,IF(DG!$D$132=4,DG!$B$30,IF(DG!$D$132=5,DG!$B$31,IF(DG!$D$132=6,DG!$B$32,IF(DG!$D$132=7,DG!$B$33)))))))</f>
        <v>Frais de variable 6</v>
      </c>
      <c r="B34" s="495">
        <f>'FD3'!B34</f>
        <v>0</v>
      </c>
      <c r="C34" s="481">
        <f>INT($B34*'A4'!E$37)</f>
        <v>0</v>
      </c>
      <c r="D34" s="481">
        <f>INT($B34*'A4'!F$37)</f>
        <v>0</v>
      </c>
      <c r="E34" s="481">
        <f>INT($B34*'A4'!G$37)</f>
        <v>0</v>
      </c>
      <c r="F34" s="481">
        <f>INT($B34*'A4'!H$37)</f>
        <v>0</v>
      </c>
      <c r="G34" s="481">
        <f>INT($B34*'A4'!I$37)</f>
        <v>0</v>
      </c>
      <c r="H34" s="481">
        <f>INT($B34*'A4'!J$37)</f>
        <v>0</v>
      </c>
      <c r="I34" s="481">
        <f>INT($B34*'A4'!K$37)</f>
        <v>0</v>
      </c>
      <c r="J34" s="481">
        <f>INT($B34*'A4'!L$37)</f>
        <v>0</v>
      </c>
      <c r="K34" s="481">
        <f>INT($B34*'A4'!M$37)</f>
        <v>0</v>
      </c>
      <c r="L34" s="481">
        <f>INT($B34*'A4'!N$37)</f>
        <v>0</v>
      </c>
      <c r="M34" s="481">
        <f>INT($B34*'A4'!O$37)</f>
        <v>0</v>
      </c>
      <c r="N34" s="481">
        <f>INT($B34*'A4'!P$37)</f>
        <v>0</v>
      </c>
      <c r="O34" s="390">
        <f t="shared" si="2"/>
        <v>0</v>
      </c>
      <c r="P34"/>
      <c r="Q34"/>
      <c r="R34"/>
    </row>
    <row r="35" spans="1:18" ht="13" thickBot="1">
      <c r="A35" s="267"/>
      <c r="B35" s="88"/>
      <c r="C35" s="268"/>
      <c r="D35" s="268"/>
      <c r="E35" s="268"/>
      <c r="F35" s="268"/>
      <c r="G35" s="268"/>
      <c r="H35" s="268"/>
      <c r="I35" s="268"/>
      <c r="J35" s="268"/>
      <c r="K35" s="268"/>
      <c r="L35" s="268"/>
      <c r="M35" s="268"/>
      <c r="N35" s="268"/>
      <c r="O35" s="268"/>
      <c r="P35"/>
      <c r="Q35"/>
      <c r="R35"/>
    </row>
    <row r="36" spans="1:18" s="251" customFormat="1" ht="13.5" thickBot="1">
      <c r="A36" s="43" t="s">
        <v>242</v>
      </c>
      <c r="B36"/>
      <c r="C36" s="524">
        <f t="shared" ref="C36:O36" si="3">SUM(C29:C35)</f>
        <v>27</v>
      </c>
      <c r="D36" s="524">
        <f t="shared" si="3"/>
        <v>28</v>
      </c>
      <c r="E36" s="524">
        <f t="shared" si="3"/>
        <v>30</v>
      </c>
      <c r="F36" s="524">
        <f t="shared" si="3"/>
        <v>31</v>
      </c>
      <c r="G36" s="524">
        <f t="shared" si="3"/>
        <v>33</v>
      </c>
      <c r="H36" s="524">
        <f t="shared" si="3"/>
        <v>34</v>
      </c>
      <c r="I36" s="524">
        <f t="shared" si="3"/>
        <v>35</v>
      </c>
      <c r="J36" s="524">
        <f t="shared" si="3"/>
        <v>37</v>
      </c>
      <c r="K36" s="524">
        <f t="shared" si="3"/>
        <v>38</v>
      </c>
      <c r="L36" s="524">
        <f t="shared" si="3"/>
        <v>39</v>
      </c>
      <c r="M36" s="524">
        <f t="shared" si="3"/>
        <v>41</v>
      </c>
      <c r="N36" s="524">
        <f t="shared" si="3"/>
        <v>42</v>
      </c>
      <c r="O36" s="524">
        <f t="shared" si="3"/>
        <v>415</v>
      </c>
      <c r="P36"/>
      <c r="Q36"/>
      <c r="R36"/>
    </row>
    <row r="37" spans="1:18">
      <c r="A37"/>
      <c r="B37"/>
      <c r="C37"/>
      <c r="D37"/>
      <c r="E37"/>
      <c r="F37"/>
      <c r="G37"/>
      <c r="H37"/>
      <c r="I37"/>
      <c r="J37"/>
      <c r="K37"/>
      <c r="L37"/>
      <c r="M37"/>
      <c r="N37"/>
      <c r="O37"/>
      <c r="P37"/>
      <c r="Q37"/>
      <c r="R37"/>
    </row>
    <row r="38" spans="1:18" ht="13">
      <c r="A38" s="913" t="str">
        <f>'FD3'!A38</f>
        <v>Produit/service 3</v>
      </c>
      <c r="B38"/>
      <c r="C38" s="1190" t="str">
        <f>A38</f>
        <v>Produit/service 3</v>
      </c>
      <c r="D38" s="1191"/>
      <c r="E38" s="1191"/>
      <c r="F38" s="1191"/>
      <c r="G38" s="1191"/>
      <c r="H38" s="1191"/>
      <c r="I38" s="1191"/>
      <c r="J38" s="1191"/>
      <c r="K38" s="1191"/>
      <c r="L38" s="1191"/>
      <c r="M38" s="1191"/>
      <c r="N38" s="1191"/>
      <c r="O38" s="1191"/>
      <c r="P38"/>
      <c r="Q38"/>
      <c r="R38"/>
    </row>
    <row r="39" spans="1:18" ht="13" thickBot="1">
      <c r="A39" s="143"/>
      <c r="B39" s="88"/>
      <c r="C39" s="268"/>
      <c r="D39" s="268"/>
      <c r="E39" s="268"/>
      <c r="F39" s="268"/>
      <c r="G39" s="268"/>
      <c r="H39" s="268"/>
      <c r="I39" s="268"/>
      <c r="J39" s="268"/>
      <c r="K39" s="268"/>
      <c r="L39" s="268"/>
      <c r="M39" s="268"/>
      <c r="N39" s="268"/>
      <c r="O39" s="268"/>
      <c r="P39"/>
      <c r="Q39"/>
      <c r="R39"/>
    </row>
    <row r="40" spans="1:18" ht="13.5" thickBot="1">
      <c r="A40" s="78" t="str">
        <f>IF(DG!$D$127=1,"Aucun",IF(DG!$D$127=2,DG!$B$28,IF(DG!$D$127=3,DG!$B$29,IF(DG!$D$127=4,DG!$B$30,IF(DG!$D$127=5,DG!$B$31,IF(DG!$D$127=6,DG!$B$32,IF(DG!$D$127=7,DG!$B$33)))))))</f>
        <v>Frais de variable 1</v>
      </c>
      <c r="B40" s="495">
        <f>'FD3'!B40</f>
        <v>2.5000000000000001E-2</v>
      </c>
      <c r="C40" s="481">
        <f>INT($B40*'A4'!E$50)</f>
        <v>41</v>
      </c>
      <c r="D40" s="481">
        <f>INT($B40*'A4'!F$50)</f>
        <v>43</v>
      </c>
      <c r="E40" s="481">
        <f>INT($B40*'A4'!G$50)</f>
        <v>45</v>
      </c>
      <c r="F40" s="481">
        <f>INT($B40*'A4'!H$50)</f>
        <v>47</v>
      </c>
      <c r="G40" s="481">
        <f>INT($B40*'A4'!I$50)</f>
        <v>49</v>
      </c>
      <c r="H40" s="481">
        <f>INT($B40*'A4'!J$50)</f>
        <v>51</v>
      </c>
      <c r="I40" s="481">
        <f>INT($B40*'A4'!K$50)</f>
        <v>53</v>
      </c>
      <c r="J40" s="481">
        <f>INT($B40*'A4'!L$50)</f>
        <v>55</v>
      </c>
      <c r="K40" s="481">
        <f>INT($B40*'A4'!M$50)</f>
        <v>57</v>
      </c>
      <c r="L40" s="481">
        <f>INT($B40*'A4'!N$50)</f>
        <v>59</v>
      </c>
      <c r="M40" s="481">
        <f>INT($B40*'A4'!O$50)</f>
        <v>62</v>
      </c>
      <c r="N40" s="481">
        <f>INT($B40*'A4'!P$50)</f>
        <v>64</v>
      </c>
      <c r="O40" s="390">
        <f t="shared" ref="O40:O45" si="4">SUM(C40:N40)</f>
        <v>626</v>
      </c>
      <c r="P40"/>
      <c r="Q40"/>
      <c r="R40"/>
    </row>
    <row r="41" spans="1:18" ht="13.5" thickBot="1">
      <c r="A41" s="78" t="str">
        <f>IF(DG!$D$128=1,"Aucun",IF(DG!$D$128=2,DG!$B$28,IF(DG!$D$128=3,DG!$B$29,IF(DG!$D$128=4,DG!$B$30,IF(DG!$D$128=5,DG!$B$31,IF(DG!$D$128=6,DG!$B$32,IF(DG!$D$128=7,DG!$B$33)))))))</f>
        <v>Frais de variable 2</v>
      </c>
      <c r="B41" s="495">
        <f>'FD3'!B41</f>
        <v>0</v>
      </c>
      <c r="C41" s="481">
        <f>INT($B41*'A4'!E$50)</f>
        <v>0</v>
      </c>
      <c r="D41" s="481">
        <f>INT($B41*'A4'!F$50)</f>
        <v>0</v>
      </c>
      <c r="E41" s="481">
        <f>INT($B41*'A4'!G$50)</f>
        <v>0</v>
      </c>
      <c r="F41" s="481">
        <f>INT($B41*'A4'!H$50)</f>
        <v>0</v>
      </c>
      <c r="G41" s="481">
        <f>INT($B41*'A4'!I$50)</f>
        <v>0</v>
      </c>
      <c r="H41" s="481">
        <f>INT($B41*'A4'!J$50)</f>
        <v>0</v>
      </c>
      <c r="I41" s="481">
        <f>INT($B41*'A4'!K$50)</f>
        <v>0</v>
      </c>
      <c r="J41" s="481">
        <f>INT($B41*'A4'!L$50)</f>
        <v>0</v>
      </c>
      <c r="K41" s="481">
        <f>INT($B41*'A4'!M$50)</f>
        <v>0</v>
      </c>
      <c r="L41" s="481">
        <f>INT($B41*'A4'!N$50)</f>
        <v>0</v>
      </c>
      <c r="M41" s="481">
        <f>INT($B41*'A4'!O$50)</f>
        <v>0</v>
      </c>
      <c r="N41" s="481">
        <f>INT($B41*'A4'!P$50)</f>
        <v>0</v>
      </c>
      <c r="O41" s="390">
        <f t="shared" si="4"/>
        <v>0</v>
      </c>
      <c r="P41"/>
      <c r="Q41"/>
      <c r="R41"/>
    </row>
    <row r="42" spans="1:18" ht="13.5" thickBot="1">
      <c r="A42" s="78" t="str">
        <f>IF(DG!$D$129=1,"Aucun",IF(DG!$D$129=2,DG!$B$28,IF(DG!$D$129=3,DG!$B$29,IF(DG!$D$129=4,DG!$B$30,IF(DG!$D$129=5,DG!$B$31,IF(DG!$D$129=6,DG!$B$32,IF(DG!$D$129=7,DG!$B$33)))))))</f>
        <v>Frais de variable 3</v>
      </c>
      <c r="B42" s="495">
        <f>'FD3'!B42</f>
        <v>0</v>
      </c>
      <c r="C42" s="481">
        <f>INT($B42*'A4'!E$50)</f>
        <v>0</v>
      </c>
      <c r="D42" s="481">
        <f>INT($B42*'A4'!F$50)</f>
        <v>0</v>
      </c>
      <c r="E42" s="481">
        <f>INT($B42*'A4'!G$50)</f>
        <v>0</v>
      </c>
      <c r="F42" s="481">
        <f>INT($B42*'A4'!H$50)</f>
        <v>0</v>
      </c>
      <c r="G42" s="481">
        <f>INT($B42*'A4'!I$50)</f>
        <v>0</v>
      </c>
      <c r="H42" s="481">
        <f>INT($B42*'A4'!J$50)</f>
        <v>0</v>
      </c>
      <c r="I42" s="481">
        <f>INT($B42*'A4'!K$50)</f>
        <v>0</v>
      </c>
      <c r="J42" s="481">
        <f>INT($B42*'A4'!L$50)</f>
        <v>0</v>
      </c>
      <c r="K42" s="481">
        <f>INT($B42*'A4'!M$50)</f>
        <v>0</v>
      </c>
      <c r="L42" s="481">
        <f>INT($B42*'A4'!N$50)</f>
        <v>0</v>
      </c>
      <c r="M42" s="481">
        <f>INT($B42*'A4'!O$50)</f>
        <v>0</v>
      </c>
      <c r="N42" s="481">
        <f>INT($B42*'A4'!P$50)</f>
        <v>0</v>
      </c>
      <c r="O42" s="390">
        <f t="shared" si="4"/>
        <v>0</v>
      </c>
      <c r="P42"/>
      <c r="Q42"/>
      <c r="R42"/>
    </row>
    <row r="43" spans="1:18" ht="13.5" thickBot="1">
      <c r="A43" s="78" t="str">
        <f>IF(DG!$D$130=1,"Aucun",IF(DG!$D$130=2,DG!$B$28,IF(DG!$D$130=3,DG!$B$29,IF(DG!$D$130=4,DG!$B$30,IF(DG!$D$130=5,DG!$B$31,IF(DG!$D$130=6,DG!$B$32,IF(DG!$D$130=7,DG!$B$33)))))))</f>
        <v>Frais de variable 4</v>
      </c>
      <c r="B43" s="495">
        <f>'FD3'!B43</f>
        <v>0</v>
      </c>
      <c r="C43" s="481">
        <f>INT($B43*'A4'!E$50)</f>
        <v>0</v>
      </c>
      <c r="D43" s="481">
        <f>INT($B43*'A4'!F$50)</f>
        <v>0</v>
      </c>
      <c r="E43" s="481">
        <f>INT($B43*'A4'!G$50)</f>
        <v>0</v>
      </c>
      <c r="F43" s="481">
        <f>INT($B43*'A4'!H$50)</f>
        <v>0</v>
      </c>
      <c r="G43" s="481">
        <f>INT($B43*'A4'!I$50)</f>
        <v>0</v>
      </c>
      <c r="H43" s="481">
        <f>INT($B43*'A4'!J$50)</f>
        <v>0</v>
      </c>
      <c r="I43" s="481">
        <f>INT($B43*'A4'!K$50)</f>
        <v>0</v>
      </c>
      <c r="J43" s="481">
        <f>INT($B43*'A4'!L$50)</f>
        <v>0</v>
      </c>
      <c r="K43" s="481">
        <f>INT($B43*'A4'!M$50)</f>
        <v>0</v>
      </c>
      <c r="L43" s="481">
        <f>INT($B43*'A4'!N$50)</f>
        <v>0</v>
      </c>
      <c r="M43" s="481">
        <f>INT($B43*'A4'!O$50)</f>
        <v>0</v>
      </c>
      <c r="N43" s="481">
        <f>INT($B43*'A4'!P$50)</f>
        <v>0</v>
      </c>
      <c r="O43" s="390">
        <f t="shared" si="4"/>
        <v>0</v>
      </c>
      <c r="P43"/>
      <c r="Q43"/>
      <c r="R43"/>
    </row>
    <row r="44" spans="1:18" ht="13.5" thickBot="1">
      <c r="A44" s="78" t="str">
        <f>IF(DG!$D$131=1,"Aucun",IF(DG!$D$131=2,DG!$B$28,IF(DG!$D$131=3,DG!$B$29,IF(DG!$D$131=4,DG!$B$30,IF(DG!$D$131=5,DG!$B$31,IF(DG!$D$131=6,DG!$B$32,IF(DG!$D$131=7,DG!$B$33)))))))</f>
        <v>Frais de variable 5</v>
      </c>
      <c r="B44" s="495">
        <f>'FD3'!B44</f>
        <v>0</v>
      </c>
      <c r="C44" s="481">
        <f>INT($B44*'A4'!E$50)</f>
        <v>0</v>
      </c>
      <c r="D44" s="481">
        <f>INT($B44*'A4'!F$50)</f>
        <v>0</v>
      </c>
      <c r="E44" s="481">
        <f>INT($B44*'A4'!G$50)</f>
        <v>0</v>
      </c>
      <c r="F44" s="481">
        <f>INT($B44*'A4'!H$50)</f>
        <v>0</v>
      </c>
      <c r="G44" s="481">
        <f>INT($B44*'A4'!I$50)</f>
        <v>0</v>
      </c>
      <c r="H44" s="481">
        <f>INT($B44*'A4'!J$50)</f>
        <v>0</v>
      </c>
      <c r="I44" s="481">
        <f>INT($B44*'A4'!K$50)</f>
        <v>0</v>
      </c>
      <c r="J44" s="481">
        <f>INT($B44*'A4'!L$50)</f>
        <v>0</v>
      </c>
      <c r="K44" s="481">
        <f>INT($B44*'A4'!M$50)</f>
        <v>0</v>
      </c>
      <c r="L44" s="481">
        <f>INT($B44*'A4'!N$50)</f>
        <v>0</v>
      </c>
      <c r="M44" s="481">
        <f>INT($B44*'A4'!O$50)</f>
        <v>0</v>
      </c>
      <c r="N44" s="481">
        <f>INT($B44*'A4'!P$50)</f>
        <v>0</v>
      </c>
      <c r="O44" s="390">
        <f t="shared" si="4"/>
        <v>0</v>
      </c>
      <c r="P44"/>
      <c r="Q44"/>
      <c r="R44"/>
    </row>
    <row r="45" spans="1:18" ht="13.5" thickBot="1">
      <c r="A45" s="78" t="str">
        <f>IF(DG!$D$132=1,"Aucun",IF(DG!$D$132=2,DG!$B$28,IF(DG!$D$132=3,DG!$B$29,IF(DG!$D$132=4,DG!$B$30,IF(DG!$D$132=5,DG!$B$31,IF(DG!$D$132=6,DG!$B$32,IF(DG!$D$132=7,DG!$B$33)))))))</f>
        <v>Frais de variable 6</v>
      </c>
      <c r="B45" s="495">
        <f>'FD3'!B45</f>
        <v>0</v>
      </c>
      <c r="C45" s="481">
        <f>INT($B45*'A4'!E$50)</f>
        <v>0</v>
      </c>
      <c r="D45" s="481">
        <f>INT($B45*'A4'!F$50)</f>
        <v>0</v>
      </c>
      <c r="E45" s="481">
        <f>INT($B45*'A4'!G$50)</f>
        <v>0</v>
      </c>
      <c r="F45" s="481">
        <f>INT($B45*'A4'!H$50)</f>
        <v>0</v>
      </c>
      <c r="G45" s="481">
        <f>INT($B45*'A4'!I$50)</f>
        <v>0</v>
      </c>
      <c r="H45" s="481">
        <f>INT($B45*'A4'!J$50)</f>
        <v>0</v>
      </c>
      <c r="I45" s="481">
        <f>INT($B45*'A4'!K$50)</f>
        <v>0</v>
      </c>
      <c r="J45" s="481">
        <f>INT($B45*'A4'!L$50)</f>
        <v>0</v>
      </c>
      <c r="K45" s="481">
        <f>INT($B45*'A4'!M$50)</f>
        <v>0</v>
      </c>
      <c r="L45" s="481">
        <f>INT($B45*'A4'!N$50)</f>
        <v>0</v>
      </c>
      <c r="M45" s="481">
        <f>INT($B45*'A4'!O$50)</f>
        <v>0</v>
      </c>
      <c r="N45" s="481">
        <f>INT($B45*'A4'!P$50)</f>
        <v>0</v>
      </c>
      <c r="O45" s="390">
        <f t="shared" si="4"/>
        <v>0</v>
      </c>
      <c r="P45"/>
      <c r="Q45"/>
      <c r="R45"/>
    </row>
    <row r="46" spans="1:18" ht="13" thickBot="1">
      <c r="A46" s="267"/>
      <c r="B46" s="88"/>
      <c r="C46" s="268"/>
      <c r="D46" s="268"/>
      <c r="E46" s="268"/>
      <c r="F46" s="268"/>
      <c r="G46" s="268"/>
      <c r="H46" s="268"/>
      <c r="I46" s="268"/>
      <c r="J46" s="268"/>
      <c r="K46" s="268"/>
      <c r="L46" s="268"/>
      <c r="M46" s="268"/>
      <c r="N46" s="268"/>
      <c r="O46" s="268"/>
      <c r="P46"/>
      <c r="Q46"/>
      <c r="R46"/>
    </row>
    <row r="47" spans="1:18" s="251" customFormat="1" ht="13.5" thickBot="1">
      <c r="A47" s="43" t="s">
        <v>242</v>
      </c>
      <c r="B47"/>
      <c r="C47" s="524">
        <f t="shared" ref="C47:O47" si="5">SUM(C40:C46)</f>
        <v>41</v>
      </c>
      <c r="D47" s="524">
        <f t="shared" si="5"/>
        <v>43</v>
      </c>
      <c r="E47" s="524">
        <f t="shared" si="5"/>
        <v>45</v>
      </c>
      <c r="F47" s="524">
        <f t="shared" si="5"/>
        <v>47</v>
      </c>
      <c r="G47" s="524">
        <f t="shared" si="5"/>
        <v>49</v>
      </c>
      <c r="H47" s="524">
        <f t="shared" si="5"/>
        <v>51</v>
      </c>
      <c r="I47" s="524">
        <f t="shared" si="5"/>
        <v>53</v>
      </c>
      <c r="J47" s="524">
        <f t="shared" si="5"/>
        <v>55</v>
      </c>
      <c r="K47" s="524">
        <f t="shared" si="5"/>
        <v>57</v>
      </c>
      <c r="L47" s="524">
        <f t="shared" si="5"/>
        <v>59</v>
      </c>
      <c r="M47" s="524">
        <f t="shared" si="5"/>
        <v>62</v>
      </c>
      <c r="N47" s="524">
        <f t="shared" si="5"/>
        <v>64</v>
      </c>
      <c r="O47" s="524">
        <f t="shared" si="5"/>
        <v>626</v>
      </c>
      <c r="P47"/>
      <c r="Q47"/>
      <c r="R47"/>
    </row>
    <row r="48" spans="1:18">
      <c r="A48"/>
      <c r="B48"/>
      <c r="C48"/>
      <c r="D48"/>
      <c r="E48"/>
      <c r="F48"/>
      <c r="G48"/>
      <c r="H48"/>
      <c r="I48"/>
      <c r="J48"/>
      <c r="K48"/>
      <c r="L48"/>
      <c r="M48"/>
      <c r="N48"/>
      <c r="O48"/>
      <c r="P48"/>
      <c r="Q48"/>
      <c r="R48"/>
    </row>
    <row r="49" spans="1:18" ht="13">
      <c r="A49" s="913" t="str">
        <f>'FD3'!A49</f>
        <v>Produit/service 4</v>
      </c>
      <c r="B49"/>
      <c r="C49" s="1190" t="str">
        <f>A49</f>
        <v>Produit/service 4</v>
      </c>
      <c r="D49" s="1191"/>
      <c r="E49" s="1191"/>
      <c r="F49" s="1191"/>
      <c r="G49" s="1191"/>
      <c r="H49" s="1191"/>
      <c r="I49" s="1191"/>
      <c r="J49" s="1191"/>
      <c r="K49" s="1191"/>
      <c r="L49" s="1191"/>
      <c r="M49" s="1191"/>
      <c r="N49" s="1191"/>
      <c r="O49" s="1191"/>
      <c r="P49"/>
      <c r="Q49"/>
      <c r="R49"/>
    </row>
    <row r="50" spans="1:18" ht="13" thickBot="1">
      <c r="A50" s="143"/>
      <c r="B50" s="88"/>
      <c r="C50" s="268"/>
      <c r="D50" s="268"/>
      <c r="E50" s="268"/>
      <c r="F50" s="268"/>
      <c r="G50" s="268"/>
      <c r="H50" s="268"/>
      <c r="I50" s="268"/>
      <c r="J50" s="268"/>
      <c r="K50" s="268"/>
      <c r="L50" s="268"/>
      <c r="M50" s="268"/>
      <c r="N50" s="268"/>
      <c r="O50" s="268"/>
      <c r="P50"/>
      <c r="Q50"/>
      <c r="R50"/>
    </row>
    <row r="51" spans="1:18" ht="13.5" thickBot="1">
      <c r="A51" s="78" t="str">
        <f>IF(DG!$D$127=1,"Aucun",IF(DG!$D$127=2,DG!$B$28,IF(DG!$D$127=3,DG!$B$29,IF(DG!$D$127=4,DG!$B$30,IF(DG!$D$127=5,DG!$B$31,IF(DG!$D$127=6,DG!$B$32,IF(DG!$D$127=7,DG!$B$33)))))))</f>
        <v>Frais de variable 1</v>
      </c>
      <c r="B51" s="495">
        <f>'FD3'!B51</f>
        <v>0</v>
      </c>
      <c r="C51" s="481">
        <f>INT($B51*'A4'!E$63)</f>
        <v>0</v>
      </c>
      <c r="D51" s="481">
        <f>INT($B51*'A4'!F$63)</f>
        <v>0</v>
      </c>
      <c r="E51" s="481">
        <f>INT($B51*'A4'!G$63)</f>
        <v>0</v>
      </c>
      <c r="F51" s="481">
        <f>INT($B51*'A4'!H$63)</f>
        <v>0</v>
      </c>
      <c r="G51" s="481">
        <f>INT($B51*'A4'!I$63)</f>
        <v>0</v>
      </c>
      <c r="H51" s="481">
        <f>INT($B51*'A4'!J$63)</f>
        <v>0</v>
      </c>
      <c r="I51" s="481">
        <f>INT($B51*'A4'!K$63)</f>
        <v>0</v>
      </c>
      <c r="J51" s="481">
        <f>INT($B51*'A4'!L$63)</f>
        <v>0</v>
      </c>
      <c r="K51" s="481">
        <f>INT($B51*'A4'!M$63)</f>
        <v>0</v>
      </c>
      <c r="L51" s="481">
        <f>INT($B51*'A4'!N$63)</f>
        <v>0</v>
      </c>
      <c r="M51" s="481">
        <f>INT($B51*'A4'!O$63)</f>
        <v>0</v>
      </c>
      <c r="N51" s="481">
        <f>INT($B51*'A4'!P$63)</f>
        <v>0</v>
      </c>
      <c r="O51" s="390">
        <f t="shared" ref="O51:O56" si="6">SUM(C51:N51)</f>
        <v>0</v>
      </c>
      <c r="P51"/>
      <c r="Q51"/>
      <c r="R51"/>
    </row>
    <row r="52" spans="1:18" ht="13.5" thickBot="1">
      <c r="A52" s="78" t="str">
        <f>IF(DG!$D$128=1,"Aucun",IF(DG!$D$128=2,DG!$B$28,IF(DG!$D$128=3,DG!$B$29,IF(DG!$D$128=4,DG!$B$30,IF(DG!$D$128=5,DG!$B$31,IF(DG!$D$128=6,DG!$B$32,IF(DG!$D$128=7,DG!$B$33)))))))</f>
        <v>Frais de variable 2</v>
      </c>
      <c r="B52" s="495">
        <f>'FD3'!B52</f>
        <v>0</v>
      </c>
      <c r="C52" s="481">
        <f>INT($B52*'A4'!E$63)</f>
        <v>0</v>
      </c>
      <c r="D52" s="481">
        <f>INT($B52*'A4'!F$63)</f>
        <v>0</v>
      </c>
      <c r="E52" s="481">
        <f>INT($B52*'A4'!G$63)</f>
        <v>0</v>
      </c>
      <c r="F52" s="481">
        <f>INT($B52*'A4'!H$63)</f>
        <v>0</v>
      </c>
      <c r="G52" s="481">
        <f>INT($B52*'A4'!I$63)</f>
        <v>0</v>
      </c>
      <c r="H52" s="481">
        <f>INT($B52*'A4'!J$63)</f>
        <v>0</v>
      </c>
      <c r="I52" s="481">
        <f>INT($B52*'A4'!K$63)</f>
        <v>0</v>
      </c>
      <c r="J52" s="481">
        <f>INT($B52*'A4'!L$63)</f>
        <v>0</v>
      </c>
      <c r="K52" s="481">
        <f>INT($B52*'A4'!M$63)</f>
        <v>0</v>
      </c>
      <c r="L52" s="481">
        <f>INT($B52*'A4'!N$63)</f>
        <v>0</v>
      </c>
      <c r="M52" s="481">
        <f>INT($B52*'A4'!O$63)</f>
        <v>0</v>
      </c>
      <c r="N52" s="481">
        <f>INT($B52*'A4'!P$63)</f>
        <v>0</v>
      </c>
      <c r="O52" s="390">
        <f t="shared" si="6"/>
        <v>0</v>
      </c>
      <c r="P52"/>
      <c r="Q52"/>
      <c r="R52"/>
    </row>
    <row r="53" spans="1:18" ht="13.5" thickBot="1">
      <c r="A53" s="78" t="str">
        <f>IF(DG!$D$129=1,"Aucun",IF(DG!$D$129=2,DG!$B$28,IF(DG!$D$129=3,DG!$B$29,IF(DG!$D$129=4,DG!$B$30,IF(DG!$D$129=5,DG!$B$31,IF(DG!$D$129=6,DG!$B$32,IF(DG!$D$129=7,DG!$B$33)))))))</f>
        <v>Frais de variable 3</v>
      </c>
      <c r="B53" s="495">
        <f>'FD3'!B53</f>
        <v>0</v>
      </c>
      <c r="C53" s="481">
        <f>INT($B53*'A4'!E$63)</f>
        <v>0</v>
      </c>
      <c r="D53" s="481">
        <f>INT($B53*'A4'!F$63)</f>
        <v>0</v>
      </c>
      <c r="E53" s="481">
        <f>INT($B53*'A4'!G$63)</f>
        <v>0</v>
      </c>
      <c r="F53" s="481">
        <f>INT($B53*'A4'!H$63)</f>
        <v>0</v>
      </c>
      <c r="G53" s="481">
        <f>INT($B53*'A4'!I$63)</f>
        <v>0</v>
      </c>
      <c r="H53" s="481">
        <f>INT($B53*'A4'!J$63)</f>
        <v>0</v>
      </c>
      <c r="I53" s="481">
        <f>INT($B53*'A4'!K$63)</f>
        <v>0</v>
      </c>
      <c r="J53" s="481">
        <f>INT($B53*'A4'!L$63)</f>
        <v>0</v>
      </c>
      <c r="K53" s="481">
        <f>INT($B53*'A4'!M$63)</f>
        <v>0</v>
      </c>
      <c r="L53" s="481">
        <f>INT($B53*'A4'!N$63)</f>
        <v>0</v>
      </c>
      <c r="M53" s="481">
        <f>INT($B53*'A4'!O$63)</f>
        <v>0</v>
      </c>
      <c r="N53" s="481">
        <f>INT($B53*'A4'!P$63)</f>
        <v>0</v>
      </c>
      <c r="O53" s="390">
        <f t="shared" si="6"/>
        <v>0</v>
      </c>
      <c r="P53"/>
      <c r="Q53"/>
      <c r="R53"/>
    </row>
    <row r="54" spans="1:18" ht="13.5" thickBot="1">
      <c r="A54" s="78" t="str">
        <f>IF(DG!$D$130=1,"Aucun",IF(DG!$D$130=2,DG!$B$28,IF(DG!$D$130=3,DG!$B$29,IF(DG!$D$130=4,DG!$B$30,IF(DG!$D$130=5,DG!$B$31,IF(DG!$D$130=6,DG!$B$32,IF(DG!$D$130=7,DG!$B$33)))))))</f>
        <v>Frais de variable 4</v>
      </c>
      <c r="B54" s="495">
        <f>'FD3'!B54</f>
        <v>0</v>
      </c>
      <c r="C54" s="481">
        <f>INT($B54*'A4'!E$63)</f>
        <v>0</v>
      </c>
      <c r="D54" s="481">
        <f>INT($B54*'A4'!F$63)</f>
        <v>0</v>
      </c>
      <c r="E54" s="481">
        <f>INT($B54*'A4'!G$63)</f>
        <v>0</v>
      </c>
      <c r="F54" s="481">
        <f>INT($B54*'A4'!H$63)</f>
        <v>0</v>
      </c>
      <c r="G54" s="481">
        <f>INT($B54*'A4'!I$63)</f>
        <v>0</v>
      </c>
      <c r="H54" s="481">
        <f>INT($B54*'A4'!J$63)</f>
        <v>0</v>
      </c>
      <c r="I54" s="481">
        <f>INT($B54*'A4'!K$63)</f>
        <v>0</v>
      </c>
      <c r="J54" s="481">
        <f>INT($B54*'A4'!L$63)</f>
        <v>0</v>
      </c>
      <c r="K54" s="481">
        <f>INT($B54*'A4'!M$63)</f>
        <v>0</v>
      </c>
      <c r="L54" s="481">
        <f>INT($B54*'A4'!N$63)</f>
        <v>0</v>
      </c>
      <c r="M54" s="481">
        <f>INT($B54*'A4'!O$63)</f>
        <v>0</v>
      </c>
      <c r="N54" s="481">
        <f>INT($B54*'A4'!P$63)</f>
        <v>0</v>
      </c>
      <c r="O54" s="390">
        <f t="shared" si="6"/>
        <v>0</v>
      </c>
      <c r="P54"/>
      <c r="Q54"/>
      <c r="R54"/>
    </row>
    <row r="55" spans="1:18" ht="13.5" thickBot="1">
      <c r="A55" s="78" t="str">
        <f>IF(DG!$D$131=1,"Aucun",IF(DG!$D$131=2,DG!$B$28,IF(DG!$D$131=3,DG!$B$29,IF(DG!$D$131=4,DG!$B$30,IF(DG!$D$131=5,DG!$B$31,IF(DG!$D$131=6,DG!$B$32,IF(DG!$D$131=7,DG!$B$33)))))))</f>
        <v>Frais de variable 5</v>
      </c>
      <c r="B55" s="495">
        <f>'FD3'!B55</f>
        <v>0</v>
      </c>
      <c r="C55" s="481">
        <f>INT($B55*'A4'!E$63)</f>
        <v>0</v>
      </c>
      <c r="D55" s="481">
        <f>INT($B55*'A4'!F$63)</f>
        <v>0</v>
      </c>
      <c r="E55" s="481">
        <f>INT($B55*'A4'!G$63)</f>
        <v>0</v>
      </c>
      <c r="F55" s="481">
        <f>INT($B55*'A4'!H$63)</f>
        <v>0</v>
      </c>
      <c r="G55" s="481">
        <f>INT($B55*'A4'!I$63)</f>
        <v>0</v>
      </c>
      <c r="H55" s="481">
        <f>INT($B55*'A4'!J$63)</f>
        <v>0</v>
      </c>
      <c r="I55" s="481">
        <f>INT($B55*'A4'!K$63)</f>
        <v>0</v>
      </c>
      <c r="J55" s="481">
        <f>INT($B55*'A4'!L$63)</f>
        <v>0</v>
      </c>
      <c r="K55" s="481">
        <f>INT($B55*'A4'!M$63)</f>
        <v>0</v>
      </c>
      <c r="L55" s="481">
        <f>INT($B55*'A4'!N$63)</f>
        <v>0</v>
      </c>
      <c r="M55" s="481">
        <f>INT($B55*'A4'!O$63)</f>
        <v>0</v>
      </c>
      <c r="N55" s="481">
        <f>INT($B55*'A4'!P$63)</f>
        <v>0</v>
      </c>
      <c r="O55" s="390">
        <f t="shared" si="6"/>
        <v>0</v>
      </c>
      <c r="P55"/>
      <c r="Q55"/>
      <c r="R55"/>
    </row>
    <row r="56" spans="1:18" ht="13.5" thickBot="1">
      <c r="A56" s="78" t="str">
        <f>IF(DG!$D$132=1,"Aucun",IF(DG!$D$132=2,DG!$B$28,IF(DG!$D$132=3,DG!$B$29,IF(DG!$D$132=4,DG!$B$30,IF(DG!$D$132=5,DG!$B$31,IF(DG!$D$132=6,DG!$B$32,IF(DG!$D$132=7,DG!$B$33)))))))</f>
        <v>Frais de variable 6</v>
      </c>
      <c r="B56" s="495">
        <f>'FD3'!B56</f>
        <v>0</v>
      </c>
      <c r="C56" s="481">
        <f>INT($B56*'A4'!E$63)</f>
        <v>0</v>
      </c>
      <c r="D56" s="481">
        <f>INT($B56*'A4'!F$63)</f>
        <v>0</v>
      </c>
      <c r="E56" s="481">
        <f>INT($B56*'A4'!G$63)</f>
        <v>0</v>
      </c>
      <c r="F56" s="481">
        <f>INT($B56*'A4'!H$63)</f>
        <v>0</v>
      </c>
      <c r="G56" s="481">
        <f>INT($B56*'A4'!I$63)</f>
        <v>0</v>
      </c>
      <c r="H56" s="481">
        <f>INT($B56*'A4'!J$63)</f>
        <v>0</v>
      </c>
      <c r="I56" s="481">
        <f>INT($B56*'A4'!K$63)</f>
        <v>0</v>
      </c>
      <c r="J56" s="481">
        <f>INT($B56*'A4'!L$63)</f>
        <v>0</v>
      </c>
      <c r="K56" s="481">
        <f>INT($B56*'A4'!M$63)</f>
        <v>0</v>
      </c>
      <c r="L56" s="481">
        <f>INT($B56*'A4'!N$63)</f>
        <v>0</v>
      </c>
      <c r="M56" s="481">
        <f>INT($B56*'A4'!O$63)</f>
        <v>0</v>
      </c>
      <c r="N56" s="481">
        <f>INT($B56*'A4'!P$63)</f>
        <v>0</v>
      </c>
      <c r="O56" s="390">
        <f t="shared" si="6"/>
        <v>0</v>
      </c>
      <c r="P56"/>
      <c r="Q56"/>
      <c r="R56"/>
    </row>
    <row r="57" spans="1:18" ht="13" thickBot="1">
      <c r="A57" s="267"/>
      <c r="B57" s="88"/>
      <c r="C57" s="268"/>
      <c r="D57" s="268"/>
      <c r="E57" s="268"/>
      <c r="F57" s="268"/>
      <c r="G57" s="268"/>
      <c r="H57" s="268"/>
      <c r="I57" s="268"/>
      <c r="J57" s="268"/>
      <c r="K57" s="268"/>
      <c r="L57" s="268"/>
      <c r="M57" s="268"/>
      <c r="N57" s="268"/>
      <c r="O57" s="268"/>
      <c r="P57"/>
      <c r="Q57"/>
      <c r="R57"/>
    </row>
    <row r="58" spans="1:18" s="251" customFormat="1" ht="13.5" thickBot="1">
      <c r="A58" s="43" t="s">
        <v>242</v>
      </c>
      <c r="B58"/>
      <c r="C58" s="524">
        <f t="shared" ref="C58:O58" si="7">SUM(C51:C57)</f>
        <v>0</v>
      </c>
      <c r="D58" s="524">
        <f t="shared" si="7"/>
        <v>0</v>
      </c>
      <c r="E58" s="524">
        <f t="shared" si="7"/>
        <v>0</v>
      </c>
      <c r="F58" s="524">
        <f t="shared" si="7"/>
        <v>0</v>
      </c>
      <c r="G58" s="524">
        <f t="shared" si="7"/>
        <v>0</v>
      </c>
      <c r="H58" s="524">
        <f t="shared" si="7"/>
        <v>0</v>
      </c>
      <c r="I58" s="524">
        <f t="shared" si="7"/>
        <v>0</v>
      </c>
      <c r="J58" s="524">
        <f t="shared" si="7"/>
        <v>0</v>
      </c>
      <c r="K58" s="524">
        <f t="shared" si="7"/>
        <v>0</v>
      </c>
      <c r="L58" s="524">
        <f t="shared" si="7"/>
        <v>0</v>
      </c>
      <c r="M58" s="524">
        <f t="shared" si="7"/>
        <v>0</v>
      </c>
      <c r="N58" s="524">
        <f t="shared" si="7"/>
        <v>0</v>
      </c>
      <c r="O58" s="524">
        <f t="shared" si="7"/>
        <v>0</v>
      </c>
      <c r="P58"/>
      <c r="Q58"/>
      <c r="R58"/>
    </row>
    <row r="59" spans="1:18">
      <c r="A59"/>
      <c r="B59"/>
      <c r="C59"/>
      <c r="D59"/>
      <c r="E59"/>
      <c r="F59"/>
      <c r="G59"/>
      <c r="H59"/>
      <c r="I59"/>
      <c r="J59"/>
      <c r="K59"/>
      <c r="L59"/>
      <c r="M59"/>
      <c r="N59"/>
      <c r="O59"/>
      <c r="P59"/>
      <c r="Q59"/>
      <c r="R59"/>
    </row>
    <row r="60" spans="1:18" ht="13">
      <c r="A60" s="913" t="str">
        <f>'FD3'!A60</f>
        <v>Produit/service 5</v>
      </c>
      <c r="B60"/>
      <c r="C60" s="1190" t="str">
        <f>A60</f>
        <v>Produit/service 5</v>
      </c>
      <c r="D60" s="1191"/>
      <c r="E60" s="1191"/>
      <c r="F60" s="1191"/>
      <c r="G60" s="1191"/>
      <c r="H60" s="1191"/>
      <c r="I60" s="1191"/>
      <c r="J60" s="1191"/>
      <c r="K60" s="1191"/>
      <c r="L60" s="1191"/>
      <c r="M60" s="1191"/>
      <c r="N60" s="1191"/>
      <c r="O60" s="1191"/>
      <c r="P60"/>
      <c r="Q60"/>
      <c r="R60"/>
    </row>
    <row r="61" spans="1:18" ht="13" thickBot="1">
      <c r="A61" s="143"/>
      <c r="B61" s="88"/>
      <c r="C61" s="268"/>
      <c r="D61" s="268"/>
      <c r="E61" s="268"/>
      <c r="F61" s="268"/>
      <c r="G61" s="268"/>
      <c r="H61" s="268"/>
      <c r="I61" s="268"/>
      <c r="J61" s="268"/>
      <c r="K61" s="268"/>
      <c r="L61" s="268"/>
      <c r="M61" s="268"/>
      <c r="N61" s="268"/>
      <c r="O61" s="268"/>
      <c r="P61"/>
      <c r="Q61"/>
      <c r="R61"/>
    </row>
    <row r="62" spans="1:18" ht="13.5" thickBot="1">
      <c r="A62" s="78" t="str">
        <f>IF(DG!$D$127=1,"Aucun",IF(DG!$D$127=2,DG!$B$28,IF(DG!$D$127=3,DG!$B$29,IF(DG!$D$127=4,DG!$B$30,IF(DG!$D$127=5,DG!$B$31,IF(DG!$D$127=6,DG!$B$32,IF(DG!$D$127=7,DG!$B$33)))))))</f>
        <v>Frais de variable 1</v>
      </c>
      <c r="B62" s="495">
        <f>'FD3'!B62</f>
        <v>0</v>
      </c>
      <c r="C62" s="481">
        <f>INT($B62*'A4'!E$76)</f>
        <v>0</v>
      </c>
      <c r="D62" s="481">
        <f>INT($B62*'A4'!F$76)</f>
        <v>0</v>
      </c>
      <c r="E62" s="481">
        <f>INT($B62*'A4'!G$76)</f>
        <v>0</v>
      </c>
      <c r="F62" s="481">
        <f>INT($B62*'A4'!H$76)</f>
        <v>0</v>
      </c>
      <c r="G62" s="481">
        <f>INT($B62*'A4'!I$76)</f>
        <v>0</v>
      </c>
      <c r="H62" s="481">
        <f>INT($B62*'A4'!J$76)</f>
        <v>0</v>
      </c>
      <c r="I62" s="481">
        <f>INT($B62*'A4'!K$76)</f>
        <v>0</v>
      </c>
      <c r="J62" s="481">
        <f>INT($B62*'A4'!L$76)</f>
        <v>0</v>
      </c>
      <c r="K62" s="481">
        <f>INT($B62*'A4'!M$76)</f>
        <v>0</v>
      </c>
      <c r="L62" s="481">
        <f>INT($B62*'A4'!N$76)</f>
        <v>0</v>
      </c>
      <c r="M62" s="481">
        <f>INT($B62*'A4'!O$76)</f>
        <v>0</v>
      </c>
      <c r="N62" s="481">
        <f>INT($B62*'A4'!P$76)</f>
        <v>0</v>
      </c>
      <c r="O62" s="390">
        <f t="shared" ref="O62:O67" si="8">SUM(C62:N62)</f>
        <v>0</v>
      </c>
      <c r="P62"/>
      <c r="Q62"/>
      <c r="R62"/>
    </row>
    <row r="63" spans="1:18" ht="13.5" thickBot="1">
      <c r="A63" s="78" t="str">
        <f>IF(DG!$D$128=1,"Aucun",IF(DG!$D$128=2,DG!$B$28,IF(DG!$D$128=3,DG!$B$29,IF(DG!$D$128=4,DG!$B$30,IF(DG!$D$128=5,DG!$B$31,IF(DG!$D$128=6,DG!$B$32,IF(DG!$D$128=7,DG!$B$33)))))))</f>
        <v>Frais de variable 2</v>
      </c>
      <c r="B63" s="495">
        <f>'FD3'!B63</f>
        <v>0</v>
      </c>
      <c r="C63" s="481">
        <f>INT($B63*'A4'!E$76)</f>
        <v>0</v>
      </c>
      <c r="D63" s="481">
        <f>INT($B63*'A4'!F$76)</f>
        <v>0</v>
      </c>
      <c r="E63" s="481">
        <f>INT($B63*'A4'!G$76)</f>
        <v>0</v>
      </c>
      <c r="F63" s="481">
        <f>INT($B63*'A4'!H$76)</f>
        <v>0</v>
      </c>
      <c r="G63" s="481">
        <f>INT($B63*'A4'!I$76)</f>
        <v>0</v>
      </c>
      <c r="H63" s="481">
        <f>INT($B63*'A4'!J$76)</f>
        <v>0</v>
      </c>
      <c r="I63" s="481">
        <f>INT($B63*'A4'!K$76)</f>
        <v>0</v>
      </c>
      <c r="J63" s="481">
        <f>INT($B63*'A4'!L$76)</f>
        <v>0</v>
      </c>
      <c r="K63" s="481">
        <f>INT($B63*'A4'!M$76)</f>
        <v>0</v>
      </c>
      <c r="L63" s="481">
        <f>INT($B63*'A4'!N$76)</f>
        <v>0</v>
      </c>
      <c r="M63" s="481">
        <f>INT($B63*'A4'!O$76)</f>
        <v>0</v>
      </c>
      <c r="N63" s="481">
        <f>INT($B63*'A4'!P$76)</f>
        <v>0</v>
      </c>
      <c r="O63" s="390">
        <f t="shared" si="8"/>
        <v>0</v>
      </c>
      <c r="P63"/>
      <c r="Q63"/>
      <c r="R63"/>
    </row>
    <row r="64" spans="1:18" ht="13.5" thickBot="1">
      <c r="A64" s="78" t="str">
        <f>IF(DG!$D$129=1,"Aucun",IF(DG!$D$129=2,DG!$B$28,IF(DG!$D$129=3,DG!$B$29,IF(DG!$D$129=4,DG!$B$30,IF(DG!$D$129=5,DG!$B$31,IF(DG!$D$129=6,DG!$B$32,IF(DG!$D$129=7,DG!$B$33)))))))</f>
        <v>Frais de variable 3</v>
      </c>
      <c r="B64" s="495">
        <f>'FD3'!B64</f>
        <v>0</v>
      </c>
      <c r="C64" s="481">
        <f>INT($B64*'A4'!E$76)</f>
        <v>0</v>
      </c>
      <c r="D64" s="481">
        <f>INT($B64*'A4'!F$76)</f>
        <v>0</v>
      </c>
      <c r="E64" s="481">
        <f>INT($B64*'A4'!G$76)</f>
        <v>0</v>
      </c>
      <c r="F64" s="481">
        <f>INT($B64*'A4'!H$76)</f>
        <v>0</v>
      </c>
      <c r="G64" s="481">
        <f>INT($B64*'A4'!I$76)</f>
        <v>0</v>
      </c>
      <c r="H64" s="481">
        <f>INT($B64*'A4'!J$76)</f>
        <v>0</v>
      </c>
      <c r="I64" s="481">
        <f>INT($B64*'A4'!K$76)</f>
        <v>0</v>
      </c>
      <c r="J64" s="481">
        <f>INT($B64*'A4'!L$76)</f>
        <v>0</v>
      </c>
      <c r="K64" s="481">
        <f>INT($B64*'A4'!M$76)</f>
        <v>0</v>
      </c>
      <c r="L64" s="481">
        <f>INT($B64*'A4'!N$76)</f>
        <v>0</v>
      </c>
      <c r="M64" s="481">
        <f>INT($B64*'A4'!O$76)</f>
        <v>0</v>
      </c>
      <c r="N64" s="481">
        <f>INT($B64*'A4'!P$76)</f>
        <v>0</v>
      </c>
      <c r="O64" s="390">
        <f t="shared" si="8"/>
        <v>0</v>
      </c>
      <c r="P64"/>
      <c r="Q64"/>
      <c r="R64"/>
    </row>
    <row r="65" spans="1:18" ht="13.5" thickBot="1">
      <c r="A65" s="78" t="str">
        <f>IF(DG!$D$130=1,"Aucun",IF(DG!$D$130=2,DG!$B$28,IF(DG!$D$130=3,DG!$B$29,IF(DG!$D$130=4,DG!$B$30,IF(DG!$D$130=5,DG!$B$31,IF(DG!$D$130=6,DG!$B$32,IF(DG!$D$130=7,DG!$B$33)))))))</f>
        <v>Frais de variable 4</v>
      </c>
      <c r="B65" s="495">
        <f>'FD3'!B65</f>
        <v>0</v>
      </c>
      <c r="C65" s="481">
        <f>INT($B65*'A4'!E$76)</f>
        <v>0</v>
      </c>
      <c r="D65" s="481">
        <f>INT($B65*'A4'!F$76)</f>
        <v>0</v>
      </c>
      <c r="E65" s="481">
        <f>INT($B65*'A4'!G$76)</f>
        <v>0</v>
      </c>
      <c r="F65" s="481">
        <f>INT($B65*'A4'!H$76)</f>
        <v>0</v>
      </c>
      <c r="G65" s="481">
        <f>INT($B65*'A4'!I$76)</f>
        <v>0</v>
      </c>
      <c r="H65" s="481">
        <f>INT($B65*'A4'!J$76)</f>
        <v>0</v>
      </c>
      <c r="I65" s="481">
        <f>INT($B65*'A4'!K$76)</f>
        <v>0</v>
      </c>
      <c r="J65" s="481">
        <f>INT($B65*'A4'!L$76)</f>
        <v>0</v>
      </c>
      <c r="K65" s="481">
        <f>INT($B65*'A4'!M$76)</f>
        <v>0</v>
      </c>
      <c r="L65" s="481">
        <f>INT($B65*'A4'!N$76)</f>
        <v>0</v>
      </c>
      <c r="M65" s="481">
        <f>INT($B65*'A4'!O$76)</f>
        <v>0</v>
      </c>
      <c r="N65" s="481">
        <f>INT($B65*'A4'!P$76)</f>
        <v>0</v>
      </c>
      <c r="O65" s="390">
        <f t="shared" si="8"/>
        <v>0</v>
      </c>
      <c r="P65"/>
      <c r="Q65"/>
      <c r="R65"/>
    </row>
    <row r="66" spans="1:18" ht="13.5" thickBot="1">
      <c r="A66" s="78" t="str">
        <f>IF(DG!$D$131=1,"Aucun",IF(DG!$D$131=2,DG!$B$28,IF(DG!$D$131=3,DG!$B$29,IF(DG!$D$131=4,DG!$B$30,IF(DG!$D$131=5,DG!$B$31,IF(DG!$D$131=6,DG!$B$32,IF(DG!$D$131=7,DG!$B$33)))))))</f>
        <v>Frais de variable 5</v>
      </c>
      <c r="B66" s="495">
        <f>'FD3'!B66</f>
        <v>0</v>
      </c>
      <c r="C66" s="481">
        <f>INT($B66*'A4'!E$76)</f>
        <v>0</v>
      </c>
      <c r="D66" s="481">
        <f>INT($B66*'A4'!F$76)</f>
        <v>0</v>
      </c>
      <c r="E66" s="481">
        <f>INT($B66*'A4'!G$76)</f>
        <v>0</v>
      </c>
      <c r="F66" s="481">
        <f>INT($B66*'A4'!H$76)</f>
        <v>0</v>
      </c>
      <c r="G66" s="481">
        <f>INT($B66*'A4'!I$76)</f>
        <v>0</v>
      </c>
      <c r="H66" s="481">
        <f>INT($B66*'A4'!J$76)</f>
        <v>0</v>
      </c>
      <c r="I66" s="481">
        <f>INT($B66*'A4'!K$76)</f>
        <v>0</v>
      </c>
      <c r="J66" s="481">
        <f>INT($B66*'A4'!L$76)</f>
        <v>0</v>
      </c>
      <c r="K66" s="481">
        <f>INT($B66*'A4'!M$76)</f>
        <v>0</v>
      </c>
      <c r="L66" s="481">
        <f>INT($B66*'A4'!N$76)</f>
        <v>0</v>
      </c>
      <c r="M66" s="481">
        <f>INT($B66*'A4'!O$76)</f>
        <v>0</v>
      </c>
      <c r="N66" s="481">
        <f>INT($B66*'A4'!P$76)</f>
        <v>0</v>
      </c>
      <c r="O66" s="390">
        <f t="shared" si="8"/>
        <v>0</v>
      </c>
      <c r="P66"/>
      <c r="Q66"/>
      <c r="R66"/>
    </row>
    <row r="67" spans="1:18" ht="13.5" thickBot="1">
      <c r="A67" s="78" t="str">
        <f>IF(DG!$D$132=1,"Aucun",IF(DG!$D$132=2,DG!$B$28,IF(DG!$D$132=3,DG!$B$29,IF(DG!$D$132=4,DG!$B$30,IF(DG!$D$132=5,DG!$B$31,IF(DG!$D$132=6,DG!$B$32,IF(DG!$D$132=7,DG!$B$33)))))))</f>
        <v>Frais de variable 6</v>
      </c>
      <c r="B67" s="495">
        <f>'FD3'!B67</f>
        <v>0</v>
      </c>
      <c r="C67" s="481">
        <f>INT($B67*'A4'!E$76)</f>
        <v>0</v>
      </c>
      <c r="D67" s="481">
        <f>INT($B67*'A4'!F$76)</f>
        <v>0</v>
      </c>
      <c r="E67" s="481">
        <f>INT($B67*'A4'!G$76)</f>
        <v>0</v>
      </c>
      <c r="F67" s="481">
        <f>INT($B67*'A4'!H$76)</f>
        <v>0</v>
      </c>
      <c r="G67" s="481">
        <f>INT($B67*'A4'!I$76)</f>
        <v>0</v>
      </c>
      <c r="H67" s="481">
        <f>INT($B67*'A4'!J$76)</f>
        <v>0</v>
      </c>
      <c r="I67" s="481">
        <f>INT($B67*'A4'!K$76)</f>
        <v>0</v>
      </c>
      <c r="J67" s="481">
        <f>INT($B67*'A4'!L$76)</f>
        <v>0</v>
      </c>
      <c r="K67" s="481">
        <f>INT($B67*'A4'!M$76)</f>
        <v>0</v>
      </c>
      <c r="L67" s="481">
        <f>INT($B67*'A4'!N$76)</f>
        <v>0</v>
      </c>
      <c r="M67" s="481">
        <f>INT($B67*'A4'!O$76)</f>
        <v>0</v>
      </c>
      <c r="N67" s="481">
        <f>INT($B67*'A4'!P$76)</f>
        <v>0</v>
      </c>
      <c r="O67" s="390">
        <f t="shared" si="8"/>
        <v>0</v>
      </c>
      <c r="P67"/>
      <c r="Q67"/>
      <c r="R67"/>
    </row>
    <row r="68" spans="1:18" ht="13" thickBot="1">
      <c r="A68" s="267"/>
      <c r="B68" s="88"/>
      <c r="C68" s="268"/>
      <c r="D68" s="268"/>
      <c r="E68" s="268"/>
      <c r="F68" s="268"/>
      <c r="G68" s="268"/>
      <c r="H68" s="268"/>
      <c r="I68" s="268"/>
      <c r="J68" s="268"/>
      <c r="K68" s="268"/>
      <c r="L68" s="268"/>
      <c r="M68" s="268"/>
      <c r="N68" s="268"/>
      <c r="O68" s="268"/>
      <c r="P68"/>
      <c r="Q68"/>
      <c r="R68"/>
    </row>
    <row r="69" spans="1:18" s="251" customFormat="1" ht="13.5" thickBot="1">
      <c r="A69" s="43" t="s">
        <v>242</v>
      </c>
      <c r="B69"/>
      <c r="C69" s="524">
        <f t="shared" ref="C69:O69" si="9">SUM(C62:C68)</f>
        <v>0</v>
      </c>
      <c r="D69" s="524">
        <f t="shared" si="9"/>
        <v>0</v>
      </c>
      <c r="E69" s="524">
        <f t="shared" si="9"/>
        <v>0</v>
      </c>
      <c r="F69" s="524">
        <f t="shared" si="9"/>
        <v>0</v>
      </c>
      <c r="G69" s="524">
        <f t="shared" si="9"/>
        <v>0</v>
      </c>
      <c r="H69" s="524">
        <f t="shared" si="9"/>
        <v>0</v>
      </c>
      <c r="I69" s="524">
        <f t="shared" si="9"/>
        <v>0</v>
      </c>
      <c r="J69" s="524">
        <f t="shared" si="9"/>
        <v>0</v>
      </c>
      <c r="K69" s="524">
        <f t="shared" si="9"/>
        <v>0</v>
      </c>
      <c r="L69" s="524">
        <f t="shared" si="9"/>
        <v>0</v>
      </c>
      <c r="M69" s="524">
        <f t="shared" si="9"/>
        <v>0</v>
      </c>
      <c r="N69" s="524">
        <f t="shared" si="9"/>
        <v>0</v>
      </c>
      <c r="O69" s="524">
        <f t="shared" si="9"/>
        <v>0</v>
      </c>
      <c r="P69"/>
      <c r="Q69"/>
      <c r="R69"/>
    </row>
    <row r="70" spans="1:18">
      <c r="A70"/>
      <c r="B70"/>
      <c r="C70"/>
      <c r="D70"/>
      <c r="E70"/>
      <c r="F70"/>
      <c r="G70"/>
      <c r="H70"/>
      <c r="I70"/>
      <c r="J70"/>
      <c r="K70"/>
      <c r="L70"/>
      <c r="M70"/>
      <c r="N70"/>
      <c r="O70"/>
      <c r="P70"/>
      <c r="Q70"/>
      <c r="R70"/>
    </row>
    <row r="71" spans="1:18" ht="13">
      <c r="A71" s="913" t="str">
        <f>'FD3'!A71</f>
        <v>Produit/service 6</v>
      </c>
      <c r="B71"/>
      <c r="C71" s="1190" t="str">
        <f>A71</f>
        <v>Produit/service 6</v>
      </c>
      <c r="D71" s="1191"/>
      <c r="E71" s="1191"/>
      <c r="F71" s="1191"/>
      <c r="G71" s="1191"/>
      <c r="H71" s="1191"/>
      <c r="I71" s="1191"/>
      <c r="J71" s="1191"/>
      <c r="K71" s="1191"/>
      <c r="L71" s="1191"/>
      <c r="M71" s="1191"/>
      <c r="N71" s="1191"/>
      <c r="O71" s="1191"/>
      <c r="P71"/>
      <c r="Q71"/>
      <c r="R71"/>
    </row>
    <row r="72" spans="1:18" ht="13" thickBot="1">
      <c r="A72" s="143"/>
      <c r="B72" s="88"/>
      <c r="C72" s="268"/>
      <c r="D72" s="268"/>
      <c r="E72" s="268"/>
      <c r="F72" s="268"/>
      <c r="G72" s="268"/>
      <c r="H72" s="268"/>
      <c r="I72" s="268"/>
      <c r="J72" s="268"/>
      <c r="K72" s="268"/>
      <c r="L72" s="268"/>
      <c r="M72" s="268"/>
      <c r="N72" s="268"/>
      <c r="O72" s="268"/>
      <c r="P72"/>
      <c r="Q72"/>
      <c r="R72"/>
    </row>
    <row r="73" spans="1:18" ht="13.5" thickBot="1">
      <c r="A73" s="78" t="str">
        <f>IF(DG!$D$127=1,"Aucun",IF(DG!$D$127=2,DG!$B$28,IF(DG!$D$127=3,DG!$B$29,IF(DG!$D$127=4,DG!$B$30,IF(DG!$D$127=5,DG!$B$31,IF(DG!$D$127=6,DG!$B$32,IF(DG!$D$127=7,DG!$B$33)))))))</f>
        <v>Frais de variable 1</v>
      </c>
      <c r="B73" s="495">
        <f>'FD3'!B73</f>
        <v>0</v>
      </c>
      <c r="C73" s="481">
        <f>INT($B73*'A4'!E$89)</f>
        <v>0</v>
      </c>
      <c r="D73" s="481">
        <f>INT($B73*'A4'!F$89)</f>
        <v>0</v>
      </c>
      <c r="E73" s="481">
        <f>INT($B73*'A4'!G$89)</f>
        <v>0</v>
      </c>
      <c r="F73" s="481">
        <f>INT($B73*'A4'!H$89)</f>
        <v>0</v>
      </c>
      <c r="G73" s="481">
        <f>INT($B73*'A4'!I$89)</f>
        <v>0</v>
      </c>
      <c r="H73" s="481">
        <f>INT($B73*'A4'!J$89)</f>
        <v>0</v>
      </c>
      <c r="I73" s="481">
        <f>INT($B73*'A4'!K$89)</f>
        <v>0</v>
      </c>
      <c r="J73" s="481">
        <f>INT($B73*'A4'!L$89)</f>
        <v>0</v>
      </c>
      <c r="K73" s="481">
        <f>INT($B73*'A4'!M$89)</f>
        <v>0</v>
      </c>
      <c r="L73" s="481">
        <f>INT($B73*'A4'!N$89)</f>
        <v>0</v>
      </c>
      <c r="M73" s="481">
        <f>INT($B73*'A4'!O$89)</f>
        <v>0</v>
      </c>
      <c r="N73" s="481">
        <f>INT($B73*'A4'!P$89)</f>
        <v>0</v>
      </c>
      <c r="O73" s="390">
        <f t="shared" ref="O73:O78" si="10">SUM(C73:N73)</f>
        <v>0</v>
      </c>
      <c r="P73"/>
      <c r="Q73"/>
      <c r="R73"/>
    </row>
    <row r="74" spans="1:18" ht="13.5" thickBot="1">
      <c r="A74" s="78" t="str">
        <f>IF(DG!$D$128=1,"Aucun",IF(DG!$D$128=2,DG!$B$28,IF(DG!$D$128=3,DG!$B$29,IF(DG!$D$128=4,DG!$B$30,IF(DG!$D$128=5,DG!$B$31,IF(DG!$D$128=6,DG!$B$32,IF(DG!$D$128=7,DG!$B$33)))))))</f>
        <v>Frais de variable 2</v>
      </c>
      <c r="B74" s="495">
        <f>'FD3'!B74</f>
        <v>0</v>
      </c>
      <c r="C74" s="481">
        <f>INT($B74*'A4'!E$89)</f>
        <v>0</v>
      </c>
      <c r="D74" s="481">
        <f>INT($B74*'A4'!F$89)</f>
        <v>0</v>
      </c>
      <c r="E74" s="481">
        <f>INT($B74*'A4'!G$89)</f>
        <v>0</v>
      </c>
      <c r="F74" s="481">
        <f>INT($B74*'A4'!H$89)</f>
        <v>0</v>
      </c>
      <c r="G74" s="481">
        <f>INT($B74*'A4'!I$89)</f>
        <v>0</v>
      </c>
      <c r="H74" s="481">
        <f>INT($B74*'A4'!J$89)</f>
        <v>0</v>
      </c>
      <c r="I74" s="481">
        <f>INT($B74*'A4'!K$89)</f>
        <v>0</v>
      </c>
      <c r="J74" s="481">
        <f>INT($B74*'A4'!L$89)</f>
        <v>0</v>
      </c>
      <c r="K74" s="481">
        <f>INT($B74*'A4'!M$89)</f>
        <v>0</v>
      </c>
      <c r="L74" s="481">
        <f>INT($B74*'A4'!N$89)</f>
        <v>0</v>
      </c>
      <c r="M74" s="481">
        <f>INT($B74*'A4'!O$89)</f>
        <v>0</v>
      </c>
      <c r="N74" s="481">
        <f>INT($B74*'A4'!P$89)</f>
        <v>0</v>
      </c>
      <c r="O74" s="390">
        <f t="shared" si="10"/>
        <v>0</v>
      </c>
      <c r="P74"/>
      <c r="Q74"/>
      <c r="R74"/>
    </row>
    <row r="75" spans="1:18" ht="13.5" thickBot="1">
      <c r="A75" s="78" t="str">
        <f>IF(DG!$D$129=1,"Aucun",IF(DG!$D$129=2,DG!$B$28,IF(DG!$D$129=3,DG!$B$29,IF(DG!$D$129=4,DG!$B$30,IF(DG!$D$129=5,DG!$B$31,IF(DG!$D$129=6,DG!$B$32,IF(DG!$D$129=7,DG!$B$33)))))))</f>
        <v>Frais de variable 3</v>
      </c>
      <c r="B75" s="495">
        <f>'FD3'!B75</f>
        <v>0</v>
      </c>
      <c r="C75" s="481">
        <f>INT($B75*'A4'!E$89)</f>
        <v>0</v>
      </c>
      <c r="D75" s="481">
        <f>INT($B75*'A4'!F$89)</f>
        <v>0</v>
      </c>
      <c r="E75" s="481">
        <f>INT($B75*'A4'!G$89)</f>
        <v>0</v>
      </c>
      <c r="F75" s="481">
        <f>INT($B75*'A4'!H$89)</f>
        <v>0</v>
      </c>
      <c r="G75" s="481">
        <f>INT($B75*'A4'!I$89)</f>
        <v>0</v>
      </c>
      <c r="H75" s="481">
        <f>INT($B75*'A4'!J$89)</f>
        <v>0</v>
      </c>
      <c r="I75" s="481">
        <f>INT($B75*'A4'!K$89)</f>
        <v>0</v>
      </c>
      <c r="J75" s="481">
        <f>INT($B75*'A4'!L$89)</f>
        <v>0</v>
      </c>
      <c r="K75" s="481">
        <f>INT($B75*'A4'!M$89)</f>
        <v>0</v>
      </c>
      <c r="L75" s="481">
        <f>INT($B75*'A4'!N$89)</f>
        <v>0</v>
      </c>
      <c r="M75" s="481">
        <f>INT($B75*'A4'!O$89)</f>
        <v>0</v>
      </c>
      <c r="N75" s="481">
        <f>INT($B75*'A4'!P$89)</f>
        <v>0</v>
      </c>
      <c r="O75" s="390">
        <f t="shared" si="10"/>
        <v>0</v>
      </c>
      <c r="P75"/>
      <c r="Q75"/>
      <c r="R75"/>
    </row>
    <row r="76" spans="1:18" ht="13.5" thickBot="1">
      <c r="A76" s="78" t="str">
        <f>IF(DG!$D$130=1,"Aucun",IF(DG!$D$130=2,DG!$B$28,IF(DG!$D$130=3,DG!$B$29,IF(DG!$D$130=4,DG!$B$30,IF(DG!$D$130=5,DG!$B$31,IF(DG!$D$130=6,DG!$B$32,IF(DG!$D$130=7,DG!$B$33)))))))</f>
        <v>Frais de variable 4</v>
      </c>
      <c r="B76" s="495">
        <f>'FD3'!B76</f>
        <v>0</v>
      </c>
      <c r="C76" s="481">
        <f>INT($B76*'A4'!E$89)</f>
        <v>0</v>
      </c>
      <c r="D76" s="481">
        <f>INT($B76*'A4'!F$89)</f>
        <v>0</v>
      </c>
      <c r="E76" s="481">
        <f>INT($B76*'A4'!G$89)</f>
        <v>0</v>
      </c>
      <c r="F76" s="481">
        <f>INT($B76*'A4'!H$89)</f>
        <v>0</v>
      </c>
      <c r="G76" s="481">
        <f>INT($B76*'A4'!I$89)</f>
        <v>0</v>
      </c>
      <c r="H76" s="481">
        <f>INT($B76*'A4'!J$89)</f>
        <v>0</v>
      </c>
      <c r="I76" s="481">
        <f>INT($B76*'A4'!K$89)</f>
        <v>0</v>
      </c>
      <c r="J76" s="481">
        <f>INT($B76*'A4'!L$89)</f>
        <v>0</v>
      </c>
      <c r="K76" s="481">
        <f>INT($B76*'A4'!M$89)</f>
        <v>0</v>
      </c>
      <c r="L76" s="481">
        <f>INT($B76*'A4'!N$89)</f>
        <v>0</v>
      </c>
      <c r="M76" s="481">
        <f>INT($B76*'A4'!O$89)</f>
        <v>0</v>
      </c>
      <c r="N76" s="481">
        <f>INT($B76*'A4'!P$89)</f>
        <v>0</v>
      </c>
      <c r="O76" s="390">
        <f t="shared" si="10"/>
        <v>0</v>
      </c>
      <c r="P76"/>
      <c r="Q76"/>
      <c r="R76"/>
    </row>
    <row r="77" spans="1:18" ht="13.5" thickBot="1">
      <c r="A77" s="78" t="str">
        <f>IF(DG!$D$131=1,"Aucun",IF(DG!$D$131=2,DG!$B$28,IF(DG!$D$131=3,DG!$B$29,IF(DG!$D$131=4,DG!$B$30,IF(DG!$D$131=5,DG!$B$31,IF(DG!$D$131=6,DG!$B$32,IF(DG!$D$131=7,DG!$B$33)))))))</f>
        <v>Frais de variable 5</v>
      </c>
      <c r="B77" s="495">
        <f>'FD3'!B77</f>
        <v>0</v>
      </c>
      <c r="C77" s="481">
        <f>INT($B77*'A4'!E$89)</f>
        <v>0</v>
      </c>
      <c r="D77" s="481">
        <f>INT($B77*'A4'!F$89)</f>
        <v>0</v>
      </c>
      <c r="E77" s="481">
        <f>INT($B77*'A4'!G$89)</f>
        <v>0</v>
      </c>
      <c r="F77" s="481">
        <f>INT($B77*'A4'!H$89)</f>
        <v>0</v>
      </c>
      <c r="G77" s="481">
        <f>INT($B77*'A4'!I$89)</f>
        <v>0</v>
      </c>
      <c r="H77" s="481">
        <f>INT($B77*'A4'!J$89)</f>
        <v>0</v>
      </c>
      <c r="I77" s="481">
        <f>INT($B77*'A4'!K$89)</f>
        <v>0</v>
      </c>
      <c r="J77" s="481">
        <f>INT($B77*'A4'!L$89)</f>
        <v>0</v>
      </c>
      <c r="K77" s="481">
        <f>INT($B77*'A4'!M$89)</f>
        <v>0</v>
      </c>
      <c r="L77" s="481">
        <f>INT($B77*'A4'!N$89)</f>
        <v>0</v>
      </c>
      <c r="M77" s="481">
        <f>INT($B77*'A4'!O$89)</f>
        <v>0</v>
      </c>
      <c r="N77" s="481">
        <f>INT($B77*'A4'!P$89)</f>
        <v>0</v>
      </c>
      <c r="O77" s="390">
        <f t="shared" si="10"/>
        <v>0</v>
      </c>
      <c r="P77"/>
      <c r="Q77"/>
      <c r="R77"/>
    </row>
    <row r="78" spans="1:18" ht="13.5" thickBot="1">
      <c r="A78" s="78" t="str">
        <f>IF(DG!$D$132=1,"Aucun",IF(DG!$D$132=2,DG!$B$28,IF(DG!$D$132=3,DG!$B$29,IF(DG!$D$132=4,DG!$B$30,IF(DG!$D$132=5,DG!$B$31,IF(DG!$D$132=6,DG!$B$32,IF(DG!$D$132=7,DG!$B$33)))))))</f>
        <v>Frais de variable 6</v>
      </c>
      <c r="B78" s="495">
        <f>'FD3'!B78</f>
        <v>0</v>
      </c>
      <c r="C78" s="481">
        <f>INT($B78*'A4'!E$89)</f>
        <v>0</v>
      </c>
      <c r="D78" s="481">
        <f>INT($B78*'A4'!F$89)</f>
        <v>0</v>
      </c>
      <c r="E78" s="481">
        <f>INT($B78*'A4'!G$89)</f>
        <v>0</v>
      </c>
      <c r="F78" s="481">
        <f>INT($B78*'A4'!H$89)</f>
        <v>0</v>
      </c>
      <c r="G78" s="481">
        <f>INT($B78*'A4'!I$89)</f>
        <v>0</v>
      </c>
      <c r="H78" s="481">
        <f>INT($B78*'A4'!J$89)</f>
        <v>0</v>
      </c>
      <c r="I78" s="481">
        <f>INT($B78*'A4'!K$89)</f>
        <v>0</v>
      </c>
      <c r="J78" s="481">
        <f>INT($B78*'A4'!L$89)</f>
        <v>0</v>
      </c>
      <c r="K78" s="481">
        <f>INT($B78*'A4'!M$89)</f>
        <v>0</v>
      </c>
      <c r="L78" s="481">
        <f>INT($B78*'A4'!N$89)</f>
        <v>0</v>
      </c>
      <c r="M78" s="481">
        <f>INT($B78*'A4'!O$89)</f>
        <v>0</v>
      </c>
      <c r="N78" s="481">
        <f>INT($B78*'A4'!P$89)</f>
        <v>0</v>
      </c>
      <c r="O78" s="390">
        <f t="shared" si="10"/>
        <v>0</v>
      </c>
      <c r="P78"/>
      <c r="Q78"/>
      <c r="R78"/>
    </row>
    <row r="79" spans="1:18" ht="13" thickBot="1">
      <c r="A79" s="267"/>
      <c r="B79" s="88"/>
      <c r="C79" s="268"/>
      <c r="D79" s="268"/>
      <c r="E79" s="268"/>
      <c r="F79" s="268"/>
      <c r="G79" s="268"/>
      <c r="H79" s="268"/>
      <c r="I79" s="268"/>
      <c r="J79" s="268"/>
      <c r="K79" s="268"/>
      <c r="L79" s="268"/>
      <c r="M79" s="268"/>
      <c r="N79" s="268"/>
      <c r="O79" s="268"/>
      <c r="P79"/>
      <c r="Q79"/>
      <c r="R79"/>
    </row>
    <row r="80" spans="1:18" s="251" customFormat="1" ht="13.5" thickBot="1">
      <c r="A80" s="43" t="s">
        <v>242</v>
      </c>
      <c r="B80"/>
      <c r="C80" s="524">
        <f t="shared" ref="C80:O80" si="11">SUM(C73:C79)</f>
        <v>0</v>
      </c>
      <c r="D80" s="524">
        <f t="shared" si="11"/>
        <v>0</v>
      </c>
      <c r="E80" s="524">
        <f t="shared" si="11"/>
        <v>0</v>
      </c>
      <c r="F80" s="524">
        <f t="shared" si="11"/>
        <v>0</v>
      </c>
      <c r="G80" s="524">
        <f t="shared" si="11"/>
        <v>0</v>
      </c>
      <c r="H80" s="524">
        <f t="shared" si="11"/>
        <v>0</v>
      </c>
      <c r="I80" s="524">
        <f t="shared" si="11"/>
        <v>0</v>
      </c>
      <c r="J80" s="524">
        <f t="shared" si="11"/>
        <v>0</v>
      </c>
      <c r="K80" s="524">
        <f t="shared" si="11"/>
        <v>0</v>
      </c>
      <c r="L80" s="524">
        <f t="shared" si="11"/>
        <v>0</v>
      </c>
      <c r="M80" s="524">
        <f t="shared" si="11"/>
        <v>0</v>
      </c>
      <c r="N80" s="524">
        <f t="shared" si="11"/>
        <v>0</v>
      </c>
      <c r="O80" s="524">
        <f t="shared" si="11"/>
        <v>0</v>
      </c>
      <c r="P80"/>
      <c r="Q80"/>
      <c r="R80"/>
    </row>
    <row r="81" spans="1:18" ht="13" thickBot="1">
      <c r="A81"/>
      <c r="B81"/>
      <c r="C81"/>
      <c r="D81"/>
      <c r="E81"/>
      <c r="F81"/>
      <c r="G81"/>
      <c r="H81"/>
      <c r="I81"/>
      <c r="J81"/>
      <c r="K81"/>
      <c r="L81"/>
      <c r="M81"/>
      <c r="N81"/>
      <c r="O81"/>
      <c r="P81"/>
      <c r="Q81"/>
      <c r="R81"/>
    </row>
    <row r="82" spans="1:18" ht="13.5" thickBot="1">
      <c r="A82" s="108" t="s">
        <v>755</v>
      </c>
      <c r="B82"/>
      <c r="C82" s="293">
        <f t="shared" ref="C82:O82" si="12">C80+C69+C58+C47+C36+C25</f>
        <v>88</v>
      </c>
      <c r="D82" s="293">
        <f t="shared" si="12"/>
        <v>92</v>
      </c>
      <c r="E82" s="293">
        <f t="shared" si="12"/>
        <v>97</v>
      </c>
      <c r="F82" s="293">
        <f t="shared" si="12"/>
        <v>100</v>
      </c>
      <c r="G82" s="293">
        <f t="shared" si="12"/>
        <v>105</v>
      </c>
      <c r="H82" s="293">
        <f t="shared" si="12"/>
        <v>109</v>
      </c>
      <c r="I82" s="293">
        <f t="shared" si="12"/>
        <v>112</v>
      </c>
      <c r="J82" s="293">
        <f t="shared" si="12"/>
        <v>117</v>
      </c>
      <c r="K82" s="293">
        <f t="shared" si="12"/>
        <v>121</v>
      </c>
      <c r="L82" s="293">
        <f t="shared" si="12"/>
        <v>124</v>
      </c>
      <c r="M82" s="293">
        <f t="shared" si="12"/>
        <v>130</v>
      </c>
      <c r="N82" s="293">
        <f t="shared" si="12"/>
        <v>134</v>
      </c>
      <c r="O82" s="293">
        <f t="shared" si="12"/>
        <v>1329</v>
      </c>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s="251" customFormat="1">
      <c r="B86"/>
      <c r="C86"/>
      <c r="D86"/>
      <c r="E86"/>
      <c r="F86"/>
      <c r="G86"/>
      <c r="H86"/>
      <c r="I86"/>
      <c r="J86"/>
      <c r="K86"/>
      <c r="L86"/>
      <c r="M86"/>
      <c r="N86"/>
      <c r="O86"/>
      <c r="P86"/>
      <c r="Q86"/>
      <c r="R86"/>
    </row>
    <row r="87" spans="1:18" ht="25">
      <c r="A87" s="105"/>
    </row>
  </sheetData>
  <sheetProtection password="E242" sheet="1" objects="1" scenarios="1"/>
  <customSheetViews>
    <customSheetView guid="{30D0538C-360A-4CDF-8D89-584CED1967CC}" scale="90" showGridLines="0" hiddenRows="1">
      <selection activeCell="G7" sqref="G7"/>
      <pageMargins left="0.7" right="0.7" top="0.75" bottom="0.75" header="0.3" footer="0.3"/>
    </customSheetView>
    <customSheetView guid="{4F3169C3-3348-49DE-A6DC-8AA4D2A9D7A1}" scale="90" showGridLines="0" hiddenRows="1">
      <selection activeCell="G7" sqref="G7"/>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57">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ColWidth="11.453125" defaultRowHeight="12.5"/>
  <cols>
    <col min="1" max="1" width="30" style="261" customWidth="1"/>
    <col min="2" max="2" width="10" style="261" customWidth="1"/>
    <col min="3" max="16384" width="11.453125" style="261"/>
  </cols>
  <sheetData>
    <row r="1" spans="1:18" customFormat="1"/>
    <row r="2" spans="1:18" customFormat="1"/>
    <row r="3" spans="1:18" customFormat="1"/>
    <row r="9" spans="1:18" hidden="1"/>
    <row r="10" spans="1:18" s="251" customFormat="1" ht="13" hidden="1">
      <c r="P10" s="48"/>
    </row>
    <row r="11" spans="1:18" s="251" customFormat="1" ht="25.5" customHeight="1">
      <c r="A11" s="105" t="str">
        <f>RG!$D$17</f>
        <v>Jhon Wesly inc.</v>
      </c>
      <c r="F11" s="808"/>
      <c r="P11" s="48"/>
    </row>
    <row r="12" spans="1:18" s="251" customFormat="1" ht="13">
      <c r="B12" s="88"/>
      <c r="C12" s="268"/>
      <c r="D12" s="268"/>
      <c r="E12" s="268"/>
      <c r="F12" s="268"/>
      <c r="G12" s="268"/>
      <c r="H12" s="268"/>
      <c r="I12" s="268"/>
      <c r="J12" s="268"/>
      <c r="K12" s="268"/>
      <c r="L12" s="268"/>
      <c r="M12" s="268"/>
      <c r="N12" s="268"/>
      <c r="O12" s="268"/>
      <c r="P12" s="48"/>
    </row>
    <row r="13" spans="1:18" s="251" customFormat="1" ht="13.5" thickBot="1">
      <c r="B13" s="88"/>
      <c r="C13" s="268"/>
      <c r="D13" s="268"/>
      <c r="E13" s="268"/>
      <c r="F13" s="268"/>
      <c r="G13" s="268"/>
      <c r="H13" s="268"/>
      <c r="I13" s="268"/>
      <c r="J13" s="268"/>
      <c r="K13" s="268"/>
      <c r="L13" s="268"/>
      <c r="M13" s="268"/>
      <c r="N13" s="268"/>
      <c r="O13" s="268"/>
      <c r="P13" s="48"/>
    </row>
    <row r="14" spans="1:18" s="822" customFormat="1" ht="30.5" thickBot="1">
      <c r="A14" s="911" t="s">
        <v>668</v>
      </c>
      <c r="B14" s="98"/>
      <c r="C14" s="821">
        <f>'FD4'!C14+366</f>
        <v>46756</v>
      </c>
      <c r="D14" s="821">
        <f>'FD4'!D14+366</f>
        <v>46787</v>
      </c>
      <c r="E14" s="821">
        <f>'FD4'!E14+366</f>
        <v>46818</v>
      </c>
      <c r="F14" s="821">
        <f>'FD4'!F14+366</f>
        <v>46849</v>
      </c>
      <c r="G14" s="821">
        <f>'FD4'!G14+366</f>
        <v>46880</v>
      </c>
      <c r="H14" s="821">
        <f>'FD4'!H14+366</f>
        <v>46911</v>
      </c>
      <c r="I14" s="821">
        <f>'FD4'!I14+366</f>
        <v>46942</v>
      </c>
      <c r="J14" s="821">
        <f>'FD4'!J14+366</f>
        <v>46973</v>
      </c>
      <c r="K14" s="821">
        <f>'FD4'!K14+366</f>
        <v>47004</v>
      </c>
      <c r="L14" s="821">
        <f>'FD4'!L14+366</f>
        <v>47035</v>
      </c>
      <c r="M14" s="821">
        <f>'FD4'!M14+366</f>
        <v>47066</v>
      </c>
      <c r="N14" s="821">
        <f>'FD4'!N14+366</f>
        <v>47097</v>
      </c>
      <c r="O14" s="821" t="str">
        <f>'FD4'!O14</f>
        <v>Année</v>
      </c>
      <c r="P14" s="816"/>
    </row>
    <row r="15" spans="1:18" ht="13">
      <c r="A15"/>
      <c r="B15"/>
      <c r="C15" s="523"/>
      <c r="D15" s="523"/>
      <c r="E15" s="523"/>
      <c r="F15" s="523"/>
      <c r="G15" s="523"/>
      <c r="H15" s="523"/>
      <c r="I15" s="523"/>
      <c r="J15" s="523"/>
      <c r="K15" s="523"/>
      <c r="L15" s="523"/>
      <c r="M15" s="523"/>
      <c r="N15" s="523"/>
      <c r="O15" s="523"/>
      <c r="P15"/>
      <c r="Q15"/>
      <c r="R15"/>
    </row>
    <row r="16" spans="1:18" ht="13">
      <c r="A16" s="913" t="str">
        <f>'FD4'!A16</f>
        <v>Produit/service 1</v>
      </c>
      <c r="B16"/>
      <c r="C16" s="1190" t="str">
        <f>A16</f>
        <v>Produit/service 1</v>
      </c>
      <c r="D16" s="1191"/>
      <c r="E16" s="1191"/>
      <c r="F16" s="1191"/>
      <c r="G16" s="1191"/>
      <c r="H16" s="1191"/>
      <c r="I16" s="1191"/>
      <c r="J16" s="1191"/>
      <c r="K16" s="1191"/>
      <c r="L16" s="1191"/>
      <c r="M16" s="1191"/>
      <c r="N16" s="1191"/>
      <c r="O16" s="1191"/>
      <c r="P16"/>
      <c r="Q16"/>
      <c r="R16"/>
    </row>
    <row r="17" spans="1:18" s="251" customFormat="1" ht="13.5" thickBot="1">
      <c r="A17" s="143"/>
      <c r="B17" s="88"/>
      <c r="C17" s="268"/>
      <c r="D17" s="268"/>
      <c r="E17" s="268"/>
      <c r="F17" s="268"/>
      <c r="G17" s="268"/>
      <c r="H17" s="268"/>
      <c r="I17" s="268"/>
      <c r="J17" s="268"/>
      <c r="K17" s="268"/>
      <c r="L17" s="268"/>
      <c r="M17" s="268"/>
      <c r="N17" s="268"/>
      <c r="O17" s="268"/>
      <c r="P17" s="48"/>
      <c r="Q17"/>
      <c r="R17"/>
    </row>
    <row r="18" spans="1:18" s="251" customFormat="1" ht="13.5" thickBot="1">
      <c r="A18" s="78" t="str">
        <f>IF(DG!$D$127=1,"Aucun",IF(DG!$D$127=2,DG!$B$28,IF(DG!$D$127=3,DG!$B$29,IF(DG!$D$127=4,DG!$B$30,IF(DG!$D$127=5,DG!$B$31,IF(DG!$D$127=6,DG!$B$32,IF(DG!$D$127=7,DG!$B$33)))))))</f>
        <v>Frais de variable 1</v>
      </c>
      <c r="B18" s="495">
        <f>'FD4'!B18</f>
        <v>2.5000000000000001E-2</v>
      </c>
      <c r="C18" s="481">
        <f>INT($B18*'A5'!E$24)</f>
        <v>20</v>
      </c>
      <c r="D18" s="481">
        <f>INT($B18*'A5'!F$24)</f>
        <v>21</v>
      </c>
      <c r="E18" s="481">
        <f>INT($B18*'A5'!G$24)</f>
        <v>22</v>
      </c>
      <c r="F18" s="481">
        <f>INT($B18*'A5'!H$24)</f>
        <v>22</v>
      </c>
      <c r="G18" s="481">
        <f>INT($B18*'A5'!I$24)</f>
        <v>23</v>
      </c>
      <c r="H18" s="481">
        <f>INT($B18*'A5'!J$24)</f>
        <v>24</v>
      </c>
      <c r="I18" s="481">
        <f>INT($B18*'A5'!K$24)</f>
        <v>24</v>
      </c>
      <c r="J18" s="481">
        <f>INT($B18*'A5'!L$24)</f>
        <v>25</v>
      </c>
      <c r="K18" s="481">
        <f>INT($B18*'A5'!M$24)</f>
        <v>26</v>
      </c>
      <c r="L18" s="481">
        <f>INT($B18*'A5'!N$24)</f>
        <v>26</v>
      </c>
      <c r="M18" s="481">
        <f>INT($B18*'A5'!O$24)</f>
        <v>27</v>
      </c>
      <c r="N18" s="481">
        <f>INT($B18*'A5'!P$24)</f>
        <v>28</v>
      </c>
      <c r="O18" s="390">
        <f t="shared" ref="O18:O23" si="0">SUM(C18:N18)</f>
        <v>288</v>
      </c>
      <c r="P18" s="48"/>
      <c r="Q18"/>
      <c r="R18"/>
    </row>
    <row r="19" spans="1:18" s="251" customFormat="1" ht="13.5" thickBot="1">
      <c r="A19" s="78" t="str">
        <f>IF(DG!$D$128=1,"Aucun",IF(DG!$D$128=2,DG!$B$28,IF(DG!$D$128=3,DG!$B$29,IF(DG!$D$128=4,DG!$B$30,IF(DG!$D$128=5,DG!$B$31,IF(DG!$D$128=6,DG!$B$32,IF(DG!$D$128=7,DG!$B$33)))))))</f>
        <v>Frais de variable 2</v>
      </c>
      <c r="B19" s="495">
        <f>'FD4'!B19</f>
        <v>0</v>
      </c>
      <c r="C19" s="481">
        <f>INT($B19*'A5'!E$24)</f>
        <v>0</v>
      </c>
      <c r="D19" s="481">
        <f>INT($B19*'A5'!F$24)</f>
        <v>0</v>
      </c>
      <c r="E19" s="481">
        <f>INT($B19*'A5'!G$24)</f>
        <v>0</v>
      </c>
      <c r="F19" s="481">
        <f>INT($B19*'A5'!H$24)</f>
        <v>0</v>
      </c>
      <c r="G19" s="481">
        <f>INT($B19*'A5'!I$24)</f>
        <v>0</v>
      </c>
      <c r="H19" s="481">
        <f>INT($B19*'A5'!J$24)</f>
        <v>0</v>
      </c>
      <c r="I19" s="481">
        <f>INT($B19*'A5'!K$24)</f>
        <v>0</v>
      </c>
      <c r="J19" s="481">
        <f>INT($B19*'A5'!L$24)</f>
        <v>0</v>
      </c>
      <c r="K19" s="481">
        <f>INT($B19*'A5'!M$24)</f>
        <v>0</v>
      </c>
      <c r="L19" s="481">
        <f>INT($B19*'A5'!N$24)</f>
        <v>0</v>
      </c>
      <c r="M19" s="481">
        <f>INT($B19*'A5'!O$24)</f>
        <v>0</v>
      </c>
      <c r="N19" s="481">
        <f>INT($B19*'A5'!P$24)</f>
        <v>0</v>
      </c>
      <c r="O19" s="390">
        <f t="shared" si="0"/>
        <v>0</v>
      </c>
      <c r="P19" s="48"/>
      <c r="Q19"/>
      <c r="R19"/>
    </row>
    <row r="20" spans="1:18" s="251" customFormat="1" ht="13.5" thickBot="1">
      <c r="A20" s="78" t="str">
        <f>IF(DG!$D$129=1,"Aucun",IF(DG!$D$129=2,DG!$B$28,IF(DG!$D$129=3,DG!$B$29,IF(DG!$D$129=4,DG!$B$30,IF(DG!$D$129=5,DG!$B$31,IF(DG!$D$129=6,DG!$B$32,IF(DG!$D$129=7,DG!$B$33)))))))</f>
        <v>Frais de variable 3</v>
      </c>
      <c r="B20" s="495">
        <f>'FD4'!B20</f>
        <v>0</v>
      </c>
      <c r="C20" s="481">
        <f>INT($B20*'A5'!E$24)</f>
        <v>0</v>
      </c>
      <c r="D20" s="481">
        <f>INT($B20*'A5'!F$24)</f>
        <v>0</v>
      </c>
      <c r="E20" s="481">
        <f>INT($B20*'A5'!G$24)</f>
        <v>0</v>
      </c>
      <c r="F20" s="481">
        <f>INT($B20*'A5'!H$24)</f>
        <v>0</v>
      </c>
      <c r="G20" s="481">
        <f>INT($B20*'A5'!I$24)</f>
        <v>0</v>
      </c>
      <c r="H20" s="481">
        <f>INT($B20*'A5'!J$24)</f>
        <v>0</v>
      </c>
      <c r="I20" s="481">
        <f>INT($B20*'A5'!K$24)</f>
        <v>0</v>
      </c>
      <c r="J20" s="481">
        <f>INT($B20*'A5'!L$24)</f>
        <v>0</v>
      </c>
      <c r="K20" s="481">
        <f>INT($B20*'A5'!M$24)</f>
        <v>0</v>
      </c>
      <c r="L20" s="481">
        <f>INT($B20*'A5'!N$24)</f>
        <v>0</v>
      </c>
      <c r="M20" s="481">
        <f>INT($B20*'A5'!O$24)</f>
        <v>0</v>
      </c>
      <c r="N20" s="481">
        <f>INT($B20*'A5'!P$24)</f>
        <v>0</v>
      </c>
      <c r="O20" s="390">
        <f t="shared" si="0"/>
        <v>0</v>
      </c>
      <c r="P20" s="48"/>
      <c r="Q20"/>
      <c r="R20"/>
    </row>
    <row r="21" spans="1:18" s="251" customFormat="1" ht="13.5" thickBot="1">
      <c r="A21" s="78" t="str">
        <f>IF(DG!$D$130=1,"Aucun",IF(DG!$D$130=2,DG!$B$28,IF(DG!$D$130=3,DG!$B$29,IF(DG!$D$130=4,DG!$B$30,IF(DG!$D$130=5,DG!$B$31,IF(DG!$D$130=6,DG!$B$32,IF(DG!$D$130=7,DG!$B$33)))))))</f>
        <v>Frais de variable 4</v>
      </c>
      <c r="B21" s="495">
        <f>'FD4'!B21</f>
        <v>0</v>
      </c>
      <c r="C21" s="481">
        <f>INT($B21*'A5'!E$24)</f>
        <v>0</v>
      </c>
      <c r="D21" s="481">
        <f>INT($B21*'A5'!F$24)</f>
        <v>0</v>
      </c>
      <c r="E21" s="481">
        <f>INT($B21*'A5'!G$24)</f>
        <v>0</v>
      </c>
      <c r="F21" s="481">
        <f>INT($B21*'A5'!H$24)</f>
        <v>0</v>
      </c>
      <c r="G21" s="481">
        <f>INT($B21*'A5'!I$24)</f>
        <v>0</v>
      </c>
      <c r="H21" s="481">
        <f>INT($B21*'A5'!J$24)</f>
        <v>0</v>
      </c>
      <c r="I21" s="481">
        <f>INT($B21*'A5'!K$24)</f>
        <v>0</v>
      </c>
      <c r="J21" s="481">
        <f>INT($B21*'A5'!L$24)</f>
        <v>0</v>
      </c>
      <c r="K21" s="481">
        <f>INT($B21*'A5'!M$24)</f>
        <v>0</v>
      </c>
      <c r="L21" s="481">
        <f>INT($B21*'A5'!N$24)</f>
        <v>0</v>
      </c>
      <c r="M21" s="481">
        <f>INT($B21*'A5'!O$24)</f>
        <v>0</v>
      </c>
      <c r="N21" s="481">
        <f>INT($B21*'A5'!P$24)</f>
        <v>0</v>
      </c>
      <c r="O21" s="390">
        <f t="shared" si="0"/>
        <v>0</v>
      </c>
      <c r="P21" s="48"/>
      <c r="Q21"/>
      <c r="R21"/>
    </row>
    <row r="22" spans="1:18" s="251" customFormat="1" ht="13.5" thickBot="1">
      <c r="A22" s="78" t="str">
        <f>IF(DG!$D$131=1,"Aucun",IF(DG!$D$131=2,DG!$B$28,IF(DG!$D$131=3,DG!$B$29,IF(DG!$D$131=4,DG!$B$30,IF(DG!$D$131=5,DG!$B$31,IF(DG!$D$131=6,DG!$B$32,IF(DG!$D$131=7,DG!$B$33)))))))</f>
        <v>Frais de variable 5</v>
      </c>
      <c r="B22" s="495">
        <f>'FD4'!B22</f>
        <v>0</v>
      </c>
      <c r="C22" s="481">
        <f>INT($B22*'A5'!E$24)</f>
        <v>0</v>
      </c>
      <c r="D22" s="481">
        <f>INT($B22*'A5'!F$24)</f>
        <v>0</v>
      </c>
      <c r="E22" s="481">
        <f>INT($B22*'A5'!G$24)</f>
        <v>0</v>
      </c>
      <c r="F22" s="481">
        <f>INT($B22*'A5'!H$24)</f>
        <v>0</v>
      </c>
      <c r="G22" s="481">
        <f>INT($B22*'A5'!I$24)</f>
        <v>0</v>
      </c>
      <c r="H22" s="481">
        <f>INT($B22*'A5'!J$24)</f>
        <v>0</v>
      </c>
      <c r="I22" s="481">
        <f>INT($B22*'A5'!K$24)</f>
        <v>0</v>
      </c>
      <c r="J22" s="481">
        <f>INT($B22*'A5'!L$24)</f>
        <v>0</v>
      </c>
      <c r="K22" s="481">
        <f>INT($B22*'A5'!M$24)</f>
        <v>0</v>
      </c>
      <c r="L22" s="481">
        <f>INT($B22*'A5'!N$24)</f>
        <v>0</v>
      </c>
      <c r="M22" s="481">
        <f>INT($B22*'A5'!O$24)</f>
        <v>0</v>
      </c>
      <c r="N22" s="481">
        <f>INT($B22*'A5'!P$24)</f>
        <v>0</v>
      </c>
      <c r="O22" s="390">
        <f t="shared" si="0"/>
        <v>0</v>
      </c>
      <c r="P22" s="48"/>
      <c r="Q22"/>
      <c r="R22"/>
    </row>
    <row r="23" spans="1:18" s="251" customFormat="1" ht="13.5" thickBot="1">
      <c r="A23" s="78" t="str">
        <f>IF(DG!$D$132=1,"Aucun",IF(DG!$D$132=2,DG!$B$28,IF(DG!$D$132=3,DG!$B$29,IF(DG!$D$132=4,DG!$B$30,IF(DG!$D$132=5,DG!$B$31,IF(DG!$D$132=6,DG!$B$32,IF(DG!$D$132=7,DG!$B$33)))))))</f>
        <v>Frais de variable 6</v>
      </c>
      <c r="B23" s="495">
        <f>'FD4'!B23</f>
        <v>0</v>
      </c>
      <c r="C23" s="481">
        <f>INT($B23*'A5'!E$24)</f>
        <v>0</v>
      </c>
      <c r="D23" s="481">
        <f>INT($B23*'A5'!F$24)</f>
        <v>0</v>
      </c>
      <c r="E23" s="481">
        <f>INT($B23*'A5'!G$24)</f>
        <v>0</v>
      </c>
      <c r="F23" s="481">
        <f>INT($B23*'A5'!H$24)</f>
        <v>0</v>
      </c>
      <c r="G23" s="481">
        <f>INT($B23*'A5'!I$24)</f>
        <v>0</v>
      </c>
      <c r="H23" s="481">
        <f>INT($B23*'A5'!J$24)</f>
        <v>0</v>
      </c>
      <c r="I23" s="481">
        <f>INT($B23*'A5'!K$24)</f>
        <v>0</v>
      </c>
      <c r="J23" s="481">
        <f>INT($B23*'A5'!L$24)</f>
        <v>0</v>
      </c>
      <c r="K23" s="481">
        <f>INT($B23*'A5'!M$24)</f>
        <v>0</v>
      </c>
      <c r="L23" s="481">
        <f>INT($B23*'A5'!N$24)</f>
        <v>0</v>
      </c>
      <c r="M23" s="481">
        <f>INT($B23*'A5'!O$24)</f>
        <v>0</v>
      </c>
      <c r="N23" s="481">
        <f>INT($B23*'A5'!P$24)</f>
        <v>0</v>
      </c>
      <c r="O23" s="390">
        <f t="shared" si="0"/>
        <v>0</v>
      </c>
      <c r="P23" s="48"/>
      <c r="Q23"/>
      <c r="R23"/>
    </row>
    <row r="24" spans="1:18" s="251" customFormat="1" ht="13.5" thickBot="1">
      <c r="A24" s="267"/>
      <c r="B24" s="88"/>
      <c r="C24" s="268"/>
      <c r="D24" s="268"/>
      <c r="E24" s="268"/>
      <c r="F24" s="268"/>
      <c r="G24" s="268"/>
      <c r="H24" s="268"/>
      <c r="I24" s="268"/>
      <c r="J24" s="268"/>
      <c r="K24" s="268"/>
      <c r="L24" s="268"/>
      <c r="M24" s="268"/>
      <c r="N24" s="268"/>
      <c r="O24" s="268"/>
      <c r="P24" s="48"/>
      <c r="Q24"/>
      <c r="R24"/>
    </row>
    <row r="25" spans="1:18" s="251" customFormat="1" ht="13.5" thickBot="1">
      <c r="A25" s="43" t="s">
        <v>242</v>
      </c>
      <c r="B25"/>
      <c r="C25" s="524">
        <f t="shared" ref="C25:O25" si="1">SUM(C18:C24)</f>
        <v>20</v>
      </c>
      <c r="D25" s="524">
        <f t="shared" si="1"/>
        <v>21</v>
      </c>
      <c r="E25" s="524">
        <f t="shared" si="1"/>
        <v>22</v>
      </c>
      <c r="F25" s="524">
        <f t="shared" si="1"/>
        <v>22</v>
      </c>
      <c r="G25" s="524">
        <f t="shared" si="1"/>
        <v>23</v>
      </c>
      <c r="H25" s="524">
        <f t="shared" si="1"/>
        <v>24</v>
      </c>
      <c r="I25" s="524">
        <f t="shared" si="1"/>
        <v>24</v>
      </c>
      <c r="J25" s="524">
        <f t="shared" si="1"/>
        <v>25</v>
      </c>
      <c r="K25" s="524">
        <f t="shared" si="1"/>
        <v>26</v>
      </c>
      <c r="L25" s="524">
        <f t="shared" si="1"/>
        <v>26</v>
      </c>
      <c r="M25" s="524">
        <f t="shared" si="1"/>
        <v>27</v>
      </c>
      <c r="N25" s="524">
        <f t="shared" si="1"/>
        <v>28</v>
      </c>
      <c r="O25" s="524">
        <f t="shared" si="1"/>
        <v>288</v>
      </c>
      <c r="P25"/>
      <c r="Q25"/>
      <c r="R25"/>
    </row>
    <row r="26" spans="1:18">
      <c r="A26"/>
      <c r="B26"/>
      <c r="C26"/>
      <c r="D26"/>
      <c r="E26"/>
      <c r="F26"/>
      <c r="G26"/>
      <c r="H26"/>
      <c r="I26"/>
      <c r="J26"/>
      <c r="K26"/>
      <c r="L26"/>
      <c r="M26"/>
      <c r="N26"/>
      <c r="O26"/>
      <c r="P26"/>
      <c r="Q26"/>
      <c r="R26"/>
    </row>
    <row r="27" spans="1:18" ht="13">
      <c r="A27" s="913" t="str">
        <f>'FD4'!A27</f>
        <v>Produit/service 2</v>
      </c>
      <c r="B27"/>
      <c r="C27" s="1190" t="str">
        <f>A27</f>
        <v>Produit/service 2</v>
      </c>
      <c r="D27" s="1191"/>
      <c r="E27" s="1191"/>
      <c r="F27" s="1191"/>
      <c r="G27" s="1191"/>
      <c r="H27" s="1191"/>
      <c r="I27" s="1191"/>
      <c r="J27" s="1191"/>
      <c r="K27" s="1191"/>
      <c r="L27" s="1191"/>
      <c r="M27" s="1191"/>
      <c r="N27" s="1191"/>
      <c r="O27" s="1191"/>
      <c r="P27"/>
      <c r="Q27"/>
      <c r="R27"/>
    </row>
    <row r="28" spans="1:18" ht="13" thickBot="1">
      <c r="A28" s="143"/>
      <c r="B28" s="88"/>
      <c r="C28" s="268"/>
      <c r="D28" s="268"/>
      <c r="E28" s="268"/>
      <c r="F28" s="268"/>
      <c r="G28" s="268"/>
      <c r="H28" s="268"/>
      <c r="I28" s="268"/>
      <c r="J28" s="268"/>
      <c r="K28" s="268"/>
      <c r="L28" s="268"/>
      <c r="M28" s="268"/>
      <c r="N28" s="268"/>
      <c r="O28" s="268"/>
      <c r="P28"/>
      <c r="Q28"/>
      <c r="R28"/>
    </row>
    <row r="29" spans="1:18" ht="13.5" thickBot="1">
      <c r="A29" s="78" t="str">
        <f>IF(DG!$D$127=1,"Aucun",IF(DG!$D$127=2,DG!$B$28,IF(DG!$D$127=3,DG!$B$29,IF(DG!$D$127=4,DG!$B$30,IF(DG!$D$127=5,DG!$B$31,IF(DG!$D$127=6,DG!$B$32,IF(DG!$D$127=7,DG!$B$33)))))))</f>
        <v>Frais de variable 1</v>
      </c>
      <c r="B29" s="495">
        <f>'FD4'!B29</f>
        <v>2.5000000000000001E-2</v>
      </c>
      <c r="C29" s="481">
        <f>INT($B29*'A5'!E$37)</f>
        <v>27</v>
      </c>
      <c r="D29" s="481">
        <f>INT($B29*'A5'!F$37)</f>
        <v>28</v>
      </c>
      <c r="E29" s="481">
        <f>INT($B29*'A5'!G$37)</f>
        <v>30</v>
      </c>
      <c r="F29" s="481">
        <f>INT($B29*'A5'!H$37)</f>
        <v>31</v>
      </c>
      <c r="G29" s="481">
        <f>INT($B29*'A5'!I$37)</f>
        <v>33</v>
      </c>
      <c r="H29" s="481">
        <f>INT($B29*'A5'!J$37)</f>
        <v>34</v>
      </c>
      <c r="I29" s="481">
        <f>INT($B29*'A5'!K$37)</f>
        <v>35</v>
      </c>
      <c r="J29" s="481">
        <f>INT($B29*'A5'!L$37)</f>
        <v>37</v>
      </c>
      <c r="K29" s="481">
        <f>INT($B29*'A5'!M$37)</f>
        <v>38</v>
      </c>
      <c r="L29" s="481">
        <f>INT($B29*'A5'!N$37)</f>
        <v>39</v>
      </c>
      <c r="M29" s="481">
        <f>INT($B29*'A5'!O$37)</f>
        <v>41</v>
      </c>
      <c r="N29" s="481">
        <f>INT($B29*'A5'!P$37)</f>
        <v>42</v>
      </c>
      <c r="O29" s="390">
        <f t="shared" ref="O29:O34" si="2">SUM(C29:N29)</f>
        <v>415</v>
      </c>
      <c r="P29"/>
      <c r="Q29"/>
      <c r="R29"/>
    </row>
    <row r="30" spans="1:18" ht="13.5" thickBot="1">
      <c r="A30" s="78" t="str">
        <f>IF(DG!$D$128=1,"Aucun",IF(DG!$D$128=2,DG!$B$28,IF(DG!$D$128=3,DG!$B$29,IF(DG!$D$128=4,DG!$B$30,IF(DG!$D$128=5,DG!$B$31,IF(DG!$D$128=6,DG!$B$32,IF(DG!$D$128=7,DG!$B$33)))))))</f>
        <v>Frais de variable 2</v>
      </c>
      <c r="B30" s="495">
        <f>'FD4'!B30</f>
        <v>0</v>
      </c>
      <c r="C30" s="481">
        <f>INT($B30*'A5'!E$37)</f>
        <v>0</v>
      </c>
      <c r="D30" s="481">
        <f>INT($B30*'A5'!F$37)</f>
        <v>0</v>
      </c>
      <c r="E30" s="481">
        <f>INT($B30*'A5'!G$37)</f>
        <v>0</v>
      </c>
      <c r="F30" s="481">
        <f>INT($B30*'A5'!H$37)</f>
        <v>0</v>
      </c>
      <c r="G30" s="481">
        <f>INT($B30*'A5'!I$37)</f>
        <v>0</v>
      </c>
      <c r="H30" s="481">
        <f>INT($B30*'A5'!J$37)</f>
        <v>0</v>
      </c>
      <c r="I30" s="481">
        <f>INT($B30*'A5'!K$37)</f>
        <v>0</v>
      </c>
      <c r="J30" s="481">
        <f>INT($B30*'A5'!L$37)</f>
        <v>0</v>
      </c>
      <c r="K30" s="481">
        <f>INT($B30*'A5'!M$37)</f>
        <v>0</v>
      </c>
      <c r="L30" s="481">
        <f>INT($B30*'A5'!N$37)</f>
        <v>0</v>
      </c>
      <c r="M30" s="481">
        <f>INT($B30*'A5'!O$37)</f>
        <v>0</v>
      </c>
      <c r="N30" s="481">
        <f>INT($B30*'A5'!P$37)</f>
        <v>0</v>
      </c>
      <c r="O30" s="390">
        <f t="shared" si="2"/>
        <v>0</v>
      </c>
      <c r="P30"/>
      <c r="Q30"/>
      <c r="R30"/>
    </row>
    <row r="31" spans="1:18" ht="13.5" thickBot="1">
      <c r="A31" s="78" t="str">
        <f>IF(DG!$D$129=1,"Aucun",IF(DG!$D$129=2,DG!$B$28,IF(DG!$D$129=3,DG!$B$29,IF(DG!$D$129=4,DG!$B$30,IF(DG!$D$129=5,DG!$B$31,IF(DG!$D$129=6,DG!$B$32,IF(DG!$D$129=7,DG!$B$33)))))))</f>
        <v>Frais de variable 3</v>
      </c>
      <c r="B31" s="495">
        <f>'FD4'!B31</f>
        <v>0</v>
      </c>
      <c r="C31" s="481">
        <f>INT($B31*'A5'!E$37)</f>
        <v>0</v>
      </c>
      <c r="D31" s="481">
        <f>INT($B31*'A5'!F$37)</f>
        <v>0</v>
      </c>
      <c r="E31" s="481">
        <f>INT($B31*'A5'!G$37)</f>
        <v>0</v>
      </c>
      <c r="F31" s="481">
        <f>INT($B31*'A5'!H$37)</f>
        <v>0</v>
      </c>
      <c r="G31" s="481">
        <f>INT($B31*'A5'!I$37)</f>
        <v>0</v>
      </c>
      <c r="H31" s="481">
        <f>INT($B31*'A5'!J$37)</f>
        <v>0</v>
      </c>
      <c r="I31" s="481">
        <f>INT($B31*'A5'!K$37)</f>
        <v>0</v>
      </c>
      <c r="J31" s="481">
        <f>INT($B31*'A5'!L$37)</f>
        <v>0</v>
      </c>
      <c r="K31" s="481">
        <f>INT($B31*'A5'!M$37)</f>
        <v>0</v>
      </c>
      <c r="L31" s="481">
        <f>INT($B31*'A5'!N$37)</f>
        <v>0</v>
      </c>
      <c r="M31" s="481">
        <f>INT($B31*'A5'!O$37)</f>
        <v>0</v>
      </c>
      <c r="N31" s="481">
        <f>INT($B31*'A5'!P$37)</f>
        <v>0</v>
      </c>
      <c r="O31" s="390">
        <f t="shared" si="2"/>
        <v>0</v>
      </c>
      <c r="P31"/>
      <c r="Q31"/>
      <c r="R31"/>
    </row>
    <row r="32" spans="1:18" ht="13.5" thickBot="1">
      <c r="A32" s="78" t="str">
        <f>IF(DG!$D$130=1,"Aucun",IF(DG!$D$130=2,DG!$B$28,IF(DG!$D$130=3,DG!$B$29,IF(DG!$D$130=4,DG!$B$30,IF(DG!$D$130=5,DG!$B$31,IF(DG!$D$130=6,DG!$B$32,IF(DG!$D$130=7,DG!$B$33)))))))</f>
        <v>Frais de variable 4</v>
      </c>
      <c r="B32" s="495">
        <f>'FD4'!B32</f>
        <v>0</v>
      </c>
      <c r="C32" s="481">
        <f>INT($B32*'A5'!E$37)</f>
        <v>0</v>
      </c>
      <c r="D32" s="481">
        <f>INT($B32*'A5'!F$37)</f>
        <v>0</v>
      </c>
      <c r="E32" s="481">
        <f>INT($B32*'A5'!G$37)</f>
        <v>0</v>
      </c>
      <c r="F32" s="481">
        <f>INT($B32*'A5'!H$37)</f>
        <v>0</v>
      </c>
      <c r="G32" s="481">
        <f>INT($B32*'A5'!I$37)</f>
        <v>0</v>
      </c>
      <c r="H32" s="481">
        <f>INT($B32*'A5'!J$37)</f>
        <v>0</v>
      </c>
      <c r="I32" s="481">
        <f>INT($B32*'A5'!K$37)</f>
        <v>0</v>
      </c>
      <c r="J32" s="481">
        <f>INT($B32*'A5'!L$37)</f>
        <v>0</v>
      </c>
      <c r="K32" s="481">
        <f>INT($B32*'A5'!M$37)</f>
        <v>0</v>
      </c>
      <c r="L32" s="481">
        <f>INT($B32*'A5'!N$37)</f>
        <v>0</v>
      </c>
      <c r="M32" s="481">
        <f>INT($B32*'A5'!O$37)</f>
        <v>0</v>
      </c>
      <c r="N32" s="481">
        <f>INT($B32*'A5'!P$37)</f>
        <v>0</v>
      </c>
      <c r="O32" s="390">
        <f t="shared" si="2"/>
        <v>0</v>
      </c>
      <c r="P32"/>
      <c r="Q32"/>
      <c r="R32"/>
    </row>
    <row r="33" spans="1:18" ht="13.5" thickBot="1">
      <c r="A33" s="78" t="str">
        <f>IF(DG!$D$131=1,"Aucun",IF(DG!$D$131=2,DG!$B$28,IF(DG!$D$131=3,DG!$B$29,IF(DG!$D$131=4,DG!$B$30,IF(DG!$D$131=5,DG!$B$31,IF(DG!$D$131=6,DG!$B$32,IF(DG!$D$131=7,DG!$B$33)))))))</f>
        <v>Frais de variable 5</v>
      </c>
      <c r="B33" s="495">
        <f>'FD4'!B33</f>
        <v>0</v>
      </c>
      <c r="C33" s="481">
        <f>INT($B33*'A5'!E$37)</f>
        <v>0</v>
      </c>
      <c r="D33" s="481">
        <f>INT($B33*'A5'!F$37)</f>
        <v>0</v>
      </c>
      <c r="E33" s="481">
        <f>INT($B33*'A5'!G$37)</f>
        <v>0</v>
      </c>
      <c r="F33" s="481">
        <f>INT($B33*'A5'!H$37)</f>
        <v>0</v>
      </c>
      <c r="G33" s="481">
        <f>INT($B33*'A5'!I$37)</f>
        <v>0</v>
      </c>
      <c r="H33" s="481">
        <f>INT($B33*'A5'!J$37)</f>
        <v>0</v>
      </c>
      <c r="I33" s="481">
        <f>INT($B33*'A5'!K$37)</f>
        <v>0</v>
      </c>
      <c r="J33" s="481">
        <f>INT($B33*'A5'!L$37)</f>
        <v>0</v>
      </c>
      <c r="K33" s="481">
        <f>INT($B33*'A5'!M$37)</f>
        <v>0</v>
      </c>
      <c r="L33" s="481">
        <f>INT($B33*'A5'!N$37)</f>
        <v>0</v>
      </c>
      <c r="M33" s="481">
        <f>INT($B33*'A5'!O$37)</f>
        <v>0</v>
      </c>
      <c r="N33" s="481">
        <f>INT($B33*'A5'!P$37)</f>
        <v>0</v>
      </c>
      <c r="O33" s="390">
        <f t="shared" si="2"/>
        <v>0</v>
      </c>
      <c r="P33"/>
      <c r="Q33"/>
      <c r="R33"/>
    </row>
    <row r="34" spans="1:18" ht="13.5" thickBot="1">
      <c r="A34" s="78" t="str">
        <f>IF(DG!$D$132=1,"Aucun",IF(DG!$D$132=2,DG!$B$28,IF(DG!$D$132=3,DG!$B$29,IF(DG!$D$132=4,DG!$B$30,IF(DG!$D$132=5,DG!$B$31,IF(DG!$D$132=6,DG!$B$32,IF(DG!$D$132=7,DG!$B$33)))))))</f>
        <v>Frais de variable 6</v>
      </c>
      <c r="B34" s="495">
        <f>'FD4'!B34</f>
        <v>0</v>
      </c>
      <c r="C34" s="481">
        <f>INT($B34*'A5'!E$37)</f>
        <v>0</v>
      </c>
      <c r="D34" s="481">
        <f>INT($B34*'A5'!F$37)</f>
        <v>0</v>
      </c>
      <c r="E34" s="481">
        <f>INT($B34*'A5'!G$37)</f>
        <v>0</v>
      </c>
      <c r="F34" s="481">
        <f>INT($B34*'A5'!H$37)</f>
        <v>0</v>
      </c>
      <c r="G34" s="481">
        <f>INT($B34*'A5'!I$37)</f>
        <v>0</v>
      </c>
      <c r="H34" s="481">
        <f>INT($B34*'A5'!J$37)</f>
        <v>0</v>
      </c>
      <c r="I34" s="481">
        <f>INT($B34*'A5'!K$37)</f>
        <v>0</v>
      </c>
      <c r="J34" s="481">
        <f>INT($B34*'A5'!L$37)</f>
        <v>0</v>
      </c>
      <c r="K34" s="481">
        <f>INT($B34*'A5'!M$37)</f>
        <v>0</v>
      </c>
      <c r="L34" s="481">
        <f>INT($B34*'A5'!N$37)</f>
        <v>0</v>
      </c>
      <c r="M34" s="481">
        <f>INT($B34*'A5'!O$37)</f>
        <v>0</v>
      </c>
      <c r="N34" s="481">
        <f>INT($B34*'A5'!P$37)</f>
        <v>0</v>
      </c>
      <c r="O34" s="390">
        <f t="shared" si="2"/>
        <v>0</v>
      </c>
      <c r="P34"/>
      <c r="Q34"/>
      <c r="R34"/>
    </row>
    <row r="35" spans="1:18" ht="13" thickBot="1">
      <c r="A35" s="267"/>
      <c r="B35" s="88"/>
      <c r="C35" s="268"/>
      <c r="D35" s="268"/>
      <c r="E35" s="268"/>
      <c r="F35" s="268"/>
      <c r="G35" s="268"/>
      <c r="H35" s="268"/>
      <c r="I35" s="268"/>
      <c r="J35" s="268"/>
      <c r="K35" s="268"/>
      <c r="L35" s="268"/>
      <c r="M35" s="268"/>
      <c r="N35" s="268"/>
      <c r="O35" s="268"/>
      <c r="P35"/>
      <c r="Q35"/>
      <c r="R35"/>
    </row>
    <row r="36" spans="1:18" s="251" customFormat="1" ht="13.5" thickBot="1">
      <c r="A36" s="43" t="s">
        <v>242</v>
      </c>
      <c r="B36"/>
      <c r="C36" s="524">
        <f t="shared" ref="C36:O36" si="3">SUM(C29:C35)</f>
        <v>27</v>
      </c>
      <c r="D36" s="524">
        <f t="shared" si="3"/>
        <v>28</v>
      </c>
      <c r="E36" s="524">
        <f t="shared" si="3"/>
        <v>30</v>
      </c>
      <c r="F36" s="524">
        <f t="shared" si="3"/>
        <v>31</v>
      </c>
      <c r="G36" s="524">
        <f t="shared" si="3"/>
        <v>33</v>
      </c>
      <c r="H36" s="524">
        <f t="shared" si="3"/>
        <v>34</v>
      </c>
      <c r="I36" s="524">
        <f t="shared" si="3"/>
        <v>35</v>
      </c>
      <c r="J36" s="524">
        <f t="shared" si="3"/>
        <v>37</v>
      </c>
      <c r="K36" s="524">
        <f t="shared" si="3"/>
        <v>38</v>
      </c>
      <c r="L36" s="524">
        <f t="shared" si="3"/>
        <v>39</v>
      </c>
      <c r="M36" s="524">
        <f t="shared" si="3"/>
        <v>41</v>
      </c>
      <c r="N36" s="524">
        <f t="shared" si="3"/>
        <v>42</v>
      </c>
      <c r="O36" s="524">
        <f t="shared" si="3"/>
        <v>415</v>
      </c>
      <c r="P36"/>
      <c r="Q36"/>
      <c r="R36"/>
    </row>
    <row r="37" spans="1:18">
      <c r="A37"/>
      <c r="B37"/>
      <c r="C37"/>
      <c r="D37"/>
      <c r="E37"/>
      <c r="F37"/>
      <c r="G37"/>
      <c r="H37"/>
      <c r="I37"/>
      <c r="J37"/>
      <c r="K37"/>
      <c r="L37"/>
      <c r="M37"/>
      <c r="N37"/>
      <c r="O37"/>
      <c r="P37"/>
      <c r="Q37"/>
      <c r="R37"/>
    </row>
    <row r="38" spans="1:18" ht="13">
      <c r="A38" s="913" t="str">
        <f>'FD4'!A38</f>
        <v>Produit/service 3</v>
      </c>
      <c r="B38"/>
      <c r="C38" s="1190" t="str">
        <f>A38</f>
        <v>Produit/service 3</v>
      </c>
      <c r="D38" s="1191"/>
      <c r="E38" s="1191"/>
      <c r="F38" s="1191"/>
      <c r="G38" s="1191"/>
      <c r="H38" s="1191"/>
      <c r="I38" s="1191"/>
      <c r="J38" s="1191"/>
      <c r="K38" s="1191"/>
      <c r="L38" s="1191"/>
      <c r="M38" s="1191"/>
      <c r="N38" s="1191"/>
      <c r="O38" s="1191"/>
      <c r="P38"/>
      <c r="Q38"/>
      <c r="R38"/>
    </row>
    <row r="39" spans="1:18" ht="13" thickBot="1">
      <c r="A39" s="143"/>
      <c r="B39" s="88"/>
      <c r="C39" s="268"/>
      <c r="D39" s="268"/>
      <c r="E39" s="268"/>
      <c r="F39" s="268"/>
      <c r="G39" s="268"/>
      <c r="H39" s="268"/>
      <c r="I39" s="268"/>
      <c r="J39" s="268"/>
      <c r="K39" s="268"/>
      <c r="L39" s="268"/>
      <c r="M39" s="268"/>
      <c r="N39" s="268"/>
      <c r="O39" s="268"/>
      <c r="P39"/>
      <c r="Q39"/>
      <c r="R39"/>
    </row>
    <row r="40" spans="1:18" ht="13.5" thickBot="1">
      <c r="A40" s="78" t="str">
        <f>IF(DG!$D$127=1,"Aucun",IF(DG!$D$127=2,DG!$B$28,IF(DG!$D$127=3,DG!$B$29,IF(DG!$D$127=4,DG!$B$30,IF(DG!$D$127=5,DG!$B$31,IF(DG!$D$127=6,DG!$B$32,IF(DG!$D$127=7,DG!$B$33)))))))</f>
        <v>Frais de variable 1</v>
      </c>
      <c r="B40" s="495">
        <f>'FD4'!B40</f>
        <v>2.5000000000000001E-2</v>
      </c>
      <c r="C40" s="481">
        <f>INT($B40*'A5'!E$50)</f>
        <v>41</v>
      </c>
      <c r="D40" s="481">
        <f>INT($B40*'A5'!F$50)</f>
        <v>43</v>
      </c>
      <c r="E40" s="481">
        <f>INT($B40*'A5'!G$50)</f>
        <v>45</v>
      </c>
      <c r="F40" s="481">
        <f>INT($B40*'A5'!H$50)</f>
        <v>47</v>
      </c>
      <c r="G40" s="481">
        <f>INT($B40*'A5'!I$50)</f>
        <v>49</v>
      </c>
      <c r="H40" s="481">
        <f>INT($B40*'A5'!J$50)</f>
        <v>51</v>
      </c>
      <c r="I40" s="481">
        <f>INT($B40*'A5'!K$50)</f>
        <v>53</v>
      </c>
      <c r="J40" s="481">
        <f>INT($B40*'A5'!L$50)</f>
        <v>55</v>
      </c>
      <c r="K40" s="481">
        <f>INT($B40*'A5'!M$50)</f>
        <v>57</v>
      </c>
      <c r="L40" s="481">
        <f>INT($B40*'A5'!N$50)</f>
        <v>59</v>
      </c>
      <c r="M40" s="481">
        <f>INT($B40*'A5'!O$50)</f>
        <v>62</v>
      </c>
      <c r="N40" s="481">
        <f>INT($B40*'A5'!P$50)</f>
        <v>64</v>
      </c>
      <c r="O40" s="390">
        <f t="shared" ref="O40:O45" si="4">SUM(C40:N40)</f>
        <v>626</v>
      </c>
      <c r="P40"/>
      <c r="Q40"/>
      <c r="R40"/>
    </row>
    <row r="41" spans="1:18" ht="13.5" thickBot="1">
      <c r="A41" s="78" t="str">
        <f>IF(DG!$D$128=1,"Aucun",IF(DG!$D$128=2,DG!$B$28,IF(DG!$D$128=3,DG!$B$29,IF(DG!$D$128=4,DG!$B$30,IF(DG!$D$128=5,DG!$B$31,IF(DG!$D$128=6,DG!$B$32,IF(DG!$D$128=7,DG!$B$33)))))))</f>
        <v>Frais de variable 2</v>
      </c>
      <c r="B41" s="495">
        <f>'FD4'!B41</f>
        <v>0</v>
      </c>
      <c r="C41" s="481">
        <f>INT($B41*'A5'!E$50)</f>
        <v>0</v>
      </c>
      <c r="D41" s="481">
        <f>INT($B41*'A5'!F$50)</f>
        <v>0</v>
      </c>
      <c r="E41" s="481">
        <f>INT($B41*'A5'!G$50)</f>
        <v>0</v>
      </c>
      <c r="F41" s="481">
        <f>INT($B41*'A5'!H$50)</f>
        <v>0</v>
      </c>
      <c r="G41" s="481">
        <f>INT($B41*'A5'!I$50)</f>
        <v>0</v>
      </c>
      <c r="H41" s="481">
        <f>INT($B41*'A5'!J$50)</f>
        <v>0</v>
      </c>
      <c r="I41" s="481">
        <f>INT($B41*'A5'!K$50)</f>
        <v>0</v>
      </c>
      <c r="J41" s="481">
        <f>INT($B41*'A5'!L$50)</f>
        <v>0</v>
      </c>
      <c r="K41" s="481">
        <f>INT($B41*'A5'!M$50)</f>
        <v>0</v>
      </c>
      <c r="L41" s="481">
        <f>INT($B41*'A5'!N$50)</f>
        <v>0</v>
      </c>
      <c r="M41" s="481">
        <f>INT($B41*'A5'!O$50)</f>
        <v>0</v>
      </c>
      <c r="N41" s="481">
        <f>INT($B41*'A5'!P$50)</f>
        <v>0</v>
      </c>
      <c r="O41" s="390">
        <f t="shared" si="4"/>
        <v>0</v>
      </c>
      <c r="P41"/>
      <c r="Q41"/>
      <c r="R41"/>
    </row>
    <row r="42" spans="1:18" ht="13.5" thickBot="1">
      <c r="A42" s="78" t="str">
        <f>IF(DG!$D$129=1,"Aucun",IF(DG!$D$129=2,DG!$B$28,IF(DG!$D$129=3,DG!$B$29,IF(DG!$D$129=4,DG!$B$30,IF(DG!$D$129=5,DG!$B$31,IF(DG!$D$129=6,DG!$B$32,IF(DG!$D$129=7,DG!$B$33)))))))</f>
        <v>Frais de variable 3</v>
      </c>
      <c r="B42" s="495">
        <f>'FD4'!B42</f>
        <v>0</v>
      </c>
      <c r="C42" s="481">
        <f>INT($B42*'A5'!E$50)</f>
        <v>0</v>
      </c>
      <c r="D42" s="481">
        <f>INT($B42*'A5'!F$50)</f>
        <v>0</v>
      </c>
      <c r="E42" s="481">
        <f>INT($B42*'A5'!G$50)</f>
        <v>0</v>
      </c>
      <c r="F42" s="481">
        <f>INT($B42*'A5'!H$50)</f>
        <v>0</v>
      </c>
      <c r="G42" s="481">
        <f>INT($B42*'A5'!I$50)</f>
        <v>0</v>
      </c>
      <c r="H42" s="481">
        <f>INT($B42*'A5'!J$50)</f>
        <v>0</v>
      </c>
      <c r="I42" s="481">
        <f>INT($B42*'A5'!K$50)</f>
        <v>0</v>
      </c>
      <c r="J42" s="481">
        <f>INT($B42*'A5'!L$50)</f>
        <v>0</v>
      </c>
      <c r="K42" s="481">
        <f>INT($B42*'A5'!M$50)</f>
        <v>0</v>
      </c>
      <c r="L42" s="481">
        <f>INT($B42*'A5'!N$50)</f>
        <v>0</v>
      </c>
      <c r="M42" s="481">
        <f>INT($B42*'A5'!O$50)</f>
        <v>0</v>
      </c>
      <c r="N42" s="481">
        <f>INT($B42*'A5'!P$50)</f>
        <v>0</v>
      </c>
      <c r="O42" s="390">
        <f t="shared" si="4"/>
        <v>0</v>
      </c>
      <c r="P42"/>
      <c r="Q42"/>
      <c r="R42"/>
    </row>
    <row r="43" spans="1:18" ht="13.5" thickBot="1">
      <c r="A43" s="78" t="str">
        <f>IF(DG!$D$130=1,"Aucun",IF(DG!$D$130=2,DG!$B$28,IF(DG!$D$130=3,DG!$B$29,IF(DG!$D$130=4,DG!$B$30,IF(DG!$D$130=5,DG!$B$31,IF(DG!$D$130=6,DG!$B$32,IF(DG!$D$130=7,DG!$B$33)))))))</f>
        <v>Frais de variable 4</v>
      </c>
      <c r="B43" s="495">
        <f>'FD4'!B43</f>
        <v>0</v>
      </c>
      <c r="C43" s="481">
        <f>INT($B43*'A5'!E$50)</f>
        <v>0</v>
      </c>
      <c r="D43" s="481">
        <f>INT($B43*'A5'!F$50)</f>
        <v>0</v>
      </c>
      <c r="E43" s="481">
        <f>INT($B43*'A5'!G$50)</f>
        <v>0</v>
      </c>
      <c r="F43" s="481">
        <f>INT($B43*'A5'!H$50)</f>
        <v>0</v>
      </c>
      <c r="G43" s="481">
        <f>INT($B43*'A5'!I$50)</f>
        <v>0</v>
      </c>
      <c r="H43" s="481">
        <f>INT($B43*'A5'!J$50)</f>
        <v>0</v>
      </c>
      <c r="I43" s="481">
        <f>INT($B43*'A5'!K$50)</f>
        <v>0</v>
      </c>
      <c r="J43" s="481">
        <f>INT($B43*'A5'!L$50)</f>
        <v>0</v>
      </c>
      <c r="K43" s="481">
        <f>INT($B43*'A5'!M$50)</f>
        <v>0</v>
      </c>
      <c r="L43" s="481">
        <f>INT($B43*'A5'!N$50)</f>
        <v>0</v>
      </c>
      <c r="M43" s="481">
        <f>INT($B43*'A5'!O$50)</f>
        <v>0</v>
      </c>
      <c r="N43" s="481">
        <f>INT($B43*'A5'!P$50)</f>
        <v>0</v>
      </c>
      <c r="O43" s="390">
        <f t="shared" si="4"/>
        <v>0</v>
      </c>
      <c r="P43"/>
      <c r="Q43"/>
      <c r="R43"/>
    </row>
    <row r="44" spans="1:18" ht="13.5" thickBot="1">
      <c r="A44" s="78" t="str">
        <f>IF(DG!$D$131=1,"Aucun",IF(DG!$D$131=2,DG!$B$28,IF(DG!$D$131=3,DG!$B$29,IF(DG!$D$131=4,DG!$B$30,IF(DG!$D$131=5,DG!$B$31,IF(DG!$D$131=6,DG!$B$32,IF(DG!$D$131=7,DG!$B$33)))))))</f>
        <v>Frais de variable 5</v>
      </c>
      <c r="B44" s="495">
        <f>'FD4'!B44</f>
        <v>0</v>
      </c>
      <c r="C44" s="481">
        <f>INT($B44*'A5'!E$50)</f>
        <v>0</v>
      </c>
      <c r="D44" s="481">
        <f>INT($B44*'A5'!F$50)</f>
        <v>0</v>
      </c>
      <c r="E44" s="481">
        <f>INT($B44*'A5'!G$50)</f>
        <v>0</v>
      </c>
      <c r="F44" s="481">
        <f>INT($B44*'A5'!H$50)</f>
        <v>0</v>
      </c>
      <c r="G44" s="481">
        <f>INT($B44*'A5'!I$50)</f>
        <v>0</v>
      </c>
      <c r="H44" s="481">
        <f>INT($B44*'A5'!J$50)</f>
        <v>0</v>
      </c>
      <c r="I44" s="481">
        <f>INT($B44*'A5'!K$50)</f>
        <v>0</v>
      </c>
      <c r="J44" s="481">
        <f>INT($B44*'A5'!L$50)</f>
        <v>0</v>
      </c>
      <c r="K44" s="481">
        <f>INT($B44*'A5'!M$50)</f>
        <v>0</v>
      </c>
      <c r="L44" s="481">
        <f>INT($B44*'A5'!N$50)</f>
        <v>0</v>
      </c>
      <c r="M44" s="481">
        <f>INT($B44*'A5'!O$50)</f>
        <v>0</v>
      </c>
      <c r="N44" s="481">
        <f>INT($B44*'A5'!P$50)</f>
        <v>0</v>
      </c>
      <c r="O44" s="390">
        <f t="shared" si="4"/>
        <v>0</v>
      </c>
      <c r="P44"/>
      <c r="Q44"/>
      <c r="R44"/>
    </row>
    <row r="45" spans="1:18" ht="13.5" thickBot="1">
      <c r="A45" s="78" t="str">
        <f>IF(DG!$D$132=1,"Aucun",IF(DG!$D$132=2,DG!$B$28,IF(DG!$D$132=3,DG!$B$29,IF(DG!$D$132=4,DG!$B$30,IF(DG!$D$132=5,DG!$B$31,IF(DG!$D$132=6,DG!$B$32,IF(DG!$D$132=7,DG!$B$33)))))))</f>
        <v>Frais de variable 6</v>
      </c>
      <c r="B45" s="495">
        <f>'FD4'!B45</f>
        <v>0</v>
      </c>
      <c r="C45" s="481">
        <f>INT($B45*'A5'!E$50)</f>
        <v>0</v>
      </c>
      <c r="D45" s="481">
        <f>INT($B45*'A5'!F$50)</f>
        <v>0</v>
      </c>
      <c r="E45" s="481">
        <f>INT($B45*'A5'!G$50)</f>
        <v>0</v>
      </c>
      <c r="F45" s="481">
        <f>INT($B45*'A5'!H$50)</f>
        <v>0</v>
      </c>
      <c r="G45" s="481">
        <f>INT($B45*'A5'!I$50)</f>
        <v>0</v>
      </c>
      <c r="H45" s="481">
        <f>INT($B45*'A5'!J$50)</f>
        <v>0</v>
      </c>
      <c r="I45" s="481">
        <f>INT($B45*'A5'!K$50)</f>
        <v>0</v>
      </c>
      <c r="J45" s="481">
        <f>INT($B45*'A5'!L$50)</f>
        <v>0</v>
      </c>
      <c r="K45" s="481">
        <f>INT($B45*'A5'!M$50)</f>
        <v>0</v>
      </c>
      <c r="L45" s="481">
        <f>INT($B45*'A5'!N$50)</f>
        <v>0</v>
      </c>
      <c r="M45" s="481">
        <f>INT($B45*'A5'!O$50)</f>
        <v>0</v>
      </c>
      <c r="N45" s="481">
        <f>INT($B45*'A5'!P$50)</f>
        <v>0</v>
      </c>
      <c r="O45" s="390">
        <f t="shared" si="4"/>
        <v>0</v>
      </c>
      <c r="P45"/>
      <c r="Q45"/>
      <c r="R45"/>
    </row>
    <row r="46" spans="1:18" ht="13" thickBot="1">
      <c r="A46" s="267"/>
      <c r="B46" s="88"/>
      <c r="C46" s="268"/>
      <c r="D46" s="268"/>
      <c r="E46" s="268"/>
      <c r="F46" s="268"/>
      <c r="G46" s="268"/>
      <c r="H46" s="268"/>
      <c r="I46" s="268"/>
      <c r="J46" s="268"/>
      <c r="K46" s="268"/>
      <c r="L46" s="268"/>
      <c r="M46" s="268"/>
      <c r="N46" s="268"/>
      <c r="O46" s="268"/>
      <c r="P46"/>
      <c r="Q46"/>
      <c r="R46"/>
    </row>
    <row r="47" spans="1:18" s="251" customFormat="1" ht="13.5" thickBot="1">
      <c r="A47" s="43" t="s">
        <v>242</v>
      </c>
      <c r="B47"/>
      <c r="C47" s="524">
        <f t="shared" ref="C47:O47" si="5">SUM(C40:C46)</f>
        <v>41</v>
      </c>
      <c r="D47" s="524">
        <f t="shared" si="5"/>
        <v>43</v>
      </c>
      <c r="E47" s="524">
        <f t="shared" si="5"/>
        <v>45</v>
      </c>
      <c r="F47" s="524">
        <f t="shared" si="5"/>
        <v>47</v>
      </c>
      <c r="G47" s="524">
        <f t="shared" si="5"/>
        <v>49</v>
      </c>
      <c r="H47" s="524">
        <f t="shared" si="5"/>
        <v>51</v>
      </c>
      <c r="I47" s="524">
        <f t="shared" si="5"/>
        <v>53</v>
      </c>
      <c r="J47" s="524">
        <f t="shared" si="5"/>
        <v>55</v>
      </c>
      <c r="K47" s="524">
        <f t="shared" si="5"/>
        <v>57</v>
      </c>
      <c r="L47" s="524">
        <f t="shared" si="5"/>
        <v>59</v>
      </c>
      <c r="M47" s="524">
        <f t="shared" si="5"/>
        <v>62</v>
      </c>
      <c r="N47" s="524">
        <f t="shared" si="5"/>
        <v>64</v>
      </c>
      <c r="O47" s="524">
        <f t="shared" si="5"/>
        <v>626</v>
      </c>
      <c r="P47"/>
      <c r="Q47"/>
      <c r="R47"/>
    </row>
    <row r="48" spans="1:18">
      <c r="A48"/>
      <c r="B48"/>
      <c r="C48"/>
      <c r="D48"/>
      <c r="E48"/>
      <c r="F48"/>
      <c r="G48"/>
      <c r="H48"/>
      <c r="I48"/>
      <c r="J48"/>
      <c r="K48"/>
      <c r="L48"/>
      <c r="M48"/>
      <c r="N48"/>
      <c r="O48"/>
      <c r="P48"/>
      <c r="Q48"/>
      <c r="R48"/>
    </row>
    <row r="49" spans="1:18" ht="13">
      <c r="A49" s="913" t="str">
        <f>'FD4'!A49</f>
        <v>Produit/service 4</v>
      </c>
      <c r="B49"/>
      <c r="C49" s="1190" t="str">
        <f>A49</f>
        <v>Produit/service 4</v>
      </c>
      <c r="D49" s="1191"/>
      <c r="E49" s="1191"/>
      <c r="F49" s="1191"/>
      <c r="G49" s="1191"/>
      <c r="H49" s="1191"/>
      <c r="I49" s="1191"/>
      <c r="J49" s="1191"/>
      <c r="K49" s="1191"/>
      <c r="L49" s="1191"/>
      <c r="M49" s="1191"/>
      <c r="N49" s="1191"/>
      <c r="O49" s="1191"/>
      <c r="P49"/>
      <c r="Q49"/>
      <c r="R49"/>
    </row>
    <row r="50" spans="1:18" ht="13" thickBot="1">
      <c r="A50" s="143"/>
      <c r="B50" s="88"/>
      <c r="C50" s="268"/>
      <c r="D50" s="268"/>
      <c r="E50" s="268"/>
      <c r="F50" s="268"/>
      <c r="G50" s="268"/>
      <c r="H50" s="268"/>
      <c r="I50" s="268"/>
      <c r="J50" s="268"/>
      <c r="K50" s="268"/>
      <c r="L50" s="268"/>
      <c r="M50" s="268"/>
      <c r="N50" s="268"/>
      <c r="O50" s="268"/>
      <c r="P50"/>
      <c r="Q50"/>
      <c r="R50"/>
    </row>
    <row r="51" spans="1:18" ht="13.5" thickBot="1">
      <c r="A51" s="78" t="str">
        <f>IF(DG!$D$127=1,"Aucun",IF(DG!$D$127=2,DG!$B$28,IF(DG!$D$127=3,DG!$B$29,IF(DG!$D$127=4,DG!$B$30,IF(DG!$D$127=5,DG!$B$31,IF(DG!$D$127=6,DG!$B$32,IF(DG!$D$127=7,DG!$B$33)))))))</f>
        <v>Frais de variable 1</v>
      </c>
      <c r="B51" s="495">
        <f>'FD4'!B51</f>
        <v>0</v>
      </c>
      <c r="C51" s="481">
        <f>INT($B51*'A5'!E$63)</f>
        <v>0</v>
      </c>
      <c r="D51" s="481">
        <f>INT($B51*'A5'!F$63)</f>
        <v>0</v>
      </c>
      <c r="E51" s="481">
        <f>INT($B51*'A5'!G$63)</f>
        <v>0</v>
      </c>
      <c r="F51" s="481">
        <f>INT($B51*'A5'!H$63)</f>
        <v>0</v>
      </c>
      <c r="G51" s="481">
        <f>INT($B51*'A5'!I$63)</f>
        <v>0</v>
      </c>
      <c r="H51" s="481">
        <f>INT($B51*'A5'!J$63)</f>
        <v>0</v>
      </c>
      <c r="I51" s="481">
        <f>INT($B51*'A5'!K$63)</f>
        <v>0</v>
      </c>
      <c r="J51" s="481">
        <f>INT($B51*'A5'!L$63)</f>
        <v>0</v>
      </c>
      <c r="K51" s="481">
        <f>INT($B51*'A5'!M$63)</f>
        <v>0</v>
      </c>
      <c r="L51" s="481">
        <f>INT($B51*'A5'!N$63)</f>
        <v>0</v>
      </c>
      <c r="M51" s="481">
        <f>INT($B51*'A5'!O$63)</f>
        <v>0</v>
      </c>
      <c r="N51" s="481">
        <f>INT($B51*'A5'!P$63)</f>
        <v>0</v>
      </c>
      <c r="O51" s="390">
        <f t="shared" ref="O51:O56" si="6">SUM(C51:N51)</f>
        <v>0</v>
      </c>
      <c r="P51"/>
      <c r="Q51"/>
      <c r="R51"/>
    </row>
    <row r="52" spans="1:18" ht="13.5" thickBot="1">
      <c r="A52" s="78" t="str">
        <f>IF(DG!$D$128=1,"Aucun",IF(DG!$D$128=2,DG!$B$28,IF(DG!$D$128=3,DG!$B$29,IF(DG!$D$128=4,DG!$B$30,IF(DG!$D$128=5,DG!$B$31,IF(DG!$D$128=6,DG!$B$32,IF(DG!$D$128=7,DG!$B$33)))))))</f>
        <v>Frais de variable 2</v>
      </c>
      <c r="B52" s="495">
        <f>'FD4'!B52</f>
        <v>0</v>
      </c>
      <c r="C52" s="481">
        <f>INT($B52*'A5'!E$63)</f>
        <v>0</v>
      </c>
      <c r="D52" s="481">
        <f>INT($B52*'A5'!F$63)</f>
        <v>0</v>
      </c>
      <c r="E52" s="481">
        <f>INT($B52*'A5'!G$63)</f>
        <v>0</v>
      </c>
      <c r="F52" s="481">
        <f>INT($B52*'A5'!H$63)</f>
        <v>0</v>
      </c>
      <c r="G52" s="481">
        <f>INT($B52*'A5'!I$63)</f>
        <v>0</v>
      </c>
      <c r="H52" s="481">
        <f>INT($B52*'A5'!J$63)</f>
        <v>0</v>
      </c>
      <c r="I52" s="481">
        <f>INT($B52*'A5'!K$63)</f>
        <v>0</v>
      </c>
      <c r="J52" s="481">
        <f>INT($B52*'A5'!L$63)</f>
        <v>0</v>
      </c>
      <c r="K52" s="481">
        <f>INT($B52*'A5'!M$63)</f>
        <v>0</v>
      </c>
      <c r="L52" s="481">
        <f>INT($B52*'A5'!N$63)</f>
        <v>0</v>
      </c>
      <c r="M52" s="481">
        <f>INT($B52*'A5'!O$63)</f>
        <v>0</v>
      </c>
      <c r="N52" s="481">
        <f>INT($B52*'A5'!P$63)</f>
        <v>0</v>
      </c>
      <c r="O52" s="390">
        <f t="shared" si="6"/>
        <v>0</v>
      </c>
      <c r="P52"/>
      <c r="Q52"/>
      <c r="R52"/>
    </row>
    <row r="53" spans="1:18" ht="13.5" thickBot="1">
      <c r="A53" s="78" t="str">
        <f>IF(DG!$D$129=1,"Aucun",IF(DG!$D$129=2,DG!$B$28,IF(DG!$D$129=3,DG!$B$29,IF(DG!$D$129=4,DG!$B$30,IF(DG!$D$129=5,DG!$B$31,IF(DG!$D$129=6,DG!$B$32,IF(DG!$D$129=7,DG!$B$33)))))))</f>
        <v>Frais de variable 3</v>
      </c>
      <c r="B53" s="495">
        <f>'FD4'!B53</f>
        <v>0</v>
      </c>
      <c r="C53" s="481">
        <f>INT($B53*'A5'!E$63)</f>
        <v>0</v>
      </c>
      <c r="D53" s="481">
        <f>INT($B53*'A5'!F$63)</f>
        <v>0</v>
      </c>
      <c r="E53" s="481">
        <f>INT($B53*'A5'!G$63)</f>
        <v>0</v>
      </c>
      <c r="F53" s="481">
        <f>INT($B53*'A5'!H$63)</f>
        <v>0</v>
      </c>
      <c r="G53" s="481">
        <f>INT($B53*'A5'!I$63)</f>
        <v>0</v>
      </c>
      <c r="H53" s="481">
        <f>INT($B53*'A5'!J$63)</f>
        <v>0</v>
      </c>
      <c r="I53" s="481">
        <f>INT($B53*'A5'!K$63)</f>
        <v>0</v>
      </c>
      <c r="J53" s="481">
        <f>INT($B53*'A5'!L$63)</f>
        <v>0</v>
      </c>
      <c r="K53" s="481">
        <f>INT($B53*'A5'!M$63)</f>
        <v>0</v>
      </c>
      <c r="L53" s="481">
        <f>INT($B53*'A5'!N$63)</f>
        <v>0</v>
      </c>
      <c r="M53" s="481">
        <f>INT($B53*'A5'!O$63)</f>
        <v>0</v>
      </c>
      <c r="N53" s="481">
        <f>INT($B53*'A5'!P$63)</f>
        <v>0</v>
      </c>
      <c r="O53" s="390">
        <f t="shared" si="6"/>
        <v>0</v>
      </c>
      <c r="P53"/>
      <c r="Q53"/>
      <c r="R53"/>
    </row>
    <row r="54" spans="1:18" ht="13.5" thickBot="1">
      <c r="A54" s="78" t="str">
        <f>IF(DG!$D$130=1,"Aucun",IF(DG!$D$130=2,DG!$B$28,IF(DG!$D$130=3,DG!$B$29,IF(DG!$D$130=4,DG!$B$30,IF(DG!$D$130=5,DG!$B$31,IF(DG!$D$130=6,DG!$B$32,IF(DG!$D$130=7,DG!$B$33)))))))</f>
        <v>Frais de variable 4</v>
      </c>
      <c r="B54" s="495">
        <f>'FD4'!B54</f>
        <v>0</v>
      </c>
      <c r="C54" s="481">
        <f>INT($B54*'A5'!E$63)</f>
        <v>0</v>
      </c>
      <c r="D54" s="481">
        <f>INT($B54*'A5'!F$63)</f>
        <v>0</v>
      </c>
      <c r="E54" s="481">
        <f>INT($B54*'A5'!G$63)</f>
        <v>0</v>
      </c>
      <c r="F54" s="481">
        <f>INT($B54*'A5'!H$63)</f>
        <v>0</v>
      </c>
      <c r="G54" s="481">
        <f>INT($B54*'A5'!I$63)</f>
        <v>0</v>
      </c>
      <c r="H54" s="481">
        <f>INT($B54*'A5'!J$63)</f>
        <v>0</v>
      </c>
      <c r="I54" s="481">
        <f>INT($B54*'A5'!K$63)</f>
        <v>0</v>
      </c>
      <c r="J54" s="481">
        <f>INT($B54*'A5'!L$63)</f>
        <v>0</v>
      </c>
      <c r="K54" s="481">
        <f>INT($B54*'A5'!M$63)</f>
        <v>0</v>
      </c>
      <c r="L54" s="481">
        <f>INT($B54*'A5'!N$63)</f>
        <v>0</v>
      </c>
      <c r="M54" s="481">
        <f>INT($B54*'A5'!O$63)</f>
        <v>0</v>
      </c>
      <c r="N54" s="481">
        <f>INT($B54*'A5'!P$63)</f>
        <v>0</v>
      </c>
      <c r="O54" s="390">
        <f t="shared" si="6"/>
        <v>0</v>
      </c>
      <c r="P54"/>
      <c r="Q54"/>
      <c r="R54"/>
    </row>
    <row r="55" spans="1:18" ht="13.5" thickBot="1">
      <c r="A55" s="78" t="str">
        <f>IF(DG!$D$131=1,"Aucun",IF(DG!$D$131=2,DG!$B$28,IF(DG!$D$131=3,DG!$B$29,IF(DG!$D$131=4,DG!$B$30,IF(DG!$D$131=5,DG!$B$31,IF(DG!$D$131=6,DG!$B$32,IF(DG!$D$131=7,DG!$B$33)))))))</f>
        <v>Frais de variable 5</v>
      </c>
      <c r="B55" s="495">
        <f>'FD4'!B55</f>
        <v>0</v>
      </c>
      <c r="C55" s="481">
        <f>INT($B55*'A5'!E$63)</f>
        <v>0</v>
      </c>
      <c r="D55" s="481">
        <f>INT($B55*'A5'!F$63)</f>
        <v>0</v>
      </c>
      <c r="E55" s="481">
        <f>INT($B55*'A5'!G$63)</f>
        <v>0</v>
      </c>
      <c r="F55" s="481">
        <f>INT($B55*'A5'!H$63)</f>
        <v>0</v>
      </c>
      <c r="G55" s="481">
        <f>INT($B55*'A5'!I$63)</f>
        <v>0</v>
      </c>
      <c r="H55" s="481">
        <f>INT($B55*'A5'!J$63)</f>
        <v>0</v>
      </c>
      <c r="I55" s="481">
        <f>INT($B55*'A5'!K$63)</f>
        <v>0</v>
      </c>
      <c r="J55" s="481">
        <f>INT($B55*'A5'!L$63)</f>
        <v>0</v>
      </c>
      <c r="K55" s="481">
        <f>INT($B55*'A5'!M$63)</f>
        <v>0</v>
      </c>
      <c r="L55" s="481">
        <f>INT($B55*'A5'!N$63)</f>
        <v>0</v>
      </c>
      <c r="M55" s="481">
        <f>INT($B55*'A5'!O$63)</f>
        <v>0</v>
      </c>
      <c r="N55" s="481">
        <f>INT($B55*'A5'!P$63)</f>
        <v>0</v>
      </c>
      <c r="O55" s="390">
        <f t="shared" si="6"/>
        <v>0</v>
      </c>
      <c r="P55"/>
      <c r="Q55"/>
      <c r="R55"/>
    </row>
    <row r="56" spans="1:18" ht="13.5" thickBot="1">
      <c r="A56" s="78" t="str">
        <f>IF(DG!$D$132=1,"Aucun",IF(DG!$D$132=2,DG!$B$28,IF(DG!$D$132=3,DG!$B$29,IF(DG!$D$132=4,DG!$B$30,IF(DG!$D$132=5,DG!$B$31,IF(DG!$D$132=6,DG!$B$32,IF(DG!$D$132=7,DG!$B$33)))))))</f>
        <v>Frais de variable 6</v>
      </c>
      <c r="B56" s="495">
        <f>'FD4'!B56</f>
        <v>0</v>
      </c>
      <c r="C56" s="481">
        <f>INT($B56*'A5'!E$63)</f>
        <v>0</v>
      </c>
      <c r="D56" s="481">
        <f>INT($B56*'A5'!F$63)</f>
        <v>0</v>
      </c>
      <c r="E56" s="481">
        <f>INT($B56*'A5'!G$63)</f>
        <v>0</v>
      </c>
      <c r="F56" s="481">
        <f>INT($B56*'A5'!H$63)</f>
        <v>0</v>
      </c>
      <c r="G56" s="481">
        <f>INT($B56*'A5'!I$63)</f>
        <v>0</v>
      </c>
      <c r="H56" s="481">
        <f>INT($B56*'A5'!J$63)</f>
        <v>0</v>
      </c>
      <c r="I56" s="481">
        <f>INT($B56*'A5'!K$63)</f>
        <v>0</v>
      </c>
      <c r="J56" s="481">
        <f>INT($B56*'A5'!L$63)</f>
        <v>0</v>
      </c>
      <c r="K56" s="481">
        <f>INT($B56*'A5'!M$63)</f>
        <v>0</v>
      </c>
      <c r="L56" s="481">
        <f>INT($B56*'A5'!N$63)</f>
        <v>0</v>
      </c>
      <c r="M56" s="481">
        <f>INT($B56*'A5'!O$63)</f>
        <v>0</v>
      </c>
      <c r="N56" s="481">
        <f>INT($B56*'A5'!P$63)</f>
        <v>0</v>
      </c>
      <c r="O56" s="390">
        <f t="shared" si="6"/>
        <v>0</v>
      </c>
      <c r="P56"/>
      <c r="Q56"/>
      <c r="R56"/>
    </row>
    <row r="57" spans="1:18" ht="13" thickBot="1">
      <c r="A57" s="267"/>
      <c r="B57" s="88"/>
      <c r="C57" s="268"/>
      <c r="D57" s="268"/>
      <c r="E57" s="268"/>
      <c r="F57" s="268"/>
      <c r="G57" s="268"/>
      <c r="H57" s="268"/>
      <c r="I57" s="268"/>
      <c r="J57" s="268"/>
      <c r="K57" s="268"/>
      <c r="L57" s="268"/>
      <c r="M57" s="268"/>
      <c r="N57" s="268"/>
      <c r="O57" s="268"/>
      <c r="P57"/>
      <c r="Q57"/>
      <c r="R57"/>
    </row>
    <row r="58" spans="1:18" s="251" customFormat="1" ht="13.5" thickBot="1">
      <c r="A58" s="43" t="s">
        <v>242</v>
      </c>
      <c r="B58"/>
      <c r="C58" s="524">
        <f t="shared" ref="C58:O58" si="7">SUM(C51:C57)</f>
        <v>0</v>
      </c>
      <c r="D58" s="524">
        <f t="shared" si="7"/>
        <v>0</v>
      </c>
      <c r="E58" s="524">
        <f t="shared" si="7"/>
        <v>0</v>
      </c>
      <c r="F58" s="524">
        <f t="shared" si="7"/>
        <v>0</v>
      </c>
      <c r="G58" s="524">
        <f t="shared" si="7"/>
        <v>0</v>
      </c>
      <c r="H58" s="524">
        <f t="shared" si="7"/>
        <v>0</v>
      </c>
      <c r="I58" s="524">
        <f t="shared" si="7"/>
        <v>0</v>
      </c>
      <c r="J58" s="524">
        <f t="shared" si="7"/>
        <v>0</v>
      </c>
      <c r="K58" s="524">
        <f t="shared" si="7"/>
        <v>0</v>
      </c>
      <c r="L58" s="524">
        <f t="shared" si="7"/>
        <v>0</v>
      </c>
      <c r="M58" s="524">
        <f t="shared" si="7"/>
        <v>0</v>
      </c>
      <c r="N58" s="524">
        <f t="shared" si="7"/>
        <v>0</v>
      </c>
      <c r="O58" s="524">
        <f t="shared" si="7"/>
        <v>0</v>
      </c>
      <c r="P58"/>
      <c r="Q58"/>
      <c r="R58"/>
    </row>
    <row r="59" spans="1:18">
      <c r="A59"/>
      <c r="B59"/>
      <c r="C59"/>
      <c r="D59"/>
      <c r="E59"/>
      <c r="F59"/>
      <c r="G59"/>
      <c r="H59"/>
      <c r="I59"/>
      <c r="J59"/>
      <c r="K59"/>
      <c r="L59"/>
      <c r="M59"/>
      <c r="N59"/>
      <c r="O59"/>
      <c r="P59"/>
      <c r="Q59"/>
      <c r="R59"/>
    </row>
    <row r="60" spans="1:18" ht="13">
      <c r="A60" s="913" t="str">
        <f>'FD4'!A60</f>
        <v>Produit/service 5</v>
      </c>
      <c r="B60"/>
      <c r="C60" s="1190" t="str">
        <f>A60</f>
        <v>Produit/service 5</v>
      </c>
      <c r="D60" s="1191"/>
      <c r="E60" s="1191"/>
      <c r="F60" s="1191"/>
      <c r="G60" s="1191"/>
      <c r="H60" s="1191"/>
      <c r="I60" s="1191"/>
      <c r="J60" s="1191"/>
      <c r="K60" s="1191"/>
      <c r="L60" s="1191"/>
      <c r="M60" s="1191"/>
      <c r="N60" s="1191"/>
      <c r="O60" s="1191"/>
      <c r="P60"/>
      <c r="Q60"/>
      <c r="R60"/>
    </row>
    <row r="61" spans="1:18" ht="13" thickBot="1">
      <c r="A61" s="143"/>
      <c r="B61" s="88"/>
      <c r="C61" s="268"/>
      <c r="D61" s="268"/>
      <c r="E61" s="268"/>
      <c r="F61" s="268"/>
      <c r="G61" s="268"/>
      <c r="H61" s="268"/>
      <c r="I61" s="268"/>
      <c r="J61" s="268"/>
      <c r="K61" s="268"/>
      <c r="L61" s="268"/>
      <c r="M61" s="268"/>
      <c r="N61" s="268"/>
      <c r="O61" s="268"/>
      <c r="P61"/>
      <c r="Q61"/>
      <c r="R61"/>
    </row>
    <row r="62" spans="1:18" ht="13.5" thickBot="1">
      <c r="A62" s="78" t="str">
        <f>IF(DG!$D$127=1,"Aucun",IF(DG!$D$127=2,DG!$B$28,IF(DG!$D$127=3,DG!$B$29,IF(DG!$D$127=4,DG!$B$30,IF(DG!$D$127=5,DG!$B$31,IF(DG!$D$127=6,DG!$B$32,IF(DG!$D$127=7,DG!$B$33)))))))</f>
        <v>Frais de variable 1</v>
      </c>
      <c r="B62" s="495">
        <f>'FD4'!B62</f>
        <v>0</v>
      </c>
      <c r="C62" s="481">
        <f>INT($B62*'A5'!E$76)</f>
        <v>0</v>
      </c>
      <c r="D62" s="481">
        <f>INT($B62*'A5'!F$76)</f>
        <v>0</v>
      </c>
      <c r="E62" s="481">
        <f>INT($B62*'A5'!G$76)</f>
        <v>0</v>
      </c>
      <c r="F62" s="481">
        <f>INT($B62*'A5'!H$76)</f>
        <v>0</v>
      </c>
      <c r="G62" s="481">
        <f>INT($B62*'A5'!I$76)</f>
        <v>0</v>
      </c>
      <c r="H62" s="481">
        <f>INT($B62*'A5'!J$76)</f>
        <v>0</v>
      </c>
      <c r="I62" s="481">
        <f>INT($B62*'A5'!K$76)</f>
        <v>0</v>
      </c>
      <c r="J62" s="481">
        <f>INT($B62*'A5'!L$76)</f>
        <v>0</v>
      </c>
      <c r="K62" s="481">
        <f>INT($B62*'A5'!M$76)</f>
        <v>0</v>
      </c>
      <c r="L62" s="481">
        <f>INT($B62*'A5'!N$76)</f>
        <v>0</v>
      </c>
      <c r="M62" s="481">
        <f>INT($B62*'A5'!O$76)</f>
        <v>0</v>
      </c>
      <c r="N62" s="481">
        <f>INT($B62*'A5'!P$76)</f>
        <v>0</v>
      </c>
      <c r="O62" s="390">
        <f t="shared" ref="O62:O67" si="8">SUM(C62:N62)</f>
        <v>0</v>
      </c>
      <c r="P62"/>
      <c r="Q62"/>
      <c r="R62"/>
    </row>
    <row r="63" spans="1:18" ht="13.5" thickBot="1">
      <c r="A63" s="78" t="str">
        <f>IF(DG!$D$128=1,"Aucun",IF(DG!$D$128=2,DG!$B$28,IF(DG!$D$128=3,DG!$B$29,IF(DG!$D$128=4,DG!$B$30,IF(DG!$D$128=5,DG!$B$31,IF(DG!$D$128=6,DG!$B$32,IF(DG!$D$128=7,DG!$B$33)))))))</f>
        <v>Frais de variable 2</v>
      </c>
      <c r="B63" s="495">
        <f>'FD4'!B63</f>
        <v>0</v>
      </c>
      <c r="C63" s="481">
        <f>INT($B63*'A5'!E$76)</f>
        <v>0</v>
      </c>
      <c r="D63" s="481">
        <f>INT($B63*'A5'!F$76)</f>
        <v>0</v>
      </c>
      <c r="E63" s="481">
        <f>INT($B63*'A5'!G$76)</f>
        <v>0</v>
      </c>
      <c r="F63" s="481">
        <f>INT($B63*'A5'!H$76)</f>
        <v>0</v>
      </c>
      <c r="G63" s="481">
        <f>INT($B63*'A5'!I$76)</f>
        <v>0</v>
      </c>
      <c r="H63" s="481">
        <f>INT($B63*'A5'!J$76)</f>
        <v>0</v>
      </c>
      <c r="I63" s="481">
        <f>INT($B63*'A5'!K$76)</f>
        <v>0</v>
      </c>
      <c r="J63" s="481">
        <f>INT($B63*'A5'!L$76)</f>
        <v>0</v>
      </c>
      <c r="K63" s="481">
        <f>INT($B63*'A5'!M$76)</f>
        <v>0</v>
      </c>
      <c r="L63" s="481">
        <f>INT($B63*'A5'!N$76)</f>
        <v>0</v>
      </c>
      <c r="M63" s="481">
        <f>INT($B63*'A5'!O$76)</f>
        <v>0</v>
      </c>
      <c r="N63" s="481">
        <f>INT($B63*'A5'!P$76)</f>
        <v>0</v>
      </c>
      <c r="O63" s="390">
        <f t="shared" si="8"/>
        <v>0</v>
      </c>
      <c r="P63"/>
      <c r="Q63"/>
      <c r="R63"/>
    </row>
    <row r="64" spans="1:18" ht="13.5" thickBot="1">
      <c r="A64" s="78" t="str">
        <f>IF(DG!$D$129=1,"Aucun",IF(DG!$D$129=2,DG!$B$28,IF(DG!$D$129=3,DG!$B$29,IF(DG!$D$129=4,DG!$B$30,IF(DG!$D$129=5,DG!$B$31,IF(DG!$D$129=6,DG!$B$32,IF(DG!$D$129=7,DG!$B$33)))))))</f>
        <v>Frais de variable 3</v>
      </c>
      <c r="B64" s="495">
        <f>'FD4'!B64</f>
        <v>0</v>
      </c>
      <c r="C64" s="481">
        <f>INT($B64*'A5'!E$76)</f>
        <v>0</v>
      </c>
      <c r="D64" s="481">
        <f>INT($B64*'A5'!F$76)</f>
        <v>0</v>
      </c>
      <c r="E64" s="481">
        <f>INT($B64*'A5'!G$76)</f>
        <v>0</v>
      </c>
      <c r="F64" s="481">
        <f>INT($B64*'A5'!H$76)</f>
        <v>0</v>
      </c>
      <c r="G64" s="481">
        <f>INT($B64*'A5'!I$76)</f>
        <v>0</v>
      </c>
      <c r="H64" s="481">
        <f>INT($B64*'A5'!J$76)</f>
        <v>0</v>
      </c>
      <c r="I64" s="481">
        <f>INT($B64*'A5'!K$76)</f>
        <v>0</v>
      </c>
      <c r="J64" s="481">
        <f>INT($B64*'A5'!L$76)</f>
        <v>0</v>
      </c>
      <c r="K64" s="481">
        <f>INT($B64*'A5'!M$76)</f>
        <v>0</v>
      </c>
      <c r="L64" s="481">
        <f>INT($B64*'A5'!N$76)</f>
        <v>0</v>
      </c>
      <c r="M64" s="481">
        <f>INT($B64*'A5'!O$76)</f>
        <v>0</v>
      </c>
      <c r="N64" s="481">
        <f>INT($B64*'A5'!P$76)</f>
        <v>0</v>
      </c>
      <c r="O64" s="390">
        <f t="shared" si="8"/>
        <v>0</v>
      </c>
      <c r="P64"/>
      <c r="Q64"/>
      <c r="R64"/>
    </row>
    <row r="65" spans="1:18" ht="13.5" thickBot="1">
      <c r="A65" s="78" t="str">
        <f>IF(DG!$D$130=1,"Aucun",IF(DG!$D$130=2,DG!$B$28,IF(DG!$D$130=3,DG!$B$29,IF(DG!$D$130=4,DG!$B$30,IF(DG!$D$130=5,DG!$B$31,IF(DG!$D$130=6,DG!$B$32,IF(DG!$D$130=7,DG!$B$33)))))))</f>
        <v>Frais de variable 4</v>
      </c>
      <c r="B65" s="495">
        <f>'FD4'!B65</f>
        <v>0</v>
      </c>
      <c r="C65" s="481">
        <f>INT($B65*'A5'!E$76)</f>
        <v>0</v>
      </c>
      <c r="D65" s="481">
        <f>INT($B65*'A5'!F$76)</f>
        <v>0</v>
      </c>
      <c r="E65" s="481">
        <f>INT($B65*'A5'!G$76)</f>
        <v>0</v>
      </c>
      <c r="F65" s="481">
        <f>INT($B65*'A5'!H$76)</f>
        <v>0</v>
      </c>
      <c r="G65" s="481">
        <f>INT($B65*'A5'!I$76)</f>
        <v>0</v>
      </c>
      <c r="H65" s="481">
        <f>INT($B65*'A5'!J$76)</f>
        <v>0</v>
      </c>
      <c r="I65" s="481">
        <f>INT($B65*'A5'!K$76)</f>
        <v>0</v>
      </c>
      <c r="J65" s="481">
        <f>INT($B65*'A5'!L$76)</f>
        <v>0</v>
      </c>
      <c r="K65" s="481">
        <f>INT($B65*'A5'!M$76)</f>
        <v>0</v>
      </c>
      <c r="L65" s="481">
        <f>INT($B65*'A5'!N$76)</f>
        <v>0</v>
      </c>
      <c r="M65" s="481">
        <f>INT($B65*'A5'!O$76)</f>
        <v>0</v>
      </c>
      <c r="N65" s="481">
        <f>INT($B65*'A5'!P$76)</f>
        <v>0</v>
      </c>
      <c r="O65" s="390">
        <f t="shared" si="8"/>
        <v>0</v>
      </c>
      <c r="P65"/>
      <c r="Q65"/>
      <c r="R65"/>
    </row>
    <row r="66" spans="1:18" ht="13.5" thickBot="1">
      <c r="A66" s="78" t="str">
        <f>IF(DG!$D$131=1,"Aucun",IF(DG!$D$131=2,DG!$B$28,IF(DG!$D$131=3,DG!$B$29,IF(DG!$D$131=4,DG!$B$30,IF(DG!$D$131=5,DG!$B$31,IF(DG!$D$131=6,DG!$B$32,IF(DG!$D$131=7,DG!$B$33)))))))</f>
        <v>Frais de variable 5</v>
      </c>
      <c r="B66" s="495">
        <f>'FD4'!B66</f>
        <v>0</v>
      </c>
      <c r="C66" s="481">
        <f>INT($B66*'A5'!E$76)</f>
        <v>0</v>
      </c>
      <c r="D66" s="481">
        <f>INT($B66*'A5'!F$76)</f>
        <v>0</v>
      </c>
      <c r="E66" s="481">
        <f>INT($B66*'A5'!G$76)</f>
        <v>0</v>
      </c>
      <c r="F66" s="481">
        <f>INT($B66*'A5'!H$76)</f>
        <v>0</v>
      </c>
      <c r="G66" s="481">
        <f>INT($B66*'A5'!I$76)</f>
        <v>0</v>
      </c>
      <c r="H66" s="481">
        <f>INT($B66*'A5'!J$76)</f>
        <v>0</v>
      </c>
      <c r="I66" s="481">
        <f>INT($B66*'A5'!K$76)</f>
        <v>0</v>
      </c>
      <c r="J66" s="481">
        <f>INT($B66*'A5'!L$76)</f>
        <v>0</v>
      </c>
      <c r="K66" s="481">
        <f>INT($B66*'A5'!M$76)</f>
        <v>0</v>
      </c>
      <c r="L66" s="481">
        <f>INT($B66*'A5'!N$76)</f>
        <v>0</v>
      </c>
      <c r="M66" s="481">
        <f>INT($B66*'A5'!O$76)</f>
        <v>0</v>
      </c>
      <c r="N66" s="481">
        <f>INT($B66*'A5'!P$76)</f>
        <v>0</v>
      </c>
      <c r="O66" s="390">
        <f t="shared" si="8"/>
        <v>0</v>
      </c>
      <c r="P66"/>
      <c r="Q66"/>
      <c r="R66"/>
    </row>
    <row r="67" spans="1:18" ht="13.5" thickBot="1">
      <c r="A67" s="78" t="str">
        <f>IF(DG!$D$132=1,"Aucun",IF(DG!$D$132=2,DG!$B$28,IF(DG!$D$132=3,DG!$B$29,IF(DG!$D$132=4,DG!$B$30,IF(DG!$D$132=5,DG!$B$31,IF(DG!$D$132=6,DG!$B$32,IF(DG!$D$132=7,DG!$B$33)))))))</f>
        <v>Frais de variable 6</v>
      </c>
      <c r="B67" s="495">
        <f>'FD4'!B67</f>
        <v>0</v>
      </c>
      <c r="C67" s="481">
        <f>INT($B67*'A5'!E$76)</f>
        <v>0</v>
      </c>
      <c r="D67" s="481">
        <f>INT($B67*'A5'!F$76)</f>
        <v>0</v>
      </c>
      <c r="E67" s="481">
        <f>INT($B67*'A5'!G$76)</f>
        <v>0</v>
      </c>
      <c r="F67" s="481">
        <f>INT($B67*'A5'!H$76)</f>
        <v>0</v>
      </c>
      <c r="G67" s="481">
        <f>INT($B67*'A5'!I$76)</f>
        <v>0</v>
      </c>
      <c r="H67" s="481">
        <f>INT($B67*'A5'!J$76)</f>
        <v>0</v>
      </c>
      <c r="I67" s="481">
        <f>INT($B67*'A5'!K$76)</f>
        <v>0</v>
      </c>
      <c r="J67" s="481">
        <f>INT($B67*'A5'!L$76)</f>
        <v>0</v>
      </c>
      <c r="K67" s="481">
        <f>INT($B67*'A5'!M$76)</f>
        <v>0</v>
      </c>
      <c r="L67" s="481">
        <f>INT($B67*'A5'!N$76)</f>
        <v>0</v>
      </c>
      <c r="M67" s="481">
        <f>INT($B67*'A5'!O$76)</f>
        <v>0</v>
      </c>
      <c r="N67" s="481">
        <f>INT($B67*'A5'!P$76)</f>
        <v>0</v>
      </c>
      <c r="O67" s="390">
        <f t="shared" si="8"/>
        <v>0</v>
      </c>
      <c r="P67"/>
      <c r="Q67"/>
      <c r="R67"/>
    </row>
    <row r="68" spans="1:18" ht="13" thickBot="1">
      <c r="A68" s="267"/>
      <c r="B68" s="88"/>
      <c r="C68" s="268"/>
      <c r="D68" s="268"/>
      <c r="E68" s="268"/>
      <c r="F68" s="268"/>
      <c r="G68" s="268"/>
      <c r="H68" s="268"/>
      <c r="I68" s="268"/>
      <c r="J68" s="268"/>
      <c r="K68" s="268"/>
      <c r="L68" s="268"/>
      <c r="M68" s="268"/>
      <c r="N68" s="268"/>
      <c r="O68" s="268"/>
      <c r="P68"/>
      <c r="Q68"/>
      <c r="R68"/>
    </row>
    <row r="69" spans="1:18" s="251" customFormat="1" ht="13.5" thickBot="1">
      <c r="A69" s="43" t="s">
        <v>242</v>
      </c>
      <c r="B69"/>
      <c r="C69" s="524">
        <f t="shared" ref="C69:O69" si="9">SUM(C62:C68)</f>
        <v>0</v>
      </c>
      <c r="D69" s="524">
        <f t="shared" si="9"/>
        <v>0</v>
      </c>
      <c r="E69" s="524">
        <f t="shared" si="9"/>
        <v>0</v>
      </c>
      <c r="F69" s="524">
        <f t="shared" si="9"/>
        <v>0</v>
      </c>
      <c r="G69" s="524">
        <f t="shared" si="9"/>
        <v>0</v>
      </c>
      <c r="H69" s="524">
        <f t="shared" si="9"/>
        <v>0</v>
      </c>
      <c r="I69" s="524">
        <f t="shared" si="9"/>
        <v>0</v>
      </c>
      <c r="J69" s="524">
        <f t="shared" si="9"/>
        <v>0</v>
      </c>
      <c r="K69" s="524">
        <f t="shared" si="9"/>
        <v>0</v>
      </c>
      <c r="L69" s="524">
        <f t="shared" si="9"/>
        <v>0</v>
      </c>
      <c r="M69" s="524">
        <f t="shared" si="9"/>
        <v>0</v>
      </c>
      <c r="N69" s="524">
        <f t="shared" si="9"/>
        <v>0</v>
      </c>
      <c r="O69" s="524">
        <f t="shared" si="9"/>
        <v>0</v>
      </c>
      <c r="P69"/>
      <c r="Q69"/>
      <c r="R69"/>
    </row>
    <row r="70" spans="1:18">
      <c r="A70"/>
      <c r="B70"/>
      <c r="C70"/>
      <c r="D70"/>
      <c r="E70"/>
      <c r="F70"/>
      <c r="G70"/>
      <c r="H70"/>
      <c r="I70"/>
      <c r="J70"/>
      <c r="K70"/>
      <c r="L70"/>
      <c r="M70"/>
      <c r="N70"/>
      <c r="O70"/>
      <c r="P70"/>
      <c r="Q70"/>
      <c r="R70"/>
    </row>
    <row r="71" spans="1:18" ht="13">
      <c r="A71" s="913" t="str">
        <f>'FD4'!A71</f>
        <v>Produit/service 6</v>
      </c>
      <c r="B71"/>
      <c r="C71" s="1190" t="str">
        <f>A71</f>
        <v>Produit/service 6</v>
      </c>
      <c r="D71" s="1191"/>
      <c r="E71" s="1191"/>
      <c r="F71" s="1191"/>
      <c r="G71" s="1191"/>
      <c r="H71" s="1191"/>
      <c r="I71" s="1191"/>
      <c r="J71" s="1191"/>
      <c r="K71" s="1191"/>
      <c r="L71" s="1191"/>
      <c r="M71" s="1191"/>
      <c r="N71" s="1191"/>
      <c r="O71" s="1191"/>
      <c r="P71"/>
      <c r="Q71"/>
      <c r="R71"/>
    </row>
    <row r="72" spans="1:18" ht="13" thickBot="1">
      <c r="A72" s="143"/>
      <c r="B72" s="88"/>
      <c r="C72" s="268"/>
      <c r="D72" s="268"/>
      <c r="E72" s="268"/>
      <c r="F72" s="268"/>
      <c r="G72" s="268"/>
      <c r="H72" s="268"/>
      <c r="I72" s="268"/>
      <c r="J72" s="268"/>
      <c r="K72" s="268"/>
      <c r="L72" s="268"/>
      <c r="M72" s="268"/>
      <c r="N72" s="268"/>
      <c r="O72" s="268"/>
      <c r="P72"/>
      <c r="Q72"/>
      <c r="R72"/>
    </row>
    <row r="73" spans="1:18" ht="13.5" thickBot="1">
      <c r="A73" s="78" t="str">
        <f>IF(DG!$D$127=1,"Aucun",IF(DG!$D$127=2,DG!$B$28,IF(DG!$D$127=3,DG!$B$29,IF(DG!$D$127=4,DG!$B$30,IF(DG!$D$127=5,DG!$B$31,IF(DG!$D$127=6,DG!$B$32,IF(DG!$D$127=7,DG!$B$33)))))))</f>
        <v>Frais de variable 1</v>
      </c>
      <c r="B73" s="495">
        <f>'FD4'!B73</f>
        <v>0</v>
      </c>
      <c r="C73" s="481">
        <f>INT($B73*'A5'!E$89)</f>
        <v>0</v>
      </c>
      <c r="D73" s="481">
        <f>INT($B73*'A5'!F$89)</f>
        <v>0</v>
      </c>
      <c r="E73" s="481">
        <f>INT($B73*'A5'!G$89)</f>
        <v>0</v>
      </c>
      <c r="F73" s="481">
        <f>INT($B73*'A5'!H$89)</f>
        <v>0</v>
      </c>
      <c r="G73" s="481">
        <f>INT($B73*'A5'!I$89)</f>
        <v>0</v>
      </c>
      <c r="H73" s="481">
        <f>INT($B73*'A5'!J$89)</f>
        <v>0</v>
      </c>
      <c r="I73" s="481">
        <f>INT($B73*'A5'!K$89)</f>
        <v>0</v>
      </c>
      <c r="J73" s="481">
        <f>INT($B73*'A5'!L$89)</f>
        <v>0</v>
      </c>
      <c r="K73" s="481">
        <f>INT($B73*'A5'!M$89)</f>
        <v>0</v>
      </c>
      <c r="L73" s="481">
        <f>INT($B73*'A5'!N$89)</f>
        <v>0</v>
      </c>
      <c r="M73" s="481">
        <f>INT($B73*'A5'!O$89)</f>
        <v>0</v>
      </c>
      <c r="N73" s="481">
        <f>INT($B73*'A5'!P$89)</f>
        <v>0</v>
      </c>
      <c r="O73" s="390">
        <f t="shared" ref="O73:O78" si="10">SUM(C73:N73)</f>
        <v>0</v>
      </c>
      <c r="P73"/>
      <c r="Q73"/>
      <c r="R73"/>
    </row>
    <row r="74" spans="1:18" ht="13.5" thickBot="1">
      <c r="A74" s="78" t="str">
        <f>IF(DG!$D$128=1,"Aucun",IF(DG!$D$128=2,DG!$B$28,IF(DG!$D$128=3,DG!$B$29,IF(DG!$D$128=4,DG!$B$30,IF(DG!$D$128=5,DG!$B$31,IF(DG!$D$128=6,DG!$B$32,IF(DG!$D$128=7,DG!$B$33)))))))</f>
        <v>Frais de variable 2</v>
      </c>
      <c r="B74" s="495">
        <f>'FD4'!B74</f>
        <v>0</v>
      </c>
      <c r="C74" s="481">
        <f>INT($B74*'A5'!E$89)</f>
        <v>0</v>
      </c>
      <c r="D74" s="481">
        <f>INT($B74*'A5'!F$89)</f>
        <v>0</v>
      </c>
      <c r="E74" s="481">
        <f>INT($B74*'A5'!G$89)</f>
        <v>0</v>
      </c>
      <c r="F74" s="481">
        <f>INT($B74*'A5'!H$89)</f>
        <v>0</v>
      </c>
      <c r="G74" s="481">
        <f>INT($B74*'A5'!I$89)</f>
        <v>0</v>
      </c>
      <c r="H74" s="481">
        <f>INT($B74*'A5'!J$89)</f>
        <v>0</v>
      </c>
      <c r="I74" s="481">
        <f>INT($B74*'A5'!K$89)</f>
        <v>0</v>
      </c>
      <c r="J74" s="481">
        <f>INT($B74*'A5'!L$89)</f>
        <v>0</v>
      </c>
      <c r="K74" s="481">
        <f>INT($B74*'A5'!M$89)</f>
        <v>0</v>
      </c>
      <c r="L74" s="481">
        <f>INT($B74*'A5'!N$89)</f>
        <v>0</v>
      </c>
      <c r="M74" s="481">
        <f>INT($B74*'A5'!O$89)</f>
        <v>0</v>
      </c>
      <c r="N74" s="481">
        <f>INT($B74*'A5'!P$89)</f>
        <v>0</v>
      </c>
      <c r="O74" s="390">
        <f t="shared" si="10"/>
        <v>0</v>
      </c>
      <c r="P74"/>
      <c r="Q74"/>
      <c r="R74"/>
    </row>
    <row r="75" spans="1:18" ht="13.5" thickBot="1">
      <c r="A75" s="78" t="str">
        <f>IF(DG!$D$129=1,"Aucun",IF(DG!$D$129=2,DG!$B$28,IF(DG!$D$129=3,DG!$B$29,IF(DG!$D$129=4,DG!$B$30,IF(DG!$D$129=5,DG!$B$31,IF(DG!$D$129=6,DG!$B$32,IF(DG!$D$129=7,DG!$B$33)))))))</f>
        <v>Frais de variable 3</v>
      </c>
      <c r="B75" s="495">
        <f>'FD4'!B75</f>
        <v>0</v>
      </c>
      <c r="C75" s="481">
        <f>INT($B75*'A5'!E$89)</f>
        <v>0</v>
      </c>
      <c r="D75" s="481">
        <f>INT($B75*'A5'!F$89)</f>
        <v>0</v>
      </c>
      <c r="E75" s="481">
        <f>INT($B75*'A5'!G$89)</f>
        <v>0</v>
      </c>
      <c r="F75" s="481">
        <f>INT($B75*'A5'!H$89)</f>
        <v>0</v>
      </c>
      <c r="G75" s="481">
        <f>INT($B75*'A5'!I$89)</f>
        <v>0</v>
      </c>
      <c r="H75" s="481">
        <f>INT($B75*'A5'!J$89)</f>
        <v>0</v>
      </c>
      <c r="I75" s="481">
        <f>INT($B75*'A5'!K$89)</f>
        <v>0</v>
      </c>
      <c r="J75" s="481">
        <f>INT($B75*'A5'!L$89)</f>
        <v>0</v>
      </c>
      <c r="K75" s="481">
        <f>INT($B75*'A5'!M$89)</f>
        <v>0</v>
      </c>
      <c r="L75" s="481">
        <f>INT($B75*'A5'!N$89)</f>
        <v>0</v>
      </c>
      <c r="M75" s="481">
        <f>INT($B75*'A5'!O$89)</f>
        <v>0</v>
      </c>
      <c r="N75" s="481">
        <f>INT($B75*'A5'!P$89)</f>
        <v>0</v>
      </c>
      <c r="O75" s="390">
        <f t="shared" si="10"/>
        <v>0</v>
      </c>
      <c r="P75"/>
      <c r="Q75"/>
      <c r="R75"/>
    </row>
    <row r="76" spans="1:18" ht="13.5" thickBot="1">
      <c r="A76" s="78" t="str">
        <f>IF(DG!$D$130=1,"Aucun",IF(DG!$D$130=2,DG!$B$28,IF(DG!$D$130=3,DG!$B$29,IF(DG!$D$130=4,DG!$B$30,IF(DG!$D$130=5,DG!$B$31,IF(DG!$D$130=6,DG!$B$32,IF(DG!$D$130=7,DG!$B$33)))))))</f>
        <v>Frais de variable 4</v>
      </c>
      <c r="B76" s="495">
        <f>'FD4'!B76</f>
        <v>0</v>
      </c>
      <c r="C76" s="481">
        <f>INT($B76*'A5'!E$89)</f>
        <v>0</v>
      </c>
      <c r="D76" s="481">
        <f>INT($B76*'A5'!F$89)</f>
        <v>0</v>
      </c>
      <c r="E76" s="481">
        <f>INT($B76*'A5'!G$89)</f>
        <v>0</v>
      </c>
      <c r="F76" s="481">
        <f>INT($B76*'A5'!H$89)</f>
        <v>0</v>
      </c>
      <c r="G76" s="481">
        <f>INT($B76*'A5'!I$89)</f>
        <v>0</v>
      </c>
      <c r="H76" s="481">
        <f>INT($B76*'A5'!J$89)</f>
        <v>0</v>
      </c>
      <c r="I76" s="481">
        <f>INT($B76*'A5'!K$89)</f>
        <v>0</v>
      </c>
      <c r="J76" s="481">
        <f>INT($B76*'A5'!L$89)</f>
        <v>0</v>
      </c>
      <c r="K76" s="481">
        <f>INT($B76*'A5'!M$89)</f>
        <v>0</v>
      </c>
      <c r="L76" s="481">
        <f>INT($B76*'A5'!N$89)</f>
        <v>0</v>
      </c>
      <c r="M76" s="481">
        <f>INT($B76*'A5'!O$89)</f>
        <v>0</v>
      </c>
      <c r="N76" s="481">
        <f>INT($B76*'A5'!P$89)</f>
        <v>0</v>
      </c>
      <c r="O76" s="390">
        <f t="shared" si="10"/>
        <v>0</v>
      </c>
      <c r="P76"/>
      <c r="Q76"/>
      <c r="R76"/>
    </row>
    <row r="77" spans="1:18" ht="13.5" thickBot="1">
      <c r="A77" s="78" t="str">
        <f>IF(DG!$D$131=1,"Aucun",IF(DG!$D$131=2,DG!$B$28,IF(DG!$D$131=3,DG!$B$29,IF(DG!$D$131=4,DG!$B$30,IF(DG!$D$131=5,DG!$B$31,IF(DG!$D$131=6,DG!$B$32,IF(DG!$D$131=7,DG!$B$33)))))))</f>
        <v>Frais de variable 5</v>
      </c>
      <c r="B77" s="495">
        <f>'FD4'!B77</f>
        <v>0</v>
      </c>
      <c r="C77" s="481">
        <f>INT($B77*'A5'!E$89)</f>
        <v>0</v>
      </c>
      <c r="D77" s="481">
        <f>INT($B77*'A5'!F$89)</f>
        <v>0</v>
      </c>
      <c r="E77" s="481">
        <f>INT($B77*'A5'!G$89)</f>
        <v>0</v>
      </c>
      <c r="F77" s="481">
        <f>INT($B77*'A5'!H$89)</f>
        <v>0</v>
      </c>
      <c r="G77" s="481">
        <f>INT($B77*'A5'!I$89)</f>
        <v>0</v>
      </c>
      <c r="H77" s="481">
        <f>INT($B77*'A5'!J$89)</f>
        <v>0</v>
      </c>
      <c r="I77" s="481">
        <f>INT($B77*'A5'!K$89)</f>
        <v>0</v>
      </c>
      <c r="J77" s="481">
        <f>INT($B77*'A5'!L$89)</f>
        <v>0</v>
      </c>
      <c r="K77" s="481">
        <f>INT($B77*'A5'!M$89)</f>
        <v>0</v>
      </c>
      <c r="L77" s="481">
        <f>INT($B77*'A5'!N$89)</f>
        <v>0</v>
      </c>
      <c r="M77" s="481">
        <f>INT($B77*'A5'!O$89)</f>
        <v>0</v>
      </c>
      <c r="N77" s="481">
        <f>INT($B77*'A5'!P$89)</f>
        <v>0</v>
      </c>
      <c r="O77" s="390">
        <f t="shared" si="10"/>
        <v>0</v>
      </c>
      <c r="P77"/>
      <c r="Q77"/>
      <c r="R77"/>
    </row>
    <row r="78" spans="1:18" ht="13.5" thickBot="1">
      <c r="A78" s="78" t="str">
        <f>IF(DG!$D$132=1,"Aucun",IF(DG!$D$132=2,DG!$B$28,IF(DG!$D$132=3,DG!$B$29,IF(DG!$D$132=4,DG!$B$30,IF(DG!$D$132=5,DG!$B$31,IF(DG!$D$132=6,DG!$B$32,IF(DG!$D$132=7,DG!$B$33)))))))</f>
        <v>Frais de variable 6</v>
      </c>
      <c r="B78" s="495">
        <f>'FD4'!B78</f>
        <v>0</v>
      </c>
      <c r="C78" s="481">
        <f>INT($B78*'A5'!E$89)</f>
        <v>0</v>
      </c>
      <c r="D78" s="481">
        <f>INT($B78*'A5'!F$89)</f>
        <v>0</v>
      </c>
      <c r="E78" s="481">
        <f>INT($B78*'A5'!G$89)</f>
        <v>0</v>
      </c>
      <c r="F78" s="481">
        <f>INT($B78*'A5'!H$89)</f>
        <v>0</v>
      </c>
      <c r="G78" s="481">
        <f>INT($B78*'A5'!I$89)</f>
        <v>0</v>
      </c>
      <c r="H78" s="481">
        <f>INT($B78*'A5'!J$89)</f>
        <v>0</v>
      </c>
      <c r="I78" s="481">
        <f>INT($B78*'A5'!K$89)</f>
        <v>0</v>
      </c>
      <c r="J78" s="481">
        <f>INT($B78*'A5'!L$89)</f>
        <v>0</v>
      </c>
      <c r="K78" s="481">
        <f>INT($B78*'A5'!M$89)</f>
        <v>0</v>
      </c>
      <c r="L78" s="481">
        <f>INT($B78*'A5'!N$89)</f>
        <v>0</v>
      </c>
      <c r="M78" s="481">
        <f>INT($B78*'A5'!O$89)</f>
        <v>0</v>
      </c>
      <c r="N78" s="481">
        <f>INT($B78*'A5'!P$89)</f>
        <v>0</v>
      </c>
      <c r="O78" s="390">
        <f t="shared" si="10"/>
        <v>0</v>
      </c>
      <c r="P78"/>
      <c r="Q78"/>
      <c r="R78"/>
    </row>
    <row r="79" spans="1:18" ht="13" thickBot="1">
      <c r="A79" s="267"/>
      <c r="B79" s="88"/>
      <c r="C79" s="268"/>
      <c r="D79" s="268"/>
      <c r="E79" s="268"/>
      <c r="F79" s="268"/>
      <c r="G79" s="268"/>
      <c r="H79" s="268"/>
      <c r="I79" s="268"/>
      <c r="J79" s="268"/>
      <c r="K79" s="268"/>
      <c r="L79" s="268"/>
      <c r="M79" s="268"/>
      <c r="N79" s="268"/>
      <c r="O79" s="268"/>
      <c r="P79"/>
      <c r="Q79"/>
      <c r="R79"/>
    </row>
    <row r="80" spans="1:18" s="251" customFormat="1" ht="13.5" thickBot="1">
      <c r="A80" s="43" t="s">
        <v>242</v>
      </c>
      <c r="B80"/>
      <c r="C80" s="524">
        <f t="shared" ref="C80:O80" si="11">SUM(C73:C79)</f>
        <v>0</v>
      </c>
      <c r="D80" s="524">
        <f t="shared" si="11"/>
        <v>0</v>
      </c>
      <c r="E80" s="524">
        <f t="shared" si="11"/>
        <v>0</v>
      </c>
      <c r="F80" s="524">
        <f t="shared" si="11"/>
        <v>0</v>
      </c>
      <c r="G80" s="524">
        <f t="shared" si="11"/>
        <v>0</v>
      </c>
      <c r="H80" s="524">
        <f t="shared" si="11"/>
        <v>0</v>
      </c>
      <c r="I80" s="524">
        <f t="shared" si="11"/>
        <v>0</v>
      </c>
      <c r="J80" s="524">
        <f t="shared" si="11"/>
        <v>0</v>
      </c>
      <c r="K80" s="524">
        <f t="shared" si="11"/>
        <v>0</v>
      </c>
      <c r="L80" s="524">
        <f t="shared" si="11"/>
        <v>0</v>
      </c>
      <c r="M80" s="524">
        <f t="shared" si="11"/>
        <v>0</v>
      </c>
      <c r="N80" s="524">
        <f t="shared" si="11"/>
        <v>0</v>
      </c>
      <c r="O80" s="524">
        <f t="shared" si="11"/>
        <v>0</v>
      </c>
      <c r="P80"/>
      <c r="Q80"/>
      <c r="R80"/>
    </row>
    <row r="81" spans="1:18" ht="13" thickBot="1">
      <c r="A81"/>
      <c r="B81"/>
      <c r="C81"/>
      <c r="D81"/>
      <c r="E81"/>
      <c r="F81"/>
      <c r="G81"/>
      <c r="H81"/>
      <c r="I81"/>
      <c r="J81"/>
      <c r="K81"/>
      <c r="L81"/>
      <c r="M81"/>
      <c r="N81"/>
      <c r="O81"/>
      <c r="P81"/>
      <c r="Q81"/>
      <c r="R81"/>
    </row>
    <row r="82" spans="1:18" ht="13.5" thickBot="1">
      <c r="A82" s="108" t="s">
        <v>754</v>
      </c>
      <c r="B82"/>
      <c r="C82" s="293">
        <f t="shared" ref="C82:O82" si="12">C80+C69+C58+C47+C36+C25</f>
        <v>88</v>
      </c>
      <c r="D82" s="293">
        <f t="shared" si="12"/>
        <v>92</v>
      </c>
      <c r="E82" s="293">
        <f t="shared" si="12"/>
        <v>97</v>
      </c>
      <c r="F82" s="293">
        <f t="shared" si="12"/>
        <v>100</v>
      </c>
      <c r="G82" s="293">
        <f t="shared" si="12"/>
        <v>105</v>
      </c>
      <c r="H82" s="293">
        <f t="shared" si="12"/>
        <v>109</v>
      </c>
      <c r="I82" s="293">
        <f t="shared" si="12"/>
        <v>112</v>
      </c>
      <c r="J82" s="293">
        <f t="shared" si="12"/>
        <v>117</v>
      </c>
      <c r="K82" s="293">
        <f t="shared" si="12"/>
        <v>121</v>
      </c>
      <c r="L82" s="293">
        <f t="shared" si="12"/>
        <v>124</v>
      </c>
      <c r="M82" s="293">
        <f t="shared" si="12"/>
        <v>130</v>
      </c>
      <c r="N82" s="293">
        <f t="shared" si="12"/>
        <v>134</v>
      </c>
      <c r="O82" s="293">
        <f t="shared" si="12"/>
        <v>1329</v>
      </c>
      <c r="P82"/>
      <c r="Q82"/>
      <c r="R82"/>
    </row>
    <row r="83" spans="1:18">
      <c r="A83"/>
      <c r="B83"/>
      <c r="C83"/>
      <c r="D83"/>
      <c r="E83"/>
      <c r="F83"/>
      <c r="G83"/>
      <c r="H83"/>
      <c r="I83"/>
      <c r="J83"/>
      <c r="K83"/>
      <c r="L83"/>
      <c r="M83"/>
      <c r="N83"/>
      <c r="O83"/>
      <c r="P83"/>
      <c r="Q83"/>
      <c r="R83"/>
    </row>
    <row r="86" spans="1:18" s="251" customFormat="1"/>
    <row r="87" spans="1:18" ht="25">
      <c r="A87" s="105"/>
    </row>
  </sheetData>
  <sheetProtection password="E242" sheet="1" objects="1" scenarios="1"/>
  <customSheetViews>
    <customSheetView guid="{30D0538C-360A-4CDF-8D89-584CED1967CC}" scale="90" showGridLines="0" hiddenRows="1">
      <selection activeCell="F8" sqref="F8"/>
      <pageMargins left="0.7" right="0.7" top="0.75" bottom="0.75" header="0.3" footer="0.3"/>
    </customSheetView>
    <customSheetView guid="{4F3169C3-3348-49DE-A6DC-8AA4D2A9D7A1}" scale="90" showGridLines="0" hiddenRows="1">
      <selection activeCell="F8" sqref="F8"/>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G1">
    <pageSetUpPr fitToPage="1"/>
  </sheetPr>
  <dimension ref="A1:P107"/>
  <sheetViews>
    <sheetView showGridLines="0" showOutlineSymbols="0" zoomScale="105" zoomScaleNormal="105" workbookViewId="0">
      <pane ySplit="12" topLeftCell="A13" activePane="bottomLeft" state="frozen"/>
      <selection activeCell="G24" sqref="G24"/>
      <selection pane="bottomLeft" activeCell="A5" sqref="A5"/>
    </sheetView>
  </sheetViews>
  <sheetFormatPr baseColWidth="10" defaultColWidth="11.453125" defaultRowHeight="12.5"/>
  <cols>
    <col min="1" max="1" width="26.81640625" style="251" customWidth="1"/>
    <col min="2" max="2" width="5.6328125" style="251" customWidth="1"/>
    <col min="3" max="16384" width="11.453125" style="251"/>
  </cols>
  <sheetData>
    <row r="1" spans="1:16" customFormat="1"/>
    <row r="2" spans="1:16" customFormat="1"/>
    <row r="3" spans="1:16" customFormat="1"/>
    <row r="4" spans="1:16" s="261" customFormat="1"/>
    <row r="5" spans="1:16" s="261" customFormat="1"/>
    <row r="6" spans="1:16" s="261" customFormat="1"/>
    <row r="7" spans="1:16" s="261" customFormat="1"/>
    <row r="8" spans="1:16" ht="25">
      <c r="A8" s="105" t="str">
        <f>RG!D17</f>
        <v>Jhon Wesly inc.</v>
      </c>
      <c r="E8" s="808"/>
    </row>
    <row r="9" spans="1:16" ht="13">
      <c r="C9" s="328" t="str">
        <f>IF(A!G26&gt;0,"Vous devez inscrire l'acquisition d'immobilisation suivante dans le mois de l'acquisition","")</f>
        <v/>
      </c>
      <c r="I9" s="327" t="str">
        <f>IF(A!G26&gt;0,A!G26,"")</f>
        <v/>
      </c>
    </row>
    <row r="10" spans="1:16" ht="15">
      <c r="A10" s="72" t="s">
        <v>214</v>
      </c>
      <c r="B10" s="106"/>
      <c r="C10" s="107"/>
      <c r="D10" s="107"/>
      <c r="E10" s="107"/>
      <c r="F10" s="1194"/>
      <c r="G10" s="1194"/>
      <c r="H10" s="1194"/>
      <c r="I10" s="751"/>
      <c r="J10" s="752"/>
      <c r="K10" s="107"/>
      <c r="L10" s="107"/>
      <c r="M10" s="107"/>
      <c r="N10" s="107"/>
      <c r="O10" s="107"/>
      <c r="P10" s="48"/>
    </row>
    <row r="11" spans="1:16" ht="15.5" thickBot="1">
      <c r="A11" s="72"/>
      <c r="B11" s="106"/>
      <c r="C11" s="107"/>
      <c r="D11" s="107"/>
      <c r="E11" s="107"/>
      <c r="F11" s="107"/>
      <c r="G11" s="107"/>
      <c r="H11" s="107"/>
      <c r="I11" s="107"/>
      <c r="J11" s="107"/>
      <c r="K11" s="107"/>
      <c r="L11" s="107"/>
      <c r="M11" s="107"/>
      <c r="N11" s="107"/>
      <c r="O11" s="107"/>
      <c r="P11" s="48"/>
    </row>
    <row r="12" spans="1:16" ht="15.5" thickBot="1">
      <c r="A12" s="72"/>
      <c r="B12" s="106"/>
      <c r="C12" s="74">
        <f>RG!D27</f>
        <v>45292</v>
      </c>
      <c r="D12" s="74">
        <f t="shared" ref="D12:N12" si="0">C12+31</f>
        <v>45323</v>
      </c>
      <c r="E12" s="74">
        <f t="shared" si="0"/>
        <v>45354</v>
      </c>
      <c r="F12" s="74">
        <f t="shared" si="0"/>
        <v>45385</v>
      </c>
      <c r="G12" s="74">
        <f t="shared" si="0"/>
        <v>45416</v>
      </c>
      <c r="H12" s="74">
        <f t="shared" si="0"/>
        <v>45447</v>
      </c>
      <c r="I12" s="74">
        <f t="shared" si="0"/>
        <v>45478</v>
      </c>
      <c r="J12" s="74">
        <f t="shared" si="0"/>
        <v>45509</v>
      </c>
      <c r="K12" s="74">
        <f t="shared" si="0"/>
        <v>45540</v>
      </c>
      <c r="L12" s="74">
        <f t="shared" si="0"/>
        <v>45571</v>
      </c>
      <c r="M12" s="74">
        <f t="shared" si="0"/>
        <v>45602</v>
      </c>
      <c r="N12" s="74">
        <f t="shared" si="0"/>
        <v>45633</v>
      </c>
      <c r="O12" s="75" t="s">
        <v>489</v>
      </c>
      <c r="P12" s="48"/>
    </row>
    <row r="13" spans="1:16" ht="13.5" thickBot="1">
      <c r="A13" s="853" t="s">
        <v>651</v>
      </c>
      <c r="B13" s="854"/>
      <c r="C13" s="855"/>
      <c r="D13" s="855"/>
      <c r="E13" s="855"/>
      <c r="F13" s="855"/>
      <c r="G13" s="855"/>
      <c r="H13" s="855"/>
      <c r="I13" s="855"/>
      <c r="J13" s="855"/>
      <c r="K13" s="855"/>
      <c r="L13" s="855"/>
      <c r="M13" s="855"/>
      <c r="N13" s="855"/>
      <c r="O13" s="855"/>
      <c r="P13" s="48"/>
    </row>
    <row r="14" spans="1:16" ht="13.5" thickBot="1">
      <c r="A14" s="1188" t="str">
        <f>IF(RG!$A$78&lt;5,"Loyer",IF(RG!$A$78=5,"Location de bâtiment/terrain","Loyer"))</f>
        <v>Loyer</v>
      </c>
      <c r="B14" s="1188"/>
      <c r="C14" s="392"/>
      <c r="D14" s="393">
        <f>C14</f>
        <v>0</v>
      </c>
      <c r="E14" s="393">
        <f t="shared" ref="E14:N14" si="1">D14</f>
        <v>0</v>
      </c>
      <c r="F14" s="393">
        <f t="shared" si="1"/>
        <v>0</v>
      </c>
      <c r="G14" s="393">
        <f t="shared" si="1"/>
        <v>0</v>
      </c>
      <c r="H14" s="393">
        <f t="shared" si="1"/>
        <v>0</v>
      </c>
      <c r="I14" s="393">
        <f t="shared" si="1"/>
        <v>0</v>
      </c>
      <c r="J14" s="393">
        <f t="shared" si="1"/>
        <v>0</v>
      </c>
      <c r="K14" s="393">
        <f t="shared" si="1"/>
        <v>0</v>
      </c>
      <c r="L14" s="393">
        <f t="shared" si="1"/>
        <v>0</v>
      </c>
      <c r="M14" s="393">
        <f t="shared" si="1"/>
        <v>0</v>
      </c>
      <c r="N14" s="393">
        <f t="shared" si="1"/>
        <v>0</v>
      </c>
      <c r="O14" s="387">
        <f>SUM(C14:N14)</f>
        <v>0</v>
      </c>
      <c r="P14" s="48"/>
    </row>
    <row r="15" spans="1:16" ht="13.5" thickBot="1">
      <c r="A15" s="78"/>
      <c r="B15" s="78"/>
      <c r="C15" s="269"/>
      <c r="D15" s="77"/>
      <c r="E15" s="77"/>
      <c r="F15" s="77"/>
      <c r="G15" s="77"/>
      <c r="H15" s="77"/>
      <c r="I15" s="77"/>
      <c r="J15" s="77"/>
      <c r="K15" s="77"/>
      <c r="L15" s="77"/>
      <c r="M15" s="77"/>
      <c r="N15" s="77"/>
      <c r="O15" s="77"/>
      <c r="P15" s="48"/>
    </row>
    <row r="16" spans="1:16" ht="13.5" thickBot="1">
      <c r="A16" s="1188" t="s">
        <v>736</v>
      </c>
      <c r="B16" s="1188"/>
      <c r="C16" s="392"/>
      <c r="D16" s="393">
        <f>C16</f>
        <v>0</v>
      </c>
      <c r="E16" s="393">
        <f>D16</f>
        <v>0</v>
      </c>
      <c r="F16" s="393">
        <f>E16</f>
        <v>0</v>
      </c>
      <c r="G16" s="393">
        <f t="shared" ref="G16:N16" si="2">F16</f>
        <v>0</v>
      </c>
      <c r="H16" s="393">
        <f t="shared" si="2"/>
        <v>0</v>
      </c>
      <c r="I16" s="393">
        <f t="shared" si="2"/>
        <v>0</v>
      </c>
      <c r="J16" s="393">
        <f t="shared" si="2"/>
        <v>0</v>
      </c>
      <c r="K16" s="393">
        <f t="shared" si="2"/>
        <v>0</v>
      </c>
      <c r="L16" s="393">
        <f t="shared" si="2"/>
        <v>0</v>
      </c>
      <c r="M16" s="393">
        <f t="shared" si="2"/>
        <v>0</v>
      </c>
      <c r="N16" s="393">
        <f t="shared" si="2"/>
        <v>0</v>
      </c>
      <c r="O16" s="76">
        <f>SUM(C16:N16)</f>
        <v>0</v>
      </c>
      <c r="P16" s="48"/>
    </row>
    <row r="17" spans="1:16" ht="13.5" thickBot="1">
      <c r="A17" s="78"/>
      <c r="B17" s="78"/>
      <c r="C17" s="269"/>
      <c r="D17" s="77"/>
      <c r="E17" s="77"/>
      <c r="F17" s="77"/>
      <c r="G17" s="77"/>
      <c r="H17" s="77"/>
      <c r="I17" s="77"/>
      <c r="J17" s="77"/>
      <c r="K17" s="77"/>
      <c r="L17" s="77"/>
      <c r="M17" s="77"/>
      <c r="N17" s="77"/>
      <c r="O17" s="77"/>
      <c r="P17" s="48"/>
    </row>
    <row r="18" spans="1:16" ht="13.5" thickBot="1">
      <c r="A18" s="1188" t="str">
        <f>IF(RG!$A$78&lt;5,"Entretien / réparation",IF(RG!$A$78=5,"Entretien bâtiments/fonds de terre","Entretien / réparation"))</f>
        <v>Entretien / réparation</v>
      </c>
      <c r="B18" s="1188"/>
      <c r="C18" s="392"/>
      <c r="D18" s="393">
        <f t="shared" ref="D18:N18" si="3">C18</f>
        <v>0</v>
      </c>
      <c r="E18" s="393">
        <f t="shared" si="3"/>
        <v>0</v>
      </c>
      <c r="F18" s="393">
        <f t="shared" si="3"/>
        <v>0</v>
      </c>
      <c r="G18" s="393">
        <f t="shared" si="3"/>
        <v>0</v>
      </c>
      <c r="H18" s="393">
        <f t="shared" si="3"/>
        <v>0</v>
      </c>
      <c r="I18" s="393">
        <f t="shared" si="3"/>
        <v>0</v>
      </c>
      <c r="J18" s="393">
        <f t="shared" si="3"/>
        <v>0</v>
      </c>
      <c r="K18" s="393">
        <f t="shared" si="3"/>
        <v>0</v>
      </c>
      <c r="L18" s="393">
        <f t="shared" si="3"/>
        <v>0</v>
      </c>
      <c r="M18" s="393">
        <f t="shared" si="3"/>
        <v>0</v>
      </c>
      <c r="N18" s="393">
        <f t="shared" si="3"/>
        <v>0</v>
      </c>
      <c r="O18" s="76">
        <f>SUM(C18:N18)</f>
        <v>0</v>
      </c>
      <c r="P18" s="48"/>
    </row>
    <row r="19" spans="1:16" ht="13.5" thickBot="1">
      <c r="A19" s="78"/>
      <c r="B19" s="78"/>
      <c r="C19" s="269"/>
      <c r="D19" s="77"/>
      <c r="E19" s="77"/>
      <c r="F19" s="77"/>
      <c r="G19" s="77"/>
      <c r="H19" s="77"/>
      <c r="I19" s="77"/>
      <c r="J19" s="77"/>
      <c r="K19" s="77"/>
      <c r="L19" s="77"/>
      <c r="M19" s="77"/>
      <c r="N19" s="77"/>
      <c r="O19" s="77"/>
      <c r="P19" s="48"/>
    </row>
    <row r="20" spans="1:16" ht="13.5" thickBot="1">
      <c r="A20" s="1188" t="s">
        <v>139</v>
      </c>
      <c r="B20" s="1188"/>
      <c r="C20" s="392"/>
      <c r="D20" s="393">
        <f t="shared" ref="D20:N20" si="4">C20</f>
        <v>0</v>
      </c>
      <c r="E20" s="393">
        <f t="shared" si="4"/>
        <v>0</v>
      </c>
      <c r="F20" s="393">
        <f t="shared" si="4"/>
        <v>0</v>
      </c>
      <c r="G20" s="393">
        <f t="shared" si="4"/>
        <v>0</v>
      </c>
      <c r="H20" s="393">
        <f t="shared" si="4"/>
        <v>0</v>
      </c>
      <c r="I20" s="393">
        <f t="shared" si="4"/>
        <v>0</v>
      </c>
      <c r="J20" s="393">
        <f t="shared" si="4"/>
        <v>0</v>
      </c>
      <c r="K20" s="393">
        <f t="shared" si="4"/>
        <v>0</v>
      </c>
      <c r="L20" s="393">
        <f t="shared" si="4"/>
        <v>0</v>
      </c>
      <c r="M20" s="393">
        <f t="shared" si="4"/>
        <v>0</v>
      </c>
      <c r="N20" s="393">
        <f t="shared" si="4"/>
        <v>0</v>
      </c>
      <c r="O20" s="76">
        <f>SUM(C20:N20)</f>
        <v>0</v>
      </c>
      <c r="P20" s="48"/>
    </row>
    <row r="21" spans="1:16" ht="13.5" thickBot="1">
      <c r="A21" s="78"/>
      <c r="B21" s="78"/>
      <c r="C21" s="269"/>
      <c r="D21" s="77"/>
      <c r="E21" s="77"/>
      <c r="F21" s="77"/>
      <c r="G21" s="77"/>
      <c r="H21" s="77"/>
      <c r="I21" s="77"/>
      <c r="J21" s="77"/>
      <c r="K21" s="77"/>
      <c r="L21" s="77"/>
      <c r="M21" s="77"/>
      <c r="N21" s="77"/>
      <c r="O21" s="77"/>
      <c r="P21" s="48"/>
    </row>
    <row r="22" spans="1:16" ht="13.5" thickBot="1">
      <c r="A22" s="1188" t="s">
        <v>282</v>
      </c>
      <c r="B22" s="1188"/>
      <c r="C22" s="392"/>
      <c r="D22" s="393">
        <f t="shared" ref="D22:N22" si="5">C22</f>
        <v>0</v>
      </c>
      <c r="E22" s="393">
        <f t="shared" si="5"/>
        <v>0</v>
      </c>
      <c r="F22" s="393">
        <f t="shared" si="5"/>
        <v>0</v>
      </c>
      <c r="G22" s="393">
        <f t="shared" si="5"/>
        <v>0</v>
      </c>
      <c r="H22" s="393">
        <f t="shared" si="5"/>
        <v>0</v>
      </c>
      <c r="I22" s="393">
        <f t="shared" si="5"/>
        <v>0</v>
      </c>
      <c r="J22" s="393">
        <f t="shared" si="5"/>
        <v>0</v>
      </c>
      <c r="K22" s="393">
        <f t="shared" si="5"/>
        <v>0</v>
      </c>
      <c r="L22" s="393">
        <f t="shared" si="5"/>
        <v>0</v>
      </c>
      <c r="M22" s="393">
        <f t="shared" si="5"/>
        <v>0</v>
      </c>
      <c r="N22" s="393">
        <f t="shared" si="5"/>
        <v>0</v>
      </c>
      <c r="O22" s="76">
        <f>SUM(C22:N22)</f>
        <v>0</v>
      </c>
      <c r="P22" s="48"/>
    </row>
    <row r="23" spans="1:16" ht="13.5" thickBot="1">
      <c r="A23" s="78"/>
      <c r="B23" s="78"/>
      <c r="C23" s="269"/>
      <c r="D23" s="77"/>
      <c r="E23" s="77"/>
      <c r="F23" s="77"/>
      <c r="G23" s="77"/>
      <c r="H23" s="77"/>
      <c r="I23" s="77"/>
      <c r="J23" s="77"/>
      <c r="K23" s="77"/>
      <c r="L23" s="77"/>
      <c r="M23" s="77"/>
      <c r="N23" s="77"/>
      <c r="O23" s="77"/>
      <c r="P23" s="48"/>
    </row>
    <row r="24" spans="1:16" ht="13.5" thickBot="1">
      <c r="A24" s="1188" t="s">
        <v>869</v>
      </c>
      <c r="B24" s="1188"/>
      <c r="C24" s="392"/>
      <c r="D24" s="393">
        <f t="shared" ref="D24:N24" si="6">C24</f>
        <v>0</v>
      </c>
      <c r="E24" s="393">
        <f t="shared" si="6"/>
        <v>0</v>
      </c>
      <c r="F24" s="393">
        <f t="shared" si="6"/>
        <v>0</v>
      </c>
      <c r="G24" s="393">
        <f t="shared" si="6"/>
        <v>0</v>
      </c>
      <c r="H24" s="393">
        <f t="shared" si="6"/>
        <v>0</v>
      </c>
      <c r="I24" s="393">
        <f t="shared" si="6"/>
        <v>0</v>
      </c>
      <c r="J24" s="393">
        <f t="shared" si="6"/>
        <v>0</v>
      </c>
      <c r="K24" s="393">
        <f t="shared" si="6"/>
        <v>0</v>
      </c>
      <c r="L24" s="393">
        <f t="shared" si="6"/>
        <v>0</v>
      </c>
      <c r="M24" s="393">
        <f t="shared" si="6"/>
        <v>0</v>
      </c>
      <c r="N24" s="393">
        <f t="shared" si="6"/>
        <v>0</v>
      </c>
      <c r="O24" s="76">
        <f>SUM(C24:N24)</f>
        <v>0</v>
      </c>
      <c r="P24" s="48"/>
    </row>
    <row r="25" spans="1:16" ht="13.5" thickBot="1">
      <c r="A25" s="78"/>
      <c r="B25" s="78"/>
      <c r="C25" s="269"/>
      <c r="D25" s="77"/>
      <c r="E25" s="77"/>
      <c r="F25" s="77"/>
      <c r="G25" s="77"/>
      <c r="H25" s="77"/>
      <c r="I25" s="77"/>
      <c r="J25" s="77"/>
      <c r="K25" s="77"/>
      <c r="L25" s="77"/>
      <c r="M25" s="77"/>
      <c r="N25" s="77"/>
      <c r="O25" s="77"/>
      <c r="P25" s="48"/>
    </row>
    <row r="26" spans="1:16" ht="13.5" thickBot="1">
      <c r="A26" s="1188" t="str">
        <f>IF(RG!$A$78&lt;5,"Assurances",IF(RG!$A$78=5,"Assurances de ferme","Assurances"))</f>
        <v>Assurances</v>
      </c>
      <c r="B26" s="1188"/>
      <c r="C26" s="392"/>
      <c r="D26" s="393">
        <f t="shared" ref="D26:N26" si="7">C26</f>
        <v>0</v>
      </c>
      <c r="E26" s="393">
        <f t="shared" si="7"/>
        <v>0</v>
      </c>
      <c r="F26" s="393">
        <f t="shared" si="7"/>
        <v>0</v>
      </c>
      <c r="G26" s="393">
        <f t="shared" si="7"/>
        <v>0</v>
      </c>
      <c r="H26" s="393">
        <f t="shared" si="7"/>
        <v>0</v>
      </c>
      <c r="I26" s="393">
        <f t="shared" si="7"/>
        <v>0</v>
      </c>
      <c r="J26" s="393">
        <f t="shared" si="7"/>
        <v>0</v>
      </c>
      <c r="K26" s="393">
        <f t="shared" si="7"/>
        <v>0</v>
      </c>
      <c r="L26" s="393">
        <f t="shared" si="7"/>
        <v>0</v>
      </c>
      <c r="M26" s="393">
        <f t="shared" si="7"/>
        <v>0</v>
      </c>
      <c r="N26" s="393">
        <f t="shared" si="7"/>
        <v>0</v>
      </c>
      <c r="O26" s="76">
        <f>SUM(C26:N26)</f>
        <v>0</v>
      </c>
      <c r="P26" s="48"/>
    </row>
    <row r="27" spans="1:16" ht="13.5" thickBot="1">
      <c r="A27" s="78"/>
      <c r="B27" s="78"/>
      <c r="C27" s="269"/>
      <c r="D27" s="77"/>
      <c r="E27" s="77"/>
      <c r="F27" s="77"/>
      <c r="G27" s="77"/>
      <c r="H27" s="77"/>
      <c r="I27" s="77"/>
      <c r="J27" s="77"/>
      <c r="K27" s="77"/>
      <c r="L27" s="77"/>
      <c r="M27" s="77"/>
      <c r="N27" s="77"/>
      <c r="O27" s="77"/>
      <c r="P27" s="48"/>
    </row>
    <row r="28" spans="1:16" ht="13.5" thickBot="1">
      <c r="A28" s="757" t="s">
        <v>21</v>
      </c>
      <c r="C28" s="392"/>
      <c r="D28" s="393">
        <f t="shared" ref="D28:N28" si="8">C28</f>
        <v>0</v>
      </c>
      <c r="E28" s="393">
        <f t="shared" si="8"/>
        <v>0</v>
      </c>
      <c r="F28" s="393">
        <f t="shared" si="8"/>
        <v>0</v>
      </c>
      <c r="G28" s="393">
        <f t="shared" si="8"/>
        <v>0</v>
      </c>
      <c r="H28" s="393">
        <f t="shared" si="8"/>
        <v>0</v>
      </c>
      <c r="I28" s="393">
        <f t="shared" si="8"/>
        <v>0</v>
      </c>
      <c r="J28" s="393">
        <f t="shared" si="8"/>
        <v>0</v>
      </c>
      <c r="K28" s="393">
        <f t="shared" si="8"/>
        <v>0</v>
      </c>
      <c r="L28" s="393">
        <f t="shared" si="8"/>
        <v>0</v>
      </c>
      <c r="M28" s="393">
        <f t="shared" si="8"/>
        <v>0</v>
      </c>
      <c r="N28" s="393">
        <f t="shared" si="8"/>
        <v>0</v>
      </c>
      <c r="O28" s="76">
        <f>SUM(C28:N28)</f>
        <v>0</v>
      </c>
      <c r="P28" s="48"/>
    </row>
    <row r="29" spans="1:16" ht="13.5" thickBot="1">
      <c r="A29" s="78"/>
      <c r="B29" s="78"/>
      <c r="C29" s="269"/>
      <c r="D29" s="77"/>
      <c r="E29" s="77"/>
      <c r="F29" s="77"/>
      <c r="G29" s="77"/>
      <c r="H29" s="77"/>
      <c r="I29" s="77"/>
      <c r="J29" s="77"/>
      <c r="K29" s="77"/>
      <c r="L29" s="77"/>
      <c r="M29" s="77"/>
      <c r="N29" s="77"/>
      <c r="O29" s="77"/>
      <c r="P29" s="48"/>
    </row>
    <row r="30" spans="1:16" ht="13.5" thickBot="1">
      <c r="A30" s="528" t="str">
        <f>IF(RG!$A$78&lt;5,"Autre frais d'exploitation 1",IF(RG!$A$78=5,"Cotisation et abonnement","Association et abonnement"))</f>
        <v>Autre frais d'exploitation 1</v>
      </c>
      <c r="C30" s="392"/>
      <c r="D30" s="393">
        <f t="shared" ref="D30:N30" si="9">C30</f>
        <v>0</v>
      </c>
      <c r="E30" s="393">
        <f t="shared" si="9"/>
        <v>0</v>
      </c>
      <c r="F30" s="393">
        <f t="shared" si="9"/>
        <v>0</v>
      </c>
      <c r="G30" s="393">
        <f t="shared" si="9"/>
        <v>0</v>
      </c>
      <c r="H30" s="393">
        <f t="shared" si="9"/>
        <v>0</v>
      </c>
      <c r="I30" s="393">
        <f t="shared" si="9"/>
        <v>0</v>
      </c>
      <c r="J30" s="393">
        <f t="shared" si="9"/>
        <v>0</v>
      </c>
      <c r="K30" s="393">
        <f t="shared" si="9"/>
        <v>0</v>
      </c>
      <c r="L30" s="393">
        <f t="shared" si="9"/>
        <v>0</v>
      </c>
      <c r="M30" s="393">
        <f t="shared" si="9"/>
        <v>0</v>
      </c>
      <c r="N30" s="393">
        <f t="shared" si="9"/>
        <v>0</v>
      </c>
      <c r="O30" s="76">
        <f>SUM(C30:N30)</f>
        <v>0</v>
      </c>
      <c r="P30" s="48"/>
    </row>
    <row r="31" spans="1:16" ht="13.5" thickBot="1">
      <c r="A31" s="78"/>
      <c r="B31" s="78"/>
      <c r="C31" s="269"/>
      <c r="D31" s="77"/>
      <c r="E31" s="77"/>
      <c r="F31" s="77"/>
      <c r="G31" s="77"/>
      <c r="H31" s="77"/>
      <c r="I31" s="77"/>
      <c r="J31" s="77"/>
      <c r="K31" s="77"/>
      <c r="L31" s="77"/>
      <c r="M31" s="77"/>
      <c r="N31" s="77"/>
      <c r="O31" s="77"/>
      <c r="P31" s="48"/>
    </row>
    <row r="32" spans="1:16" ht="13.5" thickBot="1">
      <c r="A32" s="528" t="str">
        <f>IF(RG!$A$78&lt;5,"Autre frais d'exploitation 2",IF(RG!$A$78=5,"Travaux mécanisés","Location d'équipement"))</f>
        <v>Autre frais d'exploitation 2</v>
      </c>
      <c r="C32" s="392"/>
      <c r="D32" s="393">
        <f t="shared" ref="D32:N32" si="10">C32</f>
        <v>0</v>
      </c>
      <c r="E32" s="393">
        <f t="shared" si="10"/>
        <v>0</v>
      </c>
      <c r="F32" s="393">
        <f t="shared" si="10"/>
        <v>0</v>
      </c>
      <c r="G32" s="393">
        <f t="shared" si="10"/>
        <v>0</v>
      </c>
      <c r="H32" s="393">
        <f t="shared" si="10"/>
        <v>0</v>
      </c>
      <c r="I32" s="393">
        <f t="shared" si="10"/>
        <v>0</v>
      </c>
      <c r="J32" s="393">
        <f t="shared" si="10"/>
        <v>0</v>
      </c>
      <c r="K32" s="393">
        <f t="shared" si="10"/>
        <v>0</v>
      </c>
      <c r="L32" s="393">
        <f t="shared" si="10"/>
        <v>0</v>
      </c>
      <c r="M32" s="393">
        <f t="shared" si="10"/>
        <v>0</v>
      </c>
      <c r="N32" s="393">
        <f t="shared" si="10"/>
        <v>0</v>
      </c>
      <c r="O32" s="76">
        <f>SUM(C32:N32)</f>
        <v>0</v>
      </c>
      <c r="P32" s="48"/>
    </row>
    <row r="33" spans="1:16" ht="13.5" thickBot="1">
      <c r="A33" s="850"/>
      <c r="C33" s="851"/>
      <c r="D33" s="110"/>
      <c r="E33" s="110"/>
      <c r="F33" s="110"/>
      <c r="G33" s="110"/>
      <c r="H33" s="110"/>
      <c r="I33" s="110"/>
      <c r="J33" s="110"/>
      <c r="K33" s="110"/>
      <c r="L33" s="110"/>
      <c r="M33" s="110"/>
      <c r="N33" s="110"/>
      <c r="O33" s="77"/>
      <c r="P33" s="48"/>
    </row>
    <row r="34" spans="1:16" ht="13.5" thickBot="1">
      <c r="A34" s="528" t="s">
        <v>895</v>
      </c>
      <c r="C34" s="392"/>
      <c r="D34" s="393">
        <f t="shared" ref="D34:N34" si="11">C34</f>
        <v>0</v>
      </c>
      <c r="E34" s="393">
        <f t="shared" si="11"/>
        <v>0</v>
      </c>
      <c r="F34" s="393">
        <f t="shared" si="11"/>
        <v>0</v>
      </c>
      <c r="G34" s="393">
        <f t="shared" si="11"/>
        <v>0</v>
      </c>
      <c r="H34" s="393">
        <f t="shared" si="11"/>
        <v>0</v>
      </c>
      <c r="I34" s="393">
        <f t="shared" si="11"/>
        <v>0</v>
      </c>
      <c r="J34" s="393">
        <f t="shared" si="11"/>
        <v>0</v>
      </c>
      <c r="K34" s="393">
        <f t="shared" si="11"/>
        <v>0</v>
      </c>
      <c r="L34" s="393">
        <f t="shared" si="11"/>
        <v>0</v>
      </c>
      <c r="M34" s="393">
        <f t="shared" si="11"/>
        <v>0</v>
      </c>
      <c r="N34" s="393">
        <f t="shared" si="11"/>
        <v>0</v>
      </c>
      <c r="O34" s="76">
        <f>SUM(C34:N34)</f>
        <v>0</v>
      </c>
      <c r="P34" s="48"/>
    </row>
    <row r="35" spans="1:16" ht="13.5" thickBot="1">
      <c r="A35" s="78"/>
      <c r="B35" s="78"/>
      <c r="C35" s="269"/>
      <c r="D35" s="77"/>
      <c r="E35" s="77"/>
      <c r="F35" s="77"/>
      <c r="G35" s="77"/>
      <c r="H35" s="77"/>
      <c r="I35" s="77"/>
      <c r="J35" s="77"/>
      <c r="K35" s="77"/>
      <c r="L35" s="77"/>
      <c r="M35" s="77"/>
      <c r="N35" s="77"/>
      <c r="O35" s="77"/>
      <c r="P35" s="48"/>
    </row>
    <row r="36" spans="1:16" ht="13.5" thickBot="1">
      <c r="A36" s="528" t="s">
        <v>896</v>
      </c>
      <c r="C36" s="392"/>
      <c r="D36" s="393">
        <f t="shared" ref="D36:N36" si="12">C36</f>
        <v>0</v>
      </c>
      <c r="E36" s="393">
        <f t="shared" si="12"/>
        <v>0</v>
      </c>
      <c r="F36" s="393">
        <f t="shared" si="12"/>
        <v>0</v>
      </c>
      <c r="G36" s="393">
        <f t="shared" si="12"/>
        <v>0</v>
      </c>
      <c r="H36" s="393">
        <f t="shared" si="12"/>
        <v>0</v>
      </c>
      <c r="I36" s="393">
        <f t="shared" si="12"/>
        <v>0</v>
      </c>
      <c r="J36" s="393">
        <f t="shared" si="12"/>
        <v>0</v>
      </c>
      <c r="K36" s="393">
        <f t="shared" si="12"/>
        <v>0</v>
      </c>
      <c r="L36" s="393">
        <f t="shared" si="12"/>
        <v>0</v>
      </c>
      <c r="M36" s="393">
        <f t="shared" si="12"/>
        <v>0</v>
      </c>
      <c r="N36" s="393">
        <f t="shared" si="12"/>
        <v>0</v>
      </c>
      <c r="O36" s="76">
        <f>SUM(C36:N36)</f>
        <v>0</v>
      </c>
      <c r="P36" s="48"/>
    </row>
    <row r="37" spans="1:16" ht="13.5" thickBot="1">
      <c r="A37" s="850"/>
      <c r="C37" s="851"/>
      <c r="D37" s="110"/>
      <c r="E37" s="110"/>
      <c r="F37" s="110"/>
      <c r="G37" s="110"/>
      <c r="H37" s="110"/>
      <c r="I37" s="110"/>
      <c r="J37" s="110"/>
      <c r="K37" s="110"/>
      <c r="L37" s="110"/>
      <c r="M37" s="110"/>
      <c r="N37" s="110"/>
      <c r="O37" s="77"/>
      <c r="P37" s="48"/>
    </row>
    <row r="38" spans="1:16" ht="13.5" thickBot="1">
      <c r="A38" s="528" t="s">
        <v>897</v>
      </c>
      <c r="C38" s="392"/>
      <c r="D38" s="393">
        <f t="shared" ref="D38:N38" si="13">C38</f>
        <v>0</v>
      </c>
      <c r="E38" s="393">
        <f t="shared" si="13"/>
        <v>0</v>
      </c>
      <c r="F38" s="393">
        <f t="shared" si="13"/>
        <v>0</v>
      </c>
      <c r="G38" s="393">
        <f t="shared" si="13"/>
        <v>0</v>
      </c>
      <c r="H38" s="393">
        <f t="shared" si="13"/>
        <v>0</v>
      </c>
      <c r="I38" s="393">
        <f t="shared" si="13"/>
        <v>0</v>
      </c>
      <c r="J38" s="393">
        <f t="shared" si="13"/>
        <v>0</v>
      </c>
      <c r="K38" s="393">
        <f t="shared" si="13"/>
        <v>0</v>
      </c>
      <c r="L38" s="393">
        <f t="shared" si="13"/>
        <v>0</v>
      </c>
      <c r="M38" s="393">
        <f t="shared" si="13"/>
        <v>0</v>
      </c>
      <c r="N38" s="393">
        <f t="shared" si="13"/>
        <v>0</v>
      </c>
      <c r="O38" s="76">
        <f>SUM(C38:N38)</f>
        <v>0</v>
      </c>
      <c r="P38" s="48"/>
    </row>
    <row r="39" spans="1:16" ht="13.5" thickBot="1">
      <c r="A39" s="78"/>
      <c r="B39" s="78"/>
      <c r="C39" s="269"/>
      <c r="D39" s="77"/>
      <c r="E39" s="77"/>
      <c r="F39" s="77"/>
      <c r="G39" s="77"/>
      <c r="H39" s="77"/>
      <c r="I39" s="77"/>
      <c r="J39" s="77"/>
      <c r="K39" s="77"/>
      <c r="L39" s="77"/>
      <c r="M39" s="77"/>
      <c r="N39" s="77"/>
      <c r="O39" s="77"/>
      <c r="P39" s="48"/>
    </row>
    <row r="40" spans="1:16" ht="13.5" thickBot="1">
      <c r="A40" s="528" t="s">
        <v>898</v>
      </c>
      <c r="C40" s="392"/>
      <c r="D40" s="393">
        <f t="shared" ref="D40:N40" si="14">C40</f>
        <v>0</v>
      </c>
      <c r="E40" s="393">
        <f t="shared" si="14"/>
        <v>0</v>
      </c>
      <c r="F40" s="393">
        <f t="shared" si="14"/>
        <v>0</v>
      </c>
      <c r="G40" s="393">
        <f t="shared" si="14"/>
        <v>0</v>
      </c>
      <c r="H40" s="393">
        <f t="shared" si="14"/>
        <v>0</v>
      </c>
      <c r="I40" s="393">
        <f t="shared" si="14"/>
        <v>0</v>
      </c>
      <c r="J40" s="393">
        <f t="shared" si="14"/>
        <v>0</v>
      </c>
      <c r="K40" s="393">
        <f t="shared" si="14"/>
        <v>0</v>
      </c>
      <c r="L40" s="393">
        <f t="shared" si="14"/>
        <v>0</v>
      </c>
      <c r="M40" s="393">
        <f t="shared" si="14"/>
        <v>0</v>
      </c>
      <c r="N40" s="393">
        <f t="shared" si="14"/>
        <v>0</v>
      </c>
      <c r="O40" s="76">
        <f>SUM(C40:N40)</f>
        <v>0</v>
      </c>
      <c r="P40" s="48"/>
    </row>
    <row r="41" spans="1:16" ht="13.5" thickBot="1">
      <c r="A41" s="850"/>
      <c r="C41" s="851"/>
      <c r="D41" s="110"/>
      <c r="E41" s="110"/>
      <c r="F41" s="110"/>
      <c r="G41" s="110"/>
      <c r="H41" s="110"/>
      <c r="I41" s="110"/>
      <c r="J41" s="110"/>
      <c r="K41" s="110"/>
      <c r="L41" s="110"/>
      <c r="M41" s="110"/>
      <c r="N41" s="110"/>
      <c r="O41" s="77"/>
      <c r="P41" s="48"/>
    </row>
    <row r="42" spans="1:16" ht="13.5" thickBot="1">
      <c r="A42" s="528" t="s">
        <v>899</v>
      </c>
      <c r="C42" s="392"/>
      <c r="D42" s="393">
        <f t="shared" ref="D42:N42" si="15">C42</f>
        <v>0</v>
      </c>
      <c r="E42" s="393">
        <f t="shared" si="15"/>
        <v>0</v>
      </c>
      <c r="F42" s="393">
        <f t="shared" si="15"/>
        <v>0</v>
      </c>
      <c r="G42" s="393">
        <f t="shared" si="15"/>
        <v>0</v>
      </c>
      <c r="H42" s="393">
        <f t="shared" si="15"/>
        <v>0</v>
      </c>
      <c r="I42" s="393">
        <f t="shared" si="15"/>
        <v>0</v>
      </c>
      <c r="J42" s="393">
        <f t="shared" si="15"/>
        <v>0</v>
      </c>
      <c r="K42" s="393">
        <f t="shared" si="15"/>
        <v>0</v>
      </c>
      <c r="L42" s="393">
        <f t="shared" si="15"/>
        <v>0</v>
      </c>
      <c r="M42" s="393">
        <f t="shared" si="15"/>
        <v>0</v>
      </c>
      <c r="N42" s="393">
        <f t="shared" si="15"/>
        <v>0</v>
      </c>
      <c r="O42" s="76">
        <f>SUM(C42:N42)</f>
        <v>0</v>
      </c>
      <c r="P42" s="48"/>
    </row>
    <row r="43" spans="1:16" ht="13.5" thickBot="1">
      <c r="A43" s="78"/>
      <c r="B43" s="78"/>
      <c r="C43" s="269"/>
      <c r="D43" s="77"/>
      <c r="E43" s="77"/>
      <c r="F43" s="77"/>
      <c r="G43" s="77"/>
      <c r="H43" s="77"/>
      <c r="I43" s="77"/>
      <c r="J43" s="77"/>
      <c r="K43" s="77"/>
      <c r="L43" s="77"/>
      <c r="M43" s="77"/>
      <c r="N43" s="77"/>
      <c r="O43" s="77"/>
      <c r="P43" s="48"/>
    </row>
    <row r="44" spans="1:16" ht="13.5" thickBot="1">
      <c r="A44" s="528" t="s">
        <v>900</v>
      </c>
      <c r="C44" s="392"/>
      <c r="D44" s="393">
        <f t="shared" ref="D44:N44" si="16">C44</f>
        <v>0</v>
      </c>
      <c r="E44" s="393">
        <f t="shared" si="16"/>
        <v>0</v>
      </c>
      <c r="F44" s="393">
        <f t="shared" si="16"/>
        <v>0</v>
      </c>
      <c r="G44" s="393">
        <f t="shared" si="16"/>
        <v>0</v>
      </c>
      <c r="H44" s="393">
        <f t="shared" si="16"/>
        <v>0</v>
      </c>
      <c r="I44" s="393">
        <f t="shared" si="16"/>
        <v>0</v>
      </c>
      <c r="J44" s="393">
        <f t="shared" si="16"/>
        <v>0</v>
      </c>
      <c r="K44" s="393">
        <f t="shared" si="16"/>
        <v>0</v>
      </c>
      <c r="L44" s="393">
        <f t="shared" si="16"/>
        <v>0</v>
      </c>
      <c r="M44" s="393">
        <f t="shared" si="16"/>
        <v>0</v>
      </c>
      <c r="N44" s="393">
        <f t="shared" si="16"/>
        <v>0</v>
      </c>
      <c r="O44" s="76">
        <f>SUM(C44:N44)</f>
        <v>0</v>
      </c>
      <c r="P44" s="48"/>
    </row>
    <row r="45" spans="1:16" ht="13">
      <c r="A45" s="852"/>
      <c r="C45" s="851"/>
      <c r="D45" s="110"/>
      <c r="E45" s="110"/>
      <c r="F45" s="110"/>
      <c r="G45" s="110"/>
      <c r="H45" s="110"/>
      <c r="I45" s="110"/>
      <c r="J45" s="110"/>
      <c r="K45" s="110"/>
      <c r="L45" s="110"/>
      <c r="M45" s="110"/>
      <c r="N45" s="110"/>
      <c r="O45" s="77"/>
      <c r="P45" s="48"/>
    </row>
    <row r="46" spans="1:16" ht="13.5" thickBot="1">
      <c r="A46" s="853" t="s">
        <v>653</v>
      </c>
      <c r="B46" s="856"/>
      <c r="C46" s="857"/>
      <c r="D46" s="858"/>
      <c r="E46" s="858"/>
      <c r="F46" s="858"/>
      <c r="G46" s="858"/>
      <c r="H46" s="858"/>
      <c r="I46" s="858"/>
      <c r="J46" s="858"/>
      <c r="K46" s="858"/>
      <c r="L46" s="858"/>
      <c r="M46" s="858"/>
      <c r="N46" s="858"/>
      <c r="O46" s="858"/>
      <c r="P46" s="48"/>
    </row>
    <row r="47" spans="1:16" ht="13.5" thickBot="1">
      <c r="A47" s="78" t="s">
        <v>191</v>
      </c>
      <c r="C47" s="392"/>
      <c r="D47" s="393">
        <f t="shared" ref="D47:N47" si="17">C47</f>
        <v>0</v>
      </c>
      <c r="E47" s="393">
        <f t="shared" si="17"/>
        <v>0</v>
      </c>
      <c r="F47" s="393">
        <f t="shared" si="17"/>
        <v>0</v>
      </c>
      <c r="G47" s="393">
        <f t="shared" si="17"/>
        <v>0</v>
      </c>
      <c r="H47" s="393">
        <f t="shared" si="17"/>
        <v>0</v>
      </c>
      <c r="I47" s="393">
        <f t="shared" si="17"/>
        <v>0</v>
      </c>
      <c r="J47" s="393">
        <f t="shared" si="17"/>
        <v>0</v>
      </c>
      <c r="K47" s="393">
        <f t="shared" si="17"/>
        <v>0</v>
      </c>
      <c r="L47" s="393">
        <f t="shared" si="17"/>
        <v>0</v>
      </c>
      <c r="M47" s="393">
        <f t="shared" si="17"/>
        <v>0</v>
      </c>
      <c r="N47" s="393">
        <f t="shared" si="17"/>
        <v>0</v>
      </c>
      <c r="O47" s="76">
        <f>SUM(C47:N47)</f>
        <v>0</v>
      </c>
      <c r="P47" s="48"/>
    </row>
    <row r="48" spans="1:16" ht="13.5" thickBot="1">
      <c r="A48" s="78"/>
      <c r="B48" s="78"/>
      <c r="C48" s="269"/>
      <c r="D48" s="77"/>
      <c r="E48" s="77"/>
      <c r="F48" s="77"/>
      <c r="G48" s="77"/>
      <c r="H48" s="77"/>
      <c r="I48" s="77"/>
      <c r="J48" s="77"/>
      <c r="K48" s="77"/>
      <c r="L48" s="77"/>
      <c r="M48" s="77"/>
      <c r="N48" s="77"/>
      <c r="O48" s="77"/>
      <c r="P48" s="48"/>
    </row>
    <row r="49" spans="1:16" ht="13.5" thickBot="1">
      <c r="A49" s="78" t="str">
        <f>IF(TI!L35=0,"Publicité","Abonnements/Cotisations")</f>
        <v>Publicité</v>
      </c>
      <c r="C49" s="392"/>
      <c r="D49" s="393">
        <f t="shared" ref="D49:N49" si="18">C49</f>
        <v>0</v>
      </c>
      <c r="E49" s="393">
        <f t="shared" si="18"/>
        <v>0</v>
      </c>
      <c r="F49" s="393">
        <f t="shared" si="18"/>
        <v>0</v>
      </c>
      <c r="G49" s="393">
        <f t="shared" si="18"/>
        <v>0</v>
      </c>
      <c r="H49" s="393">
        <f t="shared" si="18"/>
        <v>0</v>
      </c>
      <c r="I49" s="393">
        <f t="shared" si="18"/>
        <v>0</v>
      </c>
      <c r="J49" s="393">
        <f t="shared" si="18"/>
        <v>0</v>
      </c>
      <c r="K49" s="393">
        <f t="shared" si="18"/>
        <v>0</v>
      </c>
      <c r="L49" s="393">
        <f t="shared" si="18"/>
        <v>0</v>
      </c>
      <c r="M49" s="393">
        <f t="shared" si="18"/>
        <v>0</v>
      </c>
      <c r="N49" s="393">
        <f t="shared" si="18"/>
        <v>0</v>
      </c>
      <c r="O49" s="76">
        <f>SUM(C49:N49)</f>
        <v>0</v>
      </c>
      <c r="P49" s="48"/>
    </row>
    <row r="50" spans="1:16" ht="13.5" thickBot="1">
      <c r="A50" s="78"/>
      <c r="B50" s="78"/>
      <c r="C50" s="269"/>
      <c r="D50" s="77"/>
      <c r="E50" s="77"/>
      <c r="F50" s="77"/>
      <c r="G50" s="77"/>
      <c r="H50" s="77"/>
      <c r="I50" s="77"/>
      <c r="J50" s="77"/>
      <c r="K50" s="77"/>
      <c r="L50" s="77"/>
      <c r="M50" s="77"/>
      <c r="N50" s="77"/>
      <c r="O50" s="77"/>
      <c r="P50" s="48"/>
    </row>
    <row r="51" spans="1:16" ht="13.5" thickBot="1">
      <c r="A51" s="528" t="s">
        <v>901</v>
      </c>
      <c r="B51" s="78"/>
      <c r="C51" s="392"/>
      <c r="D51" s="393">
        <f t="shared" ref="D51:N51" si="19">C51</f>
        <v>0</v>
      </c>
      <c r="E51" s="393">
        <f t="shared" si="19"/>
        <v>0</v>
      </c>
      <c r="F51" s="393">
        <f t="shared" si="19"/>
        <v>0</v>
      </c>
      <c r="G51" s="393">
        <f t="shared" si="19"/>
        <v>0</v>
      </c>
      <c r="H51" s="393">
        <f t="shared" si="19"/>
        <v>0</v>
      </c>
      <c r="I51" s="393">
        <f t="shared" si="19"/>
        <v>0</v>
      </c>
      <c r="J51" s="393">
        <f t="shared" si="19"/>
        <v>0</v>
      </c>
      <c r="K51" s="393">
        <f t="shared" si="19"/>
        <v>0</v>
      </c>
      <c r="L51" s="393">
        <f t="shared" si="19"/>
        <v>0</v>
      </c>
      <c r="M51" s="393">
        <f t="shared" si="19"/>
        <v>0</v>
      </c>
      <c r="N51" s="393">
        <f t="shared" si="19"/>
        <v>0</v>
      </c>
      <c r="O51" s="76">
        <f>SUM(C51:N51)</f>
        <v>0</v>
      </c>
      <c r="P51" s="48"/>
    </row>
    <row r="52" spans="1:16" ht="13.5" thickBot="1">
      <c r="A52" s="852"/>
      <c r="B52" s="78"/>
      <c r="C52" s="851"/>
      <c r="D52" s="110"/>
      <c r="E52" s="110"/>
      <c r="F52" s="110"/>
      <c r="G52" s="110"/>
      <c r="H52" s="110"/>
      <c r="I52" s="110"/>
      <c r="J52" s="110"/>
      <c r="K52" s="110"/>
      <c r="L52" s="110"/>
      <c r="M52" s="110"/>
      <c r="N52" s="110"/>
      <c r="O52" s="77"/>
      <c r="P52" s="48"/>
    </row>
    <row r="53" spans="1:16" ht="13.5" thickBot="1">
      <c r="A53" s="528" t="s">
        <v>902</v>
      </c>
      <c r="B53" s="78"/>
      <c r="C53" s="392"/>
      <c r="D53" s="393">
        <f t="shared" ref="D53:N53" si="20">C53</f>
        <v>0</v>
      </c>
      <c r="E53" s="393">
        <f t="shared" si="20"/>
        <v>0</v>
      </c>
      <c r="F53" s="393">
        <f t="shared" si="20"/>
        <v>0</v>
      </c>
      <c r="G53" s="393">
        <f t="shared" si="20"/>
        <v>0</v>
      </c>
      <c r="H53" s="393">
        <f t="shared" si="20"/>
        <v>0</v>
      </c>
      <c r="I53" s="393">
        <f t="shared" si="20"/>
        <v>0</v>
      </c>
      <c r="J53" s="393">
        <f t="shared" si="20"/>
        <v>0</v>
      </c>
      <c r="K53" s="393">
        <f t="shared" si="20"/>
        <v>0</v>
      </c>
      <c r="L53" s="393">
        <f t="shared" si="20"/>
        <v>0</v>
      </c>
      <c r="M53" s="393">
        <f t="shared" si="20"/>
        <v>0</v>
      </c>
      <c r="N53" s="393">
        <f t="shared" si="20"/>
        <v>0</v>
      </c>
      <c r="O53" s="76">
        <f>SUM(C53:N53)</f>
        <v>0</v>
      </c>
      <c r="P53" s="48"/>
    </row>
    <row r="54" spans="1:16" ht="13.5" thickBot="1">
      <c r="A54" s="852"/>
      <c r="B54" s="78"/>
      <c r="C54" s="851"/>
      <c r="D54" s="110"/>
      <c r="E54" s="110"/>
      <c r="F54" s="110"/>
      <c r="G54" s="110"/>
      <c r="H54" s="110"/>
      <c r="I54" s="110"/>
      <c r="J54" s="110"/>
      <c r="K54" s="110"/>
      <c r="L54" s="110"/>
      <c r="M54" s="110"/>
      <c r="N54" s="110"/>
      <c r="O54" s="77"/>
      <c r="P54" s="48"/>
    </row>
    <row r="55" spans="1:16" ht="13.5" thickBot="1">
      <c r="A55" s="528" t="s">
        <v>903</v>
      </c>
      <c r="B55" s="78"/>
      <c r="C55" s="392"/>
      <c r="D55" s="393">
        <f t="shared" ref="D55:N55" si="21">C55</f>
        <v>0</v>
      </c>
      <c r="E55" s="393">
        <f t="shared" si="21"/>
        <v>0</v>
      </c>
      <c r="F55" s="393">
        <f t="shared" si="21"/>
        <v>0</v>
      </c>
      <c r="G55" s="393">
        <f t="shared" si="21"/>
        <v>0</v>
      </c>
      <c r="H55" s="393">
        <f t="shared" si="21"/>
        <v>0</v>
      </c>
      <c r="I55" s="393">
        <f t="shared" si="21"/>
        <v>0</v>
      </c>
      <c r="J55" s="393">
        <f t="shared" si="21"/>
        <v>0</v>
      </c>
      <c r="K55" s="393">
        <f t="shared" si="21"/>
        <v>0</v>
      </c>
      <c r="L55" s="393">
        <f t="shared" si="21"/>
        <v>0</v>
      </c>
      <c r="M55" s="393">
        <f t="shared" si="21"/>
        <v>0</v>
      </c>
      <c r="N55" s="393">
        <f t="shared" si="21"/>
        <v>0</v>
      </c>
      <c r="O55" s="76">
        <f>SUM(C55:N55)</f>
        <v>0</v>
      </c>
      <c r="P55" s="48"/>
    </row>
    <row r="56" spans="1:16" ht="13.5" thickBot="1">
      <c r="A56" s="852"/>
      <c r="B56" s="78"/>
      <c r="C56" s="851"/>
      <c r="D56" s="110"/>
      <c r="E56" s="110"/>
      <c r="F56" s="110"/>
      <c r="G56" s="110"/>
      <c r="H56" s="110"/>
      <c r="I56" s="110"/>
      <c r="J56" s="110"/>
      <c r="K56" s="110"/>
      <c r="L56" s="110"/>
      <c r="M56" s="110"/>
      <c r="N56" s="110"/>
      <c r="O56" s="77"/>
      <c r="P56" s="48"/>
    </row>
    <row r="57" spans="1:16" ht="13.5" thickBot="1">
      <c r="A57" s="528" t="s">
        <v>904</v>
      </c>
      <c r="B57" s="78"/>
      <c r="C57" s="392"/>
      <c r="D57" s="393">
        <f t="shared" ref="D57:N57" si="22">C57</f>
        <v>0</v>
      </c>
      <c r="E57" s="393">
        <f t="shared" si="22"/>
        <v>0</v>
      </c>
      <c r="F57" s="393">
        <f t="shared" si="22"/>
        <v>0</v>
      </c>
      <c r="G57" s="393">
        <f t="shared" si="22"/>
        <v>0</v>
      </c>
      <c r="H57" s="393">
        <f t="shared" si="22"/>
        <v>0</v>
      </c>
      <c r="I57" s="393">
        <f t="shared" si="22"/>
        <v>0</v>
      </c>
      <c r="J57" s="393">
        <f t="shared" si="22"/>
        <v>0</v>
      </c>
      <c r="K57" s="393">
        <f t="shared" si="22"/>
        <v>0</v>
      </c>
      <c r="L57" s="393">
        <f t="shared" si="22"/>
        <v>0</v>
      </c>
      <c r="M57" s="393">
        <f t="shared" si="22"/>
        <v>0</v>
      </c>
      <c r="N57" s="393">
        <f t="shared" si="22"/>
        <v>0</v>
      </c>
      <c r="O57" s="76">
        <f>SUM(C57:N57)</f>
        <v>0</v>
      </c>
      <c r="P57" s="48"/>
    </row>
    <row r="58" spans="1:16" ht="13.5" thickBot="1">
      <c r="A58" s="852"/>
      <c r="B58" s="78"/>
      <c r="C58" s="851"/>
      <c r="D58" s="110"/>
      <c r="E58" s="110"/>
      <c r="F58" s="110"/>
      <c r="G58" s="110"/>
      <c r="H58" s="110"/>
      <c r="I58" s="110"/>
      <c r="J58" s="110"/>
      <c r="K58" s="110"/>
      <c r="L58" s="110"/>
      <c r="M58" s="110"/>
      <c r="N58" s="110"/>
      <c r="O58" s="77"/>
      <c r="P58" s="48"/>
    </row>
    <row r="59" spans="1:16" ht="13.5" thickBot="1">
      <c r="A59" s="528" t="s">
        <v>905</v>
      </c>
      <c r="B59" s="78"/>
      <c r="C59" s="392"/>
      <c r="D59" s="393">
        <f t="shared" ref="D59:N59" si="23">C59</f>
        <v>0</v>
      </c>
      <c r="E59" s="393">
        <f t="shared" si="23"/>
        <v>0</v>
      </c>
      <c r="F59" s="393">
        <f t="shared" si="23"/>
        <v>0</v>
      </c>
      <c r="G59" s="393">
        <f t="shared" si="23"/>
        <v>0</v>
      </c>
      <c r="H59" s="393">
        <f t="shared" si="23"/>
        <v>0</v>
      </c>
      <c r="I59" s="393">
        <f t="shared" si="23"/>
        <v>0</v>
      </c>
      <c r="J59" s="393">
        <f t="shared" si="23"/>
        <v>0</v>
      </c>
      <c r="K59" s="393">
        <f t="shared" si="23"/>
        <v>0</v>
      </c>
      <c r="L59" s="393">
        <f t="shared" si="23"/>
        <v>0</v>
      </c>
      <c r="M59" s="393">
        <f t="shared" si="23"/>
        <v>0</v>
      </c>
      <c r="N59" s="393">
        <f t="shared" si="23"/>
        <v>0</v>
      </c>
      <c r="O59" s="76">
        <f>SUM(C59:N59)</f>
        <v>0</v>
      </c>
      <c r="P59" s="48"/>
    </row>
    <row r="60" spans="1:16" ht="13">
      <c r="A60" s="852"/>
      <c r="B60" s="78"/>
      <c r="C60" s="851"/>
      <c r="D60" s="110"/>
      <c r="E60" s="110"/>
      <c r="F60" s="110"/>
      <c r="G60" s="110"/>
      <c r="H60" s="110"/>
      <c r="I60" s="110"/>
      <c r="J60" s="110"/>
      <c r="K60" s="110"/>
      <c r="L60" s="110"/>
      <c r="M60" s="110"/>
      <c r="N60" s="110"/>
      <c r="O60" s="77"/>
      <c r="P60" s="48"/>
    </row>
    <row r="61" spans="1:16" ht="13.5" thickBot="1">
      <c r="A61" s="859" t="s">
        <v>652</v>
      </c>
      <c r="B61" s="856"/>
      <c r="C61" s="857"/>
      <c r="D61" s="858"/>
      <c r="E61" s="858"/>
      <c r="F61" s="858"/>
      <c r="G61" s="858"/>
      <c r="H61" s="858"/>
      <c r="I61" s="858"/>
      <c r="J61" s="858"/>
      <c r="K61" s="858"/>
      <c r="L61" s="858"/>
      <c r="M61" s="858"/>
      <c r="N61" s="858"/>
      <c r="O61" s="858"/>
      <c r="P61" s="48"/>
    </row>
    <row r="62" spans="1:16" ht="13.5" thickBot="1">
      <c r="A62" s="1188" t="s">
        <v>870</v>
      </c>
      <c r="B62" s="1188"/>
      <c r="C62" s="392"/>
      <c r="D62" s="393">
        <f t="shared" ref="D62:N62" si="24">C62</f>
        <v>0</v>
      </c>
      <c r="E62" s="393">
        <f t="shared" si="24"/>
        <v>0</v>
      </c>
      <c r="F62" s="393">
        <f t="shared" si="24"/>
        <v>0</v>
      </c>
      <c r="G62" s="393">
        <f t="shared" si="24"/>
        <v>0</v>
      </c>
      <c r="H62" s="393">
        <f t="shared" si="24"/>
        <v>0</v>
      </c>
      <c r="I62" s="393">
        <f t="shared" si="24"/>
        <v>0</v>
      </c>
      <c r="J62" s="393">
        <f t="shared" si="24"/>
        <v>0</v>
      </c>
      <c r="K62" s="393">
        <f t="shared" si="24"/>
        <v>0</v>
      </c>
      <c r="L62" s="393">
        <f t="shared" si="24"/>
        <v>0</v>
      </c>
      <c r="M62" s="393">
        <f t="shared" si="24"/>
        <v>0</v>
      </c>
      <c r="N62" s="393">
        <f t="shared" si="24"/>
        <v>0</v>
      </c>
      <c r="O62" s="76">
        <f>SUM(C62:N62)</f>
        <v>0</v>
      </c>
      <c r="P62" s="48"/>
    </row>
    <row r="63" spans="1:16" ht="13.5" thickBot="1">
      <c r="A63" s="78"/>
      <c r="B63" s="78"/>
      <c r="C63" s="269"/>
      <c r="D63" s="77"/>
      <c r="E63" s="77"/>
      <c r="F63" s="77"/>
      <c r="G63" s="77"/>
      <c r="H63" s="77"/>
      <c r="I63" s="77"/>
      <c r="J63" s="77"/>
      <c r="K63" s="77"/>
      <c r="L63" s="77"/>
      <c r="M63" s="77"/>
      <c r="N63" s="77"/>
      <c r="O63" s="77"/>
      <c r="P63" s="48"/>
    </row>
    <row r="64" spans="1:16" ht="13.5" thickBot="1">
      <c r="A64" s="1188" t="s">
        <v>582</v>
      </c>
      <c r="B64" s="1188"/>
      <c r="C64" s="392"/>
      <c r="D64" s="393">
        <f t="shared" ref="D64:N64" si="25">C64</f>
        <v>0</v>
      </c>
      <c r="E64" s="393">
        <f t="shared" si="25"/>
        <v>0</v>
      </c>
      <c r="F64" s="393">
        <f t="shared" si="25"/>
        <v>0</v>
      </c>
      <c r="G64" s="393">
        <f t="shared" si="25"/>
        <v>0</v>
      </c>
      <c r="H64" s="393">
        <f t="shared" si="25"/>
        <v>0</v>
      </c>
      <c r="I64" s="393">
        <f t="shared" si="25"/>
        <v>0</v>
      </c>
      <c r="J64" s="393">
        <f t="shared" si="25"/>
        <v>0</v>
      </c>
      <c r="K64" s="393">
        <f t="shared" si="25"/>
        <v>0</v>
      </c>
      <c r="L64" s="393">
        <f t="shared" si="25"/>
        <v>0</v>
      </c>
      <c r="M64" s="393">
        <f t="shared" si="25"/>
        <v>0</v>
      </c>
      <c r="N64" s="393">
        <f t="shared" si="25"/>
        <v>0</v>
      </c>
      <c r="O64" s="76">
        <f>SUM(C64:N64)</f>
        <v>0</v>
      </c>
      <c r="P64" s="48"/>
    </row>
    <row r="65" spans="1:16" ht="13.5" thickBot="1">
      <c r="A65" s="78"/>
      <c r="B65" s="78"/>
      <c r="C65" s="269"/>
      <c r="D65" s="77"/>
      <c r="E65" s="77"/>
      <c r="F65" s="77"/>
      <c r="G65" s="77"/>
      <c r="H65" s="77"/>
      <c r="I65" s="77"/>
      <c r="J65" s="77"/>
      <c r="K65" s="77"/>
      <c r="L65" s="77"/>
      <c r="M65" s="77"/>
      <c r="N65" s="77"/>
      <c r="O65" s="77"/>
      <c r="P65" s="48"/>
    </row>
    <row r="66" spans="1:16" ht="13.5" thickBot="1">
      <c r="A66" s="1188" t="s">
        <v>691</v>
      </c>
      <c r="B66" s="1188"/>
      <c r="C66" s="392"/>
      <c r="D66" s="393">
        <f t="shared" ref="D66:N66" si="26">C66</f>
        <v>0</v>
      </c>
      <c r="E66" s="393">
        <f t="shared" si="26"/>
        <v>0</v>
      </c>
      <c r="F66" s="393">
        <f t="shared" si="26"/>
        <v>0</v>
      </c>
      <c r="G66" s="393">
        <f t="shared" si="26"/>
        <v>0</v>
      </c>
      <c r="H66" s="393">
        <f t="shared" si="26"/>
        <v>0</v>
      </c>
      <c r="I66" s="393">
        <f t="shared" si="26"/>
        <v>0</v>
      </c>
      <c r="J66" s="393">
        <f t="shared" si="26"/>
        <v>0</v>
      </c>
      <c r="K66" s="393">
        <f t="shared" si="26"/>
        <v>0</v>
      </c>
      <c r="L66" s="393">
        <f t="shared" si="26"/>
        <v>0</v>
      </c>
      <c r="M66" s="393">
        <f t="shared" si="26"/>
        <v>0</v>
      </c>
      <c r="N66" s="393">
        <f t="shared" si="26"/>
        <v>0</v>
      </c>
      <c r="O66" s="76">
        <f>SUM(C66:N66)</f>
        <v>0</v>
      </c>
      <c r="P66" s="48"/>
    </row>
    <row r="67" spans="1:16" ht="13.5" thickBot="1">
      <c r="A67" s="498"/>
      <c r="B67" s="78"/>
      <c r="C67" s="269"/>
      <c r="D67" s="77"/>
      <c r="E67" s="77"/>
      <c r="F67" s="77"/>
      <c r="G67" s="77"/>
      <c r="H67" s="77"/>
      <c r="I67" s="77"/>
      <c r="J67" s="77"/>
      <c r="K67" s="77"/>
      <c r="L67" s="77"/>
      <c r="M67" s="77"/>
      <c r="N67" s="77"/>
      <c r="O67" s="77"/>
      <c r="P67" s="48"/>
    </row>
    <row r="68" spans="1:16" ht="13.5" thickBot="1">
      <c r="A68" s="1188" t="s">
        <v>692</v>
      </c>
      <c r="B68" s="1188"/>
      <c r="C68" s="392"/>
      <c r="D68" s="393">
        <f t="shared" ref="D68:N68" si="27">C68</f>
        <v>0</v>
      </c>
      <c r="E68" s="393">
        <f t="shared" si="27"/>
        <v>0</v>
      </c>
      <c r="F68" s="393">
        <f t="shared" si="27"/>
        <v>0</v>
      </c>
      <c r="G68" s="393">
        <f t="shared" si="27"/>
        <v>0</v>
      </c>
      <c r="H68" s="393">
        <f t="shared" si="27"/>
        <v>0</v>
      </c>
      <c r="I68" s="393">
        <f t="shared" si="27"/>
        <v>0</v>
      </c>
      <c r="J68" s="393">
        <f t="shared" si="27"/>
        <v>0</v>
      </c>
      <c r="K68" s="393">
        <f t="shared" si="27"/>
        <v>0</v>
      </c>
      <c r="L68" s="393">
        <f t="shared" si="27"/>
        <v>0</v>
      </c>
      <c r="M68" s="393">
        <f t="shared" si="27"/>
        <v>0</v>
      </c>
      <c r="N68" s="393">
        <f t="shared" si="27"/>
        <v>0</v>
      </c>
      <c r="O68" s="76">
        <f>SUM(C68:N68)</f>
        <v>0</v>
      </c>
      <c r="P68" s="48"/>
    </row>
    <row r="69" spans="1:16" ht="13.5" thickBot="1">
      <c r="A69" s="78"/>
      <c r="B69" s="78"/>
      <c r="C69" s="269"/>
      <c r="D69" s="77"/>
      <c r="E69" s="77"/>
      <c r="F69" s="77"/>
      <c r="G69" s="77"/>
      <c r="H69" s="77"/>
      <c r="I69" s="77"/>
      <c r="J69" s="77"/>
      <c r="K69" s="77"/>
      <c r="L69" s="77"/>
      <c r="M69" s="77"/>
      <c r="N69" s="77"/>
      <c r="O69" s="77"/>
      <c r="P69" s="48"/>
    </row>
    <row r="70" spans="1:16" ht="13.5" thickBot="1">
      <c r="A70" s="1188" t="s">
        <v>410</v>
      </c>
      <c r="B70" s="1188"/>
      <c r="C70" s="392"/>
      <c r="D70" s="393">
        <f t="shared" ref="D70:N70" si="28">C70</f>
        <v>0</v>
      </c>
      <c r="E70" s="393">
        <f t="shared" si="28"/>
        <v>0</v>
      </c>
      <c r="F70" s="393">
        <f t="shared" si="28"/>
        <v>0</v>
      </c>
      <c r="G70" s="393">
        <f t="shared" si="28"/>
        <v>0</v>
      </c>
      <c r="H70" s="393">
        <f t="shared" si="28"/>
        <v>0</v>
      </c>
      <c r="I70" s="393">
        <f t="shared" si="28"/>
        <v>0</v>
      </c>
      <c r="J70" s="393">
        <f t="shared" si="28"/>
        <v>0</v>
      </c>
      <c r="K70" s="393">
        <f t="shared" si="28"/>
        <v>0</v>
      </c>
      <c r="L70" s="393">
        <f t="shared" si="28"/>
        <v>0</v>
      </c>
      <c r="M70" s="393">
        <f t="shared" si="28"/>
        <v>0</v>
      </c>
      <c r="N70" s="393">
        <f t="shared" si="28"/>
        <v>0</v>
      </c>
      <c r="O70" s="76">
        <f>SUM(C70:N70)</f>
        <v>0</v>
      </c>
      <c r="P70" s="48"/>
    </row>
    <row r="71" spans="1:16" ht="13.5" thickBot="1">
      <c r="A71" s="78"/>
      <c r="B71" s="78"/>
      <c r="C71" s="269"/>
      <c r="D71" s="77"/>
      <c r="E71" s="77"/>
      <c r="F71" s="77"/>
      <c r="G71" s="77"/>
      <c r="H71" s="77"/>
      <c r="I71" s="77"/>
      <c r="J71" s="77"/>
      <c r="K71" s="77"/>
      <c r="L71" s="77"/>
      <c r="M71" s="77"/>
      <c r="N71" s="77"/>
      <c r="O71" s="77"/>
      <c r="P71" s="48"/>
    </row>
    <row r="72" spans="1:16" ht="13.5" thickBot="1">
      <c r="A72" s="528" t="s">
        <v>938</v>
      </c>
      <c r="B72" s="860"/>
      <c r="C72" s="392"/>
      <c r="D72" s="393">
        <f t="shared" ref="D72:N72" si="29">C72</f>
        <v>0</v>
      </c>
      <c r="E72" s="393">
        <f t="shared" si="29"/>
        <v>0</v>
      </c>
      <c r="F72" s="393">
        <f t="shared" si="29"/>
        <v>0</v>
      </c>
      <c r="G72" s="393">
        <f t="shared" si="29"/>
        <v>0</v>
      </c>
      <c r="H72" s="393">
        <f t="shared" si="29"/>
        <v>0</v>
      </c>
      <c r="I72" s="393">
        <f t="shared" si="29"/>
        <v>0</v>
      </c>
      <c r="J72" s="393">
        <f t="shared" si="29"/>
        <v>0</v>
      </c>
      <c r="K72" s="393">
        <f t="shared" si="29"/>
        <v>0</v>
      </c>
      <c r="L72" s="393">
        <f t="shared" si="29"/>
        <v>0</v>
      </c>
      <c r="M72" s="393">
        <f t="shared" si="29"/>
        <v>0</v>
      </c>
      <c r="N72" s="393">
        <f t="shared" si="29"/>
        <v>0</v>
      </c>
      <c r="O72" s="76">
        <f>SUM(C72:N72)</f>
        <v>0</v>
      </c>
      <c r="P72" s="48"/>
    </row>
    <row r="73" spans="1:16" ht="13.5" thickBot="1">
      <c r="A73" s="852"/>
      <c r="B73" s="48"/>
      <c r="C73" s="851"/>
      <c r="D73" s="110"/>
      <c r="E73" s="110"/>
      <c r="F73" s="110"/>
      <c r="G73" s="110"/>
      <c r="H73" s="110"/>
      <c r="I73" s="110"/>
      <c r="J73" s="110"/>
      <c r="K73" s="110"/>
      <c r="L73" s="110"/>
      <c r="M73" s="110"/>
      <c r="N73" s="110"/>
      <c r="O73" s="77"/>
      <c r="P73" s="48"/>
    </row>
    <row r="74" spans="1:16" ht="13.5" thickBot="1">
      <c r="A74" s="528" t="s">
        <v>906</v>
      </c>
      <c r="B74" s="860"/>
      <c r="C74" s="392"/>
      <c r="D74" s="393">
        <f t="shared" ref="D74:N74" si="30">C74</f>
        <v>0</v>
      </c>
      <c r="E74" s="393">
        <f t="shared" si="30"/>
        <v>0</v>
      </c>
      <c r="F74" s="393">
        <f t="shared" si="30"/>
        <v>0</v>
      </c>
      <c r="G74" s="393">
        <f t="shared" si="30"/>
        <v>0</v>
      </c>
      <c r="H74" s="393">
        <f t="shared" si="30"/>
        <v>0</v>
      </c>
      <c r="I74" s="393">
        <f t="shared" si="30"/>
        <v>0</v>
      </c>
      <c r="J74" s="393">
        <f t="shared" si="30"/>
        <v>0</v>
      </c>
      <c r="K74" s="393">
        <f t="shared" si="30"/>
        <v>0</v>
      </c>
      <c r="L74" s="393">
        <f t="shared" si="30"/>
        <v>0</v>
      </c>
      <c r="M74" s="393">
        <f t="shared" si="30"/>
        <v>0</v>
      </c>
      <c r="N74" s="393">
        <f t="shared" si="30"/>
        <v>0</v>
      </c>
      <c r="O74" s="76">
        <f>SUM(C74:N74)</f>
        <v>0</v>
      </c>
      <c r="P74" s="48"/>
    </row>
    <row r="75" spans="1:16" ht="13.5" thickBot="1">
      <c r="A75" s="852"/>
      <c r="B75" s="48"/>
      <c r="C75" s="851"/>
      <c r="D75" s="110"/>
      <c r="E75" s="110"/>
      <c r="F75" s="110"/>
      <c r="G75" s="110"/>
      <c r="H75" s="110"/>
      <c r="I75" s="110"/>
      <c r="J75" s="110"/>
      <c r="K75" s="110"/>
      <c r="L75" s="110"/>
      <c r="M75" s="110"/>
      <c r="N75" s="110"/>
      <c r="O75" s="77"/>
      <c r="P75" s="48"/>
    </row>
    <row r="76" spans="1:16" ht="13.5" thickBot="1">
      <c r="A76" s="528" t="s">
        <v>907</v>
      </c>
      <c r="B76" s="860"/>
      <c r="C76" s="392"/>
      <c r="D76" s="393">
        <f t="shared" ref="D76:N76" si="31">C76</f>
        <v>0</v>
      </c>
      <c r="E76" s="393">
        <f t="shared" si="31"/>
        <v>0</v>
      </c>
      <c r="F76" s="393">
        <f t="shared" si="31"/>
        <v>0</v>
      </c>
      <c r="G76" s="393">
        <f t="shared" si="31"/>
        <v>0</v>
      </c>
      <c r="H76" s="393">
        <f t="shared" si="31"/>
        <v>0</v>
      </c>
      <c r="I76" s="393">
        <f t="shared" si="31"/>
        <v>0</v>
      </c>
      <c r="J76" s="393">
        <f t="shared" si="31"/>
        <v>0</v>
      </c>
      <c r="K76" s="393">
        <f t="shared" si="31"/>
        <v>0</v>
      </c>
      <c r="L76" s="393">
        <f t="shared" si="31"/>
        <v>0</v>
      </c>
      <c r="M76" s="393">
        <f t="shared" si="31"/>
        <v>0</v>
      </c>
      <c r="N76" s="393">
        <f t="shared" si="31"/>
        <v>0</v>
      </c>
      <c r="O76" s="76">
        <f>SUM(C76:N76)</f>
        <v>0</v>
      </c>
      <c r="P76" s="48"/>
    </row>
    <row r="77" spans="1:16" ht="13.5" thickBot="1">
      <c r="A77" s="852"/>
      <c r="B77" s="48"/>
      <c r="C77" s="851"/>
      <c r="D77" s="110"/>
      <c r="E77" s="110"/>
      <c r="F77" s="110"/>
      <c r="G77" s="110"/>
      <c r="H77" s="110"/>
      <c r="I77" s="110"/>
      <c r="J77" s="110"/>
      <c r="K77" s="110"/>
      <c r="L77" s="110"/>
      <c r="M77" s="110"/>
      <c r="N77" s="110"/>
      <c r="O77" s="77"/>
      <c r="P77" s="48"/>
    </row>
    <row r="78" spans="1:16" ht="13.5" thickBot="1">
      <c r="A78" s="528" t="s">
        <v>908</v>
      </c>
      <c r="B78" s="860"/>
      <c r="C78" s="392"/>
      <c r="D78" s="393">
        <f t="shared" ref="D78:N78" si="32">C78</f>
        <v>0</v>
      </c>
      <c r="E78" s="393">
        <f t="shared" si="32"/>
        <v>0</v>
      </c>
      <c r="F78" s="393">
        <f t="shared" si="32"/>
        <v>0</v>
      </c>
      <c r="G78" s="393">
        <f t="shared" si="32"/>
        <v>0</v>
      </c>
      <c r="H78" s="393">
        <f t="shared" si="32"/>
        <v>0</v>
      </c>
      <c r="I78" s="393">
        <f t="shared" si="32"/>
        <v>0</v>
      </c>
      <c r="J78" s="393">
        <f t="shared" si="32"/>
        <v>0</v>
      </c>
      <c r="K78" s="393">
        <f t="shared" si="32"/>
        <v>0</v>
      </c>
      <c r="L78" s="393">
        <f t="shared" si="32"/>
        <v>0</v>
      </c>
      <c r="M78" s="393">
        <f t="shared" si="32"/>
        <v>0</v>
      </c>
      <c r="N78" s="393">
        <f t="shared" si="32"/>
        <v>0</v>
      </c>
      <c r="O78" s="76">
        <f>SUM(C78:N78)</f>
        <v>0</v>
      </c>
      <c r="P78" s="48"/>
    </row>
    <row r="79" spans="1:16" ht="13.5" thickBot="1">
      <c r="A79" s="852"/>
      <c r="B79" s="48"/>
      <c r="C79" s="851"/>
      <c r="D79" s="110"/>
      <c r="E79" s="110"/>
      <c r="F79" s="110"/>
      <c r="G79" s="110"/>
      <c r="H79" s="110"/>
      <c r="I79" s="110"/>
      <c r="J79" s="110"/>
      <c r="K79" s="110"/>
      <c r="L79" s="110"/>
      <c r="M79" s="110"/>
      <c r="N79" s="110"/>
      <c r="O79" s="77"/>
      <c r="P79" s="48"/>
    </row>
    <row r="80" spans="1:16" ht="13.5" thickBot="1">
      <c r="A80" s="528" t="s">
        <v>909</v>
      </c>
      <c r="B80" s="860"/>
      <c r="C80" s="392"/>
      <c r="D80" s="393">
        <f t="shared" ref="D80:N80" si="33">C80</f>
        <v>0</v>
      </c>
      <c r="E80" s="393">
        <f t="shared" si="33"/>
        <v>0</v>
      </c>
      <c r="F80" s="393">
        <f t="shared" si="33"/>
        <v>0</v>
      </c>
      <c r="G80" s="393">
        <f t="shared" si="33"/>
        <v>0</v>
      </c>
      <c r="H80" s="393">
        <f t="shared" si="33"/>
        <v>0</v>
      </c>
      <c r="I80" s="393">
        <f t="shared" si="33"/>
        <v>0</v>
      </c>
      <c r="J80" s="393">
        <f t="shared" si="33"/>
        <v>0</v>
      </c>
      <c r="K80" s="393">
        <f t="shared" si="33"/>
        <v>0</v>
      </c>
      <c r="L80" s="393">
        <f t="shared" si="33"/>
        <v>0</v>
      </c>
      <c r="M80" s="393">
        <f t="shared" si="33"/>
        <v>0</v>
      </c>
      <c r="N80" s="393">
        <f t="shared" si="33"/>
        <v>0</v>
      </c>
      <c r="O80" s="76">
        <f>SUM(C80:N80)</f>
        <v>0</v>
      </c>
      <c r="P80" s="48"/>
    </row>
    <row r="81" spans="1:16" ht="13.5" thickBot="1">
      <c r="A81" s="852"/>
      <c r="B81" s="48"/>
      <c r="C81" s="851"/>
      <c r="D81" s="110"/>
      <c r="E81" s="110"/>
      <c r="F81" s="110"/>
      <c r="G81" s="110"/>
      <c r="H81" s="110"/>
      <c r="I81" s="110"/>
      <c r="J81" s="110"/>
      <c r="K81" s="110"/>
      <c r="L81" s="110"/>
      <c r="M81" s="110"/>
      <c r="N81" s="110"/>
      <c r="O81" s="77"/>
      <c r="P81" s="48"/>
    </row>
    <row r="82" spans="1:16" ht="13.5" thickBot="1">
      <c r="A82" s="528" t="s">
        <v>910</v>
      </c>
      <c r="B82" s="860"/>
      <c r="C82" s="392"/>
      <c r="D82" s="393">
        <f t="shared" ref="D82:N82" si="34">C82</f>
        <v>0</v>
      </c>
      <c r="E82" s="393">
        <f t="shared" si="34"/>
        <v>0</v>
      </c>
      <c r="F82" s="393">
        <f t="shared" si="34"/>
        <v>0</v>
      </c>
      <c r="G82" s="393">
        <f t="shared" si="34"/>
        <v>0</v>
      </c>
      <c r="H82" s="393">
        <f t="shared" si="34"/>
        <v>0</v>
      </c>
      <c r="I82" s="393">
        <f t="shared" si="34"/>
        <v>0</v>
      </c>
      <c r="J82" s="393">
        <f t="shared" si="34"/>
        <v>0</v>
      </c>
      <c r="K82" s="393">
        <f t="shared" si="34"/>
        <v>0</v>
      </c>
      <c r="L82" s="393">
        <f t="shared" si="34"/>
        <v>0</v>
      </c>
      <c r="M82" s="393">
        <f t="shared" si="34"/>
        <v>0</v>
      </c>
      <c r="N82" s="393">
        <f t="shared" si="34"/>
        <v>0</v>
      </c>
      <c r="O82" s="76">
        <f>SUM(C82:N82)</f>
        <v>0</v>
      </c>
      <c r="P82" s="48"/>
    </row>
    <row r="83" spans="1:16" ht="13">
      <c r="A83" s="852"/>
      <c r="B83" s="48"/>
      <c r="C83" s="851"/>
      <c r="D83" s="110"/>
      <c r="E83" s="110"/>
      <c r="F83" s="110"/>
      <c r="G83" s="110"/>
      <c r="H83" s="110"/>
      <c r="I83" s="110"/>
      <c r="J83" s="110"/>
      <c r="K83" s="110"/>
      <c r="L83" s="110"/>
      <c r="M83" s="110"/>
      <c r="N83" s="110"/>
      <c r="O83" s="77"/>
      <c r="P83" s="48"/>
    </row>
    <row r="84" spans="1:16" ht="13.5" thickBot="1">
      <c r="A84" s="859" t="s">
        <v>654</v>
      </c>
      <c r="B84" s="856"/>
      <c r="C84" s="857"/>
      <c r="D84" s="858"/>
      <c r="E84" s="858"/>
      <c r="F84" s="858"/>
      <c r="G84" s="858"/>
      <c r="H84" s="858"/>
      <c r="I84" s="858"/>
      <c r="J84" s="858"/>
      <c r="K84" s="858"/>
      <c r="L84" s="858"/>
      <c r="M84" s="858"/>
      <c r="N84" s="858"/>
      <c r="O84" s="858"/>
      <c r="P84" s="48"/>
    </row>
    <row r="85" spans="1:16" ht="13.5" thickBot="1">
      <c r="A85" s="1188" t="s">
        <v>344</v>
      </c>
      <c r="B85" s="1188"/>
      <c r="C85" s="392"/>
      <c r="D85" s="393">
        <f t="shared" ref="D85:N85" si="35">C85</f>
        <v>0</v>
      </c>
      <c r="E85" s="393">
        <f t="shared" si="35"/>
        <v>0</v>
      </c>
      <c r="F85" s="393">
        <f t="shared" si="35"/>
        <v>0</v>
      </c>
      <c r="G85" s="393">
        <f t="shared" si="35"/>
        <v>0</v>
      </c>
      <c r="H85" s="393">
        <f t="shared" si="35"/>
        <v>0</v>
      </c>
      <c r="I85" s="393">
        <f t="shared" si="35"/>
        <v>0</v>
      </c>
      <c r="J85" s="393">
        <f t="shared" si="35"/>
        <v>0</v>
      </c>
      <c r="K85" s="393">
        <f t="shared" si="35"/>
        <v>0</v>
      </c>
      <c r="L85" s="393">
        <f t="shared" si="35"/>
        <v>0</v>
      </c>
      <c r="M85" s="393">
        <f t="shared" si="35"/>
        <v>0</v>
      </c>
      <c r="N85" s="393">
        <f t="shared" si="35"/>
        <v>0</v>
      </c>
      <c r="O85" s="76">
        <f>SUM(C85:N85)</f>
        <v>0</v>
      </c>
      <c r="P85" s="48"/>
    </row>
    <row r="86" spans="1:16" ht="13.5" thickBot="1">
      <c r="A86" s="78"/>
      <c r="B86" s="78"/>
      <c r="C86" s="269"/>
      <c r="D86" s="77"/>
      <c r="E86" s="77"/>
      <c r="F86" s="77"/>
      <c r="G86" s="77"/>
      <c r="H86" s="77"/>
      <c r="I86" s="77"/>
      <c r="J86" s="77"/>
      <c r="K86" s="77"/>
      <c r="L86" s="77"/>
      <c r="M86" s="77"/>
      <c r="N86" s="77"/>
      <c r="O86" s="77"/>
      <c r="P86" s="48"/>
    </row>
    <row r="87" spans="1:16" ht="13.5" thickBot="1">
      <c r="A87" s="1188" t="s">
        <v>716</v>
      </c>
      <c r="B87" s="1188"/>
      <c r="C87" s="392"/>
      <c r="D87" s="393">
        <f t="shared" ref="D87:N87" si="36">C87</f>
        <v>0</v>
      </c>
      <c r="E87" s="393">
        <f t="shared" si="36"/>
        <v>0</v>
      </c>
      <c r="F87" s="393">
        <f t="shared" si="36"/>
        <v>0</v>
      </c>
      <c r="G87" s="393">
        <f t="shared" si="36"/>
        <v>0</v>
      </c>
      <c r="H87" s="393">
        <f t="shared" si="36"/>
        <v>0</v>
      </c>
      <c r="I87" s="393">
        <f t="shared" si="36"/>
        <v>0</v>
      </c>
      <c r="J87" s="393">
        <f t="shared" si="36"/>
        <v>0</v>
      </c>
      <c r="K87" s="393">
        <f t="shared" si="36"/>
        <v>0</v>
      </c>
      <c r="L87" s="393">
        <f t="shared" si="36"/>
        <v>0</v>
      </c>
      <c r="M87" s="393">
        <f t="shared" si="36"/>
        <v>0</v>
      </c>
      <c r="N87" s="393">
        <f t="shared" si="36"/>
        <v>0</v>
      </c>
      <c r="O87" s="76">
        <f>SUM(C87:N87)</f>
        <v>0</v>
      </c>
      <c r="P87" s="48"/>
    </row>
    <row r="88" spans="1:16" ht="13.5" thickBot="1">
      <c r="A88" s="78"/>
      <c r="B88" s="78"/>
      <c r="C88" s="269"/>
      <c r="D88" s="77"/>
      <c r="E88" s="77"/>
      <c r="F88" s="77"/>
      <c r="G88" s="77"/>
      <c r="H88" s="77"/>
      <c r="I88" s="77"/>
      <c r="J88" s="77"/>
      <c r="K88" s="77"/>
      <c r="L88" s="77"/>
      <c r="M88" s="77"/>
      <c r="N88" s="77"/>
      <c r="O88" s="77"/>
      <c r="P88" s="48"/>
    </row>
    <row r="89" spans="1:16" ht="13.5" thickBot="1">
      <c r="A89" s="528" t="s">
        <v>911</v>
      </c>
      <c r="B89" s="860"/>
      <c r="C89" s="392"/>
      <c r="D89" s="393">
        <f t="shared" ref="D89:N89" si="37">C89</f>
        <v>0</v>
      </c>
      <c r="E89" s="393">
        <f t="shared" si="37"/>
        <v>0</v>
      </c>
      <c r="F89" s="393">
        <f t="shared" si="37"/>
        <v>0</v>
      </c>
      <c r="G89" s="393">
        <f t="shared" si="37"/>
        <v>0</v>
      </c>
      <c r="H89" s="393">
        <f t="shared" si="37"/>
        <v>0</v>
      </c>
      <c r="I89" s="393">
        <f t="shared" si="37"/>
        <v>0</v>
      </c>
      <c r="J89" s="393">
        <f t="shared" si="37"/>
        <v>0</v>
      </c>
      <c r="K89" s="393">
        <f t="shared" si="37"/>
        <v>0</v>
      </c>
      <c r="L89" s="393">
        <f t="shared" si="37"/>
        <v>0</v>
      </c>
      <c r="M89" s="393">
        <f t="shared" si="37"/>
        <v>0</v>
      </c>
      <c r="N89" s="393">
        <f t="shared" si="37"/>
        <v>0</v>
      </c>
      <c r="O89" s="76">
        <f>SUM(C89:N89)</f>
        <v>0</v>
      </c>
      <c r="P89" s="48"/>
    </row>
    <row r="90" spans="1:16" ht="13.5" thickBot="1">
      <c r="A90" s="78"/>
      <c r="B90" s="78"/>
      <c r="C90" s="269"/>
      <c r="D90" s="77"/>
      <c r="E90" s="77"/>
      <c r="F90" s="77"/>
      <c r="G90" s="77"/>
      <c r="H90" s="77"/>
      <c r="I90" s="77"/>
      <c r="J90" s="77"/>
      <c r="K90" s="77"/>
      <c r="L90" s="77"/>
      <c r="M90" s="77"/>
      <c r="N90" s="77"/>
      <c r="O90" s="77"/>
      <c r="P90" s="48"/>
    </row>
    <row r="91" spans="1:16" ht="13.5" thickBot="1">
      <c r="A91" s="528" t="s">
        <v>912</v>
      </c>
      <c r="B91" s="860"/>
      <c r="C91" s="392"/>
      <c r="D91" s="393">
        <f t="shared" ref="D91:N91" si="38">C91</f>
        <v>0</v>
      </c>
      <c r="E91" s="393">
        <f t="shared" si="38"/>
        <v>0</v>
      </c>
      <c r="F91" s="393">
        <f t="shared" si="38"/>
        <v>0</v>
      </c>
      <c r="G91" s="393">
        <f t="shared" si="38"/>
        <v>0</v>
      </c>
      <c r="H91" s="393">
        <f t="shared" si="38"/>
        <v>0</v>
      </c>
      <c r="I91" s="393">
        <f t="shared" si="38"/>
        <v>0</v>
      </c>
      <c r="J91" s="393">
        <f t="shared" si="38"/>
        <v>0</v>
      </c>
      <c r="K91" s="393">
        <f t="shared" si="38"/>
        <v>0</v>
      </c>
      <c r="L91" s="393">
        <f t="shared" si="38"/>
        <v>0</v>
      </c>
      <c r="M91" s="393">
        <f t="shared" si="38"/>
        <v>0</v>
      </c>
      <c r="N91" s="393">
        <f t="shared" si="38"/>
        <v>0</v>
      </c>
      <c r="O91" s="76">
        <f>SUM(C91:N91)</f>
        <v>0</v>
      </c>
      <c r="P91" s="48"/>
    </row>
    <row r="92" spans="1:16" ht="13.5" thickBot="1">
      <c r="A92" s="78"/>
      <c r="B92" s="78"/>
      <c r="C92" s="269"/>
      <c r="D92" s="77"/>
      <c r="E92" s="77"/>
      <c r="F92" s="77"/>
      <c r="G92" s="77"/>
      <c r="H92" s="77"/>
      <c r="I92" s="77"/>
      <c r="J92" s="77"/>
      <c r="K92" s="77"/>
      <c r="L92" s="77"/>
      <c r="M92" s="77"/>
      <c r="N92" s="77"/>
      <c r="O92" s="77"/>
      <c r="P92" s="48"/>
    </row>
    <row r="93" spans="1:16" ht="13.5" thickBot="1">
      <c r="A93" s="528" t="s">
        <v>913</v>
      </c>
      <c r="B93" s="860"/>
      <c r="C93" s="392"/>
      <c r="D93" s="393">
        <f t="shared" ref="D93:N93" si="39">C93</f>
        <v>0</v>
      </c>
      <c r="E93" s="393">
        <f t="shared" si="39"/>
        <v>0</v>
      </c>
      <c r="F93" s="393">
        <f t="shared" si="39"/>
        <v>0</v>
      </c>
      <c r="G93" s="393">
        <f t="shared" si="39"/>
        <v>0</v>
      </c>
      <c r="H93" s="393">
        <f t="shared" si="39"/>
        <v>0</v>
      </c>
      <c r="I93" s="393">
        <f t="shared" si="39"/>
        <v>0</v>
      </c>
      <c r="J93" s="393">
        <f t="shared" si="39"/>
        <v>0</v>
      </c>
      <c r="K93" s="393">
        <f t="shared" si="39"/>
        <v>0</v>
      </c>
      <c r="L93" s="393">
        <f t="shared" si="39"/>
        <v>0</v>
      </c>
      <c r="M93" s="393">
        <f t="shared" si="39"/>
        <v>0</v>
      </c>
      <c r="N93" s="393">
        <f t="shared" si="39"/>
        <v>0</v>
      </c>
      <c r="O93" s="76">
        <f>SUM(C93:N93)</f>
        <v>0</v>
      </c>
      <c r="P93" s="48"/>
    </row>
    <row r="94" spans="1:16" ht="13.5" thickBot="1">
      <c r="A94" s="78"/>
      <c r="B94" s="78"/>
      <c r="C94" s="269"/>
      <c r="D94" s="77"/>
      <c r="E94" s="77"/>
      <c r="F94" s="77"/>
      <c r="G94" s="77"/>
      <c r="H94" s="77"/>
      <c r="I94" s="77"/>
      <c r="J94" s="77"/>
      <c r="K94" s="77"/>
      <c r="L94" s="77"/>
      <c r="M94" s="77"/>
      <c r="N94" s="77"/>
      <c r="O94" s="77"/>
      <c r="P94" s="48"/>
    </row>
    <row r="95" spans="1:16" ht="13.5" thickBot="1">
      <c r="A95" s="528" t="s">
        <v>914</v>
      </c>
      <c r="B95" s="860"/>
      <c r="C95" s="392"/>
      <c r="D95" s="393">
        <f t="shared" ref="D95:N95" si="40">C95</f>
        <v>0</v>
      </c>
      <c r="E95" s="393">
        <f t="shared" si="40"/>
        <v>0</v>
      </c>
      <c r="F95" s="393">
        <f t="shared" si="40"/>
        <v>0</v>
      </c>
      <c r="G95" s="393">
        <f t="shared" si="40"/>
        <v>0</v>
      </c>
      <c r="H95" s="393">
        <f t="shared" si="40"/>
        <v>0</v>
      </c>
      <c r="I95" s="393">
        <f t="shared" si="40"/>
        <v>0</v>
      </c>
      <c r="J95" s="393">
        <f t="shared" si="40"/>
        <v>0</v>
      </c>
      <c r="K95" s="393">
        <f t="shared" si="40"/>
        <v>0</v>
      </c>
      <c r="L95" s="393">
        <f t="shared" si="40"/>
        <v>0</v>
      </c>
      <c r="M95" s="393">
        <f t="shared" si="40"/>
        <v>0</v>
      </c>
      <c r="N95" s="393">
        <f t="shared" si="40"/>
        <v>0</v>
      </c>
      <c r="O95" s="76">
        <f>SUM(C95:N95)</f>
        <v>0</v>
      </c>
      <c r="P95" s="48"/>
    </row>
    <row r="96" spans="1:16" ht="13.5" thickBot="1">
      <c r="A96" s="79"/>
      <c r="B96" s="79"/>
      <c r="C96" s="269"/>
      <c r="D96" s="77"/>
      <c r="E96" s="77"/>
      <c r="F96" s="77"/>
      <c r="G96" s="77"/>
      <c r="H96" s="77"/>
      <c r="I96" s="77"/>
      <c r="J96" s="77"/>
      <c r="K96" s="77"/>
      <c r="L96" s="77"/>
      <c r="M96" s="77"/>
      <c r="N96" s="77"/>
      <c r="O96" s="77"/>
      <c r="P96" s="48"/>
    </row>
    <row r="97" spans="1:16" ht="13.5" thickBot="1">
      <c r="A97" s="108" t="s">
        <v>498</v>
      </c>
      <c r="C97" s="480">
        <f t="shared" ref="C97:O97" si="41">SUM(C14:C95)</f>
        <v>0</v>
      </c>
      <c r="D97" s="480">
        <f t="shared" si="41"/>
        <v>0</v>
      </c>
      <c r="E97" s="480">
        <f t="shared" si="41"/>
        <v>0</v>
      </c>
      <c r="F97" s="480">
        <f t="shared" si="41"/>
        <v>0</v>
      </c>
      <c r="G97" s="480">
        <f t="shared" si="41"/>
        <v>0</v>
      </c>
      <c r="H97" s="480">
        <f t="shared" si="41"/>
        <v>0</v>
      </c>
      <c r="I97" s="480">
        <f t="shared" si="41"/>
        <v>0</v>
      </c>
      <c r="J97" s="480">
        <f t="shared" si="41"/>
        <v>0</v>
      </c>
      <c r="K97" s="480">
        <f t="shared" si="41"/>
        <v>0</v>
      </c>
      <c r="L97" s="480">
        <f t="shared" si="41"/>
        <v>0</v>
      </c>
      <c r="M97" s="480">
        <f t="shared" si="41"/>
        <v>0</v>
      </c>
      <c r="N97" s="480">
        <f t="shared" si="41"/>
        <v>0</v>
      </c>
      <c r="O97" s="480">
        <f t="shared" si="41"/>
        <v>0</v>
      </c>
    </row>
    <row r="98" spans="1:16" ht="13">
      <c r="A98" s="79"/>
      <c r="B98" s="79"/>
      <c r="C98" s="269"/>
      <c r="D98" s="77"/>
      <c r="E98" s="77"/>
      <c r="F98" s="77"/>
      <c r="G98" s="77"/>
      <c r="H98" s="77"/>
      <c r="I98" s="77"/>
      <c r="J98" s="77"/>
      <c r="K98" s="77"/>
      <c r="L98" s="77"/>
      <c r="M98" s="77"/>
      <c r="N98" s="77"/>
      <c r="O98" s="77"/>
      <c r="P98" s="48"/>
    </row>
    <row r="99" spans="1:16" ht="13">
      <c r="A99" s="79"/>
      <c r="B99" s="79"/>
      <c r="C99" s="269"/>
      <c r="D99" s="77"/>
      <c r="E99" s="77"/>
      <c r="F99" s="77"/>
      <c r="G99" s="77"/>
      <c r="H99" s="77"/>
      <c r="I99" s="77"/>
      <c r="J99" s="77"/>
      <c r="K99" s="77"/>
      <c r="L99" s="77"/>
      <c r="M99" s="77"/>
      <c r="N99" s="77"/>
      <c r="O99" s="77"/>
      <c r="P99" s="48"/>
    </row>
    <row r="100" spans="1:16" ht="13">
      <c r="A100" s="498" t="s">
        <v>142</v>
      </c>
      <c r="B100" s="78"/>
      <c r="C100" s="269"/>
      <c r="D100" s="77"/>
      <c r="E100" s="77"/>
      <c r="F100" s="77"/>
      <c r="G100" s="77"/>
      <c r="H100" s="77"/>
      <c r="I100" s="77"/>
      <c r="J100" s="77"/>
      <c r="K100" s="77"/>
      <c r="L100" s="77"/>
      <c r="M100" s="77"/>
      <c r="N100" s="77"/>
      <c r="O100" s="77"/>
      <c r="P100" s="48"/>
    </row>
    <row r="101" spans="1:16" ht="13.5" thickBot="1">
      <c r="A101" s="78"/>
      <c r="B101" s="78"/>
      <c r="C101" s="269"/>
      <c r="D101" s="77"/>
      <c r="E101" s="77"/>
      <c r="F101" s="77"/>
      <c r="G101" s="77"/>
      <c r="H101" s="77"/>
      <c r="I101" s="77"/>
      <c r="J101" s="77"/>
      <c r="K101" s="77"/>
      <c r="L101" s="77"/>
      <c r="M101" s="77"/>
      <c r="N101" s="77"/>
      <c r="O101" s="77"/>
      <c r="P101" s="48"/>
    </row>
    <row r="102" spans="1:16" ht="13.5" thickBot="1">
      <c r="A102" s="78" t="s">
        <v>316</v>
      </c>
      <c r="B102" s="78"/>
      <c r="C102" s="650"/>
      <c r="D102" s="650"/>
      <c r="E102" s="650">
        <f>DG!E239+DG!Q239+DG!AC239+DG!AO239+DG!BA239+DG!BM239+DG!BY239+DG!CK239+DG!CW239+DG!DI239+DG!DU239</f>
        <v>0</v>
      </c>
      <c r="F102" s="650"/>
      <c r="G102" s="650"/>
      <c r="H102" s="650">
        <f>DG!F239+DG!R239+DG!AD239+DG!AP239+DG!BB239+DG!BN239+DG!BZ239+DG!CL239+DG!CX239+DG!DJ239+DG!DV239</f>
        <v>0</v>
      </c>
      <c r="I102" s="650"/>
      <c r="J102" s="650"/>
      <c r="K102" s="650">
        <f>DG!G239+DG!S239+DG!AE239+DG!AQ239+DG!BC239+DG!BO239+DG!CA239+DG!CM239+DG!CY239+DG!DK239+DG!DW239</f>
        <v>0</v>
      </c>
      <c r="L102" s="650"/>
      <c r="M102" s="650"/>
      <c r="N102" s="651">
        <f>DG!H239+DG!T239+DG!AF239+DG!AR239+DG!BD239+DG!BP239+DG!CB239+DG!CN239+DG!CZ239+DG!DL239+DG!DX239</f>
        <v>0</v>
      </c>
      <c r="O102" s="76">
        <f>SUM(C102:N102)</f>
        <v>0</v>
      </c>
      <c r="P102" s="48"/>
    </row>
    <row r="103" spans="1:16" ht="13.5" thickBot="1">
      <c r="A103" s="78"/>
      <c r="B103" s="78"/>
      <c r="C103" s="269"/>
      <c r="D103" s="77"/>
      <c r="E103" s="77"/>
      <c r="F103" s="77"/>
      <c r="G103" s="77"/>
      <c r="H103" s="77"/>
      <c r="I103" s="77"/>
      <c r="J103" s="77"/>
      <c r="K103" s="77"/>
      <c r="L103" s="77"/>
      <c r="M103" s="77"/>
      <c r="N103" s="77"/>
      <c r="O103" s="77"/>
      <c r="P103" s="48"/>
    </row>
    <row r="104" spans="1:16" ht="13.5" thickBot="1">
      <c r="A104" s="1188" t="str">
        <f>IF(RG!A74&gt;3," ",IF(RG!A74=3,"Retraits du (des) actionnaire(s)","Prélèvements du(des) promoteur(s)"))</f>
        <v>Retraits du (des) actionnaire(s)</v>
      </c>
      <c r="B104" s="1188"/>
      <c r="C104" s="392"/>
      <c r="D104" s="393">
        <f>C104</f>
        <v>0</v>
      </c>
      <c r="E104" s="393">
        <f t="shared" ref="E104:N104" si="42">D104</f>
        <v>0</v>
      </c>
      <c r="F104" s="393">
        <f t="shared" si="42"/>
        <v>0</v>
      </c>
      <c r="G104" s="393">
        <f>F104</f>
        <v>0</v>
      </c>
      <c r="H104" s="393">
        <f t="shared" si="42"/>
        <v>0</v>
      </c>
      <c r="I104" s="393">
        <f t="shared" si="42"/>
        <v>0</v>
      </c>
      <c r="J104" s="393">
        <f t="shared" si="42"/>
        <v>0</v>
      </c>
      <c r="K104" s="393">
        <f>J104</f>
        <v>0</v>
      </c>
      <c r="L104" s="393">
        <f t="shared" si="42"/>
        <v>0</v>
      </c>
      <c r="M104" s="393">
        <f t="shared" si="42"/>
        <v>0</v>
      </c>
      <c r="N104" s="393">
        <f t="shared" si="42"/>
        <v>0</v>
      </c>
      <c r="O104" s="76">
        <f>SUM(C104:N104)</f>
        <v>0</v>
      </c>
      <c r="P104" s="48"/>
    </row>
    <row r="105" spans="1:16" ht="13.5" thickBot="1">
      <c r="A105" s="78"/>
      <c r="B105" s="78"/>
      <c r="C105" s="269"/>
      <c r="D105" s="77"/>
      <c r="E105" s="77"/>
      <c r="F105" s="77"/>
      <c r="G105" s="77"/>
      <c r="H105" s="77"/>
      <c r="I105" s="77"/>
      <c r="J105" s="77"/>
      <c r="K105" s="77"/>
      <c r="L105" s="77"/>
      <c r="M105" s="77"/>
      <c r="N105" s="77"/>
      <c r="O105" s="77"/>
      <c r="P105" s="48"/>
    </row>
    <row r="106" spans="1:16" ht="13.5" thickBot="1">
      <c r="A106" s="48" t="s">
        <v>144</v>
      </c>
      <c r="B106" s="275"/>
      <c r="C106" s="480">
        <f>SUM(C102:C104)</f>
        <v>0</v>
      </c>
      <c r="D106" s="480">
        <f t="shared" ref="D106:O106" si="43">SUM(D102:D104)</f>
        <v>0</v>
      </c>
      <c r="E106" s="480">
        <f t="shared" si="43"/>
        <v>0</v>
      </c>
      <c r="F106" s="480">
        <f t="shared" si="43"/>
        <v>0</v>
      </c>
      <c r="G106" s="480">
        <f t="shared" si="43"/>
        <v>0</v>
      </c>
      <c r="H106" s="480">
        <f t="shared" si="43"/>
        <v>0</v>
      </c>
      <c r="I106" s="480">
        <f t="shared" si="43"/>
        <v>0</v>
      </c>
      <c r="J106" s="480">
        <f t="shared" si="43"/>
        <v>0</v>
      </c>
      <c r="K106" s="480">
        <f t="shared" si="43"/>
        <v>0</v>
      </c>
      <c r="L106" s="480">
        <f t="shared" si="43"/>
        <v>0</v>
      </c>
      <c r="M106" s="480">
        <f t="shared" si="43"/>
        <v>0</v>
      </c>
      <c r="N106" s="480">
        <f t="shared" si="43"/>
        <v>0</v>
      </c>
      <c r="O106" s="480">
        <f t="shared" si="43"/>
        <v>0</v>
      </c>
    </row>
    <row r="107" spans="1:16">
      <c r="C107" s="269"/>
      <c r="D107" s="77"/>
      <c r="E107" s="77"/>
      <c r="F107" s="77"/>
      <c r="G107" s="77"/>
      <c r="H107" s="77"/>
      <c r="I107" s="77"/>
      <c r="J107" s="77"/>
      <c r="K107" s="77"/>
      <c r="L107" s="77"/>
      <c r="M107" s="77"/>
      <c r="N107" s="77"/>
      <c r="O107" s="77"/>
    </row>
  </sheetData>
  <sheetProtection password="E242" sheet="1" objects="1" scenarios="1"/>
  <customSheetViews>
    <customSheetView guid="{30D0538C-360A-4CDF-8D89-584CED1967CC}" showGridLines="0" outlineSymbols="0" fitToPage="1">
      <selection activeCell="H9" sqref="H9"/>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H9" sqref="H9"/>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16">
    <mergeCell ref="F10:H10"/>
    <mergeCell ref="A14:B14"/>
    <mergeCell ref="A68:B68"/>
    <mergeCell ref="A18:B18"/>
    <mergeCell ref="A70:B70"/>
    <mergeCell ref="A104:B104"/>
    <mergeCell ref="A16:B16"/>
    <mergeCell ref="A20:B20"/>
    <mergeCell ref="A24:B24"/>
    <mergeCell ref="A26:B26"/>
    <mergeCell ref="A22:B22"/>
    <mergeCell ref="A62:B62"/>
    <mergeCell ref="A66:B66"/>
    <mergeCell ref="A64:B64"/>
    <mergeCell ref="A85:B85"/>
    <mergeCell ref="A87:B87"/>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G2">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H8" sqref="H8"/>
    </sheetView>
  </sheetViews>
  <sheetFormatPr baseColWidth="10" defaultColWidth="11.453125" defaultRowHeight="12.5"/>
  <cols>
    <col min="1" max="1" width="24.453125" style="251" customWidth="1"/>
    <col min="2" max="2" width="5.6328125" style="251" customWidth="1"/>
    <col min="3" max="6" width="11.453125" style="251"/>
    <col min="7" max="7" width="12.81640625" style="251" customWidth="1"/>
    <col min="8" max="14" width="11.453125" style="251"/>
    <col min="15" max="15" width="11.453125" style="275"/>
    <col min="16" max="16384" width="11.453125" style="251"/>
  </cols>
  <sheetData>
    <row r="1" spans="1:15" customFormat="1"/>
    <row r="2" spans="1:15" customFormat="1"/>
    <row r="3" spans="1:15" customFormat="1"/>
    <row r="4" spans="1:15" s="261" customFormat="1"/>
    <row r="5" spans="1:15" s="261" customFormat="1"/>
    <row r="6" spans="1:15" s="261" customFormat="1"/>
    <row r="7" spans="1:15" s="261" customFormat="1"/>
    <row r="8" spans="1:15" ht="25">
      <c r="A8" s="105" t="str">
        <f>RG!D17</f>
        <v>Jhon Wesly inc.</v>
      </c>
    </row>
    <row r="9" spans="1:15" ht="13.5" thickBot="1">
      <c r="C9" s="328"/>
      <c r="I9" s="327"/>
    </row>
    <row r="10" spans="1:15" ht="15.5" thickBot="1">
      <c r="A10" s="72" t="s">
        <v>215</v>
      </c>
      <c r="B10" s="106"/>
      <c r="C10" s="107"/>
      <c r="D10" s="107"/>
      <c r="E10" s="107"/>
      <c r="F10" s="1194" t="s">
        <v>66</v>
      </c>
      <c r="G10" s="1194"/>
      <c r="H10" s="1194"/>
      <c r="I10" s="751" t="s">
        <v>67</v>
      </c>
      <c r="J10" s="753">
        <v>0</v>
      </c>
      <c r="K10" s="107"/>
      <c r="L10" s="107"/>
      <c r="M10" s="107"/>
      <c r="N10" s="107"/>
      <c r="O10" s="107"/>
    </row>
    <row r="11" spans="1:15" ht="15.5" thickBot="1">
      <c r="A11" s="72"/>
      <c r="B11" s="106"/>
      <c r="C11" s="107"/>
      <c r="D11" s="107"/>
      <c r="E11" s="107"/>
      <c r="F11" s="107"/>
      <c r="G11" s="107"/>
      <c r="H11" s="107"/>
      <c r="I11" s="107"/>
      <c r="J11" s="107"/>
      <c r="K11" s="107"/>
      <c r="L11" s="107"/>
      <c r="M11" s="107"/>
      <c r="N11" s="107"/>
      <c r="O11" s="107"/>
    </row>
    <row r="12" spans="1:15" ht="15.5" thickBot="1">
      <c r="A12" s="72"/>
      <c r="B12" s="106"/>
      <c r="C12" s="482">
        <f>'FG1'!N12+31</f>
        <v>45664</v>
      </c>
      <c r="D12" s="482">
        <f t="shared" ref="D12:N12" si="0">C12+31</f>
        <v>45695</v>
      </c>
      <c r="E12" s="482">
        <f t="shared" si="0"/>
        <v>45726</v>
      </c>
      <c r="F12" s="482">
        <f t="shared" si="0"/>
        <v>45757</v>
      </c>
      <c r="G12" s="482">
        <f t="shared" si="0"/>
        <v>45788</v>
      </c>
      <c r="H12" s="482">
        <f t="shared" si="0"/>
        <v>45819</v>
      </c>
      <c r="I12" s="482">
        <f t="shared" si="0"/>
        <v>45850</v>
      </c>
      <c r="J12" s="482">
        <f t="shared" si="0"/>
        <v>45881</v>
      </c>
      <c r="K12" s="482">
        <f t="shared" si="0"/>
        <v>45912</v>
      </c>
      <c r="L12" s="482">
        <f t="shared" si="0"/>
        <v>45943</v>
      </c>
      <c r="M12" s="482">
        <f t="shared" si="0"/>
        <v>45974</v>
      </c>
      <c r="N12" s="482">
        <f t="shared" si="0"/>
        <v>46005</v>
      </c>
      <c r="O12" s="258" t="s">
        <v>489</v>
      </c>
    </row>
    <row r="13" spans="1:15" ht="13.5" thickBot="1">
      <c r="A13" s="853" t="s">
        <v>651</v>
      </c>
      <c r="B13" s="854"/>
      <c r="C13" s="855"/>
      <c r="D13" s="855"/>
      <c r="E13" s="855"/>
      <c r="F13" s="855"/>
      <c r="G13" s="855"/>
      <c r="H13" s="855"/>
      <c r="I13" s="855"/>
      <c r="J13" s="855"/>
      <c r="K13" s="855"/>
      <c r="L13" s="855"/>
      <c r="M13" s="855"/>
      <c r="N13" s="855"/>
      <c r="O13" s="855"/>
    </row>
    <row r="14" spans="1:15" s="261" customFormat="1" ht="13.5" thickBot="1">
      <c r="A14" s="1188" t="str">
        <f>'FG1'!A14:B14</f>
        <v>Loyer</v>
      </c>
      <c r="B14" s="1188"/>
      <c r="C14" s="393">
        <f>'FG1'!C14*(1+$J$10)</f>
        <v>0</v>
      </c>
      <c r="D14" s="393">
        <f>'FG1'!D14*(1+$J$10)</f>
        <v>0</v>
      </c>
      <c r="E14" s="393">
        <f>'FG1'!E14*(1+$J$10)</f>
        <v>0</v>
      </c>
      <c r="F14" s="393">
        <f>'FG1'!F14*(1+$J$10)</f>
        <v>0</v>
      </c>
      <c r="G14" s="393">
        <f>'FG1'!G14*(1+$J$10)</f>
        <v>0</v>
      </c>
      <c r="H14" s="393">
        <f>'FG1'!H14*(1+$J$10)</f>
        <v>0</v>
      </c>
      <c r="I14" s="393">
        <f>'FG1'!I14*(1+$J$10)</f>
        <v>0</v>
      </c>
      <c r="J14" s="393">
        <f>'FG1'!J14*(1+$J$10)</f>
        <v>0</v>
      </c>
      <c r="K14" s="393">
        <f>'FG1'!K14*(1+$J$10)</f>
        <v>0</v>
      </c>
      <c r="L14" s="393">
        <f>'FG1'!L14*(1+$J$10)</f>
        <v>0</v>
      </c>
      <c r="M14" s="393">
        <f>'FG1'!M14*(1+$J$10)</f>
        <v>0</v>
      </c>
      <c r="N14" s="393">
        <f>'FG1'!N14*(1+$J$10)</f>
        <v>0</v>
      </c>
      <c r="O14" s="76">
        <f>SUM(C14:N14)</f>
        <v>0</v>
      </c>
    </row>
    <row r="15" spans="1:15" s="261" customFormat="1" ht="13.5" thickBot="1">
      <c r="A15" s="78"/>
      <c r="B15" s="78"/>
      <c r="C15" s="110"/>
      <c r="D15" s="110"/>
      <c r="E15" s="110"/>
      <c r="F15" s="110"/>
      <c r="G15" s="110"/>
      <c r="H15" s="110"/>
      <c r="I15" s="110"/>
      <c r="J15" s="110"/>
      <c r="K15" s="110"/>
      <c r="L15" s="110"/>
      <c r="M15" s="110"/>
      <c r="N15" s="110"/>
      <c r="O15" s="77"/>
    </row>
    <row r="16" spans="1:15" s="261" customFormat="1" ht="13.5" thickBot="1">
      <c r="A16" s="1188" t="str">
        <f>'FG1'!A16:B16</f>
        <v>Coût d'énergie</v>
      </c>
      <c r="B16" s="1188"/>
      <c r="C16" s="393">
        <f>'FG1'!C16*(1+$J$10)</f>
        <v>0</v>
      </c>
      <c r="D16" s="393">
        <f>'FG1'!D16*(1+$J$10)</f>
        <v>0</v>
      </c>
      <c r="E16" s="393">
        <f>'FG1'!E16*(1+$J$10)</f>
        <v>0</v>
      </c>
      <c r="F16" s="393">
        <f>'FG1'!F16*(1+$J$10)</f>
        <v>0</v>
      </c>
      <c r="G16" s="393">
        <f>'FG1'!G16*(1+$J$10)</f>
        <v>0</v>
      </c>
      <c r="H16" s="393">
        <f>'FG1'!H16*(1+$J$10)</f>
        <v>0</v>
      </c>
      <c r="I16" s="393">
        <f>'FG1'!I16*(1+$J$10)</f>
        <v>0</v>
      </c>
      <c r="J16" s="393">
        <f>'FG1'!J16*(1+$J$10)</f>
        <v>0</v>
      </c>
      <c r="K16" s="393">
        <f>'FG1'!K16*(1+$J$10)</f>
        <v>0</v>
      </c>
      <c r="L16" s="393">
        <f>'FG1'!L16*(1+$J$10)</f>
        <v>0</v>
      </c>
      <c r="M16" s="393">
        <f>'FG1'!M16*(1+$J$10)</f>
        <v>0</v>
      </c>
      <c r="N16" s="393">
        <f>'FG1'!N16*(1+$J$10)</f>
        <v>0</v>
      </c>
      <c r="O16" s="76">
        <f>SUM(C16:N16)</f>
        <v>0</v>
      </c>
    </row>
    <row r="17" spans="1:15" s="261" customFormat="1" ht="13.5" thickBot="1">
      <c r="A17" s="78"/>
      <c r="B17" s="78"/>
      <c r="C17" s="110"/>
      <c r="D17" s="110"/>
      <c r="E17" s="110"/>
      <c r="F17" s="110"/>
      <c r="G17" s="110"/>
      <c r="H17" s="110"/>
      <c r="I17" s="110"/>
      <c r="J17" s="110"/>
      <c r="K17" s="110"/>
      <c r="L17" s="110"/>
      <c r="M17" s="110"/>
      <c r="N17" s="110"/>
      <c r="O17" s="77"/>
    </row>
    <row r="18" spans="1:15" s="261" customFormat="1" ht="13.5" thickBot="1">
      <c r="A18" s="1188" t="str">
        <f>'FG1'!A18:B18</f>
        <v>Entretien / réparation</v>
      </c>
      <c r="B18" s="1188"/>
      <c r="C18" s="393">
        <f>'FG1'!C18*(1+$J$10)</f>
        <v>0</v>
      </c>
      <c r="D18" s="393">
        <f>'FG1'!D18*(1+$J$10)</f>
        <v>0</v>
      </c>
      <c r="E18" s="393">
        <f>'FG1'!E18*(1+$J$10)</f>
        <v>0</v>
      </c>
      <c r="F18" s="393">
        <f>'FG1'!F18*(1+$J$10)</f>
        <v>0</v>
      </c>
      <c r="G18" s="393">
        <f>'FG1'!G18*(1+$J$10)</f>
        <v>0</v>
      </c>
      <c r="H18" s="393">
        <f>'FG1'!H18*(1+$J$10)</f>
        <v>0</v>
      </c>
      <c r="I18" s="393">
        <f>'FG1'!I18*(1+$J$10)</f>
        <v>0</v>
      </c>
      <c r="J18" s="393">
        <f>'FG1'!J18*(1+$J$10)</f>
        <v>0</v>
      </c>
      <c r="K18" s="393">
        <f>'FG1'!K18*(1+$J$10)</f>
        <v>0</v>
      </c>
      <c r="L18" s="393">
        <f>'FG1'!L18*(1+$J$10)</f>
        <v>0</v>
      </c>
      <c r="M18" s="393">
        <f>'FG1'!M18*(1+$J$10)</f>
        <v>0</v>
      </c>
      <c r="N18" s="393">
        <f>'FG1'!N18*(1+$J$10)</f>
        <v>0</v>
      </c>
      <c r="O18" s="76">
        <f>SUM(C18:N18)</f>
        <v>0</v>
      </c>
    </row>
    <row r="19" spans="1:15" s="261" customFormat="1" ht="13.5" thickBot="1">
      <c r="A19" s="78"/>
      <c r="B19" s="78"/>
      <c r="C19" s="110"/>
      <c r="D19" s="110"/>
      <c r="E19" s="110"/>
      <c r="F19" s="110"/>
      <c r="G19" s="110"/>
      <c r="H19" s="110"/>
      <c r="I19" s="110"/>
      <c r="J19" s="110"/>
      <c r="K19" s="110"/>
      <c r="L19" s="110"/>
      <c r="M19" s="110"/>
      <c r="N19" s="110"/>
      <c r="O19" s="77"/>
    </row>
    <row r="20" spans="1:15" s="261" customFormat="1" ht="13.5" thickBot="1">
      <c r="A20" s="1188" t="str">
        <f>'FG1'!A20:B20</f>
        <v>Services sanitaires</v>
      </c>
      <c r="B20" s="1188"/>
      <c r="C20" s="393">
        <f>'FG1'!C20*(1+$J$10)</f>
        <v>0</v>
      </c>
      <c r="D20" s="393">
        <f>'FG1'!D20*(1+$J$10)</f>
        <v>0</v>
      </c>
      <c r="E20" s="393">
        <f>'FG1'!E20*(1+$J$10)</f>
        <v>0</v>
      </c>
      <c r="F20" s="393">
        <f>'FG1'!F20*(1+$J$10)</f>
        <v>0</v>
      </c>
      <c r="G20" s="393">
        <f>'FG1'!G20*(1+$J$10)</f>
        <v>0</v>
      </c>
      <c r="H20" s="393">
        <f>'FG1'!H20*(1+$J$10)</f>
        <v>0</v>
      </c>
      <c r="I20" s="393">
        <f>'FG1'!I20*(1+$J$10)</f>
        <v>0</v>
      </c>
      <c r="J20" s="393">
        <f>'FG1'!J20*(1+$J$10)</f>
        <v>0</v>
      </c>
      <c r="K20" s="393">
        <f>'FG1'!K20*(1+$J$10)</f>
        <v>0</v>
      </c>
      <c r="L20" s="393">
        <f>'FG1'!L20*(1+$J$10)</f>
        <v>0</v>
      </c>
      <c r="M20" s="393">
        <f>'FG1'!M20*(1+$J$10)</f>
        <v>0</v>
      </c>
      <c r="N20" s="393">
        <f>'FG1'!N20*(1+$J$10)</f>
        <v>0</v>
      </c>
      <c r="O20" s="76">
        <f>SUM(C20:N20)</f>
        <v>0</v>
      </c>
    </row>
    <row r="21" spans="1:15" s="261" customFormat="1" ht="13.5" thickBot="1">
      <c r="A21" s="78"/>
      <c r="B21" s="78"/>
      <c r="C21" s="110"/>
      <c r="D21" s="110"/>
      <c r="E21" s="110"/>
      <c r="F21" s="110"/>
      <c r="G21" s="110"/>
      <c r="H21" s="110"/>
      <c r="I21" s="110"/>
      <c r="J21" s="110"/>
      <c r="K21" s="110"/>
      <c r="L21" s="110"/>
      <c r="M21" s="110"/>
      <c r="N21" s="110"/>
      <c r="O21" s="77"/>
    </row>
    <row r="22" spans="1:15" s="261" customFormat="1" ht="13.5" thickBot="1">
      <c r="A22" s="1188" t="str">
        <f>'FG1'!A22:B22</f>
        <v>Frais de déplacement</v>
      </c>
      <c r="B22" s="1188"/>
      <c r="C22" s="393">
        <f>'FG1'!C22*(1+$J$10)</f>
        <v>0</v>
      </c>
      <c r="D22" s="393">
        <f>'FG1'!D22*(1+$J$10)</f>
        <v>0</v>
      </c>
      <c r="E22" s="393">
        <f>'FG1'!E22*(1+$J$10)</f>
        <v>0</v>
      </c>
      <c r="F22" s="393">
        <f>'FG1'!F22*(1+$J$10)</f>
        <v>0</v>
      </c>
      <c r="G22" s="393">
        <f>'FG1'!G22*(1+$J$10)</f>
        <v>0</v>
      </c>
      <c r="H22" s="393">
        <f>'FG1'!H22*(1+$J$10)</f>
        <v>0</v>
      </c>
      <c r="I22" s="393">
        <f>'FG1'!I22*(1+$J$10)</f>
        <v>0</v>
      </c>
      <c r="J22" s="393">
        <f>'FG1'!J22*(1+$J$10)</f>
        <v>0</v>
      </c>
      <c r="K22" s="393">
        <f>'FG1'!K22*(1+$J$10)</f>
        <v>0</v>
      </c>
      <c r="L22" s="393">
        <f>'FG1'!L22*(1+$J$10)</f>
        <v>0</v>
      </c>
      <c r="M22" s="393">
        <f>'FG1'!M22*(1+$J$10)</f>
        <v>0</v>
      </c>
      <c r="N22" s="393">
        <f>'FG1'!N22*(1+$J$10)</f>
        <v>0</v>
      </c>
      <c r="O22" s="76">
        <f>SUM(C22:N22)</f>
        <v>0</v>
      </c>
    </row>
    <row r="23" spans="1:15" s="261" customFormat="1" ht="13.5" thickBot="1">
      <c r="A23" s="78"/>
      <c r="B23" s="78"/>
      <c r="C23" s="110"/>
      <c r="D23" s="110"/>
      <c r="E23" s="110"/>
      <c r="F23" s="110"/>
      <c r="G23" s="110"/>
      <c r="H23" s="110"/>
      <c r="I23" s="110"/>
      <c r="J23" s="110"/>
      <c r="K23" s="110"/>
      <c r="L23" s="110"/>
      <c r="M23" s="110"/>
      <c r="N23" s="110"/>
      <c r="O23" s="77"/>
    </row>
    <row r="24" spans="1:15" s="261" customFormat="1" ht="13.5" thickBot="1">
      <c r="A24" s="1188" t="str">
        <f>'FG1'!A24:B24</f>
        <v>Immatriculation et permis</v>
      </c>
      <c r="B24" s="1188"/>
      <c r="C24" s="393">
        <f>'FG1'!C24*(1+$J$10)</f>
        <v>0</v>
      </c>
      <c r="D24" s="393">
        <f>'FG1'!D24*(1+$J$10)</f>
        <v>0</v>
      </c>
      <c r="E24" s="393">
        <f>'FG1'!E24*(1+$J$10)</f>
        <v>0</v>
      </c>
      <c r="F24" s="393">
        <f>'FG1'!F24*(1+$J$10)</f>
        <v>0</v>
      </c>
      <c r="G24" s="393">
        <f>'FG1'!G24*(1+$J$10)</f>
        <v>0</v>
      </c>
      <c r="H24" s="393">
        <f>'FG1'!H24*(1+$J$10)</f>
        <v>0</v>
      </c>
      <c r="I24" s="393">
        <f>'FG1'!I24*(1+$J$10)</f>
        <v>0</v>
      </c>
      <c r="J24" s="393">
        <f>'FG1'!J24*(1+$J$10)</f>
        <v>0</v>
      </c>
      <c r="K24" s="393">
        <f>'FG1'!K24*(1+$J$10)</f>
        <v>0</v>
      </c>
      <c r="L24" s="393">
        <f>'FG1'!L24*(1+$J$10)</f>
        <v>0</v>
      </c>
      <c r="M24" s="393">
        <f>'FG1'!M24*(1+$J$10)</f>
        <v>0</v>
      </c>
      <c r="N24" s="393">
        <f>'FG1'!N24*(1+$J$10)</f>
        <v>0</v>
      </c>
      <c r="O24" s="76">
        <f>SUM(C24:N24)</f>
        <v>0</v>
      </c>
    </row>
    <row r="25" spans="1:15" s="261" customFormat="1" ht="13.5" thickBot="1">
      <c r="A25" s="78"/>
      <c r="B25" s="78"/>
      <c r="C25" s="110"/>
      <c r="D25" s="110"/>
      <c r="E25" s="110"/>
      <c r="F25" s="110"/>
      <c r="G25" s="110"/>
      <c r="H25" s="110"/>
      <c r="I25" s="110"/>
      <c r="J25" s="110"/>
      <c r="K25" s="110"/>
      <c r="L25" s="110"/>
      <c r="M25" s="110"/>
      <c r="N25" s="110"/>
      <c r="O25" s="77"/>
    </row>
    <row r="26" spans="1:15" s="261" customFormat="1" ht="13.5" thickBot="1">
      <c r="A26" s="1188" t="str">
        <f>'FG1'!A26:B26</f>
        <v>Assurances</v>
      </c>
      <c r="B26" s="1188"/>
      <c r="C26" s="393">
        <f>'FG1'!C26*(1+$J$10)</f>
        <v>0</v>
      </c>
      <c r="D26" s="393">
        <f>'FG1'!D26*(1+$J$10)</f>
        <v>0</v>
      </c>
      <c r="E26" s="393">
        <f>'FG1'!E26*(1+$J$10)</f>
        <v>0</v>
      </c>
      <c r="F26" s="393">
        <f>'FG1'!F26*(1+$J$10)</f>
        <v>0</v>
      </c>
      <c r="G26" s="393">
        <f>'FG1'!G26*(1+$J$10)</f>
        <v>0</v>
      </c>
      <c r="H26" s="393">
        <f>'FG1'!H26*(1+$J$10)</f>
        <v>0</v>
      </c>
      <c r="I26" s="393">
        <f>'FG1'!I26*(1+$J$10)</f>
        <v>0</v>
      </c>
      <c r="J26" s="393">
        <f>'FG1'!J26*(1+$J$10)</f>
        <v>0</v>
      </c>
      <c r="K26" s="393">
        <f>'FG1'!K26*(1+$J$10)</f>
        <v>0</v>
      </c>
      <c r="L26" s="393">
        <f>'FG1'!L26*(1+$J$10)</f>
        <v>0</v>
      </c>
      <c r="M26" s="393">
        <f>'FG1'!M26*(1+$J$10)</f>
        <v>0</v>
      </c>
      <c r="N26" s="393">
        <f>'FG1'!N26*(1+$J$10)</f>
        <v>0</v>
      </c>
      <c r="O26" s="76">
        <f>SUM(C26:N26)</f>
        <v>0</v>
      </c>
    </row>
    <row r="27" spans="1:15" s="261" customFormat="1" ht="13.5" thickBot="1">
      <c r="A27" s="78"/>
      <c r="B27" s="78"/>
      <c r="C27" s="110"/>
      <c r="D27" s="110"/>
      <c r="E27" s="110"/>
      <c r="F27" s="110"/>
      <c r="G27" s="110"/>
      <c r="H27" s="110"/>
      <c r="I27" s="110"/>
      <c r="J27" s="110"/>
      <c r="K27" s="110"/>
      <c r="L27" s="110"/>
      <c r="M27" s="110"/>
      <c r="N27" s="110"/>
      <c r="O27" s="77"/>
    </row>
    <row r="28" spans="1:15" s="261" customFormat="1" ht="13.5" thickBot="1">
      <c r="A28" s="1188" t="str">
        <f>'FG1'!A28:B28</f>
        <v>Dépenses R&amp;D</v>
      </c>
      <c r="B28" s="1188"/>
      <c r="C28" s="393">
        <f>'FG1'!C28*(1+$J$10)</f>
        <v>0</v>
      </c>
      <c r="D28" s="393">
        <f>'FG1'!D28*(1+$J$10)</f>
        <v>0</v>
      </c>
      <c r="E28" s="393">
        <f>'FG1'!E28*(1+$J$10)</f>
        <v>0</v>
      </c>
      <c r="F28" s="393">
        <f>'FG1'!F28*(1+$J$10)</f>
        <v>0</v>
      </c>
      <c r="G28" s="393">
        <f>'FG1'!G28*(1+$J$10)</f>
        <v>0</v>
      </c>
      <c r="H28" s="393">
        <f>'FG1'!H28*(1+$J$10)</f>
        <v>0</v>
      </c>
      <c r="I28" s="393">
        <f>'FG1'!I28*(1+$J$10)</f>
        <v>0</v>
      </c>
      <c r="J28" s="393">
        <f>'FG1'!J28*(1+$J$10)</f>
        <v>0</v>
      </c>
      <c r="K28" s="393">
        <f>'FG1'!K28*(1+$J$10)</f>
        <v>0</v>
      </c>
      <c r="L28" s="393">
        <f>'FG1'!L28*(1+$J$10)</f>
        <v>0</v>
      </c>
      <c r="M28" s="393">
        <f>'FG1'!M28*(1+$J$10)</f>
        <v>0</v>
      </c>
      <c r="N28" s="393">
        <f>'FG1'!N28*(1+$J$10)</f>
        <v>0</v>
      </c>
      <c r="O28" s="76">
        <f>SUM(C28:N28)</f>
        <v>0</v>
      </c>
    </row>
    <row r="29" spans="1:15" s="261" customFormat="1" ht="13.5" thickBot="1">
      <c r="A29" s="78"/>
      <c r="B29" s="78"/>
      <c r="C29" s="110"/>
      <c r="D29" s="110"/>
      <c r="E29" s="110"/>
      <c r="F29" s="110"/>
      <c r="G29" s="110"/>
      <c r="H29" s="110"/>
      <c r="I29" s="110"/>
      <c r="J29" s="110"/>
      <c r="K29" s="110"/>
      <c r="L29" s="110"/>
      <c r="M29" s="110"/>
      <c r="N29" s="110"/>
      <c r="O29" s="77"/>
    </row>
    <row r="30" spans="1:15" s="261" customFormat="1" ht="13.5" thickBot="1">
      <c r="A30" s="1188" t="str">
        <f>'FG1'!A30:B30</f>
        <v>Autre frais d'exploitation 1</v>
      </c>
      <c r="B30" s="1188"/>
      <c r="C30" s="393">
        <f>'FG1'!C30*(1+$J$10)</f>
        <v>0</v>
      </c>
      <c r="D30" s="393">
        <f>'FG1'!D30*(1+$J$10)</f>
        <v>0</v>
      </c>
      <c r="E30" s="393">
        <f>'FG1'!E30*(1+$J$10)</f>
        <v>0</v>
      </c>
      <c r="F30" s="393">
        <f>'FG1'!F30*(1+$J$10)</f>
        <v>0</v>
      </c>
      <c r="G30" s="393">
        <f>'FG1'!G30*(1+$J$10)</f>
        <v>0</v>
      </c>
      <c r="H30" s="393">
        <f>'FG1'!H30*(1+$J$10)</f>
        <v>0</v>
      </c>
      <c r="I30" s="393">
        <f>'FG1'!I30*(1+$J$10)</f>
        <v>0</v>
      </c>
      <c r="J30" s="393">
        <f>'FG1'!J30*(1+$J$10)</f>
        <v>0</v>
      </c>
      <c r="K30" s="393">
        <f>'FG1'!K30*(1+$J$10)</f>
        <v>0</v>
      </c>
      <c r="L30" s="393">
        <f>'FG1'!L30*(1+$J$10)</f>
        <v>0</v>
      </c>
      <c r="M30" s="393">
        <f>'FG1'!M30*(1+$J$10)</f>
        <v>0</v>
      </c>
      <c r="N30" s="393">
        <f>'FG1'!N30*(1+$J$10)</f>
        <v>0</v>
      </c>
      <c r="O30" s="76">
        <f>SUM(C30:N30)</f>
        <v>0</v>
      </c>
    </row>
    <row r="31" spans="1:15" s="261" customFormat="1" ht="13.5" thickBot="1">
      <c r="A31" s="78"/>
      <c r="B31" s="78"/>
      <c r="C31" s="110"/>
      <c r="D31" s="110"/>
      <c r="E31" s="110"/>
      <c r="F31" s="110"/>
      <c r="G31" s="110"/>
      <c r="H31" s="110"/>
      <c r="I31" s="110"/>
      <c r="J31" s="110"/>
      <c r="K31" s="110"/>
      <c r="L31" s="110"/>
      <c r="M31" s="110"/>
      <c r="N31" s="110"/>
      <c r="O31" s="77"/>
    </row>
    <row r="32" spans="1:15" s="261" customFormat="1" ht="13.5" thickBot="1">
      <c r="A32" s="1188" t="str">
        <f>'FG1'!A32:B32</f>
        <v>Autre frais d'exploitation 2</v>
      </c>
      <c r="B32" s="1188"/>
      <c r="C32" s="393">
        <f>'FG1'!C32*(1+$J$10)</f>
        <v>0</v>
      </c>
      <c r="D32" s="393">
        <f>'FG1'!D32*(1+$J$10)</f>
        <v>0</v>
      </c>
      <c r="E32" s="393">
        <f>'FG1'!E32*(1+$J$10)</f>
        <v>0</v>
      </c>
      <c r="F32" s="393">
        <f>'FG1'!F32*(1+$J$10)</f>
        <v>0</v>
      </c>
      <c r="G32" s="393">
        <f>'FG1'!G32*(1+$J$10)</f>
        <v>0</v>
      </c>
      <c r="H32" s="393">
        <f>'FG1'!H32*(1+$J$10)</f>
        <v>0</v>
      </c>
      <c r="I32" s="393">
        <f>'FG1'!I32*(1+$J$10)</f>
        <v>0</v>
      </c>
      <c r="J32" s="393">
        <f>'FG1'!J32*(1+$J$10)</f>
        <v>0</v>
      </c>
      <c r="K32" s="393">
        <f>'FG1'!K32*(1+$J$10)</f>
        <v>0</v>
      </c>
      <c r="L32" s="393">
        <f>'FG1'!L32*(1+$J$10)</f>
        <v>0</v>
      </c>
      <c r="M32" s="393">
        <f>'FG1'!M32*(1+$J$10)</f>
        <v>0</v>
      </c>
      <c r="N32" s="393">
        <f>'FG1'!N32*(1+$J$10)</f>
        <v>0</v>
      </c>
      <c r="O32" s="76">
        <f>SUM(C32:N32)</f>
        <v>0</v>
      </c>
    </row>
    <row r="33" spans="1:15" s="261" customFormat="1" ht="13.5" thickBot="1">
      <c r="A33" s="78"/>
      <c r="B33" s="78"/>
      <c r="C33" s="110"/>
      <c r="D33" s="110"/>
      <c r="E33" s="110"/>
      <c r="F33" s="110"/>
      <c r="G33" s="110"/>
      <c r="H33" s="110"/>
      <c r="I33" s="110"/>
      <c r="J33" s="110"/>
      <c r="K33" s="110"/>
      <c r="L33" s="110"/>
      <c r="M33" s="110"/>
      <c r="N33" s="110"/>
      <c r="O33" s="77"/>
    </row>
    <row r="34" spans="1:15" s="261" customFormat="1" ht="13.5" thickBot="1">
      <c r="A34" s="1188" t="str">
        <f>'FG1'!A34:B34</f>
        <v>Autre frais d'exploitation 3</v>
      </c>
      <c r="B34" s="1188"/>
      <c r="C34" s="393">
        <f>'FG1'!C34*(1+$J$10)</f>
        <v>0</v>
      </c>
      <c r="D34" s="393">
        <f>'FG1'!D34*(1+$J$10)</f>
        <v>0</v>
      </c>
      <c r="E34" s="393">
        <f>'FG1'!E34*(1+$J$10)</f>
        <v>0</v>
      </c>
      <c r="F34" s="393">
        <f>'FG1'!F34*(1+$J$10)</f>
        <v>0</v>
      </c>
      <c r="G34" s="393">
        <f>'FG1'!G34*(1+$J$10)</f>
        <v>0</v>
      </c>
      <c r="H34" s="393">
        <f>'FG1'!H34*(1+$J$10)</f>
        <v>0</v>
      </c>
      <c r="I34" s="393">
        <f>'FG1'!I34*(1+$J$10)</f>
        <v>0</v>
      </c>
      <c r="J34" s="393">
        <f>'FG1'!J34*(1+$J$10)</f>
        <v>0</v>
      </c>
      <c r="K34" s="393">
        <f>'FG1'!K34*(1+$J$10)</f>
        <v>0</v>
      </c>
      <c r="L34" s="393">
        <f>'FG1'!L34*(1+$J$10)</f>
        <v>0</v>
      </c>
      <c r="M34" s="393">
        <f>'FG1'!M34*(1+$J$10)</f>
        <v>0</v>
      </c>
      <c r="N34" s="393">
        <f>'FG1'!N34*(1+$J$10)</f>
        <v>0</v>
      </c>
      <c r="O34" s="76">
        <f>SUM(C34:N34)</f>
        <v>0</v>
      </c>
    </row>
    <row r="35" spans="1:15" s="261" customFormat="1" ht="13.5" thickBot="1">
      <c r="A35" s="78"/>
      <c r="B35" s="78"/>
      <c r="C35" s="110"/>
      <c r="D35" s="110"/>
      <c r="E35" s="110"/>
      <c r="F35" s="110"/>
      <c r="G35" s="110"/>
      <c r="H35" s="110"/>
      <c r="I35" s="110"/>
      <c r="J35" s="110"/>
      <c r="K35" s="110"/>
      <c r="L35" s="110"/>
      <c r="M35" s="110"/>
      <c r="N35" s="110"/>
      <c r="O35" s="77"/>
    </row>
    <row r="36" spans="1:15" s="261" customFormat="1" ht="13.5" thickBot="1">
      <c r="A36" s="1188" t="str">
        <f>'FG1'!A36:B36</f>
        <v>Autre frais d'exploitation 4</v>
      </c>
      <c r="B36" s="1188"/>
      <c r="C36" s="393">
        <f>'FG1'!C36*(1+$J$10)</f>
        <v>0</v>
      </c>
      <c r="D36" s="393">
        <f>'FG1'!D36*(1+$J$10)</f>
        <v>0</v>
      </c>
      <c r="E36" s="393">
        <f>'FG1'!E36*(1+$J$10)</f>
        <v>0</v>
      </c>
      <c r="F36" s="393">
        <f>'FG1'!F36*(1+$J$10)</f>
        <v>0</v>
      </c>
      <c r="G36" s="393">
        <f>'FG1'!G36*(1+$J$10)</f>
        <v>0</v>
      </c>
      <c r="H36" s="393">
        <f>'FG1'!H36*(1+$J$10)</f>
        <v>0</v>
      </c>
      <c r="I36" s="393">
        <f>'FG1'!I36*(1+$J$10)</f>
        <v>0</v>
      </c>
      <c r="J36" s="393">
        <f>'FG1'!J36*(1+$J$10)</f>
        <v>0</v>
      </c>
      <c r="K36" s="393">
        <f>'FG1'!K36*(1+$J$10)</f>
        <v>0</v>
      </c>
      <c r="L36" s="393">
        <f>'FG1'!L36*(1+$J$10)</f>
        <v>0</v>
      </c>
      <c r="M36" s="393">
        <f>'FG1'!M36*(1+$J$10)</f>
        <v>0</v>
      </c>
      <c r="N36" s="393">
        <f>'FG1'!N36*(1+$J$10)</f>
        <v>0</v>
      </c>
      <c r="O36" s="76">
        <f>SUM(C36:N36)</f>
        <v>0</v>
      </c>
    </row>
    <row r="37" spans="1:15" s="261" customFormat="1" ht="13.5" thickBot="1">
      <c r="A37" s="78"/>
      <c r="B37" s="78"/>
      <c r="C37" s="110"/>
      <c r="D37" s="110"/>
      <c r="E37" s="110"/>
      <c r="F37" s="110"/>
      <c r="G37" s="110"/>
      <c r="H37" s="110"/>
      <c r="I37" s="110"/>
      <c r="J37" s="110"/>
      <c r="K37" s="110"/>
      <c r="L37" s="110"/>
      <c r="M37" s="110"/>
      <c r="N37" s="110"/>
      <c r="O37" s="77"/>
    </row>
    <row r="38" spans="1:15" s="261" customFormat="1" ht="13.5" thickBot="1">
      <c r="A38" s="1188" t="str">
        <f>'FG1'!A38:B38</f>
        <v>Autre frais d'exploitation 5</v>
      </c>
      <c r="B38" s="1188"/>
      <c r="C38" s="393">
        <f>'FG1'!C38*(1+$J$10)</f>
        <v>0</v>
      </c>
      <c r="D38" s="393">
        <f>'FG1'!D38*(1+$J$10)</f>
        <v>0</v>
      </c>
      <c r="E38" s="393">
        <f>'FG1'!E38*(1+$J$10)</f>
        <v>0</v>
      </c>
      <c r="F38" s="393">
        <f>'FG1'!F38*(1+$J$10)</f>
        <v>0</v>
      </c>
      <c r="G38" s="393">
        <f>'FG1'!G38*(1+$J$10)</f>
        <v>0</v>
      </c>
      <c r="H38" s="393">
        <f>'FG1'!H38*(1+$J$10)</f>
        <v>0</v>
      </c>
      <c r="I38" s="393">
        <f>'FG1'!I38*(1+$J$10)</f>
        <v>0</v>
      </c>
      <c r="J38" s="393">
        <f>'FG1'!J38*(1+$J$10)</f>
        <v>0</v>
      </c>
      <c r="K38" s="393">
        <f>'FG1'!K38*(1+$J$10)</f>
        <v>0</v>
      </c>
      <c r="L38" s="393">
        <f>'FG1'!L38*(1+$J$10)</f>
        <v>0</v>
      </c>
      <c r="M38" s="393">
        <f>'FG1'!M38*(1+$J$10)</f>
        <v>0</v>
      </c>
      <c r="N38" s="393">
        <f>'FG1'!N38*(1+$J$10)</f>
        <v>0</v>
      </c>
      <c r="O38" s="76">
        <f>SUM(C38:N38)</f>
        <v>0</v>
      </c>
    </row>
    <row r="39" spans="1:15" s="261" customFormat="1" ht="13.5" thickBot="1">
      <c r="A39" s="78"/>
      <c r="B39" s="78"/>
      <c r="C39" s="110"/>
      <c r="D39" s="110"/>
      <c r="E39" s="110"/>
      <c r="F39" s="110"/>
      <c r="G39" s="110"/>
      <c r="H39" s="110"/>
      <c r="I39" s="110"/>
      <c r="J39" s="110"/>
      <c r="K39" s="110"/>
      <c r="L39" s="110"/>
      <c r="M39" s="110"/>
      <c r="N39" s="110"/>
      <c r="O39" s="77"/>
    </row>
    <row r="40" spans="1:15" s="261" customFormat="1" ht="13.5" thickBot="1">
      <c r="A40" s="1188" t="str">
        <f>'FG1'!A40:B40</f>
        <v>Autre frais d'exploitation 6</v>
      </c>
      <c r="B40" s="1188"/>
      <c r="C40" s="393">
        <f>'FG1'!C40*(1+$J$10)</f>
        <v>0</v>
      </c>
      <c r="D40" s="393">
        <f>'FG1'!D40*(1+$J$10)</f>
        <v>0</v>
      </c>
      <c r="E40" s="393">
        <f>'FG1'!E40*(1+$J$10)</f>
        <v>0</v>
      </c>
      <c r="F40" s="393">
        <f>'FG1'!F40*(1+$J$10)</f>
        <v>0</v>
      </c>
      <c r="G40" s="393">
        <f>'FG1'!G40*(1+$J$10)</f>
        <v>0</v>
      </c>
      <c r="H40" s="393">
        <f>'FG1'!H40*(1+$J$10)</f>
        <v>0</v>
      </c>
      <c r="I40" s="393">
        <f>'FG1'!I40*(1+$J$10)</f>
        <v>0</v>
      </c>
      <c r="J40" s="393">
        <f>'FG1'!J40*(1+$J$10)</f>
        <v>0</v>
      </c>
      <c r="K40" s="393">
        <f>'FG1'!K40*(1+$J$10)</f>
        <v>0</v>
      </c>
      <c r="L40" s="393">
        <f>'FG1'!L40*(1+$J$10)</f>
        <v>0</v>
      </c>
      <c r="M40" s="393">
        <f>'FG1'!M40*(1+$J$10)</f>
        <v>0</v>
      </c>
      <c r="N40" s="393">
        <f>'FG1'!N40*(1+$J$10)</f>
        <v>0</v>
      </c>
      <c r="O40" s="76">
        <f>SUM(C40:N40)</f>
        <v>0</v>
      </c>
    </row>
    <row r="41" spans="1:15" s="261" customFormat="1" ht="13.5" thickBot="1">
      <c r="A41" s="78"/>
      <c r="B41" s="78"/>
      <c r="C41" s="110"/>
      <c r="D41" s="110"/>
      <c r="E41" s="110"/>
      <c r="F41" s="110"/>
      <c r="G41" s="110"/>
      <c r="H41" s="110"/>
      <c r="I41" s="110"/>
      <c r="J41" s="110"/>
      <c r="K41" s="110"/>
      <c r="L41" s="110"/>
      <c r="M41" s="110"/>
      <c r="N41" s="110"/>
      <c r="O41" s="77"/>
    </row>
    <row r="42" spans="1:15" s="261" customFormat="1" ht="13.5" thickBot="1">
      <c r="A42" s="1188" t="str">
        <f>'FG1'!A42:B42</f>
        <v>Autre frais d'exploitation 7</v>
      </c>
      <c r="B42" s="1188"/>
      <c r="C42" s="393">
        <f>'FG1'!C42*(1+$J$10)</f>
        <v>0</v>
      </c>
      <c r="D42" s="393">
        <f>'FG1'!D42*(1+$J$10)</f>
        <v>0</v>
      </c>
      <c r="E42" s="393">
        <f>'FG1'!E42*(1+$J$10)</f>
        <v>0</v>
      </c>
      <c r="F42" s="393">
        <f>'FG1'!F42*(1+$J$10)</f>
        <v>0</v>
      </c>
      <c r="G42" s="393">
        <f>'FG1'!G42*(1+$J$10)</f>
        <v>0</v>
      </c>
      <c r="H42" s="393">
        <f>'FG1'!H42*(1+$J$10)</f>
        <v>0</v>
      </c>
      <c r="I42" s="393">
        <f>'FG1'!I42*(1+$J$10)</f>
        <v>0</v>
      </c>
      <c r="J42" s="393">
        <f>'FG1'!J42*(1+$J$10)</f>
        <v>0</v>
      </c>
      <c r="K42" s="393">
        <f>'FG1'!K42*(1+$J$10)</f>
        <v>0</v>
      </c>
      <c r="L42" s="393">
        <f>'FG1'!L42*(1+$J$10)</f>
        <v>0</v>
      </c>
      <c r="M42" s="393">
        <f>'FG1'!M42*(1+$J$10)</f>
        <v>0</v>
      </c>
      <c r="N42" s="393">
        <f>'FG1'!N42*(1+$J$10)</f>
        <v>0</v>
      </c>
      <c r="O42" s="76">
        <f>SUM(C42:N42)</f>
        <v>0</v>
      </c>
    </row>
    <row r="43" spans="1:15" s="261" customFormat="1" ht="13.5" thickBot="1">
      <c r="A43" s="78"/>
      <c r="B43" s="78"/>
      <c r="C43" s="110"/>
      <c r="D43" s="110"/>
      <c r="E43" s="110"/>
      <c r="F43" s="110"/>
      <c r="G43" s="110"/>
      <c r="H43" s="110"/>
      <c r="I43" s="110"/>
      <c r="J43" s="110"/>
      <c r="K43" s="110"/>
      <c r="L43" s="110"/>
      <c r="M43" s="110"/>
      <c r="N43" s="110"/>
      <c r="O43" s="77"/>
    </row>
    <row r="44" spans="1:15" s="261" customFormat="1" ht="13.5" thickBot="1">
      <c r="A44" s="1188" t="str">
        <f>'FG1'!A44:B44</f>
        <v>Autre frais d'exploitation 8</v>
      </c>
      <c r="B44" s="1188"/>
      <c r="C44" s="393">
        <f>'FG1'!C44*(1+$J$10)</f>
        <v>0</v>
      </c>
      <c r="D44" s="393">
        <f>'FG1'!D44*(1+$J$10)</f>
        <v>0</v>
      </c>
      <c r="E44" s="393">
        <f>'FG1'!E44*(1+$J$10)</f>
        <v>0</v>
      </c>
      <c r="F44" s="393">
        <f>'FG1'!F44*(1+$J$10)</f>
        <v>0</v>
      </c>
      <c r="G44" s="393">
        <f>'FG1'!G44*(1+$J$10)</f>
        <v>0</v>
      </c>
      <c r="H44" s="393">
        <f>'FG1'!H44*(1+$J$10)</f>
        <v>0</v>
      </c>
      <c r="I44" s="393">
        <f>'FG1'!I44*(1+$J$10)</f>
        <v>0</v>
      </c>
      <c r="J44" s="393">
        <f>'FG1'!J44*(1+$J$10)</f>
        <v>0</v>
      </c>
      <c r="K44" s="393">
        <f>'FG1'!K44*(1+$J$10)</f>
        <v>0</v>
      </c>
      <c r="L44" s="393">
        <f>'FG1'!L44*(1+$J$10)</f>
        <v>0</v>
      </c>
      <c r="M44" s="393">
        <f>'FG1'!M44*(1+$J$10)</f>
        <v>0</v>
      </c>
      <c r="N44" s="393">
        <f>'FG1'!N44*(1+$J$10)</f>
        <v>0</v>
      </c>
      <c r="O44" s="76">
        <f>SUM(C44:N44)</f>
        <v>0</v>
      </c>
    </row>
    <row r="45" spans="1:15" s="261" customFormat="1" ht="13">
      <c r="A45" s="850"/>
      <c r="B45" s="251"/>
      <c r="C45" s="110"/>
      <c r="D45" s="110"/>
      <c r="E45" s="110"/>
      <c r="F45" s="110"/>
      <c r="G45" s="110"/>
      <c r="H45" s="110"/>
      <c r="I45" s="110"/>
      <c r="J45" s="110"/>
      <c r="K45" s="110"/>
      <c r="L45" s="110"/>
      <c r="M45" s="110"/>
      <c r="N45" s="110"/>
      <c r="O45" s="77"/>
    </row>
    <row r="46" spans="1:15" s="261" customFormat="1" ht="13.5" thickBot="1">
      <c r="A46" s="853" t="s">
        <v>653</v>
      </c>
      <c r="B46" s="856"/>
      <c r="C46" s="861"/>
      <c r="D46" s="861"/>
      <c r="E46" s="861"/>
      <c r="F46" s="861"/>
      <c r="G46" s="861"/>
      <c r="H46" s="861"/>
      <c r="I46" s="861"/>
      <c r="J46" s="861"/>
      <c r="K46" s="861"/>
      <c r="L46" s="861"/>
      <c r="M46" s="861"/>
      <c r="N46" s="861"/>
      <c r="O46" s="858"/>
    </row>
    <row r="47" spans="1:15" s="261" customFormat="1" ht="13.5" thickBot="1">
      <c r="A47" s="1188" t="str">
        <f>'FG1'!A47:B47</f>
        <v>Frais de représentation</v>
      </c>
      <c r="B47" s="1188"/>
      <c r="C47" s="393">
        <f>'FG1'!C47*(1+$J$10)</f>
        <v>0</v>
      </c>
      <c r="D47" s="393">
        <f>'FG1'!D47*(1+$J$10)</f>
        <v>0</v>
      </c>
      <c r="E47" s="393">
        <f>'FG1'!E47*(1+$J$10)</f>
        <v>0</v>
      </c>
      <c r="F47" s="393">
        <f>'FG1'!F47*(1+$J$10)</f>
        <v>0</v>
      </c>
      <c r="G47" s="393">
        <f>'FG1'!G47*(1+$J$10)</f>
        <v>0</v>
      </c>
      <c r="H47" s="393">
        <f>'FG1'!H47*(1+$J$10)</f>
        <v>0</v>
      </c>
      <c r="I47" s="393">
        <f>'FG1'!I47*(1+$J$10)</f>
        <v>0</v>
      </c>
      <c r="J47" s="393">
        <f>'FG1'!J47*(1+$J$10)</f>
        <v>0</v>
      </c>
      <c r="K47" s="393">
        <f>'FG1'!K47*(1+$J$10)</f>
        <v>0</v>
      </c>
      <c r="L47" s="393">
        <f>'FG1'!L47*(1+$J$10)</f>
        <v>0</v>
      </c>
      <c r="M47" s="393">
        <f>'FG1'!M47*(1+$J$10)</f>
        <v>0</v>
      </c>
      <c r="N47" s="393">
        <f>'FG1'!N47*(1+$J$10)</f>
        <v>0</v>
      </c>
      <c r="O47" s="76">
        <f>SUM(C47:N47)</f>
        <v>0</v>
      </c>
    </row>
    <row r="48" spans="1:15" s="261" customFormat="1" ht="13.5" thickBot="1">
      <c r="A48" s="78"/>
      <c r="B48" s="78"/>
      <c r="C48" s="110"/>
      <c r="D48" s="110"/>
      <c r="E48" s="110"/>
      <c r="F48" s="110"/>
      <c r="G48" s="110"/>
      <c r="H48" s="110"/>
      <c r="I48" s="110"/>
      <c r="J48" s="110"/>
      <c r="K48" s="110"/>
      <c r="L48" s="110"/>
      <c r="M48" s="110"/>
      <c r="N48" s="110"/>
      <c r="O48" s="77"/>
    </row>
    <row r="49" spans="1:15" s="261" customFormat="1" ht="13.5" thickBot="1">
      <c r="A49" s="1188" t="str">
        <f>'FG1'!A49:B49</f>
        <v>Publicité</v>
      </c>
      <c r="B49" s="1188"/>
      <c r="C49" s="393">
        <f>'FG1'!C49*(1+$J$10)</f>
        <v>0</v>
      </c>
      <c r="D49" s="393">
        <f>'FG1'!D49*(1+$J$10)</f>
        <v>0</v>
      </c>
      <c r="E49" s="393">
        <f>'FG1'!E49*(1+$J$10)</f>
        <v>0</v>
      </c>
      <c r="F49" s="393">
        <f>'FG1'!F49*(1+$J$10)</f>
        <v>0</v>
      </c>
      <c r="G49" s="393">
        <f>'FG1'!G49*(1+$J$10)</f>
        <v>0</v>
      </c>
      <c r="H49" s="393">
        <f>'FG1'!H49*(1+$J$10)</f>
        <v>0</v>
      </c>
      <c r="I49" s="393">
        <f>'FG1'!I49*(1+$J$10)</f>
        <v>0</v>
      </c>
      <c r="J49" s="393">
        <f>'FG1'!J49*(1+$J$10)</f>
        <v>0</v>
      </c>
      <c r="K49" s="393">
        <f>'FG1'!K49*(1+$J$10)</f>
        <v>0</v>
      </c>
      <c r="L49" s="393">
        <f>'FG1'!L49*(1+$J$10)</f>
        <v>0</v>
      </c>
      <c r="M49" s="393">
        <f>'FG1'!M49*(1+$J$10)</f>
        <v>0</v>
      </c>
      <c r="N49" s="393">
        <f>'FG1'!N49*(1+$J$10)</f>
        <v>0</v>
      </c>
      <c r="O49" s="76">
        <f>SUM(C49:N49)</f>
        <v>0</v>
      </c>
    </row>
    <row r="50" spans="1:15" s="261" customFormat="1" ht="13.5" thickBot="1">
      <c r="A50" s="78"/>
      <c r="B50" s="78"/>
      <c r="C50" s="110"/>
      <c r="D50" s="110"/>
      <c r="E50" s="110"/>
      <c r="F50" s="110"/>
      <c r="G50" s="110"/>
      <c r="H50" s="110"/>
      <c r="I50" s="110"/>
      <c r="J50" s="110"/>
      <c r="K50" s="110"/>
      <c r="L50" s="110"/>
      <c r="M50" s="110"/>
      <c r="N50" s="110"/>
      <c r="O50" s="77"/>
    </row>
    <row r="51" spans="1:15" s="261" customFormat="1" ht="13.5" thickBot="1">
      <c r="A51" s="1188" t="str">
        <f>'FG1'!A51:B51</f>
        <v>Autres frais de vente 1</v>
      </c>
      <c r="B51" s="1188"/>
      <c r="C51" s="393">
        <f>'FG1'!C51*(1+$J$10)</f>
        <v>0</v>
      </c>
      <c r="D51" s="393">
        <f>'FG1'!D51*(1+$J$10)</f>
        <v>0</v>
      </c>
      <c r="E51" s="393">
        <f>'FG1'!E51*(1+$J$10)</f>
        <v>0</v>
      </c>
      <c r="F51" s="393">
        <f>'FG1'!F51*(1+$J$10)</f>
        <v>0</v>
      </c>
      <c r="G51" s="393">
        <f>'FG1'!G51*(1+$J$10)</f>
        <v>0</v>
      </c>
      <c r="H51" s="393">
        <f>'FG1'!H51*(1+$J$10)</f>
        <v>0</v>
      </c>
      <c r="I51" s="393">
        <f>'FG1'!I51*(1+$J$10)</f>
        <v>0</v>
      </c>
      <c r="J51" s="393">
        <f>'FG1'!J51*(1+$J$10)</f>
        <v>0</v>
      </c>
      <c r="K51" s="393">
        <f>'FG1'!K51*(1+$J$10)</f>
        <v>0</v>
      </c>
      <c r="L51" s="393">
        <f>'FG1'!L51*(1+$J$10)</f>
        <v>0</v>
      </c>
      <c r="M51" s="393">
        <f>'FG1'!M51*(1+$J$10)</f>
        <v>0</v>
      </c>
      <c r="N51" s="393">
        <f>'FG1'!N51*(1+$J$10)</f>
        <v>0</v>
      </c>
      <c r="O51" s="76">
        <f>SUM(C51:N51)</f>
        <v>0</v>
      </c>
    </row>
    <row r="52" spans="1:15" s="261" customFormat="1" ht="13.5" thickBot="1">
      <c r="A52" s="78"/>
      <c r="B52" s="78"/>
      <c r="C52" s="110"/>
      <c r="D52" s="110"/>
      <c r="E52" s="110"/>
      <c r="F52" s="110"/>
      <c r="G52" s="110"/>
      <c r="H52" s="110"/>
      <c r="I52" s="110"/>
      <c r="J52" s="110"/>
      <c r="K52" s="110"/>
      <c r="L52" s="110"/>
      <c r="M52" s="110"/>
      <c r="N52" s="110"/>
      <c r="O52" s="77"/>
    </row>
    <row r="53" spans="1:15" s="261" customFormat="1" ht="13.5" thickBot="1">
      <c r="A53" s="1188" t="str">
        <f>'FG1'!A53:B53</f>
        <v>Autres frais de vente 2</v>
      </c>
      <c r="B53" s="1188"/>
      <c r="C53" s="393">
        <f>'FG1'!C53*(1+$J$10)</f>
        <v>0</v>
      </c>
      <c r="D53" s="393">
        <f>'FG1'!D53*(1+$J$10)</f>
        <v>0</v>
      </c>
      <c r="E53" s="393">
        <f>'FG1'!E53*(1+$J$10)</f>
        <v>0</v>
      </c>
      <c r="F53" s="393">
        <f>'FG1'!F53*(1+$J$10)</f>
        <v>0</v>
      </c>
      <c r="G53" s="393">
        <f>'FG1'!G53*(1+$J$10)</f>
        <v>0</v>
      </c>
      <c r="H53" s="393">
        <f>'FG1'!H53*(1+$J$10)</f>
        <v>0</v>
      </c>
      <c r="I53" s="393">
        <f>'FG1'!I53*(1+$J$10)</f>
        <v>0</v>
      </c>
      <c r="J53" s="393">
        <f>'FG1'!J53*(1+$J$10)</f>
        <v>0</v>
      </c>
      <c r="K53" s="393">
        <f>'FG1'!K53*(1+$J$10)</f>
        <v>0</v>
      </c>
      <c r="L53" s="393">
        <f>'FG1'!L53*(1+$J$10)</f>
        <v>0</v>
      </c>
      <c r="M53" s="393">
        <f>'FG1'!M53*(1+$J$10)</f>
        <v>0</v>
      </c>
      <c r="N53" s="393">
        <f>'FG1'!N53*(1+$J$10)</f>
        <v>0</v>
      </c>
      <c r="O53" s="76">
        <f>SUM(C53:N53)</f>
        <v>0</v>
      </c>
    </row>
    <row r="54" spans="1:15" s="261" customFormat="1" ht="13.5" thickBot="1">
      <c r="A54" s="78"/>
      <c r="B54" s="78"/>
      <c r="C54" s="110"/>
      <c r="D54" s="110"/>
      <c r="E54" s="110"/>
      <c r="F54" s="110"/>
      <c r="G54" s="110"/>
      <c r="H54" s="110"/>
      <c r="I54" s="110"/>
      <c r="J54" s="110"/>
      <c r="K54" s="110"/>
      <c r="L54" s="110"/>
      <c r="M54" s="110"/>
      <c r="N54" s="110"/>
      <c r="O54" s="77"/>
    </row>
    <row r="55" spans="1:15" s="261" customFormat="1" ht="13.5" thickBot="1">
      <c r="A55" s="1188" t="str">
        <f>'FG1'!A55:B55</f>
        <v>Autres frais de vente 3</v>
      </c>
      <c r="B55" s="1188"/>
      <c r="C55" s="393">
        <f>'FG1'!C55*(1+$J$10)</f>
        <v>0</v>
      </c>
      <c r="D55" s="393">
        <f>'FG1'!D55*(1+$J$10)</f>
        <v>0</v>
      </c>
      <c r="E55" s="393">
        <f>'FG1'!E55*(1+$J$10)</f>
        <v>0</v>
      </c>
      <c r="F55" s="393">
        <f>'FG1'!F55*(1+$J$10)</f>
        <v>0</v>
      </c>
      <c r="G55" s="393">
        <f>'FG1'!G55*(1+$J$10)</f>
        <v>0</v>
      </c>
      <c r="H55" s="393">
        <f>'FG1'!H55*(1+$J$10)</f>
        <v>0</v>
      </c>
      <c r="I55" s="393">
        <f>'FG1'!I55*(1+$J$10)</f>
        <v>0</v>
      </c>
      <c r="J55" s="393">
        <f>'FG1'!J55*(1+$J$10)</f>
        <v>0</v>
      </c>
      <c r="K55" s="393">
        <f>'FG1'!K55*(1+$J$10)</f>
        <v>0</v>
      </c>
      <c r="L55" s="393">
        <f>'FG1'!L55*(1+$J$10)</f>
        <v>0</v>
      </c>
      <c r="M55" s="393">
        <f>'FG1'!M55*(1+$J$10)</f>
        <v>0</v>
      </c>
      <c r="N55" s="393">
        <f>'FG1'!N55*(1+$J$10)</f>
        <v>0</v>
      </c>
      <c r="O55" s="76">
        <f>SUM(C55:N55)</f>
        <v>0</v>
      </c>
    </row>
    <row r="56" spans="1:15" s="261" customFormat="1" ht="13.5" thickBot="1">
      <c r="A56" s="78"/>
      <c r="B56" s="78"/>
      <c r="C56" s="110"/>
      <c r="D56" s="110"/>
      <c r="E56" s="110"/>
      <c r="F56" s="110"/>
      <c r="G56" s="110"/>
      <c r="H56" s="110"/>
      <c r="I56" s="110"/>
      <c r="J56" s="110"/>
      <c r="K56" s="110"/>
      <c r="L56" s="110"/>
      <c r="M56" s="110"/>
      <c r="N56" s="110"/>
      <c r="O56" s="77"/>
    </row>
    <row r="57" spans="1:15" s="261" customFormat="1" ht="13.5" thickBot="1">
      <c r="A57" s="1188" t="str">
        <f>'FG1'!A57:B57</f>
        <v>Autres frais de vente 4</v>
      </c>
      <c r="B57" s="1188"/>
      <c r="C57" s="393">
        <f>'FG1'!C57*(1+$J$10)</f>
        <v>0</v>
      </c>
      <c r="D57" s="393">
        <f>'FG1'!D57*(1+$J$10)</f>
        <v>0</v>
      </c>
      <c r="E57" s="393">
        <f>'FG1'!E57*(1+$J$10)</f>
        <v>0</v>
      </c>
      <c r="F57" s="393">
        <f>'FG1'!F57*(1+$J$10)</f>
        <v>0</v>
      </c>
      <c r="G57" s="393">
        <f>'FG1'!G57*(1+$J$10)</f>
        <v>0</v>
      </c>
      <c r="H57" s="393">
        <f>'FG1'!H57*(1+$J$10)</f>
        <v>0</v>
      </c>
      <c r="I57" s="393">
        <f>'FG1'!I57*(1+$J$10)</f>
        <v>0</v>
      </c>
      <c r="J57" s="393">
        <f>'FG1'!J57*(1+$J$10)</f>
        <v>0</v>
      </c>
      <c r="K57" s="393">
        <f>'FG1'!K57*(1+$J$10)</f>
        <v>0</v>
      </c>
      <c r="L57" s="393">
        <f>'FG1'!L57*(1+$J$10)</f>
        <v>0</v>
      </c>
      <c r="M57" s="393">
        <f>'FG1'!M57*(1+$J$10)</f>
        <v>0</v>
      </c>
      <c r="N57" s="393">
        <f>'FG1'!N57*(1+$J$10)</f>
        <v>0</v>
      </c>
      <c r="O57" s="76">
        <f>SUM(C57:N57)</f>
        <v>0</v>
      </c>
    </row>
    <row r="58" spans="1:15" s="261" customFormat="1" ht="13.5" thickBot="1">
      <c r="A58" s="78"/>
      <c r="B58" s="78"/>
      <c r="C58" s="110"/>
      <c r="D58" s="110"/>
      <c r="E58" s="110"/>
      <c r="F58" s="110"/>
      <c r="G58" s="110"/>
      <c r="H58" s="110"/>
      <c r="I58" s="110"/>
      <c r="J58" s="110"/>
      <c r="K58" s="110"/>
      <c r="L58" s="110"/>
      <c r="M58" s="110"/>
      <c r="N58" s="110"/>
      <c r="O58" s="77"/>
    </row>
    <row r="59" spans="1:15" s="261" customFormat="1" ht="13.5" thickBot="1">
      <c r="A59" s="1188" t="str">
        <f>'FG1'!A59:B59</f>
        <v>Autres frais de vente 5</v>
      </c>
      <c r="B59" s="1188"/>
      <c r="C59" s="393">
        <f>'FG1'!C59*(1+$J$10)</f>
        <v>0</v>
      </c>
      <c r="D59" s="393">
        <f>'FG1'!D59*(1+$J$10)</f>
        <v>0</v>
      </c>
      <c r="E59" s="393">
        <f>'FG1'!E59*(1+$J$10)</f>
        <v>0</v>
      </c>
      <c r="F59" s="393">
        <f>'FG1'!F59*(1+$J$10)</f>
        <v>0</v>
      </c>
      <c r="G59" s="393">
        <f>'FG1'!G59*(1+$J$10)</f>
        <v>0</v>
      </c>
      <c r="H59" s="393">
        <f>'FG1'!H59*(1+$J$10)</f>
        <v>0</v>
      </c>
      <c r="I59" s="393">
        <f>'FG1'!I59*(1+$J$10)</f>
        <v>0</v>
      </c>
      <c r="J59" s="393">
        <f>'FG1'!J59*(1+$J$10)</f>
        <v>0</v>
      </c>
      <c r="K59" s="393">
        <f>'FG1'!K59*(1+$J$10)</f>
        <v>0</v>
      </c>
      <c r="L59" s="393">
        <f>'FG1'!L59*(1+$J$10)</f>
        <v>0</v>
      </c>
      <c r="M59" s="393">
        <f>'FG1'!M59*(1+$J$10)</f>
        <v>0</v>
      </c>
      <c r="N59" s="393">
        <f>'FG1'!N59*(1+$J$10)</f>
        <v>0</v>
      </c>
      <c r="O59" s="76">
        <f>SUM(C59:N59)</f>
        <v>0</v>
      </c>
    </row>
    <row r="60" spans="1:15" s="261" customFormat="1" ht="13">
      <c r="A60" s="852"/>
      <c r="B60" s="78"/>
      <c r="C60" s="110"/>
      <c r="D60" s="110"/>
      <c r="E60" s="110"/>
      <c r="F60" s="110"/>
      <c r="G60" s="110"/>
      <c r="H60" s="110"/>
      <c r="I60" s="110"/>
      <c r="J60" s="110"/>
      <c r="K60" s="110"/>
      <c r="L60" s="110"/>
      <c r="M60" s="110"/>
      <c r="N60" s="110"/>
      <c r="O60" s="77"/>
    </row>
    <row r="61" spans="1:15" s="261" customFormat="1" ht="13.5" thickBot="1">
      <c r="A61" s="859" t="s">
        <v>652</v>
      </c>
      <c r="B61" s="856"/>
      <c r="C61" s="861"/>
      <c r="D61" s="861"/>
      <c r="E61" s="861"/>
      <c r="F61" s="861"/>
      <c r="G61" s="861"/>
      <c r="H61" s="861"/>
      <c r="I61" s="861"/>
      <c r="J61" s="861"/>
      <c r="K61" s="861"/>
      <c r="L61" s="861"/>
      <c r="M61" s="861"/>
      <c r="N61" s="861"/>
      <c r="O61" s="858"/>
    </row>
    <row r="62" spans="1:15" s="261" customFormat="1" ht="13.5" thickBot="1">
      <c r="A62" s="1188" t="str">
        <f>'FG1'!A62:B62</f>
        <v>Téléphonie et internet</v>
      </c>
      <c r="B62" s="1196"/>
      <c r="C62" s="393">
        <f>'FG1'!C62*(1+$J$10)</f>
        <v>0</v>
      </c>
      <c r="D62" s="393">
        <f>'FG1'!D62*(1+$J$10)</f>
        <v>0</v>
      </c>
      <c r="E62" s="393">
        <f>'FG1'!E62*(1+$J$10)</f>
        <v>0</v>
      </c>
      <c r="F62" s="393">
        <f>'FG1'!F62*(1+$J$10)</f>
        <v>0</v>
      </c>
      <c r="G62" s="393">
        <f>'FG1'!G62*(1+$J$10)</f>
        <v>0</v>
      </c>
      <c r="H62" s="393">
        <f>'FG1'!H62*(1+$J$10)</f>
        <v>0</v>
      </c>
      <c r="I62" s="393">
        <f>'FG1'!I62*(1+$J$10)</f>
        <v>0</v>
      </c>
      <c r="J62" s="393">
        <f>'FG1'!J62*(1+$J$10)</f>
        <v>0</v>
      </c>
      <c r="K62" s="393">
        <f>'FG1'!K62*(1+$J$10)</f>
        <v>0</v>
      </c>
      <c r="L62" s="393">
        <f>'FG1'!L62*(1+$J$10)</f>
        <v>0</v>
      </c>
      <c r="M62" s="393">
        <f>'FG1'!M62*(1+$J$10)</f>
        <v>0</v>
      </c>
      <c r="N62" s="393">
        <f>'FG1'!N62*(1+$J$10)</f>
        <v>0</v>
      </c>
      <c r="O62" s="76">
        <f>SUM(C62:N62)</f>
        <v>0</v>
      </c>
    </row>
    <row r="63" spans="1:15" s="261" customFormat="1" ht="13.5" thickBot="1">
      <c r="A63" s="78"/>
      <c r="B63" s="78"/>
      <c r="C63" s="110"/>
      <c r="D63" s="110"/>
      <c r="E63" s="110"/>
      <c r="F63" s="110"/>
      <c r="G63" s="110"/>
      <c r="H63" s="110"/>
      <c r="I63" s="110"/>
      <c r="J63" s="110"/>
      <c r="K63" s="110"/>
      <c r="L63" s="110"/>
      <c r="M63" s="110"/>
      <c r="N63" s="110"/>
      <c r="O63" s="77"/>
    </row>
    <row r="64" spans="1:15" s="261" customFormat="1" ht="13.5" thickBot="1">
      <c r="A64" s="1188" t="str">
        <f>'FG1'!A64:B64</f>
        <v>Honoraires professionnels</v>
      </c>
      <c r="B64" s="1188"/>
      <c r="C64" s="393">
        <f>'FG1'!C64*(1+$J$10)</f>
        <v>0</v>
      </c>
      <c r="D64" s="393">
        <f>'FG1'!D64*(1+$J$10)</f>
        <v>0</v>
      </c>
      <c r="E64" s="393">
        <f>'FG1'!E64*(1+$J$10)</f>
        <v>0</v>
      </c>
      <c r="F64" s="393">
        <f>'FG1'!F64*(1+$J$10)</f>
        <v>0</v>
      </c>
      <c r="G64" s="393">
        <f>'FG1'!G64*(1+$J$10)</f>
        <v>0</v>
      </c>
      <c r="H64" s="393">
        <f>'FG1'!H64*(1+$J$10)</f>
        <v>0</v>
      </c>
      <c r="I64" s="393">
        <f>'FG1'!I64*(1+$J$10)</f>
        <v>0</v>
      </c>
      <c r="J64" s="393">
        <f>'FG1'!J64*(1+$J$10)</f>
        <v>0</v>
      </c>
      <c r="K64" s="393">
        <f>'FG1'!K64*(1+$J$10)</f>
        <v>0</v>
      </c>
      <c r="L64" s="393">
        <f>'FG1'!L64*(1+$J$10)</f>
        <v>0</v>
      </c>
      <c r="M64" s="393">
        <f>'FG1'!M64*(1+$J$10)</f>
        <v>0</v>
      </c>
      <c r="N64" s="393">
        <f>'FG1'!N64*(1+$J$10)</f>
        <v>0</v>
      </c>
      <c r="O64" s="76">
        <f>SUM(C64:N64)</f>
        <v>0</v>
      </c>
    </row>
    <row r="65" spans="1:15" s="261" customFormat="1" ht="13.5" thickBot="1">
      <c r="A65" s="78"/>
      <c r="B65" s="78"/>
      <c r="C65" s="110"/>
      <c r="D65" s="110"/>
      <c r="E65" s="110"/>
      <c r="F65" s="110"/>
      <c r="G65" s="110"/>
      <c r="H65" s="110"/>
      <c r="I65" s="110"/>
      <c r="J65" s="110"/>
      <c r="K65" s="110"/>
      <c r="L65" s="110"/>
      <c r="M65" s="110"/>
      <c r="N65" s="110"/>
      <c r="O65" s="77"/>
    </row>
    <row r="66" spans="1:15" s="261" customFormat="1" ht="13.5" thickBot="1">
      <c r="A66" s="1188" t="str">
        <f>'FG1'!A66:B66</f>
        <v>Frais de bureau</v>
      </c>
      <c r="B66" s="1188"/>
      <c r="C66" s="393">
        <f>'FG1'!C66*(1+$J$10)</f>
        <v>0</v>
      </c>
      <c r="D66" s="393">
        <f>'FG1'!D66*(1+$J$10)</f>
        <v>0</v>
      </c>
      <c r="E66" s="393">
        <f>'FG1'!E66*(1+$J$10)</f>
        <v>0</v>
      </c>
      <c r="F66" s="393">
        <f>'FG1'!F66*(1+$J$10)</f>
        <v>0</v>
      </c>
      <c r="G66" s="393">
        <f>'FG1'!G66*(1+$J$10)</f>
        <v>0</v>
      </c>
      <c r="H66" s="393">
        <f>'FG1'!H66*(1+$J$10)</f>
        <v>0</v>
      </c>
      <c r="I66" s="393">
        <f>'FG1'!I66*(1+$J$10)</f>
        <v>0</v>
      </c>
      <c r="J66" s="393">
        <f>'FG1'!J66*(1+$J$10)</f>
        <v>0</v>
      </c>
      <c r="K66" s="393">
        <f>'FG1'!K66*(1+$J$10)</f>
        <v>0</v>
      </c>
      <c r="L66" s="393">
        <f>'FG1'!L66*(1+$J$10)</f>
        <v>0</v>
      </c>
      <c r="M66" s="393">
        <f>'FG1'!M66*(1+$J$10)</f>
        <v>0</v>
      </c>
      <c r="N66" s="393">
        <f>'FG1'!N66*(1+$J$10)</f>
        <v>0</v>
      </c>
      <c r="O66" s="76">
        <f>SUM(C66:N66)</f>
        <v>0</v>
      </c>
    </row>
    <row r="67" spans="1:15" s="261" customFormat="1" ht="13.5" thickBot="1">
      <c r="A67" s="498"/>
      <c r="B67" s="78"/>
      <c r="C67" s="110"/>
      <c r="D67" s="110"/>
      <c r="E67" s="110"/>
      <c r="F67" s="110"/>
      <c r="G67" s="110"/>
      <c r="H67" s="110"/>
      <c r="I67" s="110"/>
      <c r="J67" s="110"/>
      <c r="K67" s="110"/>
      <c r="L67" s="110"/>
      <c r="M67" s="110"/>
      <c r="N67" s="110"/>
      <c r="O67" s="77"/>
    </row>
    <row r="68" spans="1:15" s="261" customFormat="1" ht="13.5" thickBot="1">
      <c r="A68" s="1188" t="str">
        <f>'FG1'!A68:B68</f>
        <v>Mauvaises créances</v>
      </c>
      <c r="B68" s="1188"/>
      <c r="C68" s="393">
        <f>'FG1'!C68*(1+$J$10)</f>
        <v>0</v>
      </c>
      <c r="D68" s="393">
        <f>'FG1'!D68*(1+$J$10)</f>
        <v>0</v>
      </c>
      <c r="E68" s="393">
        <f>'FG1'!E68*(1+$J$10)</f>
        <v>0</v>
      </c>
      <c r="F68" s="393">
        <f>'FG1'!F68*(1+$J$10)</f>
        <v>0</v>
      </c>
      <c r="G68" s="393">
        <f>'FG1'!G68*(1+$J$10)</f>
        <v>0</v>
      </c>
      <c r="H68" s="393">
        <f>'FG1'!H68*(1+$J$10)</f>
        <v>0</v>
      </c>
      <c r="I68" s="393">
        <f>'FG1'!I68*(1+$J$10)</f>
        <v>0</v>
      </c>
      <c r="J68" s="393">
        <f>'FG1'!J68*(1+$J$10)</f>
        <v>0</v>
      </c>
      <c r="K68" s="393">
        <f>'FG1'!K68*(1+$J$10)</f>
        <v>0</v>
      </c>
      <c r="L68" s="393">
        <f>'FG1'!L68*(1+$J$10)</f>
        <v>0</v>
      </c>
      <c r="M68" s="393">
        <f>'FG1'!M68*(1+$J$10)</f>
        <v>0</v>
      </c>
      <c r="N68" s="393">
        <f>'FG1'!N68*(1+$J$10)</f>
        <v>0</v>
      </c>
      <c r="O68" s="76">
        <f>SUM(C68:N68)</f>
        <v>0</v>
      </c>
    </row>
    <row r="69" spans="1:15" s="261" customFormat="1" ht="13.5" thickBot="1">
      <c r="A69" s="78"/>
      <c r="B69" s="78"/>
      <c r="C69" s="110"/>
      <c r="D69" s="110"/>
      <c r="E69" s="110"/>
      <c r="F69" s="110"/>
      <c r="G69" s="110"/>
      <c r="H69" s="110"/>
      <c r="I69" s="110"/>
      <c r="J69" s="110"/>
      <c r="K69" s="110"/>
      <c r="L69" s="110"/>
      <c r="M69" s="110"/>
      <c r="N69" s="110"/>
      <c r="O69" s="77"/>
    </row>
    <row r="70" spans="1:15" s="261" customFormat="1" ht="13.5" thickBot="1">
      <c r="A70" s="1188" t="str">
        <f>'FG1'!A70:B70</f>
        <v>Fournitures de bureau</v>
      </c>
      <c r="B70" s="1188"/>
      <c r="C70" s="393">
        <f>'FG1'!C70*(1+$J$10)</f>
        <v>0</v>
      </c>
      <c r="D70" s="393">
        <f>'FG1'!D70*(1+$J$10)</f>
        <v>0</v>
      </c>
      <c r="E70" s="393">
        <f>'FG1'!E70*(1+$J$10)</f>
        <v>0</v>
      </c>
      <c r="F70" s="393">
        <f>'FG1'!F70*(1+$J$10)</f>
        <v>0</v>
      </c>
      <c r="G70" s="393">
        <f>'FG1'!G70*(1+$J$10)</f>
        <v>0</v>
      </c>
      <c r="H70" s="393">
        <f>'FG1'!H70*(1+$J$10)</f>
        <v>0</v>
      </c>
      <c r="I70" s="393">
        <f>'FG1'!I70*(1+$J$10)</f>
        <v>0</v>
      </c>
      <c r="J70" s="393">
        <f>'FG1'!J70*(1+$J$10)</f>
        <v>0</v>
      </c>
      <c r="K70" s="393">
        <f>'FG1'!K70*(1+$J$10)</f>
        <v>0</v>
      </c>
      <c r="L70" s="393">
        <f>'FG1'!L70*(1+$J$10)</f>
        <v>0</v>
      </c>
      <c r="M70" s="393">
        <f>'FG1'!M70*(1+$J$10)</f>
        <v>0</v>
      </c>
      <c r="N70" s="393">
        <f>'FG1'!N70*(1+$J$10)</f>
        <v>0</v>
      </c>
      <c r="O70" s="76">
        <f>SUM(C70:N70)</f>
        <v>0</v>
      </c>
    </row>
    <row r="71" spans="1:15" s="261" customFormat="1" ht="13.5" thickBot="1">
      <c r="A71" s="78"/>
      <c r="B71" s="78"/>
      <c r="C71" s="110"/>
      <c r="D71" s="110"/>
      <c r="E71" s="110"/>
      <c r="F71" s="110"/>
      <c r="G71" s="110"/>
      <c r="H71" s="110"/>
      <c r="I71" s="110"/>
      <c r="J71" s="110"/>
      <c r="K71" s="110"/>
      <c r="L71" s="110"/>
      <c r="M71" s="110"/>
      <c r="N71" s="110"/>
      <c r="O71" s="77"/>
    </row>
    <row r="72" spans="1:15" s="261" customFormat="1" ht="13.5" thickBot="1">
      <c r="A72" s="1188" t="str">
        <f>'FG1'!A72:B72</f>
        <v>Fais d'hébèrgement de site Web</v>
      </c>
      <c r="B72" s="1188"/>
      <c r="C72" s="393">
        <f>'FG1'!C72*(1+$J$10)</f>
        <v>0</v>
      </c>
      <c r="D72" s="393">
        <f>'FG1'!D72*(1+$J$10)</f>
        <v>0</v>
      </c>
      <c r="E72" s="393">
        <f>'FG1'!E72*(1+$J$10)</f>
        <v>0</v>
      </c>
      <c r="F72" s="393">
        <f>'FG1'!F72*(1+$J$10)</f>
        <v>0</v>
      </c>
      <c r="G72" s="393">
        <f>'FG1'!G72*(1+$J$10)</f>
        <v>0</v>
      </c>
      <c r="H72" s="393">
        <f>'FG1'!H72*(1+$J$10)</f>
        <v>0</v>
      </c>
      <c r="I72" s="393">
        <f>'FG1'!I72*(1+$J$10)</f>
        <v>0</v>
      </c>
      <c r="J72" s="393">
        <f>'FG1'!J72*(1+$J$10)</f>
        <v>0</v>
      </c>
      <c r="K72" s="393">
        <f>'FG1'!K72*(1+$J$10)</f>
        <v>0</v>
      </c>
      <c r="L72" s="393">
        <f>'FG1'!L72*(1+$J$10)</f>
        <v>0</v>
      </c>
      <c r="M72" s="393">
        <f>'FG1'!M72*(1+$J$10)</f>
        <v>0</v>
      </c>
      <c r="N72" s="393">
        <f>'FG1'!N72*(1+$J$10)</f>
        <v>0</v>
      </c>
      <c r="O72" s="76">
        <f>SUM(C72:N72)</f>
        <v>0</v>
      </c>
    </row>
    <row r="73" spans="1:15" s="261" customFormat="1" ht="13.5" thickBot="1">
      <c r="A73" s="78"/>
      <c r="B73" s="78"/>
      <c r="C73" s="110"/>
      <c r="D73" s="110"/>
      <c r="E73" s="110"/>
      <c r="F73" s="110"/>
      <c r="G73" s="110"/>
      <c r="H73" s="110"/>
      <c r="I73" s="110"/>
      <c r="J73" s="110"/>
      <c r="K73" s="110"/>
      <c r="L73" s="110"/>
      <c r="M73" s="110"/>
      <c r="N73" s="110"/>
      <c r="O73" s="77"/>
    </row>
    <row r="74" spans="1:15" s="261" customFormat="1" ht="13.5" thickBot="1">
      <c r="A74" s="1188" t="str">
        <f>'FG1'!A74:B74</f>
        <v>Autres frais d'administration 2</v>
      </c>
      <c r="B74" s="1188"/>
      <c r="C74" s="393">
        <f>'FG1'!C74*(1+$J$10)</f>
        <v>0</v>
      </c>
      <c r="D74" s="393">
        <f>'FG1'!D74*(1+$J$10)</f>
        <v>0</v>
      </c>
      <c r="E74" s="393">
        <f>'FG1'!E74*(1+$J$10)</f>
        <v>0</v>
      </c>
      <c r="F74" s="393">
        <f>'FG1'!F74*(1+$J$10)</f>
        <v>0</v>
      </c>
      <c r="G74" s="393">
        <f>'FG1'!G74*(1+$J$10)</f>
        <v>0</v>
      </c>
      <c r="H74" s="393">
        <f>'FG1'!H74*(1+$J$10)</f>
        <v>0</v>
      </c>
      <c r="I74" s="393">
        <f>'FG1'!I74*(1+$J$10)</f>
        <v>0</v>
      </c>
      <c r="J74" s="393">
        <f>'FG1'!J74*(1+$J$10)</f>
        <v>0</v>
      </c>
      <c r="K74" s="393">
        <f>'FG1'!K74*(1+$J$10)</f>
        <v>0</v>
      </c>
      <c r="L74" s="393">
        <f>'FG1'!L74*(1+$J$10)</f>
        <v>0</v>
      </c>
      <c r="M74" s="393">
        <f>'FG1'!M74*(1+$J$10)</f>
        <v>0</v>
      </c>
      <c r="N74" s="393">
        <f>'FG1'!N74*(1+$J$10)</f>
        <v>0</v>
      </c>
      <c r="O74" s="76">
        <f>SUM(C74:N74)</f>
        <v>0</v>
      </c>
    </row>
    <row r="75" spans="1:15" s="261" customFormat="1" ht="13.5" thickBot="1">
      <c r="A75" s="78"/>
      <c r="B75" s="78"/>
      <c r="C75" s="110"/>
      <c r="D75" s="110"/>
      <c r="E75" s="110"/>
      <c r="F75" s="110"/>
      <c r="G75" s="110"/>
      <c r="H75" s="110"/>
      <c r="I75" s="110"/>
      <c r="J75" s="110"/>
      <c r="K75" s="110"/>
      <c r="L75" s="110"/>
      <c r="M75" s="110"/>
      <c r="N75" s="110"/>
      <c r="O75" s="77"/>
    </row>
    <row r="76" spans="1:15" s="261" customFormat="1" ht="13.5" thickBot="1">
      <c r="A76" s="1188" t="str">
        <f>'FG1'!A76:B76</f>
        <v>Autres frais d'administration 3</v>
      </c>
      <c r="B76" s="1188"/>
      <c r="C76" s="393">
        <f>'FG1'!C76*(1+$J$10)</f>
        <v>0</v>
      </c>
      <c r="D76" s="393">
        <f>'FG1'!D76*(1+$J$10)</f>
        <v>0</v>
      </c>
      <c r="E76" s="393">
        <f>'FG1'!E76*(1+$J$10)</f>
        <v>0</v>
      </c>
      <c r="F76" s="393">
        <f>'FG1'!F76*(1+$J$10)</f>
        <v>0</v>
      </c>
      <c r="G76" s="393">
        <f>'FG1'!G76*(1+$J$10)</f>
        <v>0</v>
      </c>
      <c r="H76" s="393">
        <f>'FG1'!H76*(1+$J$10)</f>
        <v>0</v>
      </c>
      <c r="I76" s="393">
        <f>'FG1'!I76*(1+$J$10)</f>
        <v>0</v>
      </c>
      <c r="J76" s="393">
        <f>'FG1'!J76*(1+$J$10)</f>
        <v>0</v>
      </c>
      <c r="K76" s="393">
        <f>'FG1'!K76*(1+$J$10)</f>
        <v>0</v>
      </c>
      <c r="L76" s="393">
        <f>'FG1'!L76*(1+$J$10)</f>
        <v>0</v>
      </c>
      <c r="M76" s="393">
        <f>'FG1'!M76*(1+$J$10)</f>
        <v>0</v>
      </c>
      <c r="N76" s="393">
        <f>'FG1'!N76*(1+$J$10)</f>
        <v>0</v>
      </c>
      <c r="O76" s="76">
        <f>SUM(C76:N76)</f>
        <v>0</v>
      </c>
    </row>
    <row r="77" spans="1:15" s="261" customFormat="1" ht="13.5" thickBot="1">
      <c r="A77" s="78"/>
      <c r="B77" s="78"/>
      <c r="C77" s="110"/>
      <c r="D77" s="110"/>
      <c r="E77" s="110"/>
      <c r="F77" s="110"/>
      <c r="G77" s="110"/>
      <c r="H77" s="110"/>
      <c r="I77" s="110"/>
      <c r="J77" s="110"/>
      <c r="K77" s="110"/>
      <c r="L77" s="110"/>
      <c r="M77" s="110"/>
      <c r="N77" s="110"/>
      <c r="O77" s="77"/>
    </row>
    <row r="78" spans="1:15" s="261" customFormat="1" ht="13.5" thickBot="1">
      <c r="A78" s="1188" t="str">
        <f>'FG1'!A78:B78</f>
        <v>Autres frais d'administration 4</v>
      </c>
      <c r="B78" s="1188"/>
      <c r="C78" s="393">
        <f>'FG1'!C78*(1+$J$10)</f>
        <v>0</v>
      </c>
      <c r="D78" s="393">
        <f>'FG1'!D78*(1+$J$10)</f>
        <v>0</v>
      </c>
      <c r="E78" s="393">
        <f>'FG1'!E78*(1+$J$10)</f>
        <v>0</v>
      </c>
      <c r="F78" s="393">
        <f>'FG1'!F78*(1+$J$10)</f>
        <v>0</v>
      </c>
      <c r="G78" s="393">
        <f>'FG1'!G78*(1+$J$10)</f>
        <v>0</v>
      </c>
      <c r="H78" s="393">
        <f>'FG1'!H78*(1+$J$10)</f>
        <v>0</v>
      </c>
      <c r="I78" s="393">
        <f>'FG1'!I78*(1+$J$10)</f>
        <v>0</v>
      </c>
      <c r="J78" s="393">
        <f>'FG1'!J78*(1+$J$10)</f>
        <v>0</v>
      </c>
      <c r="K78" s="393">
        <f>'FG1'!K78*(1+$J$10)</f>
        <v>0</v>
      </c>
      <c r="L78" s="393">
        <f>'FG1'!L78*(1+$J$10)</f>
        <v>0</v>
      </c>
      <c r="M78" s="393">
        <f>'FG1'!M78*(1+$J$10)</f>
        <v>0</v>
      </c>
      <c r="N78" s="393">
        <f>'FG1'!N78*(1+$J$10)</f>
        <v>0</v>
      </c>
      <c r="O78" s="76">
        <f>SUM(C78:N78)</f>
        <v>0</v>
      </c>
    </row>
    <row r="79" spans="1:15" s="261" customFormat="1" ht="13.5" thickBot="1">
      <c r="A79" s="78"/>
      <c r="B79" s="78"/>
      <c r="C79" s="110"/>
      <c r="D79" s="110"/>
      <c r="E79" s="110"/>
      <c r="F79" s="110"/>
      <c r="G79" s="110"/>
      <c r="H79" s="110"/>
      <c r="I79" s="110"/>
      <c r="J79" s="110"/>
      <c r="K79" s="110"/>
      <c r="L79" s="110"/>
      <c r="M79" s="110"/>
      <c r="N79" s="110"/>
      <c r="O79" s="77"/>
    </row>
    <row r="80" spans="1:15" s="261" customFormat="1" ht="13.5" thickBot="1">
      <c r="A80" s="1188" t="str">
        <f>'FG1'!A80:B80</f>
        <v>Autres frais d'administration 5</v>
      </c>
      <c r="B80" s="1188"/>
      <c r="C80" s="393">
        <f>'FG1'!C80*(1+$J$10)</f>
        <v>0</v>
      </c>
      <c r="D80" s="393">
        <f>'FG1'!D80*(1+$J$10)</f>
        <v>0</v>
      </c>
      <c r="E80" s="393">
        <f>'FG1'!E80*(1+$J$10)</f>
        <v>0</v>
      </c>
      <c r="F80" s="393">
        <f>'FG1'!F80*(1+$J$10)</f>
        <v>0</v>
      </c>
      <c r="G80" s="393">
        <f>'FG1'!G80*(1+$J$10)</f>
        <v>0</v>
      </c>
      <c r="H80" s="393">
        <f>'FG1'!H80*(1+$J$10)</f>
        <v>0</v>
      </c>
      <c r="I80" s="393">
        <f>'FG1'!I80*(1+$J$10)</f>
        <v>0</v>
      </c>
      <c r="J80" s="393">
        <f>'FG1'!J80*(1+$J$10)</f>
        <v>0</v>
      </c>
      <c r="K80" s="393">
        <f>'FG1'!K80*(1+$J$10)</f>
        <v>0</v>
      </c>
      <c r="L80" s="393">
        <f>'FG1'!L80*(1+$J$10)</f>
        <v>0</v>
      </c>
      <c r="M80" s="393">
        <f>'FG1'!M80*(1+$J$10)</f>
        <v>0</v>
      </c>
      <c r="N80" s="393">
        <f>'FG1'!N80*(1+$J$10)</f>
        <v>0</v>
      </c>
      <c r="O80" s="76">
        <f>SUM(C80:N80)</f>
        <v>0</v>
      </c>
    </row>
    <row r="81" spans="1:15" s="261" customFormat="1" ht="13.5" thickBot="1">
      <c r="A81" s="78"/>
      <c r="B81" s="78"/>
      <c r="C81" s="110"/>
      <c r="D81" s="110"/>
      <c r="E81" s="110"/>
      <c r="F81" s="110"/>
      <c r="G81" s="110"/>
      <c r="H81" s="110"/>
      <c r="I81" s="110"/>
      <c r="J81" s="110"/>
      <c r="K81" s="110"/>
      <c r="L81" s="110"/>
      <c r="M81" s="110"/>
      <c r="N81" s="110"/>
      <c r="O81" s="77"/>
    </row>
    <row r="82" spans="1:15" s="261" customFormat="1" ht="13.5" thickBot="1">
      <c r="A82" s="1188" t="str">
        <f>'FG1'!A82:B82</f>
        <v>Autres frais d'administration 6</v>
      </c>
      <c r="B82" s="1188"/>
      <c r="C82" s="393">
        <f>'FG1'!C82*(1+$J$10)</f>
        <v>0</v>
      </c>
      <c r="D82" s="393">
        <f>'FG1'!D82*(1+$J$10)</f>
        <v>0</v>
      </c>
      <c r="E82" s="393">
        <f>'FG1'!E82*(1+$J$10)</f>
        <v>0</v>
      </c>
      <c r="F82" s="393">
        <f>'FG1'!F82*(1+$J$10)</f>
        <v>0</v>
      </c>
      <c r="G82" s="393">
        <f>'FG1'!G82*(1+$J$10)</f>
        <v>0</v>
      </c>
      <c r="H82" s="393">
        <f>'FG1'!H82*(1+$J$10)</f>
        <v>0</v>
      </c>
      <c r="I82" s="393">
        <f>'FG1'!I82*(1+$J$10)</f>
        <v>0</v>
      </c>
      <c r="J82" s="393">
        <f>'FG1'!J82*(1+$J$10)</f>
        <v>0</v>
      </c>
      <c r="K82" s="393">
        <f>'FG1'!K82*(1+$J$10)</f>
        <v>0</v>
      </c>
      <c r="L82" s="393">
        <f>'FG1'!L82*(1+$J$10)</f>
        <v>0</v>
      </c>
      <c r="M82" s="393">
        <f>'FG1'!M82*(1+$J$10)</f>
        <v>0</v>
      </c>
      <c r="N82" s="393">
        <f>'FG1'!N82*(1+$J$10)</f>
        <v>0</v>
      </c>
      <c r="O82" s="76">
        <f>SUM(C82:N82)</f>
        <v>0</v>
      </c>
    </row>
    <row r="83" spans="1:15" s="261" customFormat="1" ht="13">
      <c r="A83" s="852"/>
      <c r="B83" s="48"/>
      <c r="C83" s="110"/>
      <c r="D83" s="110"/>
      <c r="E83" s="110"/>
      <c r="F83" s="110"/>
      <c r="G83" s="110"/>
      <c r="H83" s="110"/>
      <c r="I83" s="110"/>
      <c r="J83" s="110"/>
      <c r="K83" s="110"/>
      <c r="L83" s="110"/>
      <c r="M83" s="110"/>
      <c r="N83" s="110"/>
      <c r="O83" s="77"/>
    </row>
    <row r="84" spans="1:15" s="261" customFormat="1" ht="13.5" thickBot="1">
      <c r="A84" s="859" t="s">
        <v>654</v>
      </c>
      <c r="B84" s="856"/>
      <c r="C84" s="861"/>
      <c r="D84" s="861"/>
      <c r="E84" s="861"/>
      <c r="F84" s="861"/>
      <c r="G84" s="861"/>
      <c r="H84" s="861"/>
      <c r="I84" s="861"/>
      <c r="J84" s="861"/>
      <c r="K84" s="861"/>
      <c r="L84" s="861"/>
      <c r="M84" s="861"/>
      <c r="N84" s="861"/>
      <c r="O84" s="858"/>
    </row>
    <row r="85" spans="1:15" s="261" customFormat="1" ht="13.5" thickBot="1">
      <c r="A85" s="1188" t="str">
        <f>'FG1'!A85:B85</f>
        <v>Frais bancaires</v>
      </c>
      <c r="B85" s="1188"/>
      <c r="C85" s="393">
        <f>'FG1'!C85*(1+$J$10)</f>
        <v>0</v>
      </c>
      <c r="D85" s="393">
        <f>'FG1'!D85*(1+$J$10)</f>
        <v>0</v>
      </c>
      <c r="E85" s="393">
        <f>'FG1'!E85*(1+$J$10)</f>
        <v>0</v>
      </c>
      <c r="F85" s="393">
        <f>'FG1'!F85*(1+$J$10)</f>
        <v>0</v>
      </c>
      <c r="G85" s="393">
        <f>'FG1'!G85*(1+$J$10)</f>
        <v>0</v>
      </c>
      <c r="H85" s="393">
        <f>'FG1'!H85*(1+$J$10)</f>
        <v>0</v>
      </c>
      <c r="I85" s="393">
        <f>'FG1'!I85*(1+$J$10)</f>
        <v>0</v>
      </c>
      <c r="J85" s="393">
        <f>'FG1'!J85*(1+$J$10)</f>
        <v>0</v>
      </c>
      <c r="K85" s="393">
        <f>'FG1'!K85*(1+$J$10)</f>
        <v>0</v>
      </c>
      <c r="L85" s="393">
        <f>'FG1'!L85*(1+$J$10)</f>
        <v>0</v>
      </c>
      <c r="M85" s="393">
        <f>'FG1'!M85*(1+$J$10)</f>
        <v>0</v>
      </c>
      <c r="N85" s="393">
        <f>'FG1'!N85*(1+$J$10)</f>
        <v>0</v>
      </c>
      <c r="O85" s="76">
        <f>SUM(C85:N85)</f>
        <v>0</v>
      </c>
    </row>
    <row r="86" spans="1:15" s="261" customFormat="1" ht="13.5" thickBot="1">
      <c r="A86" s="78"/>
      <c r="B86" s="78"/>
      <c r="C86" s="110"/>
      <c r="D86" s="110"/>
      <c r="E86" s="110"/>
      <c r="F86" s="110"/>
      <c r="G86" s="110"/>
      <c r="H86" s="110"/>
      <c r="I86" s="110"/>
      <c r="J86" s="110"/>
      <c r="K86" s="110"/>
      <c r="L86" s="110"/>
      <c r="M86" s="110"/>
      <c r="N86" s="110"/>
      <c r="O86" s="77"/>
    </row>
    <row r="87" spans="1:15" s="261" customFormat="1" ht="13.5" thickBot="1">
      <c r="A87" s="1188" t="str">
        <f>'FG1'!A87:B87</f>
        <v>Frais de carte de crédit</v>
      </c>
      <c r="B87" s="1188"/>
      <c r="C87" s="393">
        <f>'FG1'!C87*(1+$J$10)</f>
        <v>0</v>
      </c>
      <c r="D87" s="393">
        <f>'FG1'!D87*(1+$J$10)</f>
        <v>0</v>
      </c>
      <c r="E87" s="393">
        <f>'FG1'!E87*(1+$J$10)</f>
        <v>0</v>
      </c>
      <c r="F87" s="393">
        <f>'FG1'!F87*(1+$J$10)</f>
        <v>0</v>
      </c>
      <c r="G87" s="393">
        <f>'FG1'!G87*(1+$J$10)</f>
        <v>0</v>
      </c>
      <c r="H87" s="393">
        <f>'FG1'!H87*(1+$J$10)</f>
        <v>0</v>
      </c>
      <c r="I87" s="393">
        <f>'FG1'!I87*(1+$J$10)</f>
        <v>0</v>
      </c>
      <c r="J87" s="393">
        <f>'FG1'!J87*(1+$J$10)</f>
        <v>0</v>
      </c>
      <c r="K87" s="393">
        <f>'FG1'!K87*(1+$J$10)</f>
        <v>0</v>
      </c>
      <c r="L87" s="393">
        <f>'FG1'!L87*(1+$J$10)</f>
        <v>0</v>
      </c>
      <c r="M87" s="393">
        <f>'FG1'!M87*(1+$J$10)</f>
        <v>0</v>
      </c>
      <c r="N87" s="393">
        <f>'FG1'!N87*(1+$J$10)</f>
        <v>0</v>
      </c>
      <c r="O87" s="76">
        <f>SUM(C87:N87)</f>
        <v>0</v>
      </c>
    </row>
    <row r="88" spans="1:15" s="261" customFormat="1" ht="13.5" thickBot="1">
      <c r="A88" s="78"/>
      <c r="B88" s="78"/>
      <c r="C88" s="110"/>
      <c r="D88" s="110"/>
      <c r="E88" s="110"/>
      <c r="F88" s="110"/>
      <c r="G88" s="110"/>
      <c r="H88" s="110"/>
      <c r="I88" s="110"/>
      <c r="J88" s="110"/>
      <c r="K88" s="110"/>
      <c r="L88" s="110"/>
      <c r="M88" s="110"/>
      <c r="N88" s="110"/>
      <c r="O88" s="77"/>
    </row>
    <row r="89" spans="1:15" s="261" customFormat="1" ht="13.5" thickBot="1">
      <c r="A89" s="1188" t="str">
        <f>'FG1'!A89:B89</f>
        <v>Autres frais financiers 1</v>
      </c>
      <c r="B89" s="1188"/>
      <c r="C89" s="393">
        <f>'FG1'!C89*(1+$J$10)</f>
        <v>0</v>
      </c>
      <c r="D89" s="393">
        <f>'FG1'!D89*(1+$J$10)</f>
        <v>0</v>
      </c>
      <c r="E89" s="393">
        <f>'FG1'!E89*(1+$J$10)</f>
        <v>0</v>
      </c>
      <c r="F89" s="393">
        <f>'FG1'!F89*(1+$J$10)</f>
        <v>0</v>
      </c>
      <c r="G89" s="393">
        <f>'FG1'!G89*(1+$J$10)</f>
        <v>0</v>
      </c>
      <c r="H89" s="393">
        <f>'FG1'!H89*(1+$J$10)</f>
        <v>0</v>
      </c>
      <c r="I89" s="393">
        <f>'FG1'!I89*(1+$J$10)</f>
        <v>0</v>
      </c>
      <c r="J89" s="393">
        <f>'FG1'!J89*(1+$J$10)</f>
        <v>0</v>
      </c>
      <c r="K89" s="393">
        <f>'FG1'!K89*(1+$J$10)</f>
        <v>0</v>
      </c>
      <c r="L89" s="393">
        <f>'FG1'!L89*(1+$J$10)</f>
        <v>0</v>
      </c>
      <c r="M89" s="393">
        <f>'FG1'!M89*(1+$J$10)</f>
        <v>0</v>
      </c>
      <c r="N89" s="393">
        <f>'FG1'!N89*(1+$J$10)</f>
        <v>0</v>
      </c>
      <c r="O89" s="76">
        <f>SUM(C89:N89)</f>
        <v>0</v>
      </c>
    </row>
    <row r="90" spans="1:15" s="261" customFormat="1" ht="13.5" thickBot="1">
      <c r="A90" s="78"/>
      <c r="B90" s="78"/>
      <c r="C90" s="110"/>
      <c r="D90" s="110"/>
      <c r="E90" s="110"/>
      <c r="F90" s="110"/>
      <c r="G90" s="110"/>
      <c r="H90" s="110"/>
      <c r="I90" s="110"/>
      <c r="J90" s="110"/>
      <c r="K90" s="110"/>
      <c r="L90" s="110"/>
      <c r="M90" s="110"/>
      <c r="N90" s="110"/>
      <c r="O90" s="77"/>
    </row>
    <row r="91" spans="1:15" s="261" customFormat="1" ht="13.5" thickBot="1">
      <c r="A91" s="1188" t="str">
        <f>'FG1'!A91:B91</f>
        <v>Autres frais financiers 2</v>
      </c>
      <c r="B91" s="1188"/>
      <c r="C91" s="393">
        <f>'FG1'!C91*(1+$J$10)</f>
        <v>0</v>
      </c>
      <c r="D91" s="393">
        <f>'FG1'!D91*(1+$J$10)</f>
        <v>0</v>
      </c>
      <c r="E91" s="393">
        <f>'FG1'!E91*(1+$J$10)</f>
        <v>0</v>
      </c>
      <c r="F91" s="393">
        <f>'FG1'!F91*(1+$J$10)</f>
        <v>0</v>
      </c>
      <c r="G91" s="393">
        <f>'FG1'!G91*(1+$J$10)</f>
        <v>0</v>
      </c>
      <c r="H91" s="393">
        <f>'FG1'!H91*(1+$J$10)</f>
        <v>0</v>
      </c>
      <c r="I91" s="393">
        <f>'FG1'!I91*(1+$J$10)</f>
        <v>0</v>
      </c>
      <c r="J91" s="393">
        <f>'FG1'!J91*(1+$J$10)</f>
        <v>0</v>
      </c>
      <c r="K91" s="393">
        <f>'FG1'!K91*(1+$J$10)</f>
        <v>0</v>
      </c>
      <c r="L91" s="393">
        <f>'FG1'!L91*(1+$J$10)</f>
        <v>0</v>
      </c>
      <c r="M91" s="393">
        <f>'FG1'!M91*(1+$J$10)</f>
        <v>0</v>
      </c>
      <c r="N91" s="393">
        <f>'FG1'!N91*(1+$J$10)</f>
        <v>0</v>
      </c>
      <c r="O91" s="76">
        <f>SUM(C91:N91)</f>
        <v>0</v>
      </c>
    </row>
    <row r="92" spans="1:15" s="261" customFormat="1" ht="13.5" thickBot="1">
      <c r="A92" s="78"/>
      <c r="B92" s="78"/>
      <c r="C92" s="110"/>
      <c r="D92" s="110"/>
      <c r="E92" s="110"/>
      <c r="F92" s="110"/>
      <c r="G92" s="110"/>
      <c r="H92" s="110"/>
      <c r="I92" s="110"/>
      <c r="J92" s="110"/>
      <c r="K92" s="110"/>
      <c r="L92" s="110"/>
      <c r="M92" s="110"/>
      <c r="N92" s="110"/>
      <c r="O92" s="77"/>
    </row>
    <row r="93" spans="1:15" s="261" customFormat="1" ht="13.5" thickBot="1">
      <c r="A93" s="1188" t="str">
        <f>'FG1'!A93:B93</f>
        <v>Autres frais financiers 3</v>
      </c>
      <c r="B93" s="1188"/>
      <c r="C93" s="393">
        <f>'FG1'!C93*(1+$J$10)</f>
        <v>0</v>
      </c>
      <c r="D93" s="393">
        <f>'FG1'!D93*(1+$J$10)</f>
        <v>0</v>
      </c>
      <c r="E93" s="393">
        <f>'FG1'!E93*(1+$J$10)</f>
        <v>0</v>
      </c>
      <c r="F93" s="393">
        <f>'FG1'!F93*(1+$J$10)</f>
        <v>0</v>
      </c>
      <c r="G93" s="393">
        <f>'FG1'!G93*(1+$J$10)</f>
        <v>0</v>
      </c>
      <c r="H93" s="393">
        <f>'FG1'!H93*(1+$J$10)</f>
        <v>0</v>
      </c>
      <c r="I93" s="393">
        <f>'FG1'!I93*(1+$J$10)</f>
        <v>0</v>
      </c>
      <c r="J93" s="393">
        <f>'FG1'!J93*(1+$J$10)</f>
        <v>0</v>
      </c>
      <c r="K93" s="393">
        <f>'FG1'!K93*(1+$J$10)</f>
        <v>0</v>
      </c>
      <c r="L93" s="393">
        <f>'FG1'!L93*(1+$J$10)</f>
        <v>0</v>
      </c>
      <c r="M93" s="393">
        <f>'FG1'!M93*(1+$J$10)</f>
        <v>0</v>
      </c>
      <c r="N93" s="393">
        <f>'FG1'!N93*(1+$J$10)</f>
        <v>0</v>
      </c>
      <c r="O93" s="76">
        <f>SUM(C93:N93)</f>
        <v>0</v>
      </c>
    </row>
    <row r="94" spans="1:15" s="261" customFormat="1" ht="13.5" thickBot="1">
      <c r="A94" s="78"/>
      <c r="B94" s="78"/>
      <c r="C94" s="110"/>
      <c r="D94" s="110"/>
      <c r="E94" s="110"/>
      <c r="F94" s="110"/>
      <c r="G94" s="110"/>
      <c r="H94" s="110"/>
      <c r="I94" s="110"/>
      <c r="J94" s="110"/>
      <c r="K94" s="110"/>
      <c r="L94" s="110"/>
      <c r="M94" s="110"/>
      <c r="N94" s="110"/>
      <c r="O94" s="77"/>
    </row>
    <row r="95" spans="1:15" s="261" customFormat="1" ht="13.5" thickBot="1">
      <c r="A95" s="1188" t="str">
        <f>'FG1'!A95:B95</f>
        <v>Autres frais financiers 4</v>
      </c>
      <c r="B95" s="1188"/>
      <c r="C95" s="393">
        <f>'FG1'!C95*(1+$J$10)</f>
        <v>0</v>
      </c>
      <c r="D95" s="393">
        <f>'FG1'!D95*(1+$J$10)</f>
        <v>0</v>
      </c>
      <c r="E95" s="393">
        <f>'FG1'!E95*(1+$J$10)</f>
        <v>0</v>
      </c>
      <c r="F95" s="393">
        <f>'FG1'!F95*(1+$J$10)</f>
        <v>0</v>
      </c>
      <c r="G95" s="393">
        <f>'FG1'!G95*(1+$J$10)</f>
        <v>0</v>
      </c>
      <c r="H95" s="393">
        <f>'FG1'!H95*(1+$J$10)</f>
        <v>0</v>
      </c>
      <c r="I95" s="393">
        <f>'FG1'!I95*(1+$J$10)</f>
        <v>0</v>
      </c>
      <c r="J95" s="393">
        <f>'FG1'!J95*(1+$J$10)</f>
        <v>0</v>
      </c>
      <c r="K95" s="393">
        <f>'FG1'!K95*(1+$J$10)</f>
        <v>0</v>
      </c>
      <c r="L95" s="393">
        <f>'FG1'!L95*(1+$J$10)</f>
        <v>0</v>
      </c>
      <c r="M95" s="393">
        <f>'FG1'!M95*(1+$J$10)</f>
        <v>0</v>
      </c>
      <c r="N95" s="393">
        <f>'FG1'!N95*(1+$J$10)</f>
        <v>0</v>
      </c>
      <c r="O95" s="76">
        <f>SUM(C95:N95)</f>
        <v>0</v>
      </c>
    </row>
    <row r="96" spans="1:15" s="261" customFormat="1" ht="13.5" thickBot="1">
      <c r="A96" s="79"/>
      <c r="B96" s="79"/>
      <c r="C96" s="110"/>
      <c r="D96" s="110"/>
      <c r="E96" s="110"/>
      <c r="F96" s="110"/>
      <c r="G96" s="110"/>
      <c r="H96" s="110"/>
      <c r="I96" s="110"/>
      <c r="J96" s="110"/>
      <c r="K96" s="110"/>
      <c r="L96" s="110"/>
      <c r="M96" s="110"/>
      <c r="N96" s="110"/>
      <c r="O96" s="77"/>
    </row>
    <row r="97" spans="1:16" ht="13.5" thickBot="1">
      <c r="A97" s="108" t="s">
        <v>498</v>
      </c>
      <c r="C97" s="480">
        <f t="shared" ref="C97:O97" si="1">SUM(C14:C89)</f>
        <v>0</v>
      </c>
      <c r="D97" s="480">
        <f t="shared" si="1"/>
        <v>0</v>
      </c>
      <c r="E97" s="480">
        <f t="shared" si="1"/>
        <v>0</v>
      </c>
      <c r="F97" s="480">
        <f t="shared" si="1"/>
        <v>0</v>
      </c>
      <c r="G97" s="480">
        <f t="shared" si="1"/>
        <v>0</v>
      </c>
      <c r="H97" s="480">
        <f t="shared" si="1"/>
        <v>0</v>
      </c>
      <c r="I97" s="480">
        <f t="shared" si="1"/>
        <v>0</v>
      </c>
      <c r="J97" s="480">
        <f t="shared" si="1"/>
        <v>0</v>
      </c>
      <c r="K97" s="480">
        <f t="shared" si="1"/>
        <v>0</v>
      </c>
      <c r="L97" s="480">
        <f t="shared" si="1"/>
        <v>0</v>
      </c>
      <c r="M97" s="480">
        <f t="shared" si="1"/>
        <v>0</v>
      </c>
      <c r="N97" s="480">
        <f t="shared" si="1"/>
        <v>0</v>
      </c>
      <c r="O97" s="480">
        <f t="shared" si="1"/>
        <v>0</v>
      </c>
    </row>
    <row r="98" spans="1:16" ht="13">
      <c r="A98" s="79"/>
      <c r="B98" s="79"/>
      <c r="C98" s="110"/>
      <c r="D98" s="110"/>
      <c r="E98" s="110"/>
      <c r="F98" s="110"/>
      <c r="G98" s="110"/>
      <c r="H98" s="110"/>
      <c r="I98" s="110"/>
      <c r="J98" s="110"/>
      <c r="K98" s="110"/>
      <c r="L98" s="110"/>
      <c r="M98" s="110"/>
      <c r="N98" s="110"/>
      <c r="O98" s="77"/>
      <c r="P98" s="48"/>
    </row>
    <row r="99" spans="1:16" ht="13">
      <c r="A99" s="79"/>
      <c r="B99" s="79"/>
      <c r="O99" s="251"/>
      <c r="P99" s="48"/>
    </row>
    <row r="100" spans="1:16" ht="13.5" thickBot="1">
      <c r="A100" s="862" t="s">
        <v>717</v>
      </c>
      <c r="B100" s="863"/>
      <c r="C100" s="861"/>
      <c r="D100" s="861"/>
      <c r="E100" s="861"/>
      <c r="F100" s="861"/>
      <c r="G100" s="861"/>
      <c r="H100" s="861"/>
      <c r="I100" s="861"/>
      <c r="J100" s="861"/>
      <c r="K100" s="861"/>
      <c r="L100" s="861"/>
      <c r="M100" s="861"/>
      <c r="N100" s="861"/>
      <c r="O100" s="858"/>
      <c r="P100" s="48"/>
    </row>
    <row r="101" spans="1:16" s="261" customFormat="1" ht="13.5" thickBot="1">
      <c r="A101" s="1188" t="str">
        <f>'FG1'!A102</f>
        <v>Acquisition d'immobilisations</v>
      </c>
      <c r="B101" s="1188"/>
      <c r="C101" s="377"/>
      <c r="D101" s="377"/>
      <c r="E101" s="377">
        <f>DG!I239+DG!U239+DG!AG239+DG!AS239+DG!BE239+DG!BQ239+DG!CC239+DG!CO239+DG!DA239+DG!DM239+DG!DY239</f>
        <v>0</v>
      </c>
      <c r="F101" s="377"/>
      <c r="G101" s="377"/>
      <c r="H101" s="377">
        <f>DG!J239+DG!V239+DG!AH239+DG!AT239+DG!BF239+DG!BR239+DG!CD239+DG!CP239+DG!DB239+DG!DN239+DG!DZ239</f>
        <v>0</v>
      </c>
      <c r="I101" s="377"/>
      <c r="J101" s="377"/>
      <c r="K101" s="377">
        <f>DG!K239+DG!W239+DG!AI239+DG!AU239+DG!BG239+DG!BS239+DG!CE239+DG!CQ239+DG!DC239+DG!DO239+DG!EA239</f>
        <v>0</v>
      </c>
      <c r="L101" s="377"/>
      <c r="M101" s="377"/>
      <c r="N101" s="378">
        <f>DG!L239+DG!X239+DG!AJ239+DG!AV239+DG!BH239+DG!BT239+DG!CF239+DG!CR239+DG!DD239+DG!DP239+DG!EB239</f>
        <v>0</v>
      </c>
      <c r="O101" s="76">
        <f>SUM(C101:N101)</f>
        <v>0</v>
      </c>
    </row>
    <row r="102" spans="1:16" s="261" customFormat="1" ht="13.5" thickBot="1">
      <c r="A102" s="78"/>
      <c r="B102" s="78"/>
      <c r="C102" s="110"/>
      <c r="D102" s="110"/>
      <c r="E102" s="110"/>
      <c r="F102" s="110"/>
      <c r="G102" s="110"/>
      <c r="H102" s="110"/>
      <c r="I102" s="110"/>
      <c r="J102" s="110"/>
      <c r="K102" s="110"/>
      <c r="L102" s="110"/>
      <c r="M102" s="110"/>
      <c r="N102" s="110"/>
      <c r="O102" s="77"/>
    </row>
    <row r="103" spans="1:16" s="261" customFormat="1" ht="13.5" thickBot="1">
      <c r="A103" s="1188" t="str">
        <f>'FG1'!A104</f>
        <v>Retraits du (des) actionnaire(s)</v>
      </c>
      <c r="B103" s="1195"/>
      <c r="C103" s="393">
        <f>'FG1'!C104</f>
        <v>0</v>
      </c>
      <c r="D103" s="393">
        <f>'FG1'!D104</f>
        <v>0</v>
      </c>
      <c r="E103" s="393">
        <f>'FG1'!E104</f>
        <v>0</v>
      </c>
      <c r="F103" s="393">
        <f>'FG1'!F104</f>
        <v>0</v>
      </c>
      <c r="G103" s="393">
        <f>'FG1'!G104</f>
        <v>0</v>
      </c>
      <c r="H103" s="393">
        <f>'FG1'!H104</f>
        <v>0</v>
      </c>
      <c r="I103" s="393">
        <f>'FG1'!I104</f>
        <v>0</v>
      </c>
      <c r="J103" s="393">
        <f>'FG1'!J104</f>
        <v>0</v>
      </c>
      <c r="K103" s="393">
        <f>'FG1'!K104</f>
        <v>0</v>
      </c>
      <c r="L103" s="393">
        <f>'FG1'!L104</f>
        <v>0</v>
      </c>
      <c r="M103" s="393">
        <f>'FG1'!M104</f>
        <v>0</v>
      </c>
      <c r="N103" s="393">
        <f>'FG1'!N104</f>
        <v>0</v>
      </c>
      <c r="O103" s="76">
        <f>SUM(C103:N103)</f>
        <v>0</v>
      </c>
    </row>
    <row r="104" spans="1:16" ht="13.5" thickBot="1">
      <c r="A104" s="48"/>
      <c r="B104" s="106"/>
      <c r="C104" s="177"/>
      <c r="D104" s="177"/>
      <c r="E104" s="177"/>
      <c r="F104" s="177"/>
      <c r="G104" s="177"/>
      <c r="H104" s="177"/>
      <c r="I104" s="177"/>
      <c r="J104" s="177"/>
      <c r="K104" s="177"/>
      <c r="L104" s="177"/>
      <c r="M104" s="177"/>
      <c r="N104" s="177"/>
      <c r="O104" s="177"/>
    </row>
    <row r="105" spans="1:16" ht="13.5" thickBot="1">
      <c r="A105" s="108" t="s">
        <v>144</v>
      </c>
      <c r="C105" s="480">
        <f>SUM(C101:C103)</f>
        <v>0</v>
      </c>
      <c r="D105" s="480">
        <f t="shared" ref="D105:O105" si="2">SUM(D101:D103)</f>
        <v>0</v>
      </c>
      <c r="E105" s="480">
        <f t="shared" si="2"/>
        <v>0</v>
      </c>
      <c r="F105" s="480">
        <f t="shared" si="2"/>
        <v>0</v>
      </c>
      <c r="G105" s="480">
        <f t="shared" si="2"/>
        <v>0</v>
      </c>
      <c r="H105" s="480">
        <f t="shared" si="2"/>
        <v>0</v>
      </c>
      <c r="I105" s="480">
        <f t="shared" si="2"/>
        <v>0</v>
      </c>
      <c r="J105" s="480">
        <f t="shared" si="2"/>
        <v>0</v>
      </c>
      <c r="K105" s="480">
        <f t="shared" si="2"/>
        <v>0</v>
      </c>
      <c r="L105" s="480">
        <f t="shared" si="2"/>
        <v>0</v>
      </c>
      <c r="M105" s="480">
        <f t="shared" si="2"/>
        <v>0</v>
      </c>
      <c r="N105" s="480">
        <f t="shared" si="2"/>
        <v>0</v>
      </c>
      <c r="O105" s="480">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51:B51"/>
    <mergeCell ref="A72:B72"/>
    <mergeCell ref="A89:B89"/>
    <mergeCell ref="A28:B28"/>
    <mergeCell ref="A30:B30"/>
    <mergeCell ref="A32:B32"/>
    <mergeCell ref="A49:B49"/>
    <mergeCell ref="A47:B47"/>
    <mergeCell ref="A85:B85"/>
    <mergeCell ref="A87:B87"/>
    <mergeCell ref="A34:B34"/>
    <mergeCell ref="A36:B36"/>
    <mergeCell ref="A38:B38"/>
    <mergeCell ref="A40:B40"/>
    <mergeCell ref="A42:B42"/>
    <mergeCell ref="A44:B44"/>
    <mergeCell ref="A26:B26"/>
    <mergeCell ref="F10:H10"/>
    <mergeCell ref="A24:B24"/>
    <mergeCell ref="A18:B18"/>
    <mergeCell ref="A20:B20"/>
    <mergeCell ref="A22:B22"/>
    <mergeCell ref="A14:B14"/>
    <mergeCell ref="A16:B16"/>
    <mergeCell ref="A103:B103"/>
    <mergeCell ref="A62:B62"/>
    <mergeCell ref="A64:B64"/>
    <mergeCell ref="A101:B101"/>
    <mergeCell ref="A66:B66"/>
    <mergeCell ref="A68:B68"/>
    <mergeCell ref="A70:B70"/>
    <mergeCell ref="A76:B76"/>
    <mergeCell ref="A78:B78"/>
    <mergeCell ref="A80:B80"/>
    <mergeCell ref="A82:B82"/>
    <mergeCell ref="A91:B91"/>
    <mergeCell ref="A93:B93"/>
    <mergeCell ref="A95:B95"/>
    <mergeCell ref="A53:B53"/>
    <mergeCell ref="A55:B55"/>
    <mergeCell ref="A57:B57"/>
    <mergeCell ref="A59:B59"/>
    <mergeCell ref="A74:B74"/>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G3">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ColWidth="11.453125" defaultRowHeight="12.5"/>
  <cols>
    <col min="1" max="1" width="24.453125" style="251" customWidth="1"/>
    <col min="2" max="2" width="5.6328125" style="251" customWidth="1"/>
    <col min="3" max="14" width="11.453125" style="251"/>
    <col min="15" max="15" width="11.453125" style="275"/>
    <col min="16" max="16384" width="11.453125" style="251"/>
  </cols>
  <sheetData>
    <row r="1" spans="1:15" customFormat="1"/>
    <row r="2" spans="1:15" customFormat="1"/>
    <row r="3" spans="1:15" customFormat="1"/>
    <row r="4" spans="1:15" s="261" customFormat="1"/>
    <row r="5" spans="1:15" s="261" customFormat="1"/>
    <row r="6" spans="1:15" s="261" customFormat="1"/>
    <row r="7" spans="1:15" s="261" customFormat="1"/>
    <row r="8" spans="1:15" ht="25">
      <c r="A8" s="105" t="str">
        <f>RG!D17</f>
        <v>Jhon Wesly inc.</v>
      </c>
    </row>
    <row r="9" spans="1:15" ht="13.5" thickBot="1">
      <c r="C9" s="328"/>
      <c r="I9" s="327"/>
    </row>
    <row r="10" spans="1:15" ht="15.5" thickBot="1">
      <c r="A10" s="72" t="s">
        <v>20</v>
      </c>
      <c r="B10" s="106"/>
      <c r="C10" s="107"/>
      <c r="D10" s="107"/>
      <c r="E10" s="107"/>
      <c r="F10" s="1194" t="s">
        <v>66</v>
      </c>
      <c r="G10" s="1194"/>
      <c r="H10" s="1194"/>
      <c r="I10" s="751" t="s">
        <v>67</v>
      </c>
      <c r="J10" s="753">
        <v>0</v>
      </c>
      <c r="K10" s="107"/>
      <c r="L10" s="107"/>
      <c r="M10" s="107"/>
      <c r="N10" s="107"/>
      <c r="O10" s="107"/>
    </row>
    <row r="11" spans="1:15" ht="15.5" thickBot="1">
      <c r="A11" s="72"/>
      <c r="B11" s="106"/>
      <c r="C11" s="107"/>
      <c r="D11" s="107"/>
      <c r="E11" s="107"/>
      <c r="F11" s="107"/>
      <c r="G11" s="107"/>
      <c r="H11" s="107"/>
      <c r="I11" s="107"/>
      <c r="J11" s="107"/>
      <c r="K11" s="107"/>
      <c r="L11" s="107"/>
      <c r="M11" s="107"/>
      <c r="N11" s="107"/>
      <c r="O11" s="107"/>
    </row>
    <row r="12" spans="1:15" ht="15.5" thickBot="1">
      <c r="A12" s="72"/>
      <c r="B12" s="106"/>
      <c r="C12" s="482">
        <f>'FG2'!C12+366</f>
        <v>46030</v>
      </c>
      <c r="D12" s="482">
        <f t="shared" ref="D12:N12" si="0">C12+31</f>
        <v>46061</v>
      </c>
      <c r="E12" s="482">
        <f t="shared" si="0"/>
        <v>46092</v>
      </c>
      <c r="F12" s="482">
        <f t="shared" si="0"/>
        <v>46123</v>
      </c>
      <c r="G12" s="482">
        <f t="shared" si="0"/>
        <v>46154</v>
      </c>
      <c r="H12" s="482">
        <f t="shared" si="0"/>
        <v>46185</v>
      </c>
      <c r="I12" s="482">
        <f t="shared" si="0"/>
        <v>46216</v>
      </c>
      <c r="J12" s="482">
        <f t="shared" si="0"/>
        <v>46247</v>
      </c>
      <c r="K12" s="482">
        <f t="shared" si="0"/>
        <v>46278</v>
      </c>
      <c r="L12" s="482">
        <f t="shared" si="0"/>
        <v>46309</v>
      </c>
      <c r="M12" s="482">
        <f t="shared" si="0"/>
        <v>46340</v>
      </c>
      <c r="N12" s="482">
        <f t="shared" si="0"/>
        <v>46371</v>
      </c>
      <c r="O12" s="258" t="s">
        <v>489</v>
      </c>
    </row>
    <row r="13" spans="1:15" ht="13.5" thickBot="1">
      <c r="A13" s="853" t="s">
        <v>651</v>
      </c>
      <c r="B13" s="854"/>
      <c r="C13" s="855"/>
      <c r="D13" s="855"/>
      <c r="E13" s="855"/>
      <c r="F13" s="855"/>
      <c r="G13" s="855"/>
      <c r="H13" s="855"/>
      <c r="I13" s="855"/>
      <c r="J13" s="855"/>
      <c r="K13" s="855"/>
      <c r="L13" s="855"/>
      <c r="M13" s="855"/>
      <c r="N13" s="855"/>
      <c r="O13" s="855"/>
    </row>
    <row r="14" spans="1:15" s="261" customFormat="1" ht="13.5" thickBot="1">
      <c r="A14" s="1188" t="str">
        <f>'FG2'!A14:B14</f>
        <v>Loyer</v>
      </c>
      <c r="B14" s="1188"/>
      <c r="C14" s="393">
        <f>'FG2'!C14*(1+$J$10)</f>
        <v>0</v>
      </c>
      <c r="D14" s="393">
        <f>'FG2'!D14*(1+$J$10)</f>
        <v>0</v>
      </c>
      <c r="E14" s="393">
        <f>'FG2'!E14*(1+$J$10)</f>
        <v>0</v>
      </c>
      <c r="F14" s="393">
        <f>'FG2'!F14*(1+$J$10)</f>
        <v>0</v>
      </c>
      <c r="G14" s="393">
        <f>'FG2'!G14*(1+$J$10)</f>
        <v>0</v>
      </c>
      <c r="H14" s="393">
        <f>'FG2'!H14*(1+$J$10)</f>
        <v>0</v>
      </c>
      <c r="I14" s="393">
        <f>'FG2'!I14*(1+$J$10)</f>
        <v>0</v>
      </c>
      <c r="J14" s="393">
        <f>'FG2'!J14*(1+$J$10)</f>
        <v>0</v>
      </c>
      <c r="K14" s="393">
        <f>'FG2'!K14*(1+$J$10)</f>
        <v>0</v>
      </c>
      <c r="L14" s="393">
        <f>'FG2'!L14*(1+$J$10)</f>
        <v>0</v>
      </c>
      <c r="M14" s="393">
        <f>'FG2'!M14*(1+$J$10)</f>
        <v>0</v>
      </c>
      <c r="N14" s="393">
        <f>'FG2'!N14*(1+$J$10)</f>
        <v>0</v>
      </c>
      <c r="O14" s="76">
        <f>SUM(C14:N14)</f>
        <v>0</v>
      </c>
    </row>
    <row r="15" spans="1:15" s="261" customFormat="1" ht="13.5" thickBot="1">
      <c r="A15" s="78"/>
      <c r="B15" s="78"/>
      <c r="C15" s="110"/>
      <c r="D15" s="110"/>
      <c r="E15" s="110"/>
      <c r="F15" s="110"/>
      <c r="G15" s="110"/>
      <c r="H15" s="110"/>
      <c r="I15" s="110"/>
      <c r="J15" s="110"/>
      <c r="K15" s="110"/>
      <c r="L15" s="110"/>
      <c r="M15" s="110"/>
      <c r="N15" s="110"/>
      <c r="O15" s="77"/>
    </row>
    <row r="16" spans="1:15" s="261" customFormat="1" ht="13.5" thickBot="1">
      <c r="A16" s="1188" t="str">
        <f>'FG2'!A16:B16</f>
        <v>Coût d'énergie</v>
      </c>
      <c r="B16" s="1188"/>
      <c r="C16" s="393">
        <f>'FG2'!C16*(1+$J$10)</f>
        <v>0</v>
      </c>
      <c r="D16" s="393">
        <f>'FG2'!D16*(1+$J$10)</f>
        <v>0</v>
      </c>
      <c r="E16" s="393">
        <f>'FG2'!E16*(1+$J$10)</f>
        <v>0</v>
      </c>
      <c r="F16" s="393">
        <f>'FG2'!F16*(1+$J$10)</f>
        <v>0</v>
      </c>
      <c r="G16" s="393">
        <f>'FG2'!G16*(1+$J$10)</f>
        <v>0</v>
      </c>
      <c r="H16" s="393">
        <f>'FG2'!H16*(1+$J$10)</f>
        <v>0</v>
      </c>
      <c r="I16" s="393">
        <f>'FG2'!I16*(1+$J$10)</f>
        <v>0</v>
      </c>
      <c r="J16" s="393">
        <f>'FG2'!J16*(1+$J$10)</f>
        <v>0</v>
      </c>
      <c r="K16" s="393">
        <f>'FG2'!K16*(1+$J$10)</f>
        <v>0</v>
      </c>
      <c r="L16" s="393">
        <f>'FG2'!L16*(1+$J$10)</f>
        <v>0</v>
      </c>
      <c r="M16" s="393">
        <f>'FG2'!M16*(1+$J$10)</f>
        <v>0</v>
      </c>
      <c r="N16" s="393">
        <f>'FG2'!N16*(1+$J$10)</f>
        <v>0</v>
      </c>
      <c r="O16" s="76">
        <f>SUM(C16:N16)</f>
        <v>0</v>
      </c>
    </row>
    <row r="17" spans="1:15" s="261" customFormat="1" ht="13.5" thickBot="1">
      <c r="A17" s="78"/>
      <c r="B17" s="78"/>
      <c r="C17" s="110"/>
      <c r="D17" s="110"/>
      <c r="E17" s="110"/>
      <c r="F17" s="110"/>
      <c r="G17" s="110"/>
      <c r="H17" s="110"/>
      <c r="I17" s="110"/>
      <c r="J17" s="110"/>
      <c r="K17" s="110"/>
      <c r="L17" s="110"/>
      <c r="M17" s="110"/>
      <c r="N17" s="110"/>
      <c r="O17" s="77"/>
    </row>
    <row r="18" spans="1:15" s="261" customFormat="1" ht="13.5" thickBot="1">
      <c r="A18" s="1188" t="str">
        <f>'FG2'!A18:B18</f>
        <v>Entretien / réparation</v>
      </c>
      <c r="B18" s="1188"/>
      <c r="C18" s="393">
        <f>'FG2'!C18*(1+$J$10)</f>
        <v>0</v>
      </c>
      <c r="D18" s="393">
        <f>'FG2'!D18*(1+$J$10)</f>
        <v>0</v>
      </c>
      <c r="E18" s="393">
        <f>'FG2'!E18*(1+$J$10)</f>
        <v>0</v>
      </c>
      <c r="F18" s="393">
        <f>'FG2'!F18*(1+$J$10)</f>
        <v>0</v>
      </c>
      <c r="G18" s="393">
        <f>'FG2'!G18*(1+$J$10)</f>
        <v>0</v>
      </c>
      <c r="H18" s="393">
        <f>'FG2'!H18*(1+$J$10)</f>
        <v>0</v>
      </c>
      <c r="I18" s="393">
        <f>'FG2'!I18*(1+$J$10)</f>
        <v>0</v>
      </c>
      <c r="J18" s="393">
        <f>'FG2'!J18*(1+$J$10)</f>
        <v>0</v>
      </c>
      <c r="K18" s="393">
        <f>'FG2'!K18*(1+$J$10)</f>
        <v>0</v>
      </c>
      <c r="L18" s="393">
        <f>'FG2'!L18*(1+$J$10)</f>
        <v>0</v>
      </c>
      <c r="M18" s="393">
        <f>'FG2'!M18*(1+$J$10)</f>
        <v>0</v>
      </c>
      <c r="N18" s="393">
        <f>'FG2'!N18*(1+$J$10)</f>
        <v>0</v>
      </c>
      <c r="O18" s="76">
        <f>SUM(C18:N18)</f>
        <v>0</v>
      </c>
    </row>
    <row r="19" spans="1:15" s="261" customFormat="1" ht="13.5" thickBot="1">
      <c r="A19" s="78"/>
      <c r="B19" s="78"/>
      <c r="C19" s="110"/>
      <c r="D19" s="110"/>
      <c r="E19" s="110"/>
      <c r="F19" s="110"/>
      <c r="G19" s="110"/>
      <c r="H19" s="110"/>
      <c r="I19" s="110"/>
      <c r="J19" s="110"/>
      <c r="K19" s="110"/>
      <c r="L19" s="110"/>
      <c r="M19" s="110"/>
      <c r="N19" s="110"/>
      <c r="O19" s="77"/>
    </row>
    <row r="20" spans="1:15" s="261" customFormat="1" ht="13.5" thickBot="1">
      <c r="A20" s="1188" t="str">
        <f>'FG2'!A20:B20</f>
        <v>Services sanitaires</v>
      </c>
      <c r="B20" s="1188"/>
      <c r="C20" s="393">
        <f>'FG2'!C20*(1+$J$10)</f>
        <v>0</v>
      </c>
      <c r="D20" s="393">
        <f>'FG2'!D20*(1+$J$10)</f>
        <v>0</v>
      </c>
      <c r="E20" s="393">
        <f>'FG2'!E20*(1+$J$10)</f>
        <v>0</v>
      </c>
      <c r="F20" s="393">
        <f>'FG2'!F20*(1+$J$10)</f>
        <v>0</v>
      </c>
      <c r="G20" s="393">
        <f>'FG2'!G20*(1+$J$10)</f>
        <v>0</v>
      </c>
      <c r="H20" s="393">
        <f>'FG2'!H20*(1+$J$10)</f>
        <v>0</v>
      </c>
      <c r="I20" s="393">
        <f>'FG2'!I20*(1+$J$10)</f>
        <v>0</v>
      </c>
      <c r="J20" s="393">
        <f>'FG2'!J20*(1+$J$10)</f>
        <v>0</v>
      </c>
      <c r="K20" s="393">
        <f>'FG2'!K20*(1+$J$10)</f>
        <v>0</v>
      </c>
      <c r="L20" s="393">
        <f>'FG2'!L20*(1+$J$10)</f>
        <v>0</v>
      </c>
      <c r="M20" s="393">
        <f>'FG2'!M20*(1+$J$10)</f>
        <v>0</v>
      </c>
      <c r="N20" s="393">
        <f>'FG2'!N20*(1+$J$10)</f>
        <v>0</v>
      </c>
      <c r="O20" s="76">
        <f>SUM(C20:N20)</f>
        <v>0</v>
      </c>
    </row>
    <row r="21" spans="1:15" s="261" customFormat="1" ht="13.5" thickBot="1">
      <c r="A21" s="78"/>
      <c r="B21" s="78"/>
      <c r="C21" s="110"/>
      <c r="D21" s="110"/>
      <c r="E21" s="110"/>
      <c r="F21" s="110"/>
      <c r="G21" s="110"/>
      <c r="H21" s="110"/>
      <c r="I21" s="110"/>
      <c r="J21" s="110"/>
      <c r="K21" s="110"/>
      <c r="L21" s="110"/>
      <c r="M21" s="110"/>
      <c r="N21" s="110"/>
      <c r="O21" s="77"/>
    </row>
    <row r="22" spans="1:15" s="261" customFormat="1" ht="13.5" thickBot="1">
      <c r="A22" s="1188" t="str">
        <f>'FG2'!A22:B22</f>
        <v>Frais de déplacement</v>
      </c>
      <c r="B22" s="1188"/>
      <c r="C22" s="393">
        <f>'FG2'!C22*(1+$J$10)</f>
        <v>0</v>
      </c>
      <c r="D22" s="393">
        <f>'FG2'!D22*(1+$J$10)</f>
        <v>0</v>
      </c>
      <c r="E22" s="393">
        <f>'FG2'!E22*(1+$J$10)</f>
        <v>0</v>
      </c>
      <c r="F22" s="393">
        <f>'FG2'!F22*(1+$J$10)</f>
        <v>0</v>
      </c>
      <c r="G22" s="393">
        <f>'FG2'!G22*(1+$J$10)</f>
        <v>0</v>
      </c>
      <c r="H22" s="393">
        <f>'FG2'!H22*(1+$J$10)</f>
        <v>0</v>
      </c>
      <c r="I22" s="393">
        <f>'FG2'!I22*(1+$J$10)</f>
        <v>0</v>
      </c>
      <c r="J22" s="393">
        <f>'FG2'!J22*(1+$J$10)</f>
        <v>0</v>
      </c>
      <c r="K22" s="393">
        <f>'FG2'!K22*(1+$J$10)</f>
        <v>0</v>
      </c>
      <c r="L22" s="393">
        <f>'FG2'!L22*(1+$J$10)</f>
        <v>0</v>
      </c>
      <c r="M22" s="393">
        <f>'FG2'!M22*(1+$J$10)</f>
        <v>0</v>
      </c>
      <c r="N22" s="393">
        <f>'FG2'!N22*(1+$J$10)</f>
        <v>0</v>
      </c>
      <c r="O22" s="76">
        <f>SUM(C22:N22)</f>
        <v>0</v>
      </c>
    </row>
    <row r="23" spans="1:15" s="261" customFormat="1" ht="13.5" thickBot="1">
      <c r="A23" s="78"/>
      <c r="B23" s="78"/>
      <c r="C23" s="110"/>
      <c r="D23" s="110"/>
      <c r="E23" s="110"/>
      <c r="F23" s="110"/>
      <c r="G23" s="110"/>
      <c r="H23" s="110"/>
      <c r="I23" s="110"/>
      <c r="J23" s="110"/>
      <c r="K23" s="110"/>
      <c r="L23" s="110"/>
      <c r="M23" s="110"/>
      <c r="N23" s="110"/>
      <c r="O23" s="77"/>
    </row>
    <row r="24" spans="1:15" s="261" customFormat="1" ht="13.5" thickBot="1">
      <c r="A24" s="1188" t="str">
        <f>'FG2'!A24:B24</f>
        <v>Immatriculation et permis</v>
      </c>
      <c r="B24" s="1188"/>
      <c r="C24" s="393">
        <f>'FG2'!C24*(1+$J$10)</f>
        <v>0</v>
      </c>
      <c r="D24" s="393">
        <f>'FG2'!D24*(1+$J$10)</f>
        <v>0</v>
      </c>
      <c r="E24" s="393">
        <f>'FG2'!E24*(1+$J$10)</f>
        <v>0</v>
      </c>
      <c r="F24" s="393">
        <f>'FG2'!F24*(1+$J$10)</f>
        <v>0</v>
      </c>
      <c r="G24" s="393">
        <f>'FG2'!G24*(1+$J$10)</f>
        <v>0</v>
      </c>
      <c r="H24" s="393">
        <f>'FG2'!H24*(1+$J$10)</f>
        <v>0</v>
      </c>
      <c r="I24" s="393">
        <f>'FG2'!I24*(1+$J$10)</f>
        <v>0</v>
      </c>
      <c r="J24" s="393">
        <f>'FG2'!J24*(1+$J$10)</f>
        <v>0</v>
      </c>
      <c r="K24" s="393">
        <f>'FG2'!K24*(1+$J$10)</f>
        <v>0</v>
      </c>
      <c r="L24" s="393">
        <f>'FG2'!L24*(1+$J$10)</f>
        <v>0</v>
      </c>
      <c r="M24" s="393">
        <f>'FG2'!M24*(1+$J$10)</f>
        <v>0</v>
      </c>
      <c r="N24" s="393">
        <f>'FG2'!N24*(1+$J$10)</f>
        <v>0</v>
      </c>
      <c r="O24" s="76">
        <f>SUM(C24:N24)</f>
        <v>0</v>
      </c>
    </row>
    <row r="25" spans="1:15" s="261" customFormat="1" ht="13.5" thickBot="1">
      <c r="A25" s="78"/>
      <c r="B25" s="78"/>
      <c r="C25" s="110"/>
      <c r="D25" s="110"/>
      <c r="E25" s="110"/>
      <c r="F25" s="110"/>
      <c r="G25" s="110"/>
      <c r="H25" s="110"/>
      <c r="I25" s="110"/>
      <c r="J25" s="110"/>
      <c r="K25" s="110"/>
      <c r="L25" s="110"/>
      <c r="M25" s="110"/>
      <c r="N25" s="110"/>
      <c r="O25" s="77"/>
    </row>
    <row r="26" spans="1:15" s="261" customFormat="1" ht="13.5" thickBot="1">
      <c r="A26" s="1188" t="str">
        <f>'FG2'!A26:B26</f>
        <v>Assurances</v>
      </c>
      <c r="B26" s="1188"/>
      <c r="C26" s="393">
        <f>'FG2'!C26*(1+$J$10)</f>
        <v>0</v>
      </c>
      <c r="D26" s="393">
        <f>'FG2'!D26*(1+$J$10)</f>
        <v>0</v>
      </c>
      <c r="E26" s="393">
        <f>'FG2'!E26*(1+$J$10)</f>
        <v>0</v>
      </c>
      <c r="F26" s="393">
        <f>'FG2'!F26*(1+$J$10)</f>
        <v>0</v>
      </c>
      <c r="G26" s="393">
        <f>'FG2'!G26*(1+$J$10)</f>
        <v>0</v>
      </c>
      <c r="H26" s="393">
        <f>'FG2'!H26*(1+$J$10)</f>
        <v>0</v>
      </c>
      <c r="I26" s="393">
        <f>'FG2'!I26*(1+$J$10)</f>
        <v>0</v>
      </c>
      <c r="J26" s="393">
        <f>'FG2'!J26*(1+$J$10)</f>
        <v>0</v>
      </c>
      <c r="K26" s="393">
        <f>'FG2'!K26*(1+$J$10)</f>
        <v>0</v>
      </c>
      <c r="L26" s="393">
        <f>'FG2'!L26*(1+$J$10)</f>
        <v>0</v>
      </c>
      <c r="M26" s="393">
        <f>'FG2'!M26*(1+$J$10)</f>
        <v>0</v>
      </c>
      <c r="N26" s="393">
        <f>'FG2'!N26*(1+$J$10)</f>
        <v>0</v>
      </c>
      <c r="O26" s="76">
        <f>SUM(C26:N26)</f>
        <v>0</v>
      </c>
    </row>
    <row r="27" spans="1:15" s="261" customFormat="1" ht="13.5" thickBot="1">
      <c r="A27" s="78"/>
      <c r="B27" s="78"/>
      <c r="C27" s="110"/>
      <c r="D27" s="110"/>
      <c r="E27" s="110"/>
      <c r="F27" s="110"/>
      <c r="G27" s="110"/>
      <c r="H27" s="110"/>
      <c r="I27" s="110"/>
      <c r="J27" s="110"/>
      <c r="K27" s="110"/>
      <c r="L27" s="110"/>
      <c r="M27" s="110"/>
      <c r="N27" s="110"/>
      <c r="O27" s="77"/>
    </row>
    <row r="28" spans="1:15" s="261" customFormat="1" ht="13.5" thickBot="1">
      <c r="A28" s="1188" t="str">
        <f>'FG2'!A28:B28</f>
        <v>Dépenses R&amp;D</v>
      </c>
      <c r="B28" s="1188"/>
      <c r="C28" s="393">
        <f>'FG2'!C28*(1+$J$10)</f>
        <v>0</v>
      </c>
      <c r="D28" s="393">
        <f>'FG2'!D28*(1+$J$10)</f>
        <v>0</v>
      </c>
      <c r="E28" s="393">
        <f>'FG2'!E28*(1+$J$10)</f>
        <v>0</v>
      </c>
      <c r="F28" s="393">
        <f>'FG2'!F28*(1+$J$10)</f>
        <v>0</v>
      </c>
      <c r="G28" s="393">
        <f>'FG2'!G28*(1+$J$10)</f>
        <v>0</v>
      </c>
      <c r="H28" s="393">
        <f>'FG2'!H28*(1+$J$10)</f>
        <v>0</v>
      </c>
      <c r="I28" s="393">
        <f>'FG2'!I28*(1+$J$10)</f>
        <v>0</v>
      </c>
      <c r="J28" s="393">
        <f>'FG2'!J28*(1+$J$10)</f>
        <v>0</v>
      </c>
      <c r="K28" s="393">
        <f>'FG2'!K28*(1+$J$10)</f>
        <v>0</v>
      </c>
      <c r="L28" s="393">
        <f>'FG2'!L28*(1+$J$10)</f>
        <v>0</v>
      </c>
      <c r="M28" s="393">
        <f>'FG2'!M28*(1+$J$10)</f>
        <v>0</v>
      </c>
      <c r="N28" s="393">
        <f>'FG2'!N28*(1+$J$10)</f>
        <v>0</v>
      </c>
      <c r="O28" s="76">
        <f>SUM(C28:N28)</f>
        <v>0</v>
      </c>
    </row>
    <row r="29" spans="1:15" s="261" customFormat="1" ht="13.5" thickBot="1">
      <c r="A29" s="78"/>
      <c r="B29" s="78"/>
      <c r="C29" s="110"/>
      <c r="D29" s="110"/>
      <c r="E29" s="110"/>
      <c r="F29" s="110"/>
      <c r="G29" s="110"/>
      <c r="H29" s="110"/>
      <c r="I29" s="110"/>
      <c r="J29" s="110"/>
      <c r="K29" s="110"/>
      <c r="L29" s="110"/>
      <c r="M29" s="110"/>
      <c r="N29" s="110"/>
      <c r="O29" s="77"/>
    </row>
    <row r="30" spans="1:15" s="261" customFormat="1" ht="13.5" thickBot="1">
      <c r="A30" s="1188" t="str">
        <f>'FG2'!A30:B30</f>
        <v>Autre frais d'exploitation 1</v>
      </c>
      <c r="B30" s="1188"/>
      <c r="C30" s="393">
        <f>'FG2'!C30*(1+$J$10)</f>
        <v>0</v>
      </c>
      <c r="D30" s="393">
        <f>'FG2'!D30*(1+$J$10)</f>
        <v>0</v>
      </c>
      <c r="E30" s="393">
        <f>'FG2'!E30*(1+$J$10)</f>
        <v>0</v>
      </c>
      <c r="F30" s="393">
        <f>'FG2'!F30*(1+$J$10)</f>
        <v>0</v>
      </c>
      <c r="G30" s="393">
        <f>'FG2'!G30*(1+$J$10)</f>
        <v>0</v>
      </c>
      <c r="H30" s="393">
        <f>'FG2'!H30*(1+$J$10)</f>
        <v>0</v>
      </c>
      <c r="I30" s="393">
        <f>'FG2'!I30*(1+$J$10)</f>
        <v>0</v>
      </c>
      <c r="J30" s="393">
        <f>'FG2'!J30*(1+$J$10)</f>
        <v>0</v>
      </c>
      <c r="K30" s="393">
        <f>'FG2'!K30*(1+$J$10)</f>
        <v>0</v>
      </c>
      <c r="L30" s="393">
        <f>'FG2'!L30*(1+$J$10)</f>
        <v>0</v>
      </c>
      <c r="M30" s="393">
        <f>'FG2'!M30*(1+$J$10)</f>
        <v>0</v>
      </c>
      <c r="N30" s="393">
        <f>'FG2'!N30*(1+$J$10)</f>
        <v>0</v>
      </c>
      <c r="O30" s="76">
        <f>SUM(C30:N30)</f>
        <v>0</v>
      </c>
    </row>
    <row r="31" spans="1:15" s="261" customFormat="1" ht="13.5" thickBot="1">
      <c r="A31" s="78"/>
      <c r="B31" s="78"/>
      <c r="C31" s="110"/>
      <c r="D31" s="110"/>
      <c r="E31" s="110"/>
      <c r="F31" s="110"/>
      <c r="G31" s="110"/>
      <c r="H31" s="110"/>
      <c r="I31" s="110"/>
      <c r="J31" s="110"/>
      <c r="K31" s="110"/>
      <c r="L31" s="110"/>
      <c r="M31" s="110"/>
      <c r="N31" s="110"/>
      <c r="O31" s="77"/>
    </row>
    <row r="32" spans="1:15" s="261" customFormat="1" ht="13.5" thickBot="1">
      <c r="A32" s="1188" t="str">
        <f>'FG2'!A32:B32</f>
        <v>Autre frais d'exploitation 2</v>
      </c>
      <c r="B32" s="1188"/>
      <c r="C32" s="393">
        <f>'FG2'!C32*(1+$J$10)</f>
        <v>0</v>
      </c>
      <c r="D32" s="393">
        <f>'FG2'!D32*(1+$J$10)</f>
        <v>0</v>
      </c>
      <c r="E32" s="393">
        <f>'FG2'!E32*(1+$J$10)</f>
        <v>0</v>
      </c>
      <c r="F32" s="393">
        <f>'FG2'!F32*(1+$J$10)</f>
        <v>0</v>
      </c>
      <c r="G32" s="393">
        <f>'FG2'!G32*(1+$J$10)</f>
        <v>0</v>
      </c>
      <c r="H32" s="393">
        <f>'FG2'!H32*(1+$J$10)</f>
        <v>0</v>
      </c>
      <c r="I32" s="393">
        <f>'FG2'!I32*(1+$J$10)</f>
        <v>0</v>
      </c>
      <c r="J32" s="393">
        <f>'FG2'!J32*(1+$J$10)</f>
        <v>0</v>
      </c>
      <c r="K32" s="393">
        <f>'FG2'!K32*(1+$J$10)</f>
        <v>0</v>
      </c>
      <c r="L32" s="393">
        <f>'FG2'!L32*(1+$J$10)</f>
        <v>0</v>
      </c>
      <c r="M32" s="393">
        <f>'FG2'!M32*(1+$J$10)</f>
        <v>0</v>
      </c>
      <c r="N32" s="393">
        <f>'FG2'!N32*(1+$J$10)</f>
        <v>0</v>
      </c>
      <c r="O32" s="76">
        <f>SUM(C32:N32)</f>
        <v>0</v>
      </c>
    </row>
    <row r="33" spans="1:15" s="261" customFormat="1" ht="13.5" thickBot="1">
      <c r="A33" s="78"/>
      <c r="B33" s="78"/>
      <c r="C33" s="110"/>
      <c r="D33" s="110"/>
      <c r="E33" s="110"/>
      <c r="F33" s="110"/>
      <c r="G33" s="110"/>
      <c r="H33" s="110"/>
      <c r="I33" s="110"/>
      <c r="J33" s="110"/>
      <c r="K33" s="110"/>
      <c r="L33" s="110"/>
      <c r="M33" s="110"/>
      <c r="N33" s="110"/>
      <c r="O33" s="77"/>
    </row>
    <row r="34" spans="1:15" s="261" customFormat="1" ht="13.5" thickBot="1">
      <c r="A34" s="1188" t="str">
        <f>'FG2'!A34:B34</f>
        <v>Autre frais d'exploitation 3</v>
      </c>
      <c r="B34" s="1188"/>
      <c r="C34" s="393">
        <f>'FG2'!C34*(1+$J$10)</f>
        <v>0</v>
      </c>
      <c r="D34" s="393">
        <f>'FG2'!D34*(1+$J$10)</f>
        <v>0</v>
      </c>
      <c r="E34" s="393">
        <f>'FG2'!E34*(1+$J$10)</f>
        <v>0</v>
      </c>
      <c r="F34" s="393">
        <f>'FG2'!F34*(1+$J$10)</f>
        <v>0</v>
      </c>
      <c r="G34" s="393">
        <f>'FG2'!G34*(1+$J$10)</f>
        <v>0</v>
      </c>
      <c r="H34" s="393">
        <f>'FG2'!H34*(1+$J$10)</f>
        <v>0</v>
      </c>
      <c r="I34" s="393">
        <f>'FG2'!I34*(1+$J$10)</f>
        <v>0</v>
      </c>
      <c r="J34" s="393">
        <f>'FG2'!J34*(1+$J$10)</f>
        <v>0</v>
      </c>
      <c r="K34" s="393">
        <f>'FG2'!K34*(1+$J$10)</f>
        <v>0</v>
      </c>
      <c r="L34" s="393">
        <f>'FG2'!L34*(1+$J$10)</f>
        <v>0</v>
      </c>
      <c r="M34" s="393">
        <f>'FG2'!M34*(1+$J$10)</f>
        <v>0</v>
      </c>
      <c r="N34" s="393">
        <f>'FG2'!N34*(1+$J$10)</f>
        <v>0</v>
      </c>
      <c r="O34" s="76">
        <f>SUM(C34:N34)</f>
        <v>0</v>
      </c>
    </row>
    <row r="35" spans="1:15" s="261" customFormat="1" ht="13.5" thickBot="1">
      <c r="A35" s="78"/>
      <c r="B35" s="78"/>
      <c r="C35" s="110"/>
      <c r="D35" s="110"/>
      <c r="E35" s="110"/>
      <c r="F35" s="110"/>
      <c r="G35" s="110"/>
      <c r="H35" s="110"/>
      <c r="I35" s="110"/>
      <c r="J35" s="110"/>
      <c r="K35" s="110"/>
      <c r="L35" s="110"/>
      <c r="M35" s="110"/>
      <c r="N35" s="110"/>
      <c r="O35" s="77"/>
    </row>
    <row r="36" spans="1:15" s="261" customFormat="1" ht="13.5" thickBot="1">
      <c r="A36" s="1188" t="str">
        <f>'FG2'!A36:B36</f>
        <v>Autre frais d'exploitation 4</v>
      </c>
      <c r="B36" s="1188"/>
      <c r="C36" s="393">
        <f>'FG2'!C36*(1+$J$10)</f>
        <v>0</v>
      </c>
      <c r="D36" s="393">
        <f>'FG2'!D36*(1+$J$10)</f>
        <v>0</v>
      </c>
      <c r="E36" s="393">
        <f>'FG2'!E36*(1+$J$10)</f>
        <v>0</v>
      </c>
      <c r="F36" s="393">
        <f>'FG2'!F36*(1+$J$10)</f>
        <v>0</v>
      </c>
      <c r="G36" s="393">
        <f>'FG2'!G36*(1+$J$10)</f>
        <v>0</v>
      </c>
      <c r="H36" s="393">
        <f>'FG2'!H36*(1+$J$10)</f>
        <v>0</v>
      </c>
      <c r="I36" s="393">
        <f>'FG2'!I36*(1+$J$10)</f>
        <v>0</v>
      </c>
      <c r="J36" s="393">
        <f>'FG2'!J36*(1+$J$10)</f>
        <v>0</v>
      </c>
      <c r="K36" s="393">
        <f>'FG2'!K36*(1+$J$10)</f>
        <v>0</v>
      </c>
      <c r="L36" s="393">
        <f>'FG2'!L36*(1+$J$10)</f>
        <v>0</v>
      </c>
      <c r="M36" s="393">
        <f>'FG2'!M36*(1+$J$10)</f>
        <v>0</v>
      </c>
      <c r="N36" s="393">
        <f>'FG2'!N36*(1+$J$10)</f>
        <v>0</v>
      </c>
      <c r="O36" s="76">
        <f>SUM(C36:N36)</f>
        <v>0</v>
      </c>
    </row>
    <row r="37" spans="1:15" s="261" customFormat="1" ht="13.5" thickBot="1">
      <c r="A37" s="78"/>
      <c r="B37" s="78"/>
      <c r="C37" s="110"/>
      <c r="D37" s="110"/>
      <c r="E37" s="110"/>
      <c r="F37" s="110"/>
      <c r="G37" s="110"/>
      <c r="H37" s="110"/>
      <c r="I37" s="110"/>
      <c r="J37" s="110"/>
      <c r="K37" s="110"/>
      <c r="L37" s="110"/>
      <c r="M37" s="110"/>
      <c r="N37" s="110"/>
      <c r="O37" s="77"/>
    </row>
    <row r="38" spans="1:15" s="261" customFormat="1" ht="13.5" thickBot="1">
      <c r="A38" s="1188" t="str">
        <f>'FG2'!A38:B38</f>
        <v>Autre frais d'exploitation 5</v>
      </c>
      <c r="B38" s="1188"/>
      <c r="C38" s="393">
        <f>'FG2'!C38*(1+$J$10)</f>
        <v>0</v>
      </c>
      <c r="D38" s="393">
        <f>'FG2'!D38*(1+$J$10)</f>
        <v>0</v>
      </c>
      <c r="E38" s="393">
        <f>'FG2'!E38*(1+$J$10)</f>
        <v>0</v>
      </c>
      <c r="F38" s="393">
        <f>'FG2'!F38*(1+$J$10)</f>
        <v>0</v>
      </c>
      <c r="G38" s="393">
        <f>'FG2'!G38*(1+$J$10)</f>
        <v>0</v>
      </c>
      <c r="H38" s="393">
        <f>'FG2'!H38*(1+$J$10)</f>
        <v>0</v>
      </c>
      <c r="I38" s="393">
        <f>'FG2'!I38*(1+$J$10)</f>
        <v>0</v>
      </c>
      <c r="J38" s="393">
        <f>'FG2'!J38*(1+$J$10)</f>
        <v>0</v>
      </c>
      <c r="K38" s="393">
        <f>'FG2'!K38*(1+$J$10)</f>
        <v>0</v>
      </c>
      <c r="L38" s="393">
        <f>'FG2'!L38*(1+$J$10)</f>
        <v>0</v>
      </c>
      <c r="M38" s="393">
        <f>'FG2'!M38*(1+$J$10)</f>
        <v>0</v>
      </c>
      <c r="N38" s="393">
        <f>'FG2'!N38*(1+$J$10)</f>
        <v>0</v>
      </c>
      <c r="O38" s="76">
        <f>SUM(C38:N38)</f>
        <v>0</v>
      </c>
    </row>
    <row r="39" spans="1:15" s="261" customFormat="1" ht="13.5" thickBot="1">
      <c r="A39" s="78"/>
      <c r="B39" s="78"/>
      <c r="C39" s="110"/>
      <c r="D39" s="110"/>
      <c r="E39" s="110"/>
      <c r="F39" s="110"/>
      <c r="G39" s="110"/>
      <c r="H39" s="110"/>
      <c r="I39" s="110"/>
      <c r="J39" s="110"/>
      <c r="K39" s="110"/>
      <c r="L39" s="110"/>
      <c r="M39" s="110"/>
      <c r="N39" s="110"/>
      <c r="O39" s="77"/>
    </row>
    <row r="40" spans="1:15" s="261" customFormat="1" ht="13.5" thickBot="1">
      <c r="A40" s="1188" t="str">
        <f>'FG2'!A40:B40</f>
        <v>Autre frais d'exploitation 6</v>
      </c>
      <c r="B40" s="1188"/>
      <c r="C40" s="393">
        <f>'FG2'!C40*(1+$J$10)</f>
        <v>0</v>
      </c>
      <c r="D40" s="393">
        <f>'FG2'!D40*(1+$J$10)</f>
        <v>0</v>
      </c>
      <c r="E40" s="393">
        <f>'FG2'!E40*(1+$J$10)</f>
        <v>0</v>
      </c>
      <c r="F40" s="393">
        <f>'FG2'!F40*(1+$J$10)</f>
        <v>0</v>
      </c>
      <c r="G40" s="393">
        <f>'FG2'!G40*(1+$J$10)</f>
        <v>0</v>
      </c>
      <c r="H40" s="393">
        <f>'FG2'!H40*(1+$J$10)</f>
        <v>0</v>
      </c>
      <c r="I40" s="393">
        <f>'FG2'!I40*(1+$J$10)</f>
        <v>0</v>
      </c>
      <c r="J40" s="393">
        <f>'FG2'!J40*(1+$J$10)</f>
        <v>0</v>
      </c>
      <c r="K40" s="393">
        <f>'FG2'!K40*(1+$J$10)</f>
        <v>0</v>
      </c>
      <c r="L40" s="393">
        <f>'FG2'!L40*(1+$J$10)</f>
        <v>0</v>
      </c>
      <c r="M40" s="393">
        <f>'FG2'!M40*(1+$J$10)</f>
        <v>0</v>
      </c>
      <c r="N40" s="393">
        <f>'FG2'!N40*(1+$J$10)</f>
        <v>0</v>
      </c>
      <c r="O40" s="76">
        <f>SUM(C40:N40)</f>
        <v>0</v>
      </c>
    </row>
    <row r="41" spans="1:15" s="261" customFormat="1" ht="13.5" thickBot="1">
      <c r="A41" s="78"/>
      <c r="B41" s="78"/>
      <c r="C41" s="110"/>
      <c r="D41" s="110"/>
      <c r="E41" s="110"/>
      <c r="F41" s="110"/>
      <c r="G41" s="110"/>
      <c r="H41" s="110"/>
      <c r="I41" s="110"/>
      <c r="J41" s="110"/>
      <c r="K41" s="110"/>
      <c r="L41" s="110"/>
      <c r="M41" s="110"/>
      <c r="N41" s="110"/>
      <c r="O41" s="77"/>
    </row>
    <row r="42" spans="1:15" s="261" customFormat="1" ht="13.5" thickBot="1">
      <c r="A42" s="1188" t="str">
        <f>'FG2'!A42:B42</f>
        <v>Autre frais d'exploitation 7</v>
      </c>
      <c r="B42" s="1188"/>
      <c r="C42" s="393">
        <f>'FG2'!C42*(1+$J$10)</f>
        <v>0</v>
      </c>
      <c r="D42" s="393">
        <f>'FG2'!D42*(1+$J$10)</f>
        <v>0</v>
      </c>
      <c r="E42" s="393">
        <f>'FG2'!E42*(1+$J$10)</f>
        <v>0</v>
      </c>
      <c r="F42" s="393">
        <f>'FG2'!F42*(1+$J$10)</f>
        <v>0</v>
      </c>
      <c r="G42" s="393">
        <f>'FG2'!G42*(1+$J$10)</f>
        <v>0</v>
      </c>
      <c r="H42" s="393">
        <f>'FG2'!H42*(1+$J$10)</f>
        <v>0</v>
      </c>
      <c r="I42" s="393">
        <f>'FG2'!I42*(1+$J$10)</f>
        <v>0</v>
      </c>
      <c r="J42" s="393">
        <f>'FG2'!J42*(1+$J$10)</f>
        <v>0</v>
      </c>
      <c r="K42" s="393">
        <f>'FG2'!K42*(1+$J$10)</f>
        <v>0</v>
      </c>
      <c r="L42" s="393">
        <f>'FG2'!L42*(1+$J$10)</f>
        <v>0</v>
      </c>
      <c r="M42" s="393">
        <f>'FG2'!M42*(1+$J$10)</f>
        <v>0</v>
      </c>
      <c r="N42" s="393">
        <f>'FG2'!N42*(1+$J$10)</f>
        <v>0</v>
      </c>
      <c r="O42" s="76">
        <f>SUM(C42:N42)</f>
        <v>0</v>
      </c>
    </row>
    <row r="43" spans="1:15" s="261" customFormat="1" ht="13.5" thickBot="1">
      <c r="A43" s="78"/>
      <c r="B43" s="78"/>
      <c r="C43" s="110"/>
      <c r="D43" s="110"/>
      <c r="E43" s="110"/>
      <c r="F43" s="110"/>
      <c r="G43" s="110"/>
      <c r="H43" s="110"/>
      <c r="I43" s="110"/>
      <c r="J43" s="110"/>
      <c r="K43" s="110"/>
      <c r="L43" s="110"/>
      <c r="M43" s="110"/>
      <c r="N43" s="110"/>
      <c r="O43" s="77"/>
    </row>
    <row r="44" spans="1:15" s="261" customFormat="1" ht="13.5" thickBot="1">
      <c r="A44" s="1188" t="str">
        <f>'FG2'!A44:B44</f>
        <v>Autre frais d'exploitation 8</v>
      </c>
      <c r="B44" s="1188"/>
      <c r="C44" s="393">
        <f>'FG2'!C44*(1+$J$10)</f>
        <v>0</v>
      </c>
      <c r="D44" s="393">
        <f>'FG2'!D44*(1+$J$10)</f>
        <v>0</v>
      </c>
      <c r="E44" s="393">
        <f>'FG2'!E44*(1+$J$10)</f>
        <v>0</v>
      </c>
      <c r="F44" s="393">
        <f>'FG2'!F44*(1+$J$10)</f>
        <v>0</v>
      </c>
      <c r="G44" s="393">
        <f>'FG2'!G44*(1+$J$10)</f>
        <v>0</v>
      </c>
      <c r="H44" s="393">
        <f>'FG2'!H44*(1+$J$10)</f>
        <v>0</v>
      </c>
      <c r="I44" s="393">
        <f>'FG2'!I44*(1+$J$10)</f>
        <v>0</v>
      </c>
      <c r="J44" s="393">
        <f>'FG2'!J44*(1+$J$10)</f>
        <v>0</v>
      </c>
      <c r="K44" s="393">
        <f>'FG2'!K44*(1+$J$10)</f>
        <v>0</v>
      </c>
      <c r="L44" s="393">
        <f>'FG2'!L44*(1+$J$10)</f>
        <v>0</v>
      </c>
      <c r="M44" s="393">
        <f>'FG2'!M44*(1+$J$10)</f>
        <v>0</v>
      </c>
      <c r="N44" s="393">
        <f>'FG2'!N44*(1+$J$10)</f>
        <v>0</v>
      </c>
      <c r="O44" s="76">
        <f>SUM(C44:N44)</f>
        <v>0</v>
      </c>
    </row>
    <row r="45" spans="1:15" s="261" customFormat="1" ht="13">
      <c r="A45" s="850"/>
      <c r="B45" s="251"/>
      <c r="C45" s="110"/>
      <c r="D45" s="110"/>
      <c r="E45" s="110"/>
      <c r="F45" s="110"/>
      <c r="G45" s="110"/>
      <c r="H45" s="110"/>
      <c r="I45" s="110"/>
      <c r="J45" s="110"/>
      <c r="K45" s="110"/>
      <c r="L45" s="110"/>
      <c r="M45" s="110"/>
      <c r="N45" s="110"/>
      <c r="O45" s="77"/>
    </row>
    <row r="46" spans="1:15" s="261" customFormat="1" ht="13.5" thickBot="1">
      <c r="A46" s="853" t="s">
        <v>653</v>
      </c>
      <c r="B46" s="856"/>
      <c r="C46" s="861"/>
      <c r="D46" s="861"/>
      <c r="E46" s="861"/>
      <c r="F46" s="861"/>
      <c r="G46" s="861"/>
      <c r="H46" s="861"/>
      <c r="I46" s="861"/>
      <c r="J46" s="861"/>
      <c r="K46" s="861"/>
      <c r="L46" s="861"/>
      <c r="M46" s="861"/>
      <c r="N46" s="861"/>
      <c r="O46" s="858"/>
    </row>
    <row r="47" spans="1:15" s="261" customFormat="1" ht="13.5" thickBot="1">
      <c r="A47" s="1188" t="str">
        <f>'FG2'!A47:B47</f>
        <v>Frais de représentation</v>
      </c>
      <c r="B47" s="1188"/>
      <c r="C47" s="393">
        <f>'FG2'!C47*(1+$J$10)</f>
        <v>0</v>
      </c>
      <c r="D47" s="393">
        <f>'FG2'!D47*(1+$J$10)</f>
        <v>0</v>
      </c>
      <c r="E47" s="393">
        <f>'FG2'!E47*(1+$J$10)</f>
        <v>0</v>
      </c>
      <c r="F47" s="393">
        <f>'FG2'!F47*(1+$J$10)</f>
        <v>0</v>
      </c>
      <c r="G47" s="393">
        <f>'FG2'!G47*(1+$J$10)</f>
        <v>0</v>
      </c>
      <c r="H47" s="393">
        <f>'FG2'!H47*(1+$J$10)</f>
        <v>0</v>
      </c>
      <c r="I47" s="393">
        <f>'FG2'!I47*(1+$J$10)</f>
        <v>0</v>
      </c>
      <c r="J47" s="393">
        <f>'FG2'!J47*(1+$J$10)</f>
        <v>0</v>
      </c>
      <c r="K47" s="393">
        <f>'FG2'!K47*(1+$J$10)</f>
        <v>0</v>
      </c>
      <c r="L47" s="393">
        <f>'FG2'!L47*(1+$J$10)</f>
        <v>0</v>
      </c>
      <c r="M47" s="393">
        <f>'FG2'!M47*(1+$J$10)</f>
        <v>0</v>
      </c>
      <c r="N47" s="393">
        <f>'FG2'!N47*(1+$J$10)</f>
        <v>0</v>
      </c>
      <c r="O47" s="76">
        <f>SUM(C47:N47)</f>
        <v>0</v>
      </c>
    </row>
    <row r="48" spans="1:15" s="261" customFormat="1" ht="13.5" thickBot="1">
      <c r="A48" s="78"/>
      <c r="B48" s="78"/>
      <c r="C48" s="110"/>
      <c r="D48" s="110"/>
      <c r="E48" s="110"/>
      <c r="F48" s="110"/>
      <c r="G48" s="110"/>
      <c r="H48" s="110"/>
      <c r="I48" s="110"/>
      <c r="J48" s="110"/>
      <c r="K48" s="110"/>
      <c r="L48" s="110"/>
      <c r="M48" s="110"/>
      <c r="N48" s="110"/>
      <c r="O48" s="77"/>
    </row>
    <row r="49" spans="1:15" s="261" customFormat="1" ht="13.5" thickBot="1">
      <c r="A49" s="1188" t="str">
        <f>'FG2'!A49:B49</f>
        <v>Publicité</v>
      </c>
      <c r="B49" s="1188"/>
      <c r="C49" s="393">
        <f>'FG2'!C49*(1+$J$10)</f>
        <v>0</v>
      </c>
      <c r="D49" s="393">
        <f>'FG2'!D49*(1+$J$10)</f>
        <v>0</v>
      </c>
      <c r="E49" s="393">
        <f>'FG2'!E49*(1+$J$10)</f>
        <v>0</v>
      </c>
      <c r="F49" s="393">
        <f>'FG2'!F49*(1+$J$10)</f>
        <v>0</v>
      </c>
      <c r="G49" s="393">
        <f>'FG2'!G49*(1+$J$10)</f>
        <v>0</v>
      </c>
      <c r="H49" s="393">
        <f>'FG2'!H49*(1+$J$10)</f>
        <v>0</v>
      </c>
      <c r="I49" s="393">
        <f>'FG2'!I49*(1+$J$10)</f>
        <v>0</v>
      </c>
      <c r="J49" s="393">
        <f>'FG2'!J49*(1+$J$10)</f>
        <v>0</v>
      </c>
      <c r="K49" s="393">
        <f>'FG2'!K49*(1+$J$10)</f>
        <v>0</v>
      </c>
      <c r="L49" s="393">
        <f>'FG2'!L49*(1+$J$10)</f>
        <v>0</v>
      </c>
      <c r="M49" s="393">
        <f>'FG2'!M49*(1+$J$10)</f>
        <v>0</v>
      </c>
      <c r="N49" s="393">
        <f>'FG2'!N49*(1+$J$10)</f>
        <v>0</v>
      </c>
      <c r="O49" s="76">
        <f>SUM(C49:N49)</f>
        <v>0</v>
      </c>
    </row>
    <row r="50" spans="1:15" s="261" customFormat="1" ht="13.5" thickBot="1">
      <c r="A50" s="78"/>
      <c r="B50" s="78"/>
      <c r="C50" s="110"/>
      <c r="D50" s="110"/>
      <c r="E50" s="110"/>
      <c r="F50" s="110"/>
      <c r="G50" s="110"/>
      <c r="H50" s="110"/>
      <c r="I50" s="110"/>
      <c r="J50" s="110"/>
      <c r="K50" s="110"/>
      <c r="L50" s="110"/>
      <c r="M50" s="110"/>
      <c r="N50" s="110"/>
      <c r="O50" s="77"/>
    </row>
    <row r="51" spans="1:15" s="261" customFormat="1" ht="13.5" thickBot="1">
      <c r="A51" s="1188" t="str">
        <f>'FG2'!A51:B51</f>
        <v>Autres frais de vente 1</v>
      </c>
      <c r="B51" s="1188"/>
      <c r="C51" s="393">
        <f>'FG2'!C51*(1+$J$10)</f>
        <v>0</v>
      </c>
      <c r="D51" s="393">
        <f>'FG2'!D51*(1+$J$10)</f>
        <v>0</v>
      </c>
      <c r="E51" s="393">
        <f>'FG2'!E51*(1+$J$10)</f>
        <v>0</v>
      </c>
      <c r="F51" s="393">
        <f>'FG2'!F51*(1+$J$10)</f>
        <v>0</v>
      </c>
      <c r="G51" s="393">
        <f>'FG2'!G51*(1+$J$10)</f>
        <v>0</v>
      </c>
      <c r="H51" s="393">
        <f>'FG2'!H51*(1+$J$10)</f>
        <v>0</v>
      </c>
      <c r="I51" s="393">
        <f>'FG2'!I51*(1+$J$10)</f>
        <v>0</v>
      </c>
      <c r="J51" s="393">
        <f>'FG2'!J51*(1+$J$10)</f>
        <v>0</v>
      </c>
      <c r="K51" s="393">
        <f>'FG2'!K51*(1+$J$10)</f>
        <v>0</v>
      </c>
      <c r="L51" s="393">
        <f>'FG2'!L51*(1+$J$10)</f>
        <v>0</v>
      </c>
      <c r="M51" s="393">
        <f>'FG2'!M51*(1+$J$10)</f>
        <v>0</v>
      </c>
      <c r="N51" s="393">
        <f>'FG2'!N51*(1+$J$10)</f>
        <v>0</v>
      </c>
      <c r="O51" s="76">
        <f>SUM(C51:N51)</f>
        <v>0</v>
      </c>
    </row>
    <row r="52" spans="1:15" s="261" customFormat="1" ht="13.5" thickBot="1">
      <c r="A52" s="78"/>
      <c r="B52" s="78"/>
      <c r="C52" s="110"/>
      <c r="D52" s="110"/>
      <c r="E52" s="110"/>
      <c r="F52" s="110"/>
      <c r="G52" s="110"/>
      <c r="H52" s="110"/>
      <c r="I52" s="110"/>
      <c r="J52" s="110"/>
      <c r="K52" s="110"/>
      <c r="L52" s="110"/>
      <c r="M52" s="110"/>
      <c r="N52" s="110"/>
      <c r="O52" s="77"/>
    </row>
    <row r="53" spans="1:15" s="261" customFormat="1" ht="13.5" thickBot="1">
      <c r="A53" s="1188" t="str">
        <f>'FG2'!A53:B53</f>
        <v>Autres frais de vente 2</v>
      </c>
      <c r="B53" s="1188"/>
      <c r="C53" s="393">
        <f>'FG2'!C53*(1+$J$10)</f>
        <v>0</v>
      </c>
      <c r="D53" s="393">
        <f>'FG2'!D53*(1+$J$10)</f>
        <v>0</v>
      </c>
      <c r="E53" s="393">
        <f>'FG2'!E53*(1+$J$10)</f>
        <v>0</v>
      </c>
      <c r="F53" s="393">
        <f>'FG2'!F53*(1+$J$10)</f>
        <v>0</v>
      </c>
      <c r="G53" s="393">
        <f>'FG2'!G53*(1+$J$10)</f>
        <v>0</v>
      </c>
      <c r="H53" s="393">
        <f>'FG2'!H53*(1+$J$10)</f>
        <v>0</v>
      </c>
      <c r="I53" s="393">
        <f>'FG2'!I53*(1+$J$10)</f>
        <v>0</v>
      </c>
      <c r="J53" s="393">
        <f>'FG2'!J53*(1+$J$10)</f>
        <v>0</v>
      </c>
      <c r="K53" s="393">
        <f>'FG2'!K53*(1+$J$10)</f>
        <v>0</v>
      </c>
      <c r="L53" s="393">
        <f>'FG2'!L53*(1+$J$10)</f>
        <v>0</v>
      </c>
      <c r="M53" s="393">
        <f>'FG2'!M53*(1+$J$10)</f>
        <v>0</v>
      </c>
      <c r="N53" s="393">
        <f>'FG2'!N53*(1+$J$10)</f>
        <v>0</v>
      </c>
      <c r="O53" s="76">
        <f>SUM(C53:N53)</f>
        <v>0</v>
      </c>
    </row>
    <row r="54" spans="1:15" s="261" customFormat="1" ht="13.5" thickBot="1">
      <c r="A54" s="78"/>
      <c r="B54" s="78"/>
      <c r="C54" s="110"/>
      <c r="D54" s="110"/>
      <c r="E54" s="110"/>
      <c r="F54" s="110"/>
      <c r="G54" s="110"/>
      <c r="H54" s="110"/>
      <c r="I54" s="110"/>
      <c r="J54" s="110"/>
      <c r="K54" s="110"/>
      <c r="L54" s="110"/>
      <c r="M54" s="110"/>
      <c r="N54" s="110"/>
      <c r="O54" s="77"/>
    </row>
    <row r="55" spans="1:15" s="261" customFormat="1" ht="13.5" thickBot="1">
      <c r="A55" s="1188" t="str">
        <f>'FG2'!A55:B55</f>
        <v>Autres frais de vente 3</v>
      </c>
      <c r="B55" s="1188"/>
      <c r="C55" s="393">
        <f>'FG2'!C55*(1+$J$10)</f>
        <v>0</v>
      </c>
      <c r="D55" s="393">
        <f>'FG2'!D55*(1+$J$10)</f>
        <v>0</v>
      </c>
      <c r="E55" s="393">
        <f>'FG2'!E55*(1+$J$10)</f>
        <v>0</v>
      </c>
      <c r="F55" s="393">
        <f>'FG2'!F55*(1+$J$10)</f>
        <v>0</v>
      </c>
      <c r="G55" s="393">
        <f>'FG2'!G55*(1+$J$10)</f>
        <v>0</v>
      </c>
      <c r="H55" s="393">
        <f>'FG2'!H55*(1+$J$10)</f>
        <v>0</v>
      </c>
      <c r="I55" s="393">
        <f>'FG2'!I55*(1+$J$10)</f>
        <v>0</v>
      </c>
      <c r="J55" s="393">
        <f>'FG2'!J55*(1+$J$10)</f>
        <v>0</v>
      </c>
      <c r="K55" s="393">
        <f>'FG2'!K55*(1+$J$10)</f>
        <v>0</v>
      </c>
      <c r="L55" s="393">
        <f>'FG2'!L55*(1+$J$10)</f>
        <v>0</v>
      </c>
      <c r="M55" s="393">
        <f>'FG2'!M55*(1+$J$10)</f>
        <v>0</v>
      </c>
      <c r="N55" s="393">
        <f>'FG2'!N55*(1+$J$10)</f>
        <v>0</v>
      </c>
      <c r="O55" s="76">
        <f>SUM(C55:N55)</f>
        <v>0</v>
      </c>
    </row>
    <row r="56" spans="1:15" s="261" customFormat="1" ht="13.5" thickBot="1">
      <c r="A56" s="78"/>
      <c r="B56" s="78"/>
      <c r="C56" s="110"/>
      <c r="D56" s="110"/>
      <c r="E56" s="110"/>
      <c r="F56" s="110"/>
      <c r="G56" s="110"/>
      <c r="H56" s="110"/>
      <c r="I56" s="110"/>
      <c r="J56" s="110"/>
      <c r="K56" s="110"/>
      <c r="L56" s="110"/>
      <c r="M56" s="110"/>
      <c r="N56" s="110"/>
      <c r="O56" s="77"/>
    </row>
    <row r="57" spans="1:15" s="261" customFormat="1" ht="13.5" thickBot="1">
      <c r="A57" s="1188" t="str">
        <f>'FG2'!A57:B57</f>
        <v>Autres frais de vente 4</v>
      </c>
      <c r="B57" s="1188"/>
      <c r="C57" s="393">
        <f>'FG2'!C57*(1+$J$10)</f>
        <v>0</v>
      </c>
      <c r="D57" s="393">
        <f>'FG2'!D57*(1+$J$10)</f>
        <v>0</v>
      </c>
      <c r="E57" s="393">
        <f>'FG2'!E57*(1+$J$10)</f>
        <v>0</v>
      </c>
      <c r="F57" s="393">
        <f>'FG2'!F57*(1+$J$10)</f>
        <v>0</v>
      </c>
      <c r="G57" s="393">
        <f>'FG2'!G57*(1+$J$10)</f>
        <v>0</v>
      </c>
      <c r="H57" s="393">
        <f>'FG2'!H57*(1+$J$10)</f>
        <v>0</v>
      </c>
      <c r="I57" s="393">
        <f>'FG2'!I57*(1+$J$10)</f>
        <v>0</v>
      </c>
      <c r="J57" s="393">
        <f>'FG2'!J57*(1+$J$10)</f>
        <v>0</v>
      </c>
      <c r="K57" s="393">
        <f>'FG2'!K57*(1+$J$10)</f>
        <v>0</v>
      </c>
      <c r="L57" s="393">
        <f>'FG2'!L57*(1+$J$10)</f>
        <v>0</v>
      </c>
      <c r="M57" s="393">
        <f>'FG2'!M57*(1+$J$10)</f>
        <v>0</v>
      </c>
      <c r="N57" s="393">
        <f>'FG2'!N57*(1+$J$10)</f>
        <v>0</v>
      </c>
      <c r="O57" s="76">
        <f>SUM(C57:N57)</f>
        <v>0</v>
      </c>
    </row>
    <row r="58" spans="1:15" s="261" customFormat="1" ht="13.5" thickBot="1">
      <c r="A58" s="78"/>
      <c r="B58" s="78"/>
      <c r="C58" s="110"/>
      <c r="D58" s="110"/>
      <c r="E58" s="110"/>
      <c r="F58" s="110"/>
      <c r="G58" s="110"/>
      <c r="H58" s="110"/>
      <c r="I58" s="110"/>
      <c r="J58" s="110"/>
      <c r="K58" s="110"/>
      <c r="L58" s="110"/>
      <c r="M58" s="110"/>
      <c r="N58" s="110"/>
      <c r="O58" s="77"/>
    </row>
    <row r="59" spans="1:15" s="261" customFormat="1" ht="13.5" thickBot="1">
      <c r="A59" s="1188" t="str">
        <f>'FG2'!A59:B59</f>
        <v>Autres frais de vente 5</v>
      </c>
      <c r="B59" s="1188"/>
      <c r="C59" s="393">
        <f>'FG2'!C59*(1+$J$10)</f>
        <v>0</v>
      </c>
      <c r="D59" s="393">
        <f>'FG2'!D59*(1+$J$10)</f>
        <v>0</v>
      </c>
      <c r="E59" s="393">
        <f>'FG2'!E59*(1+$J$10)</f>
        <v>0</v>
      </c>
      <c r="F59" s="393">
        <f>'FG2'!F59*(1+$J$10)</f>
        <v>0</v>
      </c>
      <c r="G59" s="393">
        <f>'FG2'!G59*(1+$J$10)</f>
        <v>0</v>
      </c>
      <c r="H59" s="393">
        <f>'FG2'!H59*(1+$J$10)</f>
        <v>0</v>
      </c>
      <c r="I59" s="393">
        <f>'FG2'!I59*(1+$J$10)</f>
        <v>0</v>
      </c>
      <c r="J59" s="393">
        <f>'FG2'!J59*(1+$J$10)</f>
        <v>0</v>
      </c>
      <c r="K59" s="393">
        <f>'FG2'!K59*(1+$J$10)</f>
        <v>0</v>
      </c>
      <c r="L59" s="393">
        <f>'FG2'!L59*(1+$J$10)</f>
        <v>0</v>
      </c>
      <c r="M59" s="393">
        <f>'FG2'!M59*(1+$J$10)</f>
        <v>0</v>
      </c>
      <c r="N59" s="393">
        <f>'FG2'!N59*(1+$J$10)</f>
        <v>0</v>
      </c>
      <c r="O59" s="76">
        <f>SUM(C59:N59)</f>
        <v>0</v>
      </c>
    </row>
    <row r="60" spans="1:15" s="261" customFormat="1" ht="13">
      <c r="A60" s="852"/>
      <c r="B60" s="78"/>
      <c r="C60" s="110"/>
      <c r="D60" s="110"/>
      <c r="E60" s="110"/>
      <c r="F60" s="110"/>
      <c r="G60" s="110"/>
      <c r="H60" s="110"/>
      <c r="I60" s="110"/>
      <c r="J60" s="110"/>
      <c r="K60" s="110"/>
      <c r="L60" s="110"/>
      <c r="M60" s="110"/>
      <c r="N60" s="110"/>
      <c r="O60" s="77"/>
    </row>
    <row r="61" spans="1:15" s="261" customFormat="1" ht="13.5" thickBot="1">
      <c r="A61" s="859" t="s">
        <v>652</v>
      </c>
      <c r="B61" s="856"/>
      <c r="C61" s="861"/>
      <c r="D61" s="861"/>
      <c r="E61" s="861"/>
      <c r="F61" s="861"/>
      <c r="G61" s="861"/>
      <c r="H61" s="861"/>
      <c r="I61" s="861"/>
      <c r="J61" s="861"/>
      <c r="K61" s="861"/>
      <c r="L61" s="861"/>
      <c r="M61" s="861"/>
      <c r="N61" s="861"/>
      <c r="O61" s="858"/>
    </row>
    <row r="62" spans="1:15" s="261" customFormat="1" ht="13.5" thickBot="1">
      <c r="A62" s="1188" t="str">
        <f>'FG2'!A62:B62</f>
        <v>Téléphonie et internet</v>
      </c>
      <c r="B62" s="1188"/>
      <c r="C62" s="393">
        <f>'FG2'!C62*(1+$J$10)</f>
        <v>0</v>
      </c>
      <c r="D62" s="393">
        <f>'FG2'!D62*(1+$J$10)</f>
        <v>0</v>
      </c>
      <c r="E62" s="393">
        <f>'FG2'!E62*(1+$J$10)</f>
        <v>0</v>
      </c>
      <c r="F62" s="393">
        <f>'FG2'!F62*(1+$J$10)</f>
        <v>0</v>
      </c>
      <c r="G62" s="393">
        <f>'FG2'!G62*(1+$J$10)</f>
        <v>0</v>
      </c>
      <c r="H62" s="393">
        <f>'FG2'!H62*(1+$J$10)</f>
        <v>0</v>
      </c>
      <c r="I62" s="393">
        <f>'FG2'!I62*(1+$J$10)</f>
        <v>0</v>
      </c>
      <c r="J62" s="393">
        <f>'FG2'!J62*(1+$J$10)</f>
        <v>0</v>
      </c>
      <c r="K62" s="393">
        <f>'FG2'!K62*(1+$J$10)</f>
        <v>0</v>
      </c>
      <c r="L62" s="393">
        <f>'FG2'!L62*(1+$J$10)</f>
        <v>0</v>
      </c>
      <c r="M62" s="393">
        <f>'FG2'!M62*(1+$J$10)</f>
        <v>0</v>
      </c>
      <c r="N62" s="393">
        <f>'FG2'!N62*(1+$J$10)</f>
        <v>0</v>
      </c>
      <c r="O62" s="76">
        <f>SUM(C62:N62)</f>
        <v>0</v>
      </c>
    </row>
    <row r="63" spans="1:15" s="261" customFormat="1" ht="13.5" thickBot="1">
      <c r="A63" s="78"/>
      <c r="B63" s="78"/>
      <c r="C63" s="110"/>
      <c r="D63" s="110"/>
      <c r="E63" s="110"/>
      <c r="F63" s="110"/>
      <c r="G63" s="110"/>
      <c r="H63" s="110"/>
      <c r="I63" s="110"/>
      <c r="J63" s="110"/>
      <c r="K63" s="110"/>
      <c r="L63" s="110"/>
      <c r="M63" s="110"/>
      <c r="N63" s="110"/>
      <c r="O63" s="77"/>
    </row>
    <row r="64" spans="1:15" s="261" customFormat="1" ht="13.5" thickBot="1">
      <c r="A64" s="1188" t="str">
        <f>'FG2'!A64:B64</f>
        <v>Honoraires professionnels</v>
      </c>
      <c r="B64" s="1188"/>
      <c r="C64" s="393">
        <f>'FG2'!C64*(1+$J$10)</f>
        <v>0</v>
      </c>
      <c r="D64" s="393">
        <f>'FG2'!D64*(1+$J$10)</f>
        <v>0</v>
      </c>
      <c r="E64" s="393">
        <f>'FG2'!E64*(1+$J$10)</f>
        <v>0</v>
      </c>
      <c r="F64" s="393">
        <f>'FG2'!F64*(1+$J$10)</f>
        <v>0</v>
      </c>
      <c r="G64" s="393">
        <f>'FG2'!G64*(1+$J$10)</f>
        <v>0</v>
      </c>
      <c r="H64" s="393">
        <f>'FG2'!H64*(1+$J$10)</f>
        <v>0</v>
      </c>
      <c r="I64" s="393">
        <f>'FG2'!I64*(1+$J$10)</f>
        <v>0</v>
      </c>
      <c r="J64" s="393">
        <f>'FG2'!J64*(1+$J$10)</f>
        <v>0</v>
      </c>
      <c r="K64" s="393">
        <f>'FG2'!K64*(1+$J$10)</f>
        <v>0</v>
      </c>
      <c r="L64" s="393">
        <f>'FG2'!L64*(1+$J$10)</f>
        <v>0</v>
      </c>
      <c r="M64" s="393">
        <f>'FG2'!M64*(1+$J$10)</f>
        <v>0</v>
      </c>
      <c r="N64" s="393">
        <f>'FG2'!N64*(1+$J$10)</f>
        <v>0</v>
      </c>
      <c r="O64" s="76">
        <f>SUM(C64:N64)</f>
        <v>0</v>
      </c>
    </row>
    <row r="65" spans="1:15" s="261" customFormat="1" ht="13.5" thickBot="1">
      <c r="A65" s="78"/>
      <c r="B65" s="78"/>
      <c r="C65" s="110"/>
      <c r="D65" s="110"/>
      <c r="E65" s="110"/>
      <c r="F65" s="110"/>
      <c r="G65" s="110"/>
      <c r="H65" s="110"/>
      <c r="I65" s="110"/>
      <c r="J65" s="110"/>
      <c r="K65" s="110"/>
      <c r="L65" s="110"/>
      <c r="M65" s="110"/>
      <c r="N65" s="110"/>
      <c r="O65" s="77"/>
    </row>
    <row r="66" spans="1:15" s="261" customFormat="1" ht="13.5" thickBot="1">
      <c r="A66" s="1188" t="str">
        <f>'FG2'!A66:B66</f>
        <v>Frais de bureau</v>
      </c>
      <c r="B66" s="1188"/>
      <c r="C66" s="393">
        <f>'FG2'!C66*(1+$J$10)</f>
        <v>0</v>
      </c>
      <c r="D66" s="393">
        <f>'FG2'!D66*(1+$J$10)</f>
        <v>0</v>
      </c>
      <c r="E66" s="393">
        <f>'FG2'!E66*(1+$J$10)</f>
        <v>0</v>
      </c>
      <c r="F66" s="393">
        <f>'FG2'!F66*(1+$J$10)</f>
        <v>0</v>
      </c>
      <c r="G66" s="393">
        <f>'FG2'!G66*(1+$J$10)</f>
        <v>0</v>
      </c>
      <c r="H66" s="393">
        <f>'FG2'!H66*(1+$J$10)</f>
        <v>0</v>
      </c>
      <c r="I66" s="393">
        <f>'FG2'!I66*(1+$J$10)</f>
        <v>0</v>
      </c>
      <c r="J66" s="393">
        <f>'FG2'!J66*(1+$J$10)</f>
        <v>0</v>
      </c>
      <c r="K66" s="393">
        <f>'FG2'!K66*(1+$J$10)</f>
        <v>0</v>
      </c>
      <c r="L66" s="393">
        <f>'FG2'!L66*(1+$J$10)</f>
        <v>0</v>
      </c>
      <c r="M66" s="393">
        <f>'FG2'!M66*(1+$J$10)</f>
        <v>0</v>
      </c>
      <c r="N66" s="393">
        <f>'FG2'!N66*(1+$J$10)</f>
        <v>0</v>
      </c>
      <c r="O66" s="76">
        <f>SUM(C66:N66)</f>
        <v>0</v>
      </c>
    </row>
    <row r="67" spans="1:15" s="261" customFormat="1" ht="13.5" thickBot="1">
      <c r="A67" s="498"/>
      <c r="B67" s="78"/>
      <c r="C67" s="110"/>
      <c r="D67" s="110"/>
      <c r="E67" s="110"/>
      <c r="F67" s="110"/>
      <c r="G67" s="110"/>
      <c r="H67" s="110"/>
      <c r="I67" s="110"/>
      <c r="J67" s="110"/>
      <c r="K67" s="110"/>
      <c r="L67" s="110"/>
      <c r="M67" s="110"/>
      <c r="N67" s="110"/>
      <c r="O67" s="77"/>
    </row>
    <row r="68" spans="1:15" s="261" customFormat="1" ht="13.5" thickBot="1">
      <c r="A68" s="1188" t="str">
        <f>'FG2'!A68:B68</f>
        <v>Mauvaises créances</v>
      </c>
      <c r="B68" s="1188"/>
      <c r="C68" s="393">
        <f>'FG2'!C68*(1+$J$10)</f>
        <v>0</v>
      </c>
      <c r="D68" s="393">
        <f>'FG2'!D68*(1+$J$10)</f>
        <v>0</v>
      </c>
      <c r="E68" s="393">
        <f>'FG2'!E68*(1+$J$10)</f>
        <v>0</v>
      </c>
      <c r="F68" s="393">
        <f>'FG2'!F68*(1+$J$10)</f>
        <v>0</v>
      </c>
      <c r="G68" s="393">
        <f>'FG2'!G68*(1+$J$10)</f>
        <v>0</v>
      </c>
      <c r="H68" s="393">
        <f>'FG2'!H68*(1+$J$10)</f>
        <v>0</v>
      </c>
      <c r="I68" s="393">
        <f>'FG2'!I68*(1+$J$10)</f>
        <v>0</v>
      </c>
      <c r="J68" s="393">
        <f>'FG2'!J68*(1+$J$10)</f>
        <v>0</v>
      </c>
      <c r="K68" s="393">
        <f>'FG2'!K68*(1+$J$10)</f>
        <v>0</v>
      </c>
      <c r="L68" s="393">
        <f>'FG2'!L68*(1+$J$10)</f>
        <v>0</v>
      </c>
      <c r="M68" s="393">
        <f>'FG2'!M68*(1+$J$10)</f>
        <v>0</v>
      </c>
      <c r="N68" s="393">
        <f>'FG2'!N68*(1+$J$10)</f>
        <v>0</v>
      </c>
      <c r="O68" s="76">
        <f>SUM(C68:N68)</f>
        <v>0</v>
      </c>
    </row>
    <row r="69" spans="1:15" s="261" customFormat="1" ht="13.5" thickBot="1">
      <c r="A69" s="78"/>
      <c r="B69" s="78"/>
      <c r="C69" s="110"/>
      <c r="D69" s="110"/>
      <c r="E69" s="110"/>
      <c r="F69" s="110"/>
      <c r="G69" s="110"/>
      <c r="H69" s="110"/>
      <c r="I69" s="110"/>
      <c r="J69" s="110"/>
      <c r="K69" s="110"/>
      <c r="L69" s="110"/>
      <c r="M69" s="110"/>
      <c r="N69" s="110"/>
      <c r="O69" s="77"/>
    </row>
    <row r="70" spans="1:15" s="261" customFormat="1" ht="13.5" thickBot="1">
      <c r="A70" s="1188" t="str">
        <f>'FG2'!A70:B70</f>
        <v>Fournitures de bureau</v>
      </c>
      <c r="B70" s="1188"/>
      <c r="C70" s="393">
        <f>'FG2'!C70*(1+$J$10)</f>
        <v>0</v>
      </c>
      <c r="D70" s="393">
        <f>'FG2'!D70*(1+$J$10)</f>
        <v>0</v>
      </c>
      <c r="E70" s="393">
        <f>'FG2'!E70*(1+$J$10)</f>
        <v>0</v>
      </c>
      <c r="F70" s="393">
        <f>'FG2'!F70*(1+$J$10)</f>
        <v>0</v>
      </c>
      <c r="G70" s="393">
        <f>'FG2'!G70*(1+$J$10)</f>
        <v>0</v>
      </c>
      <c r="H70" s="393">
        <f>'FG2'!H70*(1+$J$10)</f>
        <v>0</v>
      </c>
      <c r="I70" s="393">
        <f>'FG2'!I70*(1+$J$10)</f>
        <v>0</v>
      </c>
      <c r="J70" s="393">
        <f>'FG2'!J70*(1+$J$10)</f>
        <v>0</v>
      </c>
      <c r="K70" s="393">
        <f>'FG2'!K70*(1+$J$10)</f>
        <v>0</v>
      </c>
      <c r="L70" s="393">
        <f>'FG2'!L70*(1+$J$10)</f>
        <v>0</v>
      </c>
      <c r="M70" s="393">
        <f>'FG2'!M70*(1+$J$10)</f>
        <v>0</v>
      </c>
      <c r="N70" s="393">
        <f>'FG2'!N70*(1+$J$10)</f>
        <v>0</v>
      </c>
      <c r="O70" s="76">
        <f>SUM(C70:N70)</f>
        <v>0</v>
      </c>
    </row>
    <row r="71" spans="1:15" s="261" customFormat="1" ht="13.5" thickBot="1">
      <c r="A71" s="78"/>
      <c r="B71" s="78"/>
      <c r="C71" s="110"/>
      <c r="D71" s="110"/>
      <c r="E71" s="110"/>
      <c r="F71" s="110"/>
      <c r="G71" s="110"/>
      <c r="H71" s="110"/>
      <c r="I71" s="110"/>
      <c r="J71" s="110"/>
      <c r="K71" s="110"/>
      <c r="L71" s="110"/>
      <c r="M71" s="110"/>
      <c r="N71" s="110"/>
      <c r="O71" s="77"/>
    </row>
    <row r="72" spans="1:15" s="261" customFormat="1" ht="13.5" thickBot="1">
      <c r="A72" s="1188" t="str">
        <f>'FG2'!A72:B72</f>
        <v>Fais d'hébèrgement de site Web</v>
      </c>
      <c r="B72" s="1188"/>
      <c r="C72" s="393">
        <f>'FG2'!C72*(1+$J$10)</f>
        <v>0</v>
      </c>
      <c r="D72" s="393">
        <f>'FG2'!D72*(1+$J$10)</f>
        <v>0</v>
      </c>
      <c r="E72" s="393">
        <f>'FG2'!E72*(1+$J$10)</f>
        <v>0</v>
      </c>
      <c r="F72" s="393">
        <f>'FG2'!F72*(1+$J$10)</f>
        <v>0</v>
      </c>
      <c r="G72" s="393">
        <f>'FG2'!G72*(1+$J$10)</f>
        <v>0</v>
      </c>
      <c r="H72" s="393">
        <f>'FG2'!H72*(1+$J$10)</f>
        <v>0</v>
      </c>
      <c r="I72" s="393">
        <f>'FG2'!I72*(1+$J$10)</f>
        <v>0</v>
      </c>
      <c r="J72" s="393">
        <f>'FG2'!J72*(1+$J$10)</f>
        <v>0</v>
      </c>
      <c r="K72" s="393">
        <f>'FG2'!K72*(1+$J$10)</f>
        <v>0</v>
      </c>
      <c r="L72" s="393">
        <f>'FG2'!L72*(1+$J$10)</f>
        <v>0</v>
      </c>
      <c r="M72" s="393">
        <f>'FG2'!M72*(1+$J$10)</f>
        <v>0</v>
      </c>
      <c r="N72" s="393">
        <f>'FG2'!N72*(1+$J$10)</f>
        <v>0</v>
      </c>
      <c r="O72" s="76">
        <f>SUM(C72:N72)</f>
        <v>0</v>
      </c>
    </row>
    <row r="73" spans="1:15" s="261" customFormat="1" ht="13.5" thickBot="1">
      <c r="A73" s="78"/>
      <c r="B73" s="78"/>
      <c r="C73" s="110"/>
      <c r="D73" s="110"/>
      <c r="E73" s="110"/>
      <c r="F73" s="110"/>
      <c r="G73" s="110"/>
      <c r="H73" s="110"/>
      <c r="I73" s="110"/>
      <c r="J73" s="110"/>
      <c r="K73" s="110"/>
      <c r="L73" s="110"/>
      <c r="M73" s="110"/>
      <c r="N73" s="110"/>
      <c r="O73" s="77"/>
    </row>
    <row r="74" spans="1:15" s="261" customFormat="1" ht="13.5" thickBot="1">
      <c r="A74" s="1188" t="str">
        <f>'FG2'!A74:B74</f>
        <v>Autres frais d'administration 2</v>
      </c>
      <c r="B74" s="1188"/>
      <c r="C74" s="393">
        <f>'FG2'!C74*(1+$J$10)</f>
        <v>0</v>
      </c>
      <c r="D74" s="393">
        <f>'FG2'!D74*(1+$J$10)</f>
        <v>0</v>
      </c>
      <c r="E74" s="393">
        <f>'FG2'!E74*(1+$J$10)</f>
        <v>0</v>
      </c>
      <c r="F74" s="393">
        <f>'FG2'!F74*(1+$J$10)</f>
        <v>0</v>
      </c>
      <c r="G74" s="393">
        <f>'FG2'!G74*(1+$J$10)</f>
        <v>0</v>
      </c>
      <c r="H74" s="393">
        <f>'FG2'!H74*(1+$J$10)</f>
        <v>0</v>
      </c>
      <c r="I74" s="393">
        <f>'FG2'!I74*(1+$J$10)</f>
        <v>0</v>
      </c>
      <c r="J74" s="393">
        <f>'FG2'!J74*(1+$J$10)</f>
        <v>0</v>
      </c>
      <c r="K74" s="393">
        <f>'FG2'!K74*(1+$J$10)</f>
        <v>0</v>
      </c>
      <c r="L74" s="393">
        <f>'FG2'!L74*(1+$J$10)</f>
        <v>0</v>
      </c>
      <c r="M74" s="393">
        <f>'FG2'!M74*(1+$J$10)</f>
        <v>0</v>
      </c>
      <c r="N74" s="393">
        <f>'FG2'!N74*(1+$J$10)</f>
        <v>0</v>
      </c>
      <c r="O74" s="76">
        <f>SUM(C74:N74)</f>
        <v>0</v>
      </c>
    </row>
    <row r="75" spans="1:15" s="261" customFormat="1" ht="13.5" thickBot="1">
      <c r="A75" s="78"/>
      <c r="B75" s="78"/>
      <c r="C75" s="110"/>
      <c r="D75" s="110"/>
      <c r="E75" s="110"/>
      <c r="F75" s="110"/>
      <c r="G75" s="110"/>
      <c r="H75" s="110"/>
      <c r="I75" s="110"/>
      <c r="J75" s="110"/>
      <c r="K75" s="110"/>
      <c r="L75" s="110"/>
      <c r="M75" s="110"/>
      <c r="N75" s="110"/>
      <c r="O75" s="77"/>
    </row>
    <row r="76" spans="1:15" s="261" customFormat="1" ht="13.5" thickBot="1">
      <c r="A76" s="1188" t="str">
        <f>'FG2'!A76:B76</f>
        <v>Autres frais d'administration 3</v>
      </c>
      <c r="B76" s="1188"/>
      <c r="C76" s="393">
        <f>'FG2'!C76*(1+$J$10)</f>
        <v>0</v>
      </c>
      <c r="D76" s="393">
        <f>'FG2'!D76*(1+$J$10)</f>
        <v>0</v>
      </c>
      <c r="E76" s="393">
        <f>'FG2'!E76*(1+$J$10)</f>
        <v>0</v>
      </c>
      <c r="F76" s="393">
        <f>'FG2'!F76*(1+$J$10)</f>
        <v>0</v>
      </c>
      <c r="G76" s="393">
        <f>'FG2'!G76*(1+$J$10)</f>
        <v>0</v>
      </c>
      <c r="H76" s="393">
        <f>'FG2'!H76*(1+$J$10)</f>
        <v>0</v>
      </c>
      <c r="I76" s="393">
        <f>'FG2'!I76*(1+$J$10)</f>
        <v>0</v>
      </c>
      <c r="J76" s="393">
        <f>'FG2'!J76*(1+$J$10)</f>
        <v>0</v>
      </c>
      <c r="K76" s="393">
        <f>'FG2'!K76*(1+$J$10)</f>
        <v>0</v>
      </c>
      <c r="L76" s="393">
        <f>'FG2'!L76*(1+$J$10)</f>
        <v>0</v>
      </c>
      <c r="M76" s="393">
        <f>'FG2'!M76*(1+$J$10)</f>
        <v>0</v>
      </c>
      <c r="N76" s="393">
        <f>'FG2'!N76*(1+$J$10)</f>
        <v>0</v>
      </c>
      <c r="O76" s="76">
        <f>SUM(C76:N76)</f>
        <v>0</v>
      </c>
    </row>
    <row r="77" spans="1:15" s="261" customFormat="1" ht="13.5" thickBot="1">
      <c r="A77" s="78"/>
      <c r="B77" s="78"/>
      <c r="C77" s="110"/>
      <c r="D77" s="110"/>
      <c r="E77" s="110"/>
      <c r="F77" s="110"/>
      <c r="G77" s="110"/>
      <c r="H77" s="110"/>
      <c r="I77" s="110"/>
      <c r="J77" s="110"/>
      <c r="K77" s="110"/>
      <c r="L77" s="110"/>
      <c r="M77" s="110"/>
      <c r="N77" s="110"/>
      <c r="O77" s="77"/>
    </row>
    <row r="78" spans="1:15" s="261" customFormat="1" ht="13.5" thickBot="1">
      <c r="A78" s="1188" t="str">
        <f>'FG2'!A78:B78</f>
        <v>Autres frais d'administration 4</v>
      </c>
      <c r="B78" s="1188"/>
      <c r="C78" s="393">
        <f>'FG2'!C78*(1+$J$10)</f>
        <v>0</v>
      </c>
      <c r="D78" s="393">
        <f>'FG2'!D78*(1+$J$10)</f>
        <v>0</v>
      </c>
      <c r="E78" s="393">
        <f>'FG2'!E78*(1+$J$10)</f>
        <v>0</v>
      </c>
      <c r="F78" s="393">
        <f>'FG2'!F78*(1+$J$10)</f>
        <v>0</v>
      </c>
      <c r="G78" s="393">
        <f>'FG2'!G78*(1+$J$10)</f>
        <v>0</v>
      </c>
      <c r="H78" s="393">
        <f>'FG2'!H78*(1+$J$10)</f>
        <v>0</v>
      </c>
      <c r="I78" s="393">
        <f>'FG2'!I78*(1+$J$10)</f>
        <v>0</v>
      </c>
      <c r="J78" s="393">
        <f>'FG2'!J78*(1+$J$10)</f>
        <v>0</v>
      </c>
      <c r="K78" s="393">
        <f>'FG2'!K78*(1+$J$10)</f>
        <v>0</v>
      </c>
      <c r="L78" s="393">
        <f>'FG2'!L78*(1+$J$10)</f>
        <v>0</v>
      </c>
      <c r="M78" s="393">
        <f>'FG2'!M78*(1+$J$10)</f>
        <v>0</v>
      </c>
      <c r="N78" s="393">
        <f>'FG2'!N78*(1+$J$10)</f>
        <v>0</v>
      </c>
      <c r="O78" s="76">
        <f>SUM(C78:N78)</f>
        <v>0</v>
      </c>
    </row>
    <row r="79" spans="1:15" s="261" customFormat="1" ht="13.5" thickBot="1">
      <c r="A79" s="78"/>
      <c r="B79" s="78"/>
      <c r="C79" s="110"/>
      <c r="D79" s="110"/>
      <c r="E79" s="110"/>
      <c r="F79" s="110"/>
      <c r="G79" s="110"/>
      <c r="H79" s="110"/>
      <c r="I79" s="110"/>
      <c r="J79" s="110"/>
      <c r="K79" s="110"/>
      <c r="L79" s="110"/>
      <c r="M79" s="110"/>
      <c r="N79" s="110"/>
      <c r="O79" s="77"/>
    </row>
    <row r="80" spans="1:15" s="261" customFormat="1" ht="13.5" thickBot="1">
      <c r="A80" s="1188" t="str">
        <f>'FG2'!A80:B80</f>
        <v>Autres frais d'administration 5</v>
      </c>
      <c r="B80" s="1188"/>
      <c r="C80" s="393">
        <f>'FG2'!C80*(1+$J$10)</f>
        <v>0</v>
      </c>
      <c r="D80" s="393">
        <f>'FG2'!D80*(1+$J$10)</f>
        <v>0</v>
      </c>
      <c r="E80" s="393">
        <f>'FG2'!E80*(1+$J$10)</f>
        <v>0</v>
      </c>
      <c r="F80" s="393">
        <f>'FG2'!F80*(1+$J$10)</f>
        <v>0</v>
      </c>
      <c r="G80" s="393">
        <f>'FG2'!G80*(1+$J$10)</f>
        <v>0</v>
      </c>
      <c r="H80" s="393">
        <f>'FG2'!H80*(1+$J$10)</f>
        <v>0</v>
      </c>
      <c r="I80" s="393">
        <f>'FG2'!I80*(1+$J$10)</f>
        <v>0</v>
      </c>
      <c r="J80" s="393">
        <f>'FG2'!J80*(1+$J$10)</f>
        <v>0</v>
      </c>
      <c r="K80" s="393">
        <f>'FG2'!K80*(1+$J$10)</f>
        <v>0</v>
      </c>
      <c r="L80" s="393">
        <f>'FG2'!L80*(1+$J$10)</f>
        <v>0</v>
      </c>
      <c r="M80" s="393">
        <f>'FG2'!M80*(1+$J$10)</f>
        <v>0</v>
      </c>
      <c r="N80" s="393">
        <f>'FG2'!N80*(1+$J$10)</f>
        <v>0</v>
      </c>
      <c r="O80" s="76">
        <f>SUM(C80:N80)</f>
        <v>0</v>
      </c>
    </row>
    <row r="81" spans="1:15" s="261" customFormat="1" ht="13.5" thickBot="1">
      <c r="A81" s="78"/>
      <c r="B81" s="78"/>
      <c r="C81" s="110"/>
      <c r="D81" s="110"/>
      <c r="E81" s="110"/>
      <c r="F81" s="110"/>
      <c r="G81" s="110"/>
      <c r="H81" s="110"/>
      <c r="I81" s="110"/>
      <c r="J81" s="110"/>
      <c r="K81" s="110"/>
      <c r="L81" s="110"/>
      <c r="M81" s="110"/>
      <c r="N81" s="110"/>
      <c r="O81" s="77"/>
    </row>
    <row r="82" spans="1:15" s="261" customFormat="1" ht="13.5" thickBot="1">
      <c r="A82" s="1188" t="str">
        <f>'FG2'!A82:B82</f>
        <v>Autres frais d'administration 6</v>
      </c>
      <c r="B82" s="1188"/>
      <c r="C82" s="393">
        <f>'FG2'!C82*(1+$J$10)</f>
        <v>0</v>
      </c>
      <c r="D82" s="393">
        <f>'FG2'!D82*(1+$J$10)</f>
        <v>0</v>
      </c>
      <c r="E82" s="393">
        <f>'FG2'!E82*(1+$J$10)</f>
        <v>0</v>
      </c>
      <c r="F82" s="393">
        <f>'FG2'!F82*(1+$J$10)</f>
        <v>0</v>
      </c>
      <c r="G82" s="393">
        <f>'FG2'!G82*(1+$J$10)</f>
        <v>0</v>
      </c>
      <c r="H82" s="393">
        <f>'FG2'!H82*(1+$J$10)</f>
        <v>0</v>
      </c>
      <c r="I82" s="393">
        <f>'FG2'!I82*(1+$J$10)</f>
        <v>0</v>
      </c>
      <c r="J82" s="393">
        <f>'FG2'!J82*(1+$J$10)</f>
        <v>0</v>
      </c>
      <c r="K82" s="393">
        <f>'FG2'!K82*(1+$J$10)</f>
        <v>0</v>
      </c>
      <c r="L82" s="393">
        <f>'FG2'!L82*(1+$J$10)</f>
        <v>0</v>
      </c>
      <c r="M82" s="393">
        <f>'FG2'!M82*(1+$J$10)</f>
        <v>0</v>
      </c>
      <c r="N82" s="393">
        <f>'FG2'!N82*(1+$J$10)</f>
        <v>0</v>
      </c>
      <c r="O82" s="76">
        <f>SUM(C82:N82)</f>
        <v>0</v>
      </c>
    </row>
    <row r="83" spans="1:15" s="261" customFormat="1" ht="13">
      <c r="A83" s="852"/>
      <c r="B83" s="48"/>
      <c r="C83" s="110"/>
      <c r="D83" s="110"/>
      <c r="E83" s="110"/>
      <c r="F83" s="110"/>
      <c r="G83" s="110"/>
      <c r="H83" s="110"/>
      <c r="I83" s="110"/>
      <c r="J83" s="110"/>
      <c r="K83" s="110"/>
      <c r="L83" s="110"/>
      <c r="M83" s="110"/>
      <c r="N83" s="110"/>
      <c r="O83" s="77"/>
    </row>
    <row r="84" spans="1:15" s="261" customFormat="1" ht="13.5" thickBot="1">
      <c r="A84" s="859" t="s">
        <v>654</v>
      </c>
      <c r="B84" s="856"/>
      <c r="C84" s="861"/>
      <c r="D84" s="861"/>
      <c r="E84" s="861"/>
      <c r="F84" s="861"/>
      <c r="G84" s="861"/>
      <c r="H84" s="861"/>
      <c r="I84" s="861"/>
      <c r="J84" s="861"/>
      <c r="K84" s="861"/>
      <c r="L84" s="861"/>
      <c r="M84" s="861"/>
      <c r="N84" s="861"/>
      <c r="O84" s="858"/>
    </row>
    <row r="85" spans="1:15" s="261" customFormat="1" ht="13.5" thickBot="1">
      <c r="A85" s="1188" t="str">
        <f>'FG2'!A85:B85</f>
        <v>Frais bancaires</v>
      </c>
      <c r="B85" s="1188"/>
      <c r="C85" s="393">
        <f>'FG2'!C85*(1+$J$10)</f>
        <v>0</v>
      </c>
      <c r="D85" s="393">
        <f>'FG2'!D85*(1+$J$10)</f>
        <v>0</v>
      </c>
      <c r="E85" s="393">
        <f>'FG2'!E85*(1+$J$10)</f>
        <v>0</v>
      </c>
      <c r="F85" s="393">
        <f>'FG2'!F85*(1+$J$10)</f>
        <v>0</v>
      </c>
      <c r="G85" s="393">
        <f>'FG2'!G85*(1+$J$10)</f>
        <v>0</v>
      </c>
      <c r="H85" s="393">
        <f>'FG2'!H85*(1+$J$10)</f>
        <v>0</v>
      </c>
      <c r="I85" s="393">
        <f>'FG2'!I85*(1+$J$10)</f>
        <v>0</v>
      </c>
      <c r="J85" s="393">
        <f>'FG2'!J85*(1+$J$10)</f>
        <v>0</v>
      </c>
      <c r="K85" s="393">
        <f>'FG2'!K85*(1+$J$10)</f>
        <v>0</v>
      </c>
      <c r="L85" s="393">
        <f>'FG2'!L85*(1+$J$10)</f>
        <v>0</v>
      </c>
      <c r="M85" s="393">
        <f>'FG2'!M85*(1+$J$10)</f>
        <v>0</v>
      </c>
      <c r="N85" s="393">
        <f>'FG2'!N85*(1+$J$10)</f>
        <v>0</v>
      </c>
      <c r="O85" s="76">
        <f>SUM(C85:N85)</f>
        <v>0</v>
      </c>
    </row>
    <row r="86" spans="1:15" s="261" customFormat="1" ht="13.5" thickBot="1">
      <c r="A86" s="78"/>
      <c r="B86" s="78"/>
      <c r="C86" s="110"/>
      <c r="D86" s="110"/>
      <c r="E86" s="110"/>
      <c r="F86" s="110"/>
      <c r="G86" s="110"/>
      <c r="H86" s="110"/>
      <c r="I86" s="110"/>
      <c r="J86" s="110"/>
      <c r="K86" s="110"/>
      <c r="L86" s="110"/>
      <c r="M86" s="110"/>
      <c r="N86" s="110"/>
      <c r="O86" s="77"/>
    </row>
    <row r="87" spans="1:15" s="261" customFormat="1" ht="13.5" thickBot="1">
      <c r="A87" s="1188" t="str">
        <f>'FG2'!A87:B87</f>
        <v>Frais de carte de crédit</v>
      </c>
      <c r="B87" s="1188"/>
      <c r="C87" s="393">
        <f>'FG2'!C87*(1+$J$10)</f>
        <v>0</v>
      </c>
      <c r="D87" s="393">
        <f>'FG2'!D87*(1+$J$10)</f>
        <v>0</v>
      </c>
      <c r="E87" s="393">
        <f>'FG2'!E87*(1+$J$10)</f>
        <v>0</v>
      </c>
      <c r="F87" s="393">
        <f>'FG2'!F87*(1+$J$10)</f>
        <v>0</v>
      </c>
      <c r="G87" s="393">
        <f>'FG2'!G87*(1+$J$10)</f>
        <v>0</v>
      </c>
      <c r="H87" s="393">
        <f>'FG2'!H87*(1+$J$10)</f>
        <v>0</v>
      </c>
      <c r="I87" s="393">
        <f>'FG2'!I87*(1+$J$10)</f>
        <v>0</v>
      </c>
      <c r="J87" s="393">
        <f>'FG2'!J87*(1+$J$10)</f>
        <v>0</v>
      </c>
      <c r="K87" s="393">
        <f>'FG2'!K87*(1+$J$10)</f>
        <v>0</v>
      </c>
      <c r="L87" s="393">
        <f>'FG2'!L87*(1+$J$10)</f>
        <v>0</v>
      </c>
      <c r="M87" s="393">
        <f>'FG2'!M87*(1+$J$10)</f>
        <v>0</v>
      </c>
      <c r="N87" s="393">
        <f>'FG2'!N87*(1+$J$10)</f>
        <v>0</v>
      </c>
      <c r="O87" s="76">
        <f>SUM(C87:N87)</f>
        <v>0</v>
      </c>
    </row>
    <row r="88" spans="1:15" s="261" customFormat="1" ht="13.5" thickBot="1">
      <c r="A88" s="78"/>
      <c r="B88" s="78"/>
      <c r="C88" s="110"/>
      <c r="D88" s="110"/>
      <c r="E88" s="110"/>
      <c r="F88" s="110"/>
      <c r="G88" s="110"/>
      <c r="H88" s="110"/>
      <c r="I88" s="110"/>
      <c r="J88" s="110"/>
      <c r="K88" s="110"/>
      <c r="L88" s="110"/>
      <c r="M88" s="110"/>
      <c r="N88" s="110"/>
      <c r="O88" s="77"/>
    </row>
    <row r="89" spans="1:15" s="261" customFormat="1" ht="13.5" thickBot="1">
      <c r="A89" s="1188" t="str">
        <f>'FG2'!A89:B89</f>
        <v>Autres frais financiers 1</v>
      </c>
      <c r="B89" s="1188"/>
      <c r="C89" s="393">
        <f>'FG2'!C89*(1+$J$10)</f>
        <v>0</v>
      </c>
      <c r="D89" s="393">
        <f>'FG2'!D89*(1+$J$10)</f>
        <v>0</v>
      </c>
      <c r="E89" s="393">
        <f>'FG2'!E89*(1+$J$10)</f>
        <v>0</v>
      </c>
      <c r="F89" s="393">
        <f>'FG2'!F89*(1+$J$10)</f>
        <v>0</v>
      </c>
      <c r="G89" s="393">
        <f>'FG2'!G89*(1+$J$10)</f>
        <v>0</v>
      </c>
      <c r="H89" s="393">
        <f>'FG2'!H89*(1+$J$10)</f>
        <v>0</v>
      </c>
      <c r="I89" s="393">
        <f>'FG2'!I89*(1+$J$10)</f>
        <v>0</v>
      </c>
      <c r="J89" s="393">
        <f>'FG2'!J89*(1+$J$10)</f>
        <v>0</v>
      </c>
      <c r="K89" s="393">
        <f>'FG2'!K89*(1+$J$10)</f>
        <v>0</v>
      </c>
      <c r="L89" s="393">
        <f>'FG2'!L89*(1+$J$10)</f>
        <v>0</v>
      </c>
      <c r="M89" s="393">
        <f>'FG2'!M89*(1+$J$10)</f>
        <v>0</v>
      </c>
      <c r="N89" s="393">
        <f>'FG2'!N89*(1+$J$10)</f>
        <v>0</v>
      </c>
      <c r="O89" s="76">
        <f>SUM(C89:N89)</f>
        <v>0</v>
      </c>
    </row>
    <row r="90" spans="1:15" s="261" customFormat="1" ht="13.5" thickBot="1">
      <c r="A90" s="78"/>
      <c r="B90" s="78"/>
      <c r="C90" s="110"/>
      <c r="D90" s="110"/>
      <c r="E90" s="110"/>
      <c r="F90" s="110"/>
      <c r="G90" s="110"/>
      <c r="H90" s="110"/>
      <c r="I90" s="110"/>
      <c r="J90" s="110"/>
      <c r="K90" s="110"/>
      <c r="L90" s="110"/>
      <c r="M90" s="110"/>
      <c r="N90" s="110"/>
      <c r="O90" s="77"/>
    </row>
    <row r="91" spans="1:15" s="261" customFormat="1" ht="13.5" thickBot="1">
      <c r="A91" s="1188" t="str">
        <f>'FG2'!A91:B91</f>
        <v>Autres frais financiers 2</v>
      </c>
      <c r="B91" s="1188"/>
      <c r="C91" s="393">
        <f>'FG2'!C91*(1+$J$10)</f>
        <v>0</v>
      </c>
      <c r="D91" s="393">
        <f>'FG2'!D91*(1+$J$10)</f>
        <v>0</v>
      </c>
      <c r="E91" s="393">
        <f>'FG2'!E91*(1+$J$10)</f>
        <v>0</v>
      </c>
      <c r="F91" s="393">
        <f>'FG2'!F91*(1+$J$10)</f>
        <v>0</v>
      </c>
      <c r="G91" s="393">
        <f>'FG2'!G91*(1+$J$10)</f>
        <v>0</v>
      </c>
      <c r="H91" s="393">
        <f>'FG2'!H91*(1+$J$10)</f>
        <v>0</v>
      </c>
      <c r="I91" s="393">
        <f>'FG2'!I91*(1+$J$10)</f>
        <v>0</v>
      </c>
      <c r="J91" s="393">
        <f>'FG2'!J91*(1+$J$10)</f>
        <v>0</v>
      </c>
      <c r="K91" s="393">
        <f>'FG2'!K91*(1+$J$10)</f>
        <v>0</v>
      </c>
      <c r="L91" s="393">
        <f>'FG2'!L91*(1+$J$10)</f>
        <v>0</v>
      </c>
      <c r="M91" s="393">
        <f>'FG2'!M91*(1+$J$10)</f>
        <v>0</v>
      </c>
      <c r="N91" s="393">
        <f>'FG2'!N91*(1+$J$10)</f>
        <v>0</v>
      </c>
      <c r="O91" s="76">
        <f>SUM(C91:N91)</f>
        <v>0</v>
      </c>
    </row>
    <row r="92" spans="1:15" s="261" customFormat="1" ht="13.5" thickBot="1">
      <c r="A92" s="78"/>
      <c r="B92" s="78"/>
      <c r="C92" s="110"/>
      <c r="D92" s="110"/>
      <c r="E92" s="110"/>
      <c r="F92" s="110"/>
      <c r="G92" s="110"/>
      <c r="H92" s="110"/>
      <c r="I92" s="110"/>
      <c r="J92" s="110"/>
      <c r="K92" s="110"/>
      <c r="L92" s="110"/>
      <c r="M92" s="110"/>
      <c r="N92" s="110"/>
      <c r="O92" s="77"/>
    </row>
    <row r="93" spans="1:15" s="261" customFormat="1" ht="13.5" thickBot="1">
      <c r="A93" s="1188" t="str">
        <f>'FG2'!A93:B93</f>
        <v>Autres frais financiers 3</v>
      </c>
      <c r="B93" s="1188"/>
      <c r="C93" s="393">
        <f>'FG2'!C93*(1+$J$10)</f>
        <v>0</v>
      </c>
      <c r="D93" s="393">
        <f>'FG2'!D93*(1+$J$10)</f>
        <v>0</v>
      </c>
      <c r="E93" s="393">
        <f>'FG2'!E93*(1+$J$10)</f>
        <v>0</v>
      </c>
      <c r="F93" s="393">
        <f>'FG2'!F93*(1+$J$10)</f>
        <v>0</v>
      </c>
      <c r="G93" s="393">
        <f>'FG2'!G93*(1+$J$10)</f>
        <v>0</v>
      </c>
      <c r="H93" s="393">
        <f>'FG2'!H93*(1+$J$10)</f>
        <v>0</v>
      </c>
      <c r="I93" s="393">
        <f>'FG2'!I93*(1+$J$10)</f>
        <v>0</v>
      </c>
      <c r="J93" s="393">
        <f>'FG2'!J93*(1+$J$10)</f>
        <v>0</v>
      </c>
      <c r="K93" s="393">
        <f>'FG2'!K93*(1+$J$10)</f>
        <v>0</v>
      </c>
      <c r="L93" s="393">
        <f>'FG2'!L93*(1+$J$10)</f>
        <v>0</v>
      </c>
      <c r="M93" s="393">
        <f>'FG2'!M93*(1+$J$10)</f>
        <v>0</v>
      </c>
      <c r="N93" s="393">
        <f>'FG2'!N93*(1+$J$10)</f>
        <v>0</v>
      </c>
      <c r="O93" s="76">
        <f>SUM(C93:N93)</f>
        <v>0</v>
      </c>
    </row>
    <row r="94" spans="1:15" s="261" customFormat="1" ht="13.5" thickBot="1">
      <c r="A94" s="78"/>
      <c r="B94" s="78"/>
      <c r="C94" s="110"/>
      <c r="D94" s="110"/>
      <c r="E94" s="110"/>
      <c r="F94" s="110"/>
      <c r="G94" s="110"/>
      <c r="H94" s="110"/>
      <c r="I94" s="110"/>
      <c r="J94" s="110"/>
      <c r="K94" s="110"/>
      <c r="L94" s="110"/>
      <c r="M94" s="110"/>
      <c r="N94" s="110"/>
      <c r="O94" s="77"/>
    </row>
    <row r="95" spans="1:15" s="261" customFormat="1" ht="13.5" thickBot="1">
      <c r="A95" s="1188" t="str">
        <f>'FG2'!A95:B95</f>
        <v>Autres frais financiers 4</v>
      </c>
      <c r="B95" s="1188"/>
      <c r="C95" s="393">
        <f>'FG2'!C95*(1+$J$10)</f>
        <v>0</v>
      </c>
      <c r="D95" s="393">
        <f>'FG2'!D95*(1+$J$10)</f>
        <v>0</v>
      </c>
      <c r="E95" s="393">
        <f>'FG2'!E95*(1+$J$10)</f>
        <v>0</v>
      </c>
      <c r="F95" s="393">
        <f>'FG2'!F95*(1+$J$10)</f>
        <v>0</v>
      </c>
      <c r="G95" s="393">
        <f>'FG2'!G95*(1+$J$10)</f>
        <v>0</v>
      </c>
      <c r="H95" s="393">
        <f>'FG2'!H95*(1+$J$10)</f>
        <v>0</v>
      </c>
      <c r="I95" s="393">
        <f>'FG2'!I95*(1+$J$10)</f>
        <v>0</v>
      </c>
      <c r="J95" s="393">
        <f>'FG2'!J95*(1+$J$10)</f>
        <v>0</v>
      </c>
      <c r="K95" s="393">
        <f>'FG2'!K95*(1+$J$10)</f>
        <v>0</v>
      </c>
      <c r="L95" s="393">
        <f>'FG2'!L95*(1+$J$10)</f>
        <v>0</v>
      </c>
      <c r="M95" s="393">
        <f>'FG2'!M95*(1+$J$10)</f>
        <v>0</v>
      </c>
      <c r="N95" s="393">
        <f>'FG2'!N95*(1+$J$10)</f>
        <v>0</v>
      </c>
      <c r="O95" s="76">
        <f>SUM(C95:N95)</f>
        <v>0</v>
      </c>
    </row>
    <row r="96" spans="1:15" s="261" customFormat="1" ht="13.5" thickBot="1">
      <c r="A96" s="79"/>
      <c r="B96" s="79"/>
      <c r="C96" s="110"/>
      <c r="D96" s="110"/>
      <c r="E96" s="110"/>
      <c r="F96" s="110"/>
      <c r="G96" s="110"/>
      <c r="H96" s="110"/>
      <c r="I96" s="110"/>
      <c r="J96" s="110"/>
      <c r="K96" s="110"/>
      <c r="L96" s="110"/>
      <c r="M96" s="110"/>
      <c r="N96" s="110"/>
      <c r="O96" s="77"/>
    </row>
    <row r="97" spans="1:16" ht="13.5" thickBot="1">
      <c r="A97" s="108" t="s">
        <v>498</v>
      </c>
      <c r="C97" s="480">
        <f>SUM(C14:C89)</f>
        <v>0</v>
      </c>
      <c r="D97" s="480">
        <f t="shared" ref="D97:O97" si="1">SUM(D14:D89)</f>
        <v>0</v>
      </c>
      <c r="E97" s="480">
        <f t="shared" si="1"/>
        <v>0</v>
      </c>
      <c r="F97" s="480">
        <f t="shared" si="1"/>
        <v>0</v>
      </c>
      <c r="G97" s="480">
        <f t="shared" si="1"/>
        <v>0</v>
      </c>
      <c r="H97" s="480">
        <f t="shared" si="1"/>
        <v>0</v>
      </c>
      <c r="I97" s="480">
        <f t="shared" si="1"/>
        <v>0</v>
      </c>
      <c r="J97" s="480">
        <f t="shared" si="1"/>
        <v>0</v>
      </c>
      <c r="K97" s="480">
        <f t="shared" si="1"/>
        <v>0</v>
      </c>
      <c r="L97" s="480">
        <f t="shared" si="1"/>
        <v>0</v>
      </c>
      <c r="M97" s="480">
        <f t="shared" si="1"/>
        <v>0</v>
      </c>
      <c r="N97" s="480">
        <f t="shared" si="1"/>
        <v>0</v>
      </c>
      <c r="O97" s="480">
        <f t="shared" si="1"/>
        <v>0</v>
      </c>
    </row>
    <row r="98" spans="1:16" ht="13">
      <c r="A98" s="79"/>
      <c r="B98" s="79"/>
      <c r="C98" s="110"/>
      <c r="D98" s="110"/>
      <c r="E98" s="110"/>
      <c r="F98" s="110"/>
      <c r="G98" s="110"/>
      <c r="H98" s="110"/>
      <c r="I98" s="110"/>
      <c r="J98" s="110"/>
      <c r="K98" s="110"/>
      <c r="L98" s="110"/>
      <c r="M98" s="110"/>
      <c r="N98" s="110"/>
      <c r="O98" s="77"/>
      <c r="P98" s="48"/>
    </row>
    <row r="99" spans="1:16" ht="13">
      <c r="A99" s="79"/>
      <c r="B99" s="79"/>
      <c r="O99" s="251"/>
      <c r="P99" s="48"/>
    </row>
    <row r="100" spans="1:16" ht="13.5" thickBot="1">
      <c r="A100" s="862" t="s">
        <v>717</v>
      </c>
      <c r="B100" s="863"/>
      <c r="C100" s="861"/>
      <c r="D100" s="861"/>
      <c r="E100" s="861"/>
      <c r="F100" s="861"/>
      <c r="G100" s="861"/>
      <c r="H100" s="861"/>
      <c r="I100" s="861"/>
      <c r="J100" s="861"/>
      <c r="K100" s="861"/>
      <c r="L100" s="861"/>
      <c r="M100" s="861"/>
      <c r="N100" s="861"/>
      <c r="O100" s="858"/>
      <c r="P100" s="48"/>
    </row>
    <row r="101" spans="1:16" s="261" customFormat="1" ht="13.5" thickBot="1">
      <c r="A101" s="1188" t="str">
        <f>'FG2'!A101</f>
        <v>Acquisition d'immobilisations</v>
      </c>
      <c r="B101" s="1188"/>
      <c r="C101" s="393"/>
      <c r="D101" s="393"/>
      <c r="E101" s="393">
        <f>DG!M241+DG!Y241+DG!AK241+DG!AW241+DG!BI241+DG!BU241+DG!CG241+DG!CS241+DG!DE241+DG!DQ241+DG!EC241</f>
        <v>0</v>
      </c>
      <c r="F101" s="393"/>
      <c r="G101" s="393"/>
      <c r="H101" s="393"/>
      <c r="I101" s="393"/>
      <c r="J101" s="393"/>
      <c r="K101" s="393"/>
      <c r="L101" s="393"/>
      <c r="M101" s="393"/>
      <c r="N101" s="393"/>
      <c r="O101" s="76">
        <f>SUM(C101:N101)</f>
        <v>0</v>
      </c>
    </row>
    <row r="102" spans="1:16" s="261" customFormat="1" ht="13.5" thickBot="1">
      <c r="A102" s="78"/>
      <c r="B102" s="78"/>
      <c r="C102" s="110"/>
      <c r="D102" s="110"/>
      <c r="E102" s="110"/>
      <c r="F102" s="110"/>
      <c r="G102" s="110"/>
      <c r="H102" s="110"/>
      <c r="I102" s="110"/>
      <c r="J102" s="110"/>
      <c r="K102" s="110"/>
      <c r="L102" s="110"/>
      <c r="M102" s="110"/>
      <c r="N102" s="110"/>
      <c r="O102" s="77"/>
    </row>
    <row r="103" spans="1:16" s="261" customFormat="1" ht="13.5" thickBot="1">
      <c r="A103" s="1188" t="str">
        <f>'FG2'!A103</f>
        <v>Retraits du (des) actionnaire(s)</v>
      </c>
      <c r="B103" s="1195"/>
      <c r="C103" s="393">
        <f>'FG2'!C103</f>
        <v>0</v>
      </c>
      <c r="D103" s="393">
        <f>'FG2'!D103</f>
        <v>0</v>
      </c>
      <c r="E103" s="393">
        <f>'FG2'!E103</f>
        <v>0</v>
      </c>
      <c r="F103" s="393">
        <f>'FG2'!F103</f>
        <v>0</v>
      </c>
      <c r="G103" s="393">
        <f>'FG2'!G103</f>
        <v>0</v>
      </c>
      <c r="H103" s="393">
        <f>'FG2'!H103</f>
        <v>0</v>
      </c>
      <c r="I103" s="393">
        <f>'FG2'!I103</f>
        <v>0</v>
      </c>
      <c r="J103" s="393">
        <f>'FG2'!J103</f>
        <v>0</v>
      </c>
      <c r="K103" s="393">
        <f>'FG2'!K103</f>
        <v>0</v>
      </c>
      <c r="L103" s="393">
        <f>'FG2'!L103</f>
        <v>0</v>
      </c>
      <c r="M103" s="393">
        <f>'FG2'!M103</f>
        <v>0</v>
      </c>
      <c r="N103" s="393">
        <f>'FG2'!N103</f>
        <v>0</v>
      </c>
      <c r="O103" s="76">
        <f>SUM(C103:N103)</f>
        <v>0</v>
      </c>
    </row>
    <row r="104" spans="1:16" ht="13.5" thickBot="1">
      <c r="A104" s="48"/>
      <c r="B104" s="106"/>
      <c r="C104" s="177"/>
      <c r="D104" s="177"/>
      <c r="E104" s="177"/>
      <c r="F104" s="177"/>
      <c r="G104" s="177"/>
      <c r="H104" s="177"/>
      <c r="I104" s="177"/>
      <c r="J104" s="177"/>
      <c r="K104" s="177"/>
      <c r="L104" s="177"/>
      <c r="M104" s="177"/>
      <c r="N104" s="177"/>
      <c r="O104" s="177"/>
    </row>
    <row r="105" spans="1:16" ht="13.5" thickBot="1">
      <c r="A105" s="108" t="s">
        <v>144</v>
      </c>
      <c r="C105" s="480">
        <f>SUM(C101:C103)</f>
        <v>0</v>
      </c>
      <c r="D105" s="480">
        <f t="shared" ref="D105:O105" si="2">SUM(D101:D103)</f>
        <v>0</v>
      </c>
      <c r="E105" s="480">
        <f t="shared" si="2"/>
        <v>0</v>
      </c>
      <c r="F105" s="480">
        <f t="shared" si="2"/>
        <v>0</v>
      </c>
      <c r="G105" s="480">
        <f t="shared" si="2"/>
        <v>0</v>
      </c>
      <c r="H105" s="480">
        <f t="shared" si="2"/>
        <v>0</v>
      </c>
      <c r="I105" s="480">
        <f t="shared" si="2"/>
        <v>0</v>
      </c>
      <c r="J105" s="480">
        <f t="shared" si="2"/>
        <v>0</v>
      </c>
      <c r="K105" s="480">
        <f t="shared" si="2"/>
        <v>0</v>
      </c>
      <c r="L105" s="480">
        <f t="shared" si="2"/>
        <v>0</v>
      </c>
      <c r="M105" s="480">
        <f t="shared" si="2"/>
        <v>0</v>
      </c>
      <c r="N105" s="480">
        <f t="shared" si="2"/>
        <v>0</v>
      </c>
      <c r="O105" s="480">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G4">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ColWidth="11.453125" defaultRowHeight="12.5"/>
  <cols>
    <col min="1" max="1" width="24.453125" style="251" customWidth="1"/>
    <col min="2" max="2" width="5.6328125" style="251" customWidth="1"/>
    <col min="3" max="14" width="11.453125" style="251"/>
    <col min="15" max="15" width="11.453125" style="275"/>
    <col min="16" max="16384" width="11.453125" style="251"/>
  </cols>
  <sheetData>
    <row r="1" spans="1:15" customFormat="1"/>
    <row r="2" spans="1:15" customFormat="1"/>
    <row r="3" spans="1:15" customFormat="1"/>
    <row r="4" spans="1:15" s="261" customFormat="1"/>
    <row r="5" spans="1:15" s="261" customFormat="1"/>
    <row r="6" spans="1:15" s="261" customFormat="1"/>
    <row r="7" spans="1:15" s="261" customFormat="1"/>
    <row r="8" spans="1:15" ht="25">
      <c r="A8" s="105" t="str">
        <f>RG!D17</f>
        <v>Jhon Wesly inc.</v>
      </c>
      <c r="E8" s="234"/>
    </row>
    <row r="9" spans="1:15" ht="13.5" thickBot="1">
      <c r="C9" s="328"/>
      <c r="E9" s="234"/>
      <c r="I9" s="327"/>
    </row>
    <row r="10" spans="1:15" ht="15.5" thickBot="1">
      <c r="A10" s="72" t="s">
        <v>146</v>
      </c>
      <c r="B10" s="106"/>
      <c r="C10" s="107"/>
      <c r="D10" s="107"/>
      <c r="E10" s="107"/>
      <c r="F10" s="1194" t="s">
        <v>66</v>
      </c>
      <c r="G10" s="1194"/>
      <c r="H10" s="1194"/>
      <c r="I10" s="751" t="s">
        <v>67</v>
      </c>
      <c r="J10" s="753">
        <v>0</v>
      </c>
      <c r="K10" s="107"/>
      <c r="L10" s="107"/>
      <c r="M10" s="107"/>
      <c r="N10" s="107"/>
      <c r="O10" s="107"/>
    </row>
    <row r="11" spans="1:15" ht="15.5" thickBot="1">
      <c r="A11" s="72"/>
      <c r="B11" s="106"/>
      <c r="C11" s="107"/>
      <c r="D11" s="107"/>
      <c r="E11" s="107"/>
      <c r="F11" s="107"/>
      <c r="G11" s="107"/>
      <c r="H11" s="107"/>
      <c r="I11" s="107"/>
      <c r="J11" s="107"/>
      <c r="K11" s="107"/>
      <c r="L11" s="107"/>
      <c r="M11" s="107"/>
      <c r="N11" s="107"/>
      <c r="O11" s="107"/>
    </row>
    <row r="12" spans="1:15" ht="15.5" thickBot="1">
      <c r="A12" s="72"/>
      <c r="B12" s="106"/>
      <c r="C12" s="482">
        <f>'FG3'!C12+366</f>
        <v>46396</v>
      </c>
      <c r="D12" s="482">
        <f t="shared" ref="D12:N12" si="0">C12+31</f>
        <v>46427</v>
      </c>
      <c r="E12" s="482">
        <f t="shared" si="0"/>
        <v>46458</v>
      </c>
      <c r="F12" s="482">
        <f t="shared" si="0"/>
        <v>46489</v>
      </c>
      <c r="G12" s="482">
        <f t="shared" si="0"/>
        <v>46520</v>
      </c>
      <c r="H12" s="482">
        <f t="shared" si="0"/>
        <v>46551</v>
      </c>
      <c r="I12" s="482">
        <f t="shared" si="0"/>
        <v>46582</v>
      </c>
      <c r="J12" s="482">
        <f t="shared" si="0"/>
        <v>46613</v>
      </c>
      <c r="K12" s="482">
        <f t="shared" si="0"/>
        <v>46644</v>
      </c>
      <c r="L12" s="482">
        <f t="shared" si="0"/>
        <v>46675</v>
      </c>
      <c r="M12" s="482">
        <f t="shared" si="0"/>
        <v>46706</v>
      </c>
      <c r="N12" s="482">
        <f t="shared" si="0"/>
        <v>46737</v>
      </c>
      <c r="O12" s="258" t="s">
        <v>489</v>
      </c>
    </row>
    <row r="13" spans="1:15" ht="13.5" thickBot="1">
      <c r="A13" s="853" t="s">
        <v>651</v>
      </c>
      <c r="B13" s="854"/>
      <c r="C13" s="855"/>
      <c r="D13" s="855"/>
      <c r="E13" s="855"/>
      <c r="F13" s="855"/>
      <c r="G13" s="855"/>
      <c r="H13" s="855"/>
      <c r="I13" s="855"/>
      <c r="J13" s="855"/>
      <c r="K13" s="855"/>
      <c r="L13" s="855"/>
      <c r="M13" s="855"/>
      <c r="N13" s="855"/>
      <c r="O13" s="855"/>
    </row>
    <row r="14" spans="1:15" s="261" customFormat="1" ht="13.5" thickBot="1">
      <c r="A14" s="1188" t="str">
        <f>'FG3'!A14:B14</f>
        <v>Loyer</v>
      </c>
      <c r="B14" s="1188"/>
      <c r="C14" s="393">
        <f>'FG3'!C14*(1+$J$10)</f>
        <v>0</v>
      </c>
      <c r="D14" s="393">
        <f>'FG3'!D14*(1+$J$10)</f>
        <v>0</v>
      </c>
      <c r="E14" s="393">
        <f>'FG3'!E14*(1+$J$10)</f>
        <v>0</v>
      </c>
      <c r="F14" s="393">
        <f>'FG3'!F14*(1+$J$10)</f>
        <v>0</v>
      </c>
      <c r="G14" s="393">
        <f>'FG3'!G14*(1+$J$10)</f>
        <v>0</v>
      </c>
      <c r="H14" s="393">
        <f>'FG3'!H14*(1+$J$10)</f>
        <v>0</v>
      </c>
      <c r="I14" s="393">
        <f>'FG3'!I14*(1+$J$10)</f>
        <v>0</v>
      </c>
      <c r="J14" s="393">
        <f>'FG3'!J14*(1+$J$10)</f>
        <v>0</v>
      </c>
      <c r="K14" s="393">
        <f>'FG3'!K14*(1+$J$10)</f>
        <v>0</v>
      </c>
      <c r="L14" s="393">
        <f>'FG3'!L14*(1+$J$10)</f>
        <v>0</v>
      </c>
      <c r="M14" s="393">
        <f>'FG3'!M14*(1+$J$10)</f>
        <v>0</v>
      </c>
      <c r="N14" s="393">
        <f>'FG3'!N14*(1+$J$10)</f>
        <v>0</v>
      </c>
      <c r="O14" s="76">
        <f>SUM(C14:N14)</f>
        <v>0</v>
      </c>
    </row>
    <row r="15" spans="1:15" s="261" customFormat="1" ht="13.5" thickBot="1">
      <c r="A15" s="78"/>
      <c r="B15" s="78"/>
      <c r="C15" s="110"/>
      <c r="D15" s="110"/>
      <c r="E15" s="110"/>
      <c r="F15" s="110"/>
      <c r="G15" s="110"/>
      <c r="H15" s="110"/>
      <c r="I15" s="110"/>
      <c r="J15" s="110"/>
      <c r="K15" s="110"/>
      <c r="L15" s="110"/>
      <c r="M15" s="110"/>
      <c r="N15" s="110"/>
      <c r="O15" s="77"/>
    </row>
    <row r="16" spans="1:15" s="261" customFormat="1" ht="13.5" thickBot="1">
      <c r="A16" s="1188" t="str">
        <f>'FG3'!A16:B16</f>
        <v>Coût d'énergie</v>
      </c>
      <c r="B16" s="1188"/>
      <c r="C16" s="393">
        <f>'FG3'!C16*(1+$J$10)</f>
        <v>0</v>
      </c>
      <c r="D16" s="393">
        <f>'FG3'!D16*(1+$J$10)</f>
        <v>0</v>
      </c>
      <c r="E16" s="393">
        <f>'FG3'!E16*(1+$J$10)</f>
        <v>0</v>
      </c>
      <c r="F16" s="393">
        <f>'FG3'!F16*(1+$J$10)</f>
        <v>0</v>
      </c>
      <c r="G16" s="393">
        <f>'FG3'!G16*(1+$J$10)</f>
        <v>0</v>
      </c>
      <c r="H16" s="393">
        <f>'FG3'!H16*(1+$J$10)</f>
        <v>0</v>
      </c>
      <c r="I16" s="393">
        <f>'FG3'!I16*(1+$J$10)</f>
        <v>0</v>
      </c>
      <c r="J16" s="393">
        <f>'FG3'!J16*(1+$J$10)</f>
        <v>0</v>
      </c>
      <c r="K16" s="393">
        <f>'FG3'!K16*(1+$J$10)</f>
        <v>0</v>
      </c>
      <c r="L16" s="393">
        <f>'FG3'!L16*(1+$J$10)</f>
        <v>0</v>
      </c>
      <c r="M16" s="393">
        <f>'FG3'!M16*(1+$J$10)</f>
        <v>0</v>
      </c>
      <c r="N16" s="393">
        <f>'FG3'!N16*(1+$J$10)</f>
        <v>0</v>
      </c>
      <c r="O16" s="76">
        <f>SUM(C16:N16)</f>
        <v>0</v>
      </c>
    </row>
    <row r="17" spans="1:15" s="261" customFormat="1" ht="13.5" thickBot="1">
      <c r="A17" s="78"/>
      <c r="B17" s="78"/>
      <c r="C17" s="110"/>
      <c r="D17" s="110"/>
      <c r="E17" s="110"/>
      <c r="F17" s="110"/>
      <c r="G17" s="110"/>
      <c r="H17" s="110"/>
      <c r="I17" s="110"/>
      <c r="J17" s="110"/>
      <c r="K17" s="110"/>
      <c r="L17" s="110"/>
      <c r="M17" s="110"/>
      <c r="N17" s="110"/>
      <c r="O17" s="77"/>
    </row>
    <row r="18" spans="1:15" s="261" customFormat="1" ht="13.5" thickBot="1">
      <c r="A18" s="1188" t="str">
        <f>'FG3'!A18:B18</f>
        <v>Entretien / réparation</v>
      </c>
      <c r="B18" s="1188"/>
      <c r="C18" s="393">
        <f>'FG3'!C18*(1+$J$10)</f>
        <v>0</v>
      </c>
      <c r="D18" s="393">
        <f>'FG3'!D18*(1+$J$10)</f>
        <v>0</v>
      </c>
      <c r="E18" s="393">
        <f>'FG3'!E18*(1+$J$10)</f>
        <v>0</v>
      </c>
      <c r="F18" s="393">
        <f>'FG3'!F18*(1+$J$10)</f>
        <v>0</v>
      </c>
      <c r="G18" s="393">
        <f>'FG3'!G18*(1+$J$10)</f>
        <v>0</v>
      </c>
      <c r="H18" s="393">
        <f>'FG3'!H18*(1+$J$10)</f>
        <v>0</v>
      </c>
      <c r="I18" s="393">
        <f>'FG3'!I18*(1+$J$10)</f>
        <v>0</v>
      </c>
      <c r="J18" s="393">
        <f>'FG3'!J18*(1+$J$10)</f>
        <v>0</v>
      </c>
      <c r="K18" s="393">
        <f>'FG3'!K18*(1+$J$10)</f>
        <v>0</v>
      </c>
      <c r="L18" s="393">
        <f>'FG3'!L18*(1+$J$10)</f>
        <v>0</v>
      </c>
      <c r="M18" s="393">
        <f>'FG3'!M18*(1+$J$10)</f>
        <v>0</v>
      </c>
      <c r="N18" s="393">
        <f>'FG3'!N18*(1+$J$10)</f>
        <v>0</v>
      </c>
      <c r="O18" s="76">
        <f>SUM(C18:N18)</f>
        <v>0</v>
      </c>
    </row>
    <row r="19" spans="1:15" s="261" customFormat="1" ht="13.5" thickBot="1">
      <c r="A19" s="78"/>
      <c r="B19" s="78"/>
      <c r="C19" s="110"/>
      <c r="D19" s="110"/>
      <c r="E19" s="110"/>
      <c r="F19" s="110"/>
      <c r="G19" s="110"/>
      <c r="H19" s="110"/>
      <c r="I19" s="110"/>
      <c r="J19" s="110"/>
      <c r="K19" s="110"/>
      <c r="L19" s="110"/>
      <c r="M19" s="110"/>
      <c r="N19" s="110"/>
      <c r="O19" s="77"/>
    </row>
    <row r="20" spans="1:15" s="261" customFormat="1" ht="13.5" thickBot="1">
      <c r="A20" s="1188" t="str">
        <f>'FG3'!A20:B20</f>
        <v>Services sanitaires</v>
      </c>
      <c r="B20" s="1188"/>
      <c r="C20" s="393">
        <f>'FG3'!C20*(1+$J$10)</f>
        <v>0</v>
      </c>
      <c r="D20" s="393">
        <f>'FG3'!D20*(1+$J$10)</f>
        <v>0</v>
      </c>
      <c r="E20" s="393">
        <f>'FG3'!E20*(1+$J$10)</f>
        <v>0</v>
      </c>
      <c r="F20" s="393">
        <f>'FG3'!F20*(1+$J$10)</f>
        <v>0</v>
      </c>
      <c r="G20" s="393">
        <f>'FG3'!G20*(1+$J$10)</f>
        <v>0</v>
      </c>
      <c r="H20" s="393">
        <f>'FG3'!H20*(1+$J$10)</f>
        <v>0</v>
      </c>
      <c r="I20" s="393">
        <f>'FG3'!I20*(1+$J$10)</f>
        <v>0</v>
      </c>
      <c r="J20" s="393">
        <f>'FG3'!J20*(1+$J$10)</f>
        <v>0</v>
      </c>
      <c r="K20" s="393">
        <f>'FG3'!K20*(1+$J$10)</f>
        <v>0</v>
      </c>
      <c r="L20" s="393">
        <f>'FG3'!L20*(1+$J$10)</f>
        <v>0</v>
      </c>
      <c r="M20" s="393">
        <f>'FG3'!M20*(1+$J$10)</f>
        <v>0</v>
      </c>
      <c r="N20" s="393">
        <f>'FG3'!N20*(1+$J$10)</f>
        <v>0</v>
      </c>
      <c r="O20" s="76">
        <f>SUM(C20:N20)</f>
        <v>0</v>
      </c>
    </row>
    <row r="21" spans="1:15" s="261" customFormat="1" ht="13.5" thickBot="1">
      <c r="A21" s="78"/>
      <c r="B21" s="78"/>
      <c r="C21" s="110"/>
      <c r="D21" s="110"/>
      <c r="E21" s="110"/>
      <c r="F21" s="110"/>
      <c r="G21" s="110"/>
      <c r="H21" s="110"/>
      <c r="I21" s="110"/>
      <c r="J21" s="110"/>
      <c r="K21" s="110"/>
      <c r="L21" s="110"/>
      <c r="M21" s="110"/>
      <c r="N21" s="110"/>
      <c r="O21" s="77"/>
    </row>
    <row r="22" spans="1:15" s="261" customFormat="1" ht="13.5" thickBot="1">
      <c r="A22" s="1188" t="str">
        <f>'FG3'!A22:B22</f>
        <v>Frais de déplacement</v>
      </c>
      <c r="B22" s="1188"/>
      <c r="C22" s="393">
        <f>'FG3'!C22*(1+$J$10)</f>
        <v>0</v>
      </c>
      <c r="D22" s="393">
        <f>'FG3'!D22*(1+$J$10)</f>
        <v>0</v>
      </c>
      <c r="E22" s="393">
        <f>'FG3'!E22*(1+$J$10)</f>
        <v>0</v>
      </c>
      <c r="F22" s="393">
        <f>'FG3'!F22*(1+$J$10)</f>
        <v>0</v>
      </c>
      <c r="G22" s="393">
        <f>'FG3'!G22*(1+$J$10)</f>
        <v>0</v>
      </c>
      <c r="H22" s="393">
        <f>'FG3'!H22*(1+$J$10)</f>
        <v>0</v>
      </c>
      <c r="I22" s="393">
        <f>'FG3'!I22*(1+$J$10)</f>
        <v>0</v>
      </c>
      <c r="J22" s="393">
        <f>'FG3'!J22*(1+$J$10)</f>
        <v>0</v>
      </c>
      <c r="K22" s="393">
        <f>'FG3'!K22*(1+$J$10)</f>
        <v>0</v>
      </c>
      <c r="L22" s="393">
        <f>'FG3'!L22*(1+$J$10)</f>
        <v>0</v>
      </c>
      <c r="M22" s="393">
        <f>'FG3'!M22*(1+$J$10)</f>
        <v>0</v>
      </c>
      <c r="N22" s="393">
        <f>'FG3'!N22*(1+$J$10)</f>
        <v>0</v>
      </c>
      <c r="O22" s="76">
        <f>SUM(C22:N22)</f>
        <v>0</v>
      </c>
    </row>
    <row r="23" spans="1:15" s="261" customFormat="1" ht="13.5" thickBot="1">
      <c r="A23" s="78"/>
      <c r="B23" s="78"/>
      <c r="C23" s="110"/>
      <c r="D23" s="110"/>
      <c r="E23" s="110"/>
      <c r="F23" s="110"/>
      <c r="G23" s="110"/>
      <c r="H23" s="110"/>
      <c r="I23" s="110"/>
      <c r="J23" s="110"/>
      <c r="K23" s="110"/>
      <c r="L23" s="110"/>
      <c r="M23" s="110"/>
      <c r="N23" s="110"/>
      <c r="O23" s="77"/>
    </row>
    <row r="24" spans="1:15" s="261" customFormat="1" ht="13.5" thickBot="1">
      <c r="A24" s="1188" t="str">
        <f>'FG3'!A24:B24</f>
        <v>Immatriculation et permis</v>
      </c>
      <c r="B24" s="1188"/>
      <c r="C24" s="393">
        <f>'FG3'!C24*(1+$J$10)</f>
        <v>0</v>
      </c>
      <c r="D24" s="393">
        <f>'FG3'!D24*(1+$J$10)</f>
        <v>0</v>
      </c>
      <c r="E24" s="393">
        <f>'FG3'!E24*(1+$J$10)</f>
        <v>0</v>
      </c>
      <c r="F24" s="393">
        <f>'FG3'!F24*(1+$J$10)</f>
        <v>0</v>
      </c>
      <c r="G24" s="393">
        <f>'FG3'!G24*(1+$J$10)</f>
        <v>0</v>
      </c>
      <c r="H24" s="393">
        <f>'FG3'!H24*(1+$J$10)</f>
        <v>0</v>
      </c>
      <c r="I24" s="393">
        <f>'FG3'!I24*(1+$J$10)</f>
        <v>0</v>
      </c>
      <c r="J24" s="393">
        <f>'FG3'!J24*(1+$J$10)</f>
        <v>0</v>
      </c>
      <c r="K24" s="393">
        <f>'FG3'!K24*(1+$J$10)</f>
        <v>0</v>
      </c>
      <c r="L24" s="393">
        <f>'FG3'!L24*(1+$J$10)</f>
        <v>0</v>
      </c>
      <c r="M24" s="393">
        <f>'FG3'!M24*(1+$J$10)</f>
        <v>0</v>
      </c>
      <c r="N24" s="393">
        <f>'FG3'!N24*(1+$J$10)</f>
        <v>0</v>
      </c>
      <c r="O24" s="76">
        <f>SUM(C24:N24)</f>
        <v>0</v>
      </c>
    </row>
    <row r="25" spans="1:15" s="261" customFormat="1" ht="13.5" thickBot="1">
      <c r="A25" s="78"/>
      <c r="B25" s="78"/>
      <c r="C25" s="110"/>
      <c r="D25" s="110"/>
      <c r="E25" s="110"/>
      <c r="F25" s="110"/>
      <c r="G25" s="110"/>
      <c r="H25" s="110"/>
      <c r="I25" s="110"/>
      <c r="J25" s="110"/>
      <c r="K25" s="110"/>
      <c r="L25" s="110"/>
      <c r="M25" s="110"/>
      <c r="N25" s="110"/>
      <c r="O25" s="77"/>
    </row>
    <row r="26" spans="1:15" s="261" customFormat="1" ht="13.5" thickBot="1">
      <c r="A26" s="1188" t="str">
        <f>'FG3'!A26:B26</f>
        <v>Assurances</v>
      </c>
      <c r="B26" s="1188"/>
      <c r="C26" s="393">
        <f>'FG3'!C26*(1+$J$10)</f>
        <v>0</v>
      </c>
      <c r="D26" s="393">
        <f>'FG3'!D26*(1+$J$10)</f>
        <v>0</v>
      </c>
      <c r="E26" s="393">
        <f>'FG3'!E26*(1+$J$10)</f>
        <v>0</v>
      </c>
      <c r="F26" s="393">
        <f>'FG3'!F26*(1+$J$10)</f>
        <v>0</v>
      </c>
      <c r="G26" s="393">
        <f>'FG3'!G26*(1+$J$10)</f>
        <v>0</v>
      </c>
      <c r="H26" s="393">
        <f>'FG3'!H26*(1+$J$10)</f>
        <v>0</v>
      </c>
      <c r="I26" s="393">
        <f>'FG3'!I26*(1+$J$10)</f>
        <v>0</v>
      </c>
      <c r="J26" s="393">
        <f>'FG3'!J26*(1+$J$10)</f>
        <v>0</v>
      </c>
      <c r="K26" s="393">
        <f>'FG3'!K26*(1+$J$10)</f>
        <v>0</v>
      </c>
      <c r="L26" s="393">
        <f>'FG3'!L26*(1+$J$10)</f>
        <v>0</v>
      </c>
      <c r="M26" s="393">
        <f>'FG3'!M26*(1+$J$10)</f>
        <v>0</v>
      </c>
      <c r="N26" s="393">
        <f>'FG3'!N26*(1+$J$10)</f>
        <v>0</v>
      </c>
      <c r="O26" s="76">
        <f>SUM(C26:N26)</f>
        <v>0</v>
      </c>
    </row>
    <row r="27" spans="1:15" s="261" customFormat="1" ht="13.5" thickBot="1">
      <c r="A27" s="78"/>
      <c r="B27" s="78"/>
      <c r="C27" s="110"/>
      <c r="D27" s="110"/>
      <c r="E27" s="110"/>
      <c r="F27" s="110"/>
      <c r="G27" s="110"/>
      <c r="H27" s="110"/>
      <c r="I27" s="110"/>
      <c r="J27" s="110"/>
      <c r="K27" s="110"/>
      <c r="L27" s="110"/>
      <c r="M27" s="110"/>
      <c r="N27" s="110"/>
      <c r="O27" s="77"/>
    </row>
    <row r="28" spans="1:15" s="261" customFormat="1" ht="13.5" thickBot="1">
      <c r="A28" s="1188" t="str">
        <f>'FG3'!A28:B28</f>
        <v>Dépenses R&amp;D</v>
      </c>
      <c r="B28" s="1188"/>
      <c r="C28" s="393">
        <f>'FG3'!C28*(1+$J$10)</f>
        <v>0</v>
      </c>
      <c r="D28" s="393">
        <f>'FG3'!D28*(1+$J$10)</f>
        <v>0</v>
      </c>
      <c r="E28" s="393">
        <f>'FG3'!E28*(1+$J$10)</f>
        <v>0</v>
      </c>
      <c r="F28" s="393">
        <f>'FG3'!F28*(1+$J$10)</f>
        <v>0</v>
      </c>
      <c r="G28" s="393">
        <f>'FG3'!G28*(1+$J$10)</f>
        <v>0</v>
      </c>
      <c r="H28" s="393">
        <f>'FG3'!H28*(1+$J$10)</f>
        <v>0</v>
      </c>
      <c r="I28" s="393">
        <f>'FG3'!I28*(1+$J$10)</f>
        <v>0</v>
      </c>
      <c r="J28" s="393">
        <f>'FG3'!J28*(1+$J$10)</f>
        <v>0</v>
      </c>
      <c r="K28" s="393">
        <f>'FG3'!K28*(1+$J$10)</f>
        <v>0</v>
      </c>
      <c r="L28" s="393">
        <f>'FG3'!L28*(1+$J$10)</f>
        <v>0</v>
      </c>
      <c r="M28" s="393">
        <f>'FG3'!M28*(1+$J$10)</f>
        <v>0</v>
      </c>
      <c r="N28" s="393">
        <f>'FG3'!N28*(1+$J$10)</f>
        <v>0</v>
      </c>
      <c r="O28" s="76">
        <f>SUM(C28:N28)</f>
        <v>0</v>
      </c>
    </row>
    <row r="29" spans="1:15" s="261" customFormat="1" ht="13.5" thickBot="1">
      <c r="A29" s="78"/>
      <c r="B29" s="78"/>
      <c r="C29" s="110"/>
      <c r="D29" s="110"/>
      <c r="E29" s="110"/>
      <c r="F29" s="110"/>
      <c r="G29" s="110"/>
      <c r="H29" s="110"/>
      <c r="I29" s="110"/>
      <c r="J29" s="110"/>
      <c r="K29" s="110"/>
      <c r="L29" s="110"/>
      <c r="M29" s="110"/>
      <c r="N29" s="110"/>
      <c r="O29" s="77"/>
    </row>
    <row r="30" spans="1:15" s="261" customFormat="1" ht="13.5" thickBot="1">
      <c r="A30" s="1188" t="str">
        <f>'FG3'!A30:B30</f>
        <v>Autre frais d'exploitation 1</v>
      </c>
      <c r="B30" s="1188"/>
      <c r="C30" s="393">
        <f>'FG3'!C30*(1+$J$10)</f>
        <v>0</v>
      </c>
      <c r="D30" s="393">
        <f>'FG3'!D30*(1+$J$10)</f>
        <v>0</v>
      </c>
      <c r="E30" s="393">
        <f>'FG3'!E30*(1+$J$10)</f>
        <v>0</v>
      </c>
      <c r="F30" s="393">
        <f>'FG3'!F30*(1+$J$10)</f>
        <v>0</v>
      </c>
      <c r="G30" s="393">
        <f>'FG3'!G30*(1+$J$10)</f>
        <v>0</v>
      </c>
      <c r="H30" s="393">
        <f>'FG3'!H30*(1+$J$10)</f>
        <v>0</v>
      </c>
      <c r="I30" s="393">
        <f>'FG3'!I30*(1+$J$10)</f>
        <v>0</v>
      </c>
      <c r="J30" s="393">
        <f>'FG3'!J30*(1+$J$10)</f>
        <v>0</v>
      </c>
      <c r="K30" s="393">
        <f>'FG3'!K30*(1+$J$10)</f>
        <v>0</v>
      </c>
      <c r="L30" s="393">
        <f>'FG3'!L30*(1+$J$10)</f>
        <v>0</v>
      </c>
      <c r="M30" s="393">
        <f>'FG3'!M30*(1+$J$10)</f>
        <v>0</v>
      </c>
      <c r="N30" s="393">
        <f>'FG3'!N30*(1+$J$10)</f>
        <v>0</v>
      </c>
      <c r="O30" s="76">
        <f>SUM(C30:N30)</f>
        <v>0</v>
      </c>
    </row>
    <row r="31" spans="1:15" s="261" customFormat="1" ht="13.5" thickBot="1">
      <c r="A31" s="78"/>
      <c r="B31" s="78"/>
      <c r="C31" s="110"/>
      <c r="D31" s="110"/>
      <c r="E31" s="110"/>
      <c r="F31" s="110"/>
      <c r="G31" s="110"/>
      <c r="H31" s="110"/>
      <c r="I31" s="110"/>
      <c r="J31" s="110"/>
      <c r="K31" s="110"/>
      <c r="L31" s="110"/>
      <c r="M31" s="110"/>
      <c r="N31" s="110"/>
      <c r="O31" s="77"/>
    </row>
    <row r="32" spans="1:15" s="261" customFormat="1" ht="13.5" thickBot="1">
      <c r="A32" s="1188" t="str">
        <f>'FG3'!A32:B32</f>
        <v>Autre frais d'exploitation 2</v>
      </c>
      <c r="B32" s="1188"/>
      <c r="C32" s="393">
        <f>'FG3'!C32*(1+$J$10)</f>
        <v>0</v>
      </c>
      <c r="D32" s="393">
        <f>'FG3'!D32*(1+$J$10)</f>
        <v>0</v>
      </c>
      <c r="E32" s="393">
        <f>'FG3'!E32*(1+$J$10)</f>
        <v>0</v>
      </c>
      <c r="F32" s="393">
        <f>'FG3'!F32*(1+$J$10)</f>
        <v>0</v>
      </c>
      <c r="G32" s="393">
        <f>'FG3'!G32*(1+$J$10)</f>
        <v>0</v>
      </c>
      <c r="H32" s="393">
        <f>'FG3'!H32*(1+$J$10)</f>
        <v>0</v>
      </c>
      <c r="I32" s="393">
        <f>'FG3'!I32*(1+$J$10)</f>
        <v>0</v>
      </c>
      <c r="J32" s="393">
        <f>'FG3'!J32*(1+$J$10)</f>
        <v>0</v>
      </c>
      <c r="K32" s="393">
        <f>'FG3'!K32*(1+$J$10)</f>
        <v>0</v>
      </c>
      <c r="L32" s="393">
        <f>'FG3'!L32*(1+$J$10)</f>
        <v>0</v>
      </c>
      <c r="M32" s="393">
        <f>'FG3'!M32*(1+$J$10)</f>
        <v>0</v>
      </c>
      <c r="N32" s="393">
        <f>'FG3'!N32*(1+$J$10)</f>
        <v>0</v>
      </c>
      <c r="O32" s="76">
        <f>SUM(C32:N32)</f>
        <v>0</v>
      </c>
    </row>
    <row r="33" spans="1:15" s="261" customFormat="1" ht="13.5" thickBot="1">
      <c r="A33" s="78"/>
      <c r="B33" s="78"/>
      <c r="C33" s="110"/>
      <c r="D33" s="110"/>
      <c r="E33" s="110"/>
      <c r="F33" s="110"/>
      <c r="G33" s="110"/>
      <c r="H33" s="110"/>
      <c r="I33" s="110"/>
      <c r="J33" s="110"/>
      <c r="K33" s="110"/>
      <c r="L33" s="110"/>
      <c r="M33" s="110"/>
      <c r="N33" s="110"/>
      <c r="O33" s="77"/>
    </row>
    <row r="34" spans="1:15" s="261" customFormat="1" ht="13.5" thickBot="1">
      <c r="A34" s="1188" t="str">
        <f>'FG3'!A34:B34</f>
        <v>Autre frais d'exploitation 3</v>
      </c>
      <c r="B34" s="1188"/>
      <c r="C34" s="393">
        <f>'FG3'!C34*(1+$J$10)</f>
        <v>0</v>
      </c>
      <c r="D34" s="393">
        <f>'FG3'!D34*(1+$J$10)</f>
        <v>0</v>
      </c>
      <c r="E34" s="393">
        <f>'FG3'!E34*(1+$J$10)</f>
        <v>0</v>
      </c>
      <c r="F34" s="393">
        <f>'FG3'!F34*(1+$J$10)</f>
        <v>0</v>
      </c>
      <c r="G34" s="393">
        <f>'FG3'!G34*(1+$J$10)</f>
        <v>0</v>
      </c>
      <c r="H34" s="393">
        <f>'FG3'!H34*(1+$J$10)</f>
        <v>0</v>
      </c>
      <c r="I34" s="393">
        <f>'FG3'!I34*(1+$J$10)</f>
        <v>0</v>
      </c>
      <c r="J34" s="393">
        <f>'FG3'!J34*(1+$J$10)</f>
        <v>0</v>
      </c>
      <c r="K34" s="393">
        <f>'FG3'!K34*(1+$J$10)</f>
        <v>0</v>
      </c>
      <c r="L34" s="393">
        <f>'FG3'!L34*(1+$J$10)</f>
        <v>0</v>
      </c>
      <c r="M34" s="393">
        <f>'FG3'!M34*(1+$J$10)</f>
        <v>0</v>
      </c>
      <c r="N34" s="393">
        <f>'FG3'!N34*(1+$J$10)</f>
        <v>0</v>
      </c>
      <c r="O34" s="76">
        <f>SUM(C34:N34)</f>
        <v>0</v>
      </c>
    </row>
    <row r="35" spans="1:15" s="261" customFormat="1" ht="13.5" thickBot="1">
      <c r="A35" s="78"/>
      <c r="B35" s="78"/>
      <c r="C35" s="110"/>
      <c r="D35" s="110"/>
      <c r="E35" s="110"/>
      <c r="F35" s="110"/>
      <c r="G35" s="110"/>
      <c r="H35" s="110"/>
      <c r="I35" s="110"/>
      <c r="J35" s="110"/>
      <c r="K35" s="110"/>
      <c r="L35" s="110"/>
      <c r="M35" s="110"/>
      <c r="N35" s="110"/>
      <c r="O35" s="77"/>
    </row>
    <row r="36" spans="1:15" s="261" customFormat="1" ht="13.5" thickBot="1">
      <c r="A36" s="1188" t="str">
        <f>'FG3'!A36:B36</f>
        <v>Autre frais d'exploitation 4</v>
      </c>
      <c r="B36" s="1188"/>
      <c r="C36" s="393">
        <f>'FG3'!C36*(1+$J$10)</f>
        <v>0</v>
      </c>
      <c r="D36" s="393">
        <f>'FG3'!D36*(1+$J$10)</f>
        <v>0</v>
      </c>
      <c r="E36" s="393">
        <f>'FG3'!E36*(1+$J$10)</f>
        <v>0</v>
      </c>
      <c r="F36" s="393">
        <f>'FG3'!F36*(1+$J$10)</f>
        <v>0</v>
      </c>
      <c r="G36" s="393">
        <f>'FG3'!G36*(1+$J$10)</f>
        <v>0</v>
      </c>
      <c r="H36" s="393">
        <f>'FG3'!H36*(1+$J$10)</f>
        <v>0</v>
      </c>
      <c r="I36" s="393">
        <f>'FG3'!I36*(1+$J$10)</f>
        <v>0</v>
      </c>
      <c r="J36" s="393">
        <f>'FG3'!J36*(1+$J$10)</f>
        <v>0</v>
      </c>
      <c r="K36" s="393">
        <f>'FG3'!K36*(1+$J$10)</f>
        <v>0</v>
      </c>
      <c r="L36" s="393">
        <f>'FG3'!L36*(1+$J$10)</f>
        <v>0</v>
      </c>
      <c r="M36" s="393">
        <f>'FG3'!M36*(1+$J$10)</f>
        <v>0</v>
      </c>
      <c r="N36" s="393">
        <f>'FG3'!N36*(1+$J$10)</f>
        <v>0</v>
      </c>
      <c r="O36" s="76">
        <f>SUM(C36:N36)</f>
        <v>0</v>
      </c>
    </row>
    <row r="37" spans="1:15" s="261" customFormat="1" ht="13.5" thickBot="1">
      <c r="A37" s="78"/>
      <c r="B37" s="78"/>
      <c r="C37" s="110"/>
      <c r="D37" s="110"/>
      <c r="E37" s="110"/>
      <c r="F37" s="110"/>
      <c r="G37" s="110"/>
      <c r="H37" s="110"/>
      <c r="I37" s="110"/>
      <c r="J37" s="110"/>
      <c r="K37" s="110"/>
      <c r="L37" s="110"/>
      <c r="M37" s="110"/>
      <c r="N37" s="110"/>
      <c r="O37" s="77"/>
    </row>
    <row r="38" spans="1:15" s="261" customFormat="1" ht="13.5" thickBot="1">
      <c r="A38" s="1188" t="str">
        <f>'FG3'!A38:B38</f>
        <v>Autre frais d'exploitation 5</v>
      </c>
      <c r="B38" s="1188"/>
      <c r="C38" s="393">
        <f>'FG3'!C38*(1+$J$10)</f>
        <v>0</v>
      </c>
      <c r="D38" s="393">
        <f>'FG3'!D38*(1+$J$10)</f>
        <v>0</v>
      </c>
      <c r="E38" s="393">
        <f>'FG3'!E38*(1+$J$10)</f>
        <v>0</v>
      </c>
      <c r="F38" s="393">
        <f>'FG3'!F38*(1+$J$10)</f>
        <v>0</v>
      </c>
      <c r="G38" s="393">
        <f>'FG3'!G38*(1+$J$10)</f>
        <v>0</v>
      </c>
      <c r="H38" s="393">
        <f>'FG3'!H38*(1+$J$10)</f>
        <v>0</v>
      </c>
      <c r="I38" s="393">
        <f>'FG3'!I38*(1+$J$10)</f>
        <v>0</v>
      </c>
      <c r="J38" s="393">
        <f>'FG3'!J38*(1+$J$10)</f>
        <v>0</v>
      </c>
      <c r="K38" s="393">
        <f>'FG3'!K38*(1+$J$10)</f>
        <v>0</v>
      </c>
      <c r="L38" s="393">
        <f>'FG3'!L38*(1+$J$10)</f>
        <v>0</v>
      </c>
      <c r="M38" s="393">
        <f>'FG3'!M38*(1+$J$10)</f>
        <v>0</v>
      </c>
      <c r="N38" s="393">
        <f>'FG3'!N38*(1+$J$10)</f>
        <v>0</v>
      </c>
      <c r="O38" s="76">
        <f>SUM(C38:N38)</f>
        <v>0</v>
      </c>
    </row>
    <row r="39" spans="1:15" s="261" customFormat="1" ht="13.5" thickBot="1">
      <c r="A39" s="78"/>
      <c r="B39" s="78"/>
      <c r="C39" s="110"/>
      <c r="D39" s="110"/>
      <c r="E39" s="110"/>
      <c r="F39" s="110"/>
      <c r="G39" s="110"/>
      <c r="H39" s="110"/>
      <c r="I39" s="110"/>
      <c r="J39" s="110"/>
      <c r="K39" s="110"/>
      <c r="L39" s="110"/>
      <c r="M39" s="110"/>
      <c r="N39" s="110"/>
      <c r="O39" s="77"/>
    </row>
    <row r="40" spans="1:15" s="261" customFormat="1" ht="13.5" thickBot="1">
      <c r="A40" s="1188" t="str">
        <f>'FG3'!A40:B40</f>
        <v>Autre frais d'exploitation 6</v>
      </c>
      <c r="B40" s="1188"/>
      <c r="C40" s="393">
        <f>'FG3'!C40*(1+$J$10)</f>
        <v>0</v>
      </c>
      <c r="D40" s="393">
        <f>'FG3'!D40*(1+$J$10)</f>
        <v>0</v>
      </c>
      <c r="E40" s="393">
        <f>'FG3'!E40*(1+$J$10)</f>
        <v>0</v>
      </c>
      <c r="F40" s="393">
        <f>'FG3'!F40*(1+$J$10)</f>
        <v>0</v>
      </c>
      <c r="G40" s="393">
        <f>'FG3'!G40*(1+$J$10)</f>
        <v>0</v>
      </c>
      <c r="H40" s="393">
        <f>'FG3'!H40*(1+$J$10)</f>
        <v>0</v>
      </c>
      <c r="I40" s="393">
        <f>'FG3'!I40*(1+$J$10)</f>
        <v>0</v>
      </c>
      <c r="J40" s="393">
        <f>'FG3'!J40*(1+$J$10)</f>
        <v>0</v>
      </c>
      <c r="K40" s="393">
        <f>'FG3'!K40*(1+$J$10)</f>
        <v>0</v>
      </c>
      <c r="L40" s="393">
        <f>'FG3'!L40*(1+$J$10)</f>
        <v>0</v>
      </c>
      <c r="M40" s="393">
        <f>'FG3'!M40*(1+$J$10)</f>
        <v>0</v>
      </c>
      <c r="N40" s="393">
        <f>'FG3'!N40*(1+$J$10)</f>
        <v>0</v>
      </c>
      <c r="O40" s="76">
        <f>SUM(C40:N40)</f>
        <v>0</v>
      </c>
    </row>
    <row r="41" spans="1:15" s="261" customFormat="1" ht="13.5" thickBot="1">
      <c r="A41" s="78"/>
      <c r="B41" s="78"/>
      <c r="C41" s="110"/>
      <c r="D41" s="110"/>
      <c r="E41" s="110"/>
      <c r="F41" s="110"/>
      <c r="G41" s="110"/>
      <c r="H41" s="110"/>
      <c r="I41" s="110"/>
      <c r="J41" s="110"/>
      <c r="K41" s="110"/>
      <c r="L41" s="110"/>
      <c r="M41" s="110"/>
      <c r="N41" s="110"/>
      <c r="O41" s="77"/>
    </row>
    <row r="42" spans="1:15" s="261" customFormat="1" ht="13.5" thickBot="1">
      <c r="A42" s="1188" t="str">
        <f>'FG3'!A42:B42</f>
        <v>Autre frais d'exploitation 7</v>
      </c>
      <c r="B42" s="1188"/>
      <c r="C42" s="393">
        <f>'FG3'!C42*(1+$J$10)</f>
        <v>0</v>
      </c>
      <c r="D42" s="393">
        <f>'FG3'!D42*(1+$J$10)</f>
        <v>0</v>
      </c>
      <c r="E42" s="393">
        <f>'FG3'!E42*(1+$J$10)</f>
        <v>0</v>
      </c>
      <c r="F42" s="393">
        <f>'FG3'!F42*(1+$J$10)</f>
        <v>0</v>
      </c>
      <c r="G42" s="393">
        <f>'FG3'!G42*(1+$J$10)</f>
        <v>0</v>
      </c>
      <c r="H42" s="393">
        <f>'FG3'!H42*(1+$J$10)</f>
        <v>0</v>
      </c>
      <c r="I42" s="393">
        <f>'FG3'!I42*(1+$J$10)</f>
        <v>0</v>
      </c>
      <c r="J42" s="393">
        <f>'FG3'!J42*(1+$J$10)</f>
        <v>0</v>
      </c>
      <c r="K42" s="393">
        <f>'FG3'!K42*(1+$J$10)</f>
        <v>0</v>
      </c>
      <c r="L42" s="393">
        <f>'FG3'!L42*(1+$J$10)</f>
        <v>0</v>
      </c>
      <c r="M42" s="393">
        <f>'FG3'!M42*(1+$J$10)</f>
        <v>0</v>
      </c>
      <c r="N42" s="393">
        <f>'FG3'!N42*(1+$J$10)</f>
        <v>0</v>
      </c>
      <c r="O42" s="76">
        <f>SUM(C42:N42)</f>
        <v>0</v>
      </c>
    </row>
    <row r="43" spans="1:15" s="261" customFormat="1" ht="13.5" thickBot="1">
      <c r="A43" s="78"/>
      <c r="B43" s="78"/>
      <c r="C43" s="110"/>
      <c r="D43" s="110"/>
      <c r="E43" s="110"/>
      <c r="F43" s="110"/>
      <c r="G43" s="110"/>
      <c r="H43" s="110"/>
      <c r="I43" s="110"/>
      <c r="J43" s="110"/>
      <c r="K43" s="110"/>
      <c r="L43" s="110"/>
      <c r="M43" s="110"/>
      <c r="N43" s="110"/>
      <c r="O43" s="77"/>
    </row>
    <row r="44" spans="1:15" s="261" customFormat="1" ht="13.5" thickBot="1">
      <c r="A44" s="1188" t="str">
        <f>'FG3'!A44:B44</f>
        <v>Autre frais d'exploitation 8</v>
      </c>
      <c r="B44" s="1188"/>
      <c r="C44" s="393">
        <f>'FG3'!C44*(1+$J$10)</f>
        <v>0</v>
      </c>
      <c r="D44" s="393">
        <f>'FG3'!D44*(1+$J$10)</f>
        <v>0</v>
      </c>
      <c r="E44" s="393">
        <f>'FG3'!E44*(1+$J$10)</f>
        <v>0</v>
      </c>
      <c r="F44" s="393">
        <f>'FG3'!F44*(1+$J$10)</f>
        <v>0</v>
      </c>
      <c r="G44" s="393">
        <f>'FG3'!G44*(1+$J$10)</f>
        <v>0</v>
      </c>
      <c r="H44" s="393">
        <f>'FG3'!H44*(1+$J$10)</f>
        <v>0</v>
      </c>
      <c r="I44" s="393">
        <f>'FG3'!I44*(1+$J$10)</f>
        <v>0</v>
      </c>
      <c r="J44" s="393">
        <f>'FG3'!J44*(1+$J$10)</f>
        <v>0</v>
      </c>
      <c r="K44" s="393">
        <f>'FG3'!K44*(1+$J$10)</f>
        <v>0</v>
      </c>
      <c r="L44" s="393">
        <f>'FG3'!L44*(1+$J$10)</f>
        <v>0</v>
      </c>
      <c r="M44" s="393">
        <f>'FG3'!M44*(1+$J$10)</f>
        <v>0</v>
      </c>
      <c r="N44" s="393">
        <f>'FG3'!N44*(1+$J$10)</f>
        <v>0</v>
      </c>
      <c r="O44" s="76">
        <f>SUM(C44:N44)</f>
        <v>0</v>
      </c>
    </row>
    <row r="45" spans="1:15" s="261" customFormat="1" ht="13">
      <c r="A45" s="850"/>
      <c r="B45" s="251"/>
      <c r="C45" s="110"/>
      <c r="D45" s="110"/>
      <c r="E45" s="110"/>
      <c r="F45" s="110"/>
      <c r="G45" s="110"/>
      <c r="H45" s="110"/>
      <c r="I45" s="110"/>
      <c r="J45" s="110"/>
      <c r="K45" s="110"/>
      <c r="L45" s="110"/>
      <c r="M45" s="110"/>
      <c r="N45" s="110"/>
      <c r="O45" s="77"/>
    </row>
    <row r="46" spans="1:15" s="261" customFormat="1" ht="13.5" thickBot="1">
      <c r="A46" s="853" t="s">
        <v>653</v>
      </c>
      <c r="B46" s="856"/>
      <c r="C46" s="861"/>
      <c r="D46" s="861"/>
      <c r="E46" s="861"/>
      <c r="F46" s="861"/>
      <c r="G46" s="861"/>
      <c r="H46" s="861"/>
      <c r="I46" s="861"/>
      <c r="J46" s="861"/>
      <c r="K46" s="861"/>
      <c r="L46" s="861"/>
      <c r="M46" s="861"/>
      <c r="N46" s="861"/>
      <c r="O46" s="858"/>
    </row>
    <row r="47" spans="1:15" s="261" customFormat="1" ht="13.5" thickBot="1">
      <c r="A47" s="1188" t="str">
        <f>'FG3'!A47:B47</f>
        <v>Frais de représentation</v>
      </c>
      <c r="B47" s="1188"/>
      <c r="C47" s="393">
        <f>'FG3'!C47*(1+$J$10)</f>
        <v>0</v>
      </c>
      <c r="D47" s="393">
        <f>'FG3'!D47*(1+$J$10)</f>
        <v>0</v>
      </c>
      <c r="E47" s="393">
        <f>'FG3'!E47*(1+$J$10)</f>
        <v>0</v>
      </c>
      <c r="F47" s="393">
        <f>'FG3'!F47*(1+$J$10)</f>
        <v>0</v>
      </c>
      <c r="G47" s="393">
        <f>'FG3'!G47*(1+$J$10)</f>
        <v>0</v>
      </c>
      <c r="H47" s="393">
        <f>'FG3'!H47*(1+$J$10)</f>
        <v>0</v>
      </c>
      <c r="I47" s="393">
        <f>'FG3'!I47*(1+$J$10)</f>
        <v>0</v>
      </c>
      <c r="J47" s="393">
        <f>'FG3'!J47*(1+$J$10)</f>
        <v>0</v>
      </c>
      <c r="K47" s="393">
        <f>'FG3'!K47*(1+$J$10)</f>
        <v>0</v>
      </c>
      <c r="L47" s="393">
        <f>'FG3'!L47*(1+$J$10)</f>
        <v>0</v>
      </c>
      <c r="M47" s="393">
        <f>'FG3'!M47*(1+$J$10)</f>
        <v>0</v>
      </c>
      <c r="N47" s="393">
        <f>'FG3'!N47*(1+$J$10)</f>
        <v>0</v>
      </c>
      <c r="O47" s="76">
        <f>SUM(C47:N47)</f>
        <v>0</v>
      </c>
    </row>
    <row r="48" spans="1:15" s="261" customFormat="1" ht="13.5" thickBot="1">
      <c r="A48" s="78"/>
      <c r="B48" s="78"/>
      <c r="C48" s="110"/>
      <c r="D48" s="110"/>
      <c r="E48" s="110"/>
      <c r="F48" s="110"/>
      <c r="G48" s="110"/>
      <c r="H48" s="110"/>
      <c r="I48" s="110"/>
      <c r="J48" s="110"/>
      <c r="K48" s="110"/>
      <c r="L48" s="110"/>
      <c r="M48" s="110"/>
      <c r="N48" s="110"/>
      <c r="O48" s="77"/>
    </row>
    <row r="49" spans="1:15" s="261" customFormat="1" ht="13.5" thickBot="1">
      <c r="A49" s="1188" t="str">
        <f>'FG3'!A49:B49</f>
        <v>Publicité</v>
      </c>
      <c r="B49" s="1188"/>
      <c r="C49" s="393">
        <f>'FG3'!C49*(1+$J$10)</f>
        <v>0</v>
      </c>
      <c r="D49" s="393">
        <f>'FG3'!D49*(1+$J$10)</f>
        <v>0</v>
      </c>
      <c r="E49" s="393">
        <f>'FG3'!E49*(1+$J$10)</f>
        <v>0</v>
      </c>
      <c r="F49" s="393">
        <f>'FG3'!F49*(1+$J$10)</f>
        <v>0</v>
      </c>
      <c r="G49" s="393">
        <f>'FG3'!G49*(1+$J$10)</f>
        <v>0</v>
      </c>
      <c r="H49" s="393">
        <f>'FG3'!H49*(1+$J$10)</f>
        <v>0</v>
      </c>
      <c r="I49" s="393">
        <f>'FG3'!I49*(1+$J$10)</f>
        <v>0</v>
      </c>
      <c r="J49" s="393">
        <f>'FG3'!J49*(1+$J$10)</f>
        <v>0</v>
      </c>
      <c r="K49" s="393">
        <f>'FG3'!K49*(1+$J$10)</f>
        <v>0</v>
      </c>
      <c r="L49" s="393">
        <f>'FG3'!L49*(1+$J$10)</f>
        <v>0</v>
      </c>
      <c r="M49" s="393">
        <f>'FG3'!M49*(1+$J$10)</f>
        <v>0</v>
      </c>
      <c r="N49" s="393">
        <f>'FG3'!N49*(1+$J$10)</f>
        <v>0</v>
      </c>
      <c r="O49" s="76">
        <f>SUM(C49:N49)</f>
        <v>0</v>
      </c>
    </row>
    <row r="50" spans="1:15" s="261" customFormat="1" ht="13.5" thickBot="1">
      <c r="A50" s="78"/>
      <c r="B50" s="78"/>
      <c r="C50" s="110"/>
      <c r="D50" s="110"/>
      <c r="E50" s="110"/>
      <c r="F50" s="110"/>
      <c r="G50" s="110"/>
      <c r="H50" s="110"/>
      <c r="I50" s="110"/>
      <c r="J50" s="110"/>
      <c r="K50" s="110"/>
      <c r="L50" s="110"/>
      <c r="M50" s="110"/>
      <c r="N50" s="110"/>
      <c r="O50" s="77"/>
    </row>
    <row r="51" spans="1:15" s="261" customFormat="1" ht="13.5" thickBot="1">
      <c r="A51" s="1188" t="str">
        <f>'FG3'!A51:B51</f>
        <v>Autres frais de vente 1</v>
      </c>
      <c r="B51" s="1188"/>
      <c r="C51" s="393">
        <f>'FG3'!C51*(1+$J$10)</f>
        <v>0</v>
      </c>
      <c r="D51" s="393">
        <f>'FG3'!D51*(1+$J$10)</f>
        <v>0</v>
      </c>
      <c r="E51" s="393">
        <f>'FG3'!E51*(1+$J$10)</f>
        <v>0</v>
      </c>
      <c r="F51" s="393">
        <f>'FG3'!F51*(1+$J$10)</f>
        <v>0</v>
      </c>
      <c r="G51" s="393">
        <f>'FG3'!G51*(1+$J$10)</f>
        <v>0</v>
      </c>
      <c r="H51" s="393">
        <f>'FG3'!H51*(1+$J$10)</f>
        <v>0</v>
      </c>
      <c r="I51" s="393">
        <f>'FG3'!I51*(1+$J$10)</f>
        <v>0</v>
      </c>
      <c r="J51" s="393">
        <f>'FG3'!J51*(1+$J$10)</f>
        <v>0</v>
      </c>
      <c r="K51" s="393">
        <f>'FG3'!K51*(1+$J$10)</f>
        <v>0</v>
      </c>
      <c r="L51" s="393">
        <f>'FG3'!L51*(1+$J$10)</f>
        <v>0</v>
      </c>
      <c r="M51" s="393">
        <f>'FG3'!M51*(1+$J$10)</f>
        <v>0</v>
      </c>
      <c r="N51" s="393">
        <f>'FG3'!N51*(1+$J$10)</f>
        <v>0</v>
      </c>
      <c r="O51" s="76">
        <f>SUM(C51:N51)</f>
        <v>0</v>
      </c>
    </row>
    <row r="52" spans="1:15" s="261" customFormat="1" ht="13.5" thickBot="1">
      <c r="A52" s="78"/>
      <c r="B52" s="78"/>
      <c r="C52" s="110"/>
      <c r="D52" s="110"/>
      <c r="E52" s="110"/>
      <c r="F52" s="110"/>
      <c r="G52" s="110"/>
      <c r="H52" s="110"/>
      <c r="I52" s="110"/>
      <c r="J52" s="110"/>
      <c r="K52" s="110"/>
      <c r="L52" s="110"/>
      <c r="M52" s="110"/>
      <c r="N52" s="110"/>
      <c r="O52" s="77"/>
    </row>
    <row r="53" spans="1:15" s="261" customFormat="1" ht="13.5" thickBot="1">
      <c r="A53" s="1188" t="str">
        <f>'FG3'!A53:B53</f>
        <v>Autres frais de vente 2</v>
      </c>
      <c r="B53" s="1188"/>
      <c r="C53" s="393">
        <f>'FG3'!C53*(1+$J$10)</f>
        <v>0</v>
      </c>
      <c r="D53" s="393">
        <f>'FG3'!D53*(1+$J$10)</f>
        <v>0</v>
      </c>
      <c r="E53" s="393">
        <f>'FG3'!E53*(1+$J$10)</f>
        <v>0</v>
      </c>
      <c r="F53" s="393">
        <f>'FG3'!F53*(1+$J$10)</f>
        <v>0</v>
      </c>
      <c r="G53" s="393">
        <f>'FG3'!G53*(1+$J$10)</f>
        <v>0</v>
      </c>
      <c r="H53" s="393">
        <f>'FG3'!H53*(1+$J$10)</f>
        <v>0</v>
      </c>
      <c r="I53" s="393">
        <f>'FG3'!I53*(1+$J$10)</f>
        <v>0</v>
      </c>
      <c r="J53" s="393">
        <f>'FG3'!J53*(1+$J$10)</f>
        <v>0</v>
      </c>
      <c r="K53" s="393">
        <f>'FG3'!K53*(1+$J$10)</f>
        <v>0</v>
      </c>
      <c r="L53" s="393">
        <f>'FG3'!L53*(1+$J$10)</f>
        <v>0</v>
      </c>
      <c r="M53" s="393">
        <f>'FG3'!M53*(1+$J$10)</f>
        <v>0</v>
      </c>
      <c r="N53" s="393">
        <f>'FG3'!N53*(1+$J$10)</f>
        <v>0</v>
      </c>
      <c r="O53" s="76">
        <f>SUM(C53:N53)</f>
        <v>0</v>
      </c>
    </row>
    <row r="54" spans="1:15" s="261" customFormat="1" ht="13.5" thickBot="1">
      <c r="A54" s="78"/>
      <c r="B54" s="78"/>
      <c r="C54" s="110"/>
      <c r="D54" s="110"/>
      <c r="E54" s="110"/>
      <c r="F54" s="110"/>
      <c r="G54" s="110"/>
      <c r="H54" s="110"/>
      <c r="I54" s="110"/>
      <c r="J54" s="110"/>
      <c r="K54" s="110"/>
      <c r="L54" s="110"/>
      <c r="M54" s="110"/>
      <c r="N54" s="110"/>
      <c r="O54" s="77"/>
    </row>
    <row r="55" spans="1:15" s="261" customFormat="1" ht="13.5" thickBot="1">
      <c r="A55" s="1188" t="str">
        <f>'FG3'!A55:B55</f>
        <v>Autres frais de vente 3</v>
      </c>
      <c r="B55" s="1188"/>
      <c r="C55" s="393">
        <f>'FG3'!C55*(1+$J$10)</f>
        <v>0</v>
      </c>
      <c r="D55" s="393">
        <f>'FG3'!D55*(1+$J$10)</f>
        <v>0</v>
      </c>
      <c r="E55" s="393">
        <f>'FG3'!E55*(1+$J$10)</f>
        <v>0</v>
      </c>
      <c r="F55" s="393">
        <f>'FG3'!F55*(1+$J$10)</f>
        <v>0</v>
      </c>
      <c r="G55" s="393">
        <f>'FG3'!G55*(1+$J$10)</f>
        <v>0</v>
      </c>
      <c r="H55" s="393">
        <f>'FG3'!H55*(1+$J$10)</f>
        <v>0</v>
      </c>
      <c r="I55" s="393">
        <f>'FG3'!I55*(1+$J$10)</f>
        <v>0</v>
      </c>
      <c r="J55" s="393">
        <f>'FG3'!J55*(1+$J$10)</f>
        <v>0</v>
      </c>
      <c r="K55" s="393">
        <f>'FG3'!K55*(1+$J$10)</f>
        <v>0</v>
      </c>
      <c r="L55" s="393">
        <f>'FG3'!L55*(1+$J$10)</f>
        <v>0</v>
      </c>
      <c r="M55" s="393">
        <f>'FG3'!M55*(1+$J$10)</f>
        <v>0</v>
      </c>
      <c r="N55" s="393">
        <f>'FG3'!N55*(1+$J$10)</f>
        <v>0</v>
      </c>
      <c r="O55" s="76">
        <f>SUM(C55:N55)</f>
        <v>0</v>
      </c>
    </row>
    <row r="56" spans="1:15" s="261" customFormat="1" ht="13.5" thickBot="1">
      <c r="A56" s="78"/>
      <c r="B56" s="78"/>
      <c r="C56" s="110"/>
      <c r="D56" s="110"/>
      <c r="E56" s="110"/>
      <c r="F56" s="110"/>
      <c r="G56" s="110"/>
      <c r="H56" s="110"/>
      <c r="I56" s="110"/>
      <c r="J56" s="110"/>
      <c r="K56" s="110"/>
      <c r="L56" s="110"/>
      <c r="M56" s="110"/>
      <c r="N56" s="110"/>
      <c r="O56" s="77"/>
    </row>
    <row r="57" spans="1:15" s="261" customFormat="1" ht="13.5" thickBot="1">
      <c r="A57" s="1188" t="str">
        <f>'FG3'!A57:B57</f>
        <v>Autres frais de vente 4</v>
      </c>
      <c r="B57" s="1188"/>
      <c r="C57" s="393">
        <f>'FG3'!C57*(1+$J$10)</f>
        <v>0</v>
      </c>
      <c r="D57" s="393">
        <f>'FG3'!D57*(1+$J$10)</f>
        <v>0</v>
      </c>
      <c r="E57" s="393">
        <f>'FG3'!E57*(1+$J$10)</f>
        <v>0</v>
      </c>
      <c r="F57" s="393">
        <f>'FG3'!F57*(1+$J$10)</f>
        <v>0</v>
      </c>
      <c r="G57" s="393">
        <f>'FG3'!G57*(1+$J$10)</f>
        <v>0</v>
      </c>
      <c r="H57" s="393">
        <f>'FG3'!H57*(1+$J$10)</f>
        <v>0</v>
      </c>
      <c r="I57" s="393">
        <f>'FG3'!I57*(1+$J$10)</f>
        <v>0</v>
      </c>
      <c r="J57" s="393">
        <f>'FG3'!J57*(1+$J$10)</f>
        <v>0</v>
      </c>
      <c r="K57" s="393">
        <f>'FG3'!K57*(1+$J$10)</f>
        <v>0</v>
      </c>
      <c r="L57" s="393">
        <f>'FG3'!L57*(1+$J$10)</f>
        <v>0</v>
      </c>
      <c r="M57" s="393">
        <f>'FG3'!M57*(1+$J$10)</f>
        <v>0</v>
      </c>
      <c r="N57" s="393">
        <f>'FG3'!N57*(1+$J$10)</f>
        <v>0</v>
      </c>
      <c r="O57" s="76">
        <f>SUM(C57:N57)</f>
        <v>0</v>
      </c>
    </row>
    <row r="58" spans="1:15" s="261" customFormat="1" ht="13.5" thickBot="1">
      <c r="A58" s="78"/>
      <c r="B58" s="78"/>
      <c r="C58" s="110"/>
      <c r="D58" s="110"/>
      <c r="E58" s="110"/>
      <c r="F58" s="110"/>
      <c r="G58" s="110"/>
      <c r="H58" s="110"/>
      <c r="I58" s="110"/>
      <c r="J58" s="110"/>
      <c r="K58" s="110"/>
      <c r="L58" s="110"/>
      <c r="M58" s="110"/>
      <c r="N58" s="110"/>
      <c r="O58" s="77"/>
    </row>
    <row r="59" spans="1:15" s="261" customFormat="1" ht="13.5" thickBot="1">
      <c r="A59" s="1188" t="str">
        <f>'FG3'!A59:B59</f>
        <v>Autres frais de vente 5</v>
      </c>
      <c r="B59" s="1188"/>
      <c r="C59" s="393">
        <f>'FG3'!C59*(1+$J$10)</f>
        <v>0</v>
      </c>
      <c r="D59" s="393">
        <f>'FG3'!D59*(1+$J$10)</f>
        <v>0</v>
      </c>
      <c r="E59" s="393">
        <f>'FG3'!E59*(1+$J$10)</f>
        <v>0</v>
      </c>
      <c r="F59" s="393">
        <f>'FG3'!F59*(1+$J$10)</f>
        <v>0</v>
      </c>
      <c r="G59" s="393">
        <f>'FG3'!G59*(1+$J$10)</f>
        <v>0</v>
      </c>
      <c r="H59" s="393">
        <f>'FG3'!H59*(1+$J$10)</f>
        <v>0</v>
      </c>
      <c r="I59" s="393">
        <f>'FG3'!I59*(1+$J$10)</f>
        <v>0</v>
      </c>
      <c r="J59" s="393">
        <f>'FG3'!J59*(1+$J$10)</f>
        <v>0</v>
      </c>
      <c r="K59" s="393">
        <f>'FG3'!K59*(1+$J$10)</f>
        <v>0</v>
      </c>
      <c r="L59" s="393">
        <f>'FG3'!L59*(1+$J$10)</f>
        <v>0</v>
      </c>
      <c r="M59" s="393">
        <f>'FG3'!M59*(1+$J$10)</f>
        <v>0</v>
      </c>
      <c r="N59" s="393">
        <f>'FG3'!N59*(1+$J$10)</f>
        <v>0</v>
      </c>
      <c r="O59" s="76">
        <f>SUM(C59:N59)</f>
        <v>0</v>
      </c>
    </row>
    <row r="60" spans="1:15" s="261" customFormat="1" ht="13">
      <c r="A60" s="852"/>
      <c r="B60" s="78"/>
      <c r="C60" s="110"/>
      <c r="D60" s="110"/>
      <c r="E60" s="110"/>
      <c r="F60" s="110"/>
      <c r="G60" s="110"/>
      <c r="H60" s="110"/>
      <c r="I60" s="110"/>
      <c r="J60" s="110"/>
      <c r="K60" s="110"/>
      <c r="L60" s="110"/>
      <c r="M60" s="110"/>
      <c r="N60" s="110"/>
      <c r="O60" s="77"/>
    </row>
    <row r="61" spans="1:15" s="261" customFormat="1" ht="13.5" thickBot="1">
      <c r="A61" s="859" t="s">
        <v>652</v>
      </c>
      <c r="B61" s="856"/>
      <c r="C61" s="861"/>
      <c r="D61" s="861"/>
      <c r="E61" s="861"/>
      <c r="F61" s="861"/>
      <c r="G61" s="861"/>
      <c r="H61" s="861"/>
      <c r="I61" s="861"/>
      <c r="J61" s="861"/>
      <c r="K61" s="861"/>
      <c r="L61" s="861"/>
      <c r="M61" s="861"/>
      <c r="N61" s="861"/>
      <c r="O61" s="858"/>
    </row>
    <row r="62" spans="1:15" s="261" customFormat="1" ht="13.5" thickBot="1">
      <c r="A62" s="1188" t="str">
        <f>'FG3'!A62:B62</f>
        <v>Téléphonie et internet</v>
      </c>
      <c r="B62" s="1188"/>
      <c r="C62" s="393">
        <f>'FG3'!C62*(1+$J$10)</f>
        <v>0</v>
      </c>
      <c r="D62" s="393">
        <f>'FG3'!D62*(1+$J$10)</f>
        <v>0</v>
      </c>
      <c r="E62" s="393">
        <f>'FG3'!E62*(1+$J$10)</f>
        <v>0</v>
      </c>
      <c r="F62" s="393">
        <f>'FG3'!F62*(1+$J$10)</f>
        <v>0</v>
      </c>
      <c r="G62" s="393">
        <f>'FG3'!G62*(1+$J$10)</f>
        <v>0</v>
      </c>
      <c r="H62" s="393">
        <f>'FG3'!H62*(1+$J$10)</f>
        <v>0</v>
      </c>
      <c r="I62" s="393">
        <f>'FG3'!I62*(1+$J$10)</f>
        <v>0</v>
      </c>
      <c r="J62" s="393">
        <f>'FG3'!J62*(1+$J$10)</f>
        <v>0</v>
      </c>
      <c r="K62" s="393">
        <f>'FG3'!K62*(1+$J$10)</f>
        <v>0</v>
      </c>
      <c r="L62" s="393">
        <f>'FG3'!L62*(1+$J$10)</f>
        <v>0</v>
      </c>
      <c r="M62" s="393">
        <f>'FG3'!M62*(1+$J$10)</f>
        <v>0</v>
      </c>
      <c r="N62" s="393">
        <f>'FG3'!N62*(1+$J$10)</f>
        <v>0</v>
      </c>
      <c r="O62" s="76">
        <f>SUM(C62:N62)</f>
        <v>0</v>
      </c>
    </row>
    <row r="63" spans="1:15" s="261" customFormat="1" ht="13.5" thickBot="1">
      <c r="A63" s="78"/>
      <c r="B63" s="78"/>
      <c r="C63" s="110"/>
      <c r="D63" s="110"/>
      <c r="E63" s="110"/>
      <c r="F63" s="110"/>
      <c r="G63" s="110"/>
      <c r="H63" s="110"/>
      <c r="I63" s="110"/>
      <c r="J63" s="110"/>
      <c r="K63" s="110"/>
      <c r="L63" s="110"/>
      <c r="M63" s="110"/>
      <c r="N63" s="110"/>
      <c r="O63" s="77"/>
    </row>
    <row r="64" spans="1:15" s="261" customFormat="1" ht="13.5" thickBot="1">
      <c r="A64" s="1188" t="str">
        <f>'FG3'!A64:B64</f>
        <v>Honoraires professionnels</v>
      </c>
      <c r="B64" s="1188"/>
      <c r="C64" s="393">
        <f>'FG3'!C64*(1+$J$10)</f>
        <v>0</v>
      </c>
      <c r="D64" s="393">
        <f>'FG3'!D64*(1+$J$10)</f>
        <v>0</v>
      </c>
      <c r="E64" s="393">
        <f>'FG3'!E64*(1+$J$10)</f>
        <v>0</v>
      </c>
      <c r="F64" s="393">
        <f>'FG3'!F64*(1+$J$10)</f>
        <v>0</v>
      </c>
      <c r="G64" s="393">
        <f>'FG3'!G64*(1+$J$10)</f>
        <v>0</v>
      </c>
      <c r="H64" s="393">
        <f>'FG3'!H64*(1+$J$10)</f>
        <v>0</v>
      </c>
      <c r="I64" s="393">
        <f>'FG3'!I64*(1+$J$10)</f>
        <v>0</v>
      </c>
      <c r="J64" s="393">
        <f>'FG3'!J64*(1+$J$10)</f>
        <v>0</v>
      </c>
      <c r="K64" s="393">
        <f>'FG3'!K64*(1+$J$10)</f>
        <v>0</v>
      </c>
      <c r="L64" s="393">
        <f>'FG3'!L64*(1+$J$10)</f>
        <v>0</v>
      </c>
      <c r="M64" s="393">
        <f>'FG3'!M64*(1+$J$10)</f>
        <v>0</v>
      </c>
      <c r="N64" s="393">
        <f>'FG3'!N64*(1+$J$10)</f>
        <v>0</v>
      </c>
      <c r="O64" s="76">
        <f>SUM(C64:N64)</f>
        <v>0</v>
      </c>
    </row>
    <row r="65" spans="1:15" s="261" customFormat="1" ht="13.5" thickBot="1">
      <c r="A65" s="78"/>
      <c r="B65" s="78"/>
      <c r="C65" s="110"/>
      <c r="D65" s="110"/>
      <c r="E65" s="110"/>
      <c r="F65" s="110"/>
      <c r="G65" s="110"/>
      <c r="H65" s="110"/>
      <c r="I65" s="110"/>
      <c r="J65" s="110"/>
      <c r="K65" s="110"/>
      <c r="L65" s="110"/>
      <c r="M65" s="110"/>
      <c r="N65" s="110"/>
      <c r="O65" s="77"/>
    </row>
    <row r="66" spans="1:15" s="261" customFormat="1" ht="13.5" thickBot="1">
      <c r="A66" s="1188" t="str">
        <f>'FG3'!A66:B66</f>
        <v>Frais de bureau</v>
      </c>
      <c r="B66" s="1188"/>
      <c r="C66" s="393">
        <f>'FG3'!C66*(1+$J$10)</f>
        <v>0</v>
      </c>
      <c r="D66" s="393">
        <f>'FG3'!D66*(1+$J$10)</f>
        <v>0</v>
      </c>
      <c r="E66" s="393">
        <f>'FG3'!E66*(1+$J$10)</f>
        <v>0</v>
      </c>
      <c r="F66" s="393">
        <f>'FG3'!F66*(1+$J$10)</f>
        <v>0</v>
      </c>
      <c r="G66" s="393">
        <f>'FG3'!G66*(1+$J$10)</f>
        <v>0</v>
      </c>
      <c r="H66" s="393">
        <f>'FG3'!H66*(1+$J$10)</f>
        <v>0</v>
      </c>
      <c r="I66" s="393">
        <f>'FG3'!I66*(1+$J$10)</f>
        <v>0</v>
      </c>
      <c r="J66" s="393">
        <f>'FG3'!J66*(1+$J$10)</f>
        <v>0</v>
      </c>
      <c r="K66" s="393">
        <f>'FG3'!K66*(1+$J$10)</f>
        <v>0</v>
      </c>
      <c r="L66" s="393">
        <f>'FG3'!L66*(1+$J$10)</f>
        <v>0</v>
      </c>
      <c r="M66" s="393">
        <f>'FG3'!M66*(1+$J$10)</f>
        <v>0</v>
      </c>
      <c r="N66" s="393">
        <f>'FG3'!N66*(1+$J$10)</f>
        <v>0</v>
      </c>
      <c r="O66" s="76">
        <f>SUM(C66:N66)</f>
        <v>0</v>
      </c>
    </row>
    <row r="67" spans="1:15" s="261" customFormat="1" ht="13.5" thickBot="1">
      <c r="A67" s="498"/>
      <c r="B67" s="78"/>
      <c r="C67" s="110"/>
      <c r="D67" s="110"/>
      <c r="E67" s="110"/>
      <c r="F67" s="110"/>
      <c r="G67" s="110"/>
      <c r="H67" s="110"/>
      <c r="I67" s="110"/>
      <c r="J67" s="110"/>
      <c r="K67" s="110"/>
      <c r="L67" s="110"/>
      <c r="M67" s="110"/>
      <c r="N67" s="110"/>
      <c r="O67" s="77"/>
    </row>
    <row r="68" spans="1:15" s="261" customFormat="1" ht="13.5" thickBot="1">
      <c r="A68" s="1188" t="str">
        <f>'FG3'!A68:B68</f>
        <v>Mauvaises créances</v>
      </c>
      <c r="B68" s="1188"/>
      <c r="C68" s="393">
        <f>'FG3'!C68*(1+$J$10)</f>
        <v>0</v>
      </c>
      <c r="D68" s="393">
        <f>'FG3'!D68*(1+$J$10)</f>
        <v>0</v>
      </c>
      <c r="E68" s="393">
        <f>'FG3'!E68*(1+$J$10)</f>
        <v>0</v>
      </c>
      <c r="F68" s="393">
        <f>'FG3'!F68*(1+$J$10)</f>
        <v>0</v>
      </c>
      <c r="G68" s="393">
        <f>'FG3'!G68*(1+$J$10)</f>
        <v>0</v>
      </c>
      <c r="H68" s="393">
        <f>'FG3'!H68*(1+$J$10)</f>
        <v>0</v>
      </c>
      <c r="I68" s="393">
        <f>'FG3'!I68*(1+$J$10)</f>
        <v>0</v>
      </c>
      <c r="J68" s="393">
        <f>'FG3'!J68*(1+$J$10)</f>
        <v>0</v>
      </c>
      <c r="K68" s="393">
        <f>'FG3'!K68*(1+$J$10)</f>
        <v>0</v>
      </c>
      <c r="L68" s="393">
        <f>'FG3'!L68*(1+$J$10)</f>
        <v>0</v>
      </c>
      <c r="M68" s="393">
        <f>'FG3'!M68*(1+$J$10)</f>
        <v>0</v>
      </c>
      <c r="N68" s="393">
        <f>'FG3'!N68*(1+$J$10)</f>
        <v>0</v>
      </c>
      <c r="O68" s="76">
        <f>SUM(C68:N68)</f>
        <v>0</v>
      </c>
    </row>
    <row r="69" spans="1:15" s="261" customFormat="1" ht="13.5" thickBot="1">
      <c r="A69" s="78"/>
      <c r="B69" s="78"/>
      <c r="C69" s="110"/>
      <c r="D69" s="110"/>
      <c r="E69" s="110"/>
      <c r="F69" s="110"/>
      <c r="G69" s="110"/>
      <c r="H69" s="110"/>
      <c r="I69" s="110"/>
      <c r="J69" s="110"/>
      <c r="K69" s="110"/>
      <c r="L69" s="110"/>
      <c r="M69" s="110"/>
      <c r="N69" s="110"/>
      <c r="O69" s="77"/>
    </row>
    <row r="70" spans="1:15" s="261" customFormat="1" ht="13.5" thickBot="1">
      <c r="A70" s="1188" t="str">
        <f>'FG3'!A70:B70</f>
        <v>Fournitures de bureau</v>
      </c>
      <c r="B70" s="1188"/>
      <c r="C70" s="393">
        <f>'FG3'!C70*(1+$J$10)</f>
        <v>0</v>
      </c>
      <c r="D70" s="393">
        <f>'FG3'!D70*(1+$J$10)</f>
        <v>0</v>
      </c>
      <c r="E70" s="393">
        <f>'FG3'!E70*(1+$J$10)</f>
        <v>0</v>
      </c>
      <c r="F70" s="393">
        <f>'FG3'!F70*(1+$J$10)</f>
        <v>0</v>
      </c>
      <c r="G70" s="393">
        <f>'FG3'!G70*(1+$J$10)</f>
        <v>0</v>
      </c>
      <c r="H70" s="393">
        <f>'FG3'!H70*(1+$J$10)</f>
        <v>0</v>
      </c>
      <c r="I70" s="393">
        <f>'FG3'!I70*(1+$J$10)</f>
        <v>0</v>
      </c>
      <c r="J70" s="393">
        <f>'FG3'!J70*(1+$J$10)</f>
        <v>0</v>
      </c>
      <c r="K70" s="393">
        <f>'FG3'!K70*(1+$J$10)</f>
        <v>0</v>
      </c>
      <c r="L70" s="393">
        <f>'FG3'!L70*(1+$J$10)</f>
        <v>0</v>
      </c>
      <c r="M70" s="393">
        <f>'FG3'!M70*(1+$J$10)</f>
        <v>0</v>
      </c>
      <c r="N70" s="393">
        <f>'FG3'!N70*(1+$J$10)</f>
        <v>0</v>
      </c>
      <c r="O70" s="76">
        <f>SUM(C70:N70)</f>
        <v>0</v>
      </c>
    </row>
    <row r="71" spans="1:15" s="261" customFormat="1" ht="13.5" thickBot="1">
      <c r="A71" s="78"/>
      <c r="B71" s="78"/>
      <c r="C71" s="110"/>
      <c r="D71" s="110"/>
      <c r="E71" s="110"/>
      <c r="F71" s="110"/>
      <c r="G71" s="110"/>
      <c r="H71" s="110"/>
      <c r="I71" s="110"/>
      <c r="J71" s="110"/>
      <c r="K71" s="110"/>
      <c r="L71" s="110"/>
      <c r="M71" s="110"/>
      <c r="N71" s="110"/>
      <c r="O71" s="77"/>
    </row>
    <row r="72" spans="1:15" s="261" customFormat="1" ht="13.5" thickBot="1">
      <c r="A72" s="1188" t="str">
        <f>'FG3'!A72:B72</f>
        <v>Fais d'hébèrgement de site Web</v>
      </c>
      <c r="B72" s="1188"/>
      <c r="C72" s="393">
        <f>'FG3'!C72*(1+$J$10)</f>
        <v>0</v>
      </c>
      <c r="D72" s="393">
        <f>'FG3'!D72*(1+$J$10)</f>
        <v>0</v>
      </c>
      <c r="E72" s="393">
        <f>'FG3'!E72*(1+$J$10)</f>
        <v>0</v>
      </c>
      <c r="F72" s="393">
        <f>'FG3'!F72*(1+$J$10)</f>
        <v>0</v>
      </c>
      <c r="G72" s="393">
        <f>'FG3'!G72*(1+$J$10)</f>
        <v>0</v>
      </c>
      <c r="H72" s="393">
        <f>'FG3'!H72*(1+$J$10)</f>
        <v>0</v>
      </c>
      <c r="I72" s="393">
        <f>'FG3'!I72*(1+$J$10)</f>
        <v>0</v>
      </c>
      <c r="J72" s="393">
        <f>'FG3'!J72*(1+$J$10)</f>
        <v>0</v>
      </c>
      <c r="K72" s="393">
        <f>'FG3'!K72*(1+$J$10)</f>
        <v>0</v>
      </c>
      <c r="L72" s="393">
        <f>'FG3'!L72*(1+$J$10)</f>
        <v>0</v>
      </c>
      <c r="M72" s="393">
        <f>'FG3'!M72*(1+$J$10)</f>
        <v>0</v>
      </c>
      <c r="N72" s="393">
        <f>'FG3'!N72*(1+$J$10)</f>
        <v>0</v>
      </c>
      <c r="O72" s="76">
        <f>SUM(C72:N72)</f>
        <v>0</v>
      </c>
    </row>
    <row r="73" spans="1:15" s="261" customFormat="1" ht="13.5" thickBot="1">
      <c r="A73" s="78"/>
      <c r="B73" s="78"/>
      <c r="C73" s="110"/>
      <c r="D73" s="110"/>
      <c r="E73" s="110"/>
      <c r="F73" s="110"/>
      <c r="G73" s="110"/>
      <c r="H73" s="110"/>
      <c r="I73" s="110"/>
      <c r="J73" s="110"/>
      <c r="K73" s="110"/>
      <c r="L73" s="110"/>
      <c r="M73" s="110"/>
      <c r="N73" s="110"/>
      <c r="O73" s="77"/>
    </row>
    <row r="74" spans="1:15" s="261" customFormat="1" ht="13.5" thickBot="1">
      <c r="A74" s="1188" t="str">
        <f>'FG3'!A74:B74</f>
        <v>Autres frais d'administration 2</v>
      </c>
      <c r="B74" s="1188"/>
      <c r="C74" s="393">
        <f>'FG3'!C74*(1+$J$10)</f>
        <v>0</v>
      </c>
      <c r="D74" s="393">
        <f>'FG3'!D74*(1+$J$10)</f>
        <v>0</v>
      </c>
      <c r="E74" s="393">
        <f>'FG3'!E74*(1+$J$10)</f>
        <v>0</v>
      </c>
      <c r="F74" s="393">
        <f>'FG3'!F74*(1+$J$10)</f>
        <v>0</v>
      </c>
      <c r="G74" s="393">
        <f>'FG3'!G74*(1+$J$10)</f>
        <v>0</v>
      </c>
      <c r="H74" s="393">
        <f>'FG3'!H74*(1+$J$10)</f>
        <v>0</v>
      </c>
      <c r="I74" s="393">
        <f>'FG3'!I74*(1+$J$10)</f>
        <v>0</v>
      </c>
      <c r="J74" s="393">
        <f>'FG3'!J74*(1+$J$10)</f>
        <v>0</v>
      </c>
      <c r="K74" s="393">
        <f>'FG3'!K74*(1+$J$10)</f>
        <v>0</v>
      </c>
      <c r="L74" s="393">
        <f>'FG3'!L74*(1+$J$10)</f>
        <v>0</v>
      </c>
      <c r="M74" s="393">
        <f>'FG3'!M74*(1+$J$10)</f>
        <v>0</v>
      </c>
      <c r="N74" s="393">
        <f>'FG3'!N74*(1+$J$10)</f>
        <v>0</v>
      </c>
      <c r="O74" s="76">
        <f>SUM(C74:N74)</f>
        <v>0</v>
      </c>
    </row>
    <row r="75" spans="1:15" s="261" customFormat="1" ht="13.5" thickBot="1">
      <c r="A75" s="78"/>
      <c r="B75" s="78"/>
      <c r="C75" s="110"/>
      <c r="D75" s="110"/>
      <c r="E75" s="110"/>
      <c r="F75" s="110"/>
      <c r="G75" s="110"/>
      <c r="H75" s="110"/>
      <c r="I75" s="110"/>
      <c r="J75" s="110"/>
      <c r="K75" s="110"/>
      <c r="L75" s="110"/>
      <c r="M75" s="110"/>
      <c r="N75" s="110"/>
      <c r="O75" s="77"/>
    </row>
    <row r="76" spans="1:15" s="261" customFormat="1" ht="13.5" thickBot="1">
      <c r="A76" s="1188" t="str">
        <f>'FG3'!A76:B76</f>
        <v>Autres frais d'administration 3</v>
      </c>
      <c r="B76" s="1188"/>
      <c r="C76" s="393">
        <f>'FG3'!C76*(1+$J$10)</f>
        <v>0</v>
      </c>
      <c r="D76" s="393">
        <f>'FG3'!D76*(1+$J$10)</f>
        <v>0</v>
      </c>
      <c r="E76" s="393">
        <f>'FG3'!E76*(1+$J$10)</f>
        <v>0</v>
      </c>
      <c r="F76" s="393">
        <f>'FG3'!F76*(1+$J$10)</f>
        <v>0</v>
      </c>
      <c r="G76" s="393">
        <f>'FG3'!G76*(1+$J$10)</f>
        <v>0</v>
      </c>
      <c r="H76" s="393">
        <f>'FG3'!H76*(1+$J$10)</f>
        <v>0</v>
      </c>
      <c r="I76" s="393">
        <f>'FG3'!I76*(1+$J$10)</f>
        <v>0</v>
      </c>
      <c r="J76" s="393">
        <f>'FG3'!J76*(1+$J$10)</f>
        <v>0</v>
      </c>
      <c r="K76" s="393">
        <f>'FG3'!K76*(1+$J$10)</f>
        <v>0</v>
      </c>
      <c r="L76" s="393">
        <f>'FG3'!L76*(1+$J$10)</f>
        <v>0</v>
      </c>
      <c r="M76" s="393">
        <f>'FG3'!M76*(1+$J$10)</f>
        <v>0</v>
      </c>
      <c r="N76" s="393">
        <f>'FG3'!N76*(1+$J$10)</f>
        <v>0</v>
      </c>
      <c r="O76" s="76">
        <f>SUM(C76:N76)</f>
        <v>0</v>
      </c>
    </row>
    <row r="77" spans="1:15" s="261" customFormat="1" ht="13.5" thickBot="1">
      <c r="A77" s="78"/>
      <c r="B77" s="78"/>
      <c r="C77" s="110"/>
      <c r="D77" s="110"/>
      <c r="E77" s="110"/>
      <c r="F77" s="110"/>
      <c r="G77" s="110"/>
      <c r="H77" s="110"/>
      <c r="I77" s="110"/>
      <c r="J77" s="110"/>
      <c r="K77" s="110"/>
      <c r="L77" s="110"/>
      <c r="M77" s="110"/>
      <c r="N77" s="110"/>
      <c r="O77" s="77"/>
    </row>
    <row r="78" spans="1:15" s="261" customFormat="1" ht="13.5" thickBot="1">
      <c r="A78" s="1188" t="str">
        <f>'FG3'!A78:B78</f>
        <v>Autres frais d'administration 4</v>
      </c>
      <c r="B78" s="1188"/>
      <c r="C78" s="393">
        <f>'FG3'!C78*(1+$J$10)</f>
        <v>0</v>
      </c>
      <c r="D78" s="393">
        <f>'FG3'!D78*(1+$J$10)</f>
        <v>0</v>
      </c>
      <c r="E78" s="393">
        <f>'FG3'!E78*(1+$J$10)</f>
        <v>0</v>
      </c>
      <c r="F78" s="393">
        <f>'FG3'!F78*(1+$J$10)</f>
        <v>0</v>
      </c>
      <c r="G78" s="393">
        <f>'FG3'!G78*(1+$J$10)</f>
        <v>0</v>
      </c>
      <c r="H78" s="393">
        <f>'FG3'!H78*(1+$J$10)</f>
        <v>0</v>
      </c>
      <c r="I78" s="393">
        <f>'FG3'!I78*(1+$J$10)</f>
        <v>0</v>
      </c>
      <c r="J78" s="393">
        <f>'FG3'!J78*(1+$J$10)</f>
        <v>0</v>
      </c>
      <c r="K78" s="393">
        <f>'FG3'!K78*(1+$J$10)</f>
        <v>0</v>
      </c>
      <c r="L78" s="393">
        <f>'FG3'!L78*(1+$J$10)</f>
        <v>0</v>
      </c>
      <c r="M78" s="393">
        <f>'FG3'!M78*(1+$J$10)</f>
        <v>0</v>
      </c>
      <c r="N78" s="393">
        <f>'FG3'!N78*(1+$J$10)</f>
        <v>0</v>
      </c>
      <c r="O78" s="76">
        <f>SUM(C78:N78)</f>
        <v>0</v>
      </c>
    </row>
    <row r="79" spans="1:15" s="261" customFormat="1" ht="13.5" thickBot="1">
      <c r="A79" s="78"/>
      <c r="B79" s="78"/>
      <c r="C79" s="110"/>
      <c r="D79" s="110"/>
      <c r="E79" s="110"/>
      <c r="F79" s="110"/>
      <c r="G79" s="110"/>
      <c r="H79" s="110"/>
      <c r="I79" s="110"/>
      <c r="J79" s="110"/>
      <c r="K79" s="110"/>
      <c r="L79" s="110"/>
      <c r="M79" s="110"/>
      <c r="N79" s="110"/>
      <c r="O79" s="77"/>
    </row>
    <row r="80" spans="1:15" s="261" customFormat="1" ht="13.5" thickBot="1">
      <c r="A80" s="1188" t="str">
        <f>'FG3'!A80:B80</f>
        <v>Autres frais d'administration 5</v>
      </c>
      <c r="B80" s="1188"/>
      <c r="C80" s="393">
        <f>'FG3'!C80*(1+$J$10)</f>
        <v>0</v>
      </c>
      <c r="D80" s="393">
        <f>'FG3'!D80*(1+$J$10)</f>
        <v>0</v>
      </c>
      <c r="E80" s="393">
        <f>'FG3'!E80*(1+$J$10)</f>
        <v>0</v>
      </c>
      <c r="F80" s="393">
        <f>'FG3'!F80*(1+$J$10)</f>
        <v>0</v>
      </c>
      <c r="G80" s="393">
        <f>'FG3'!G80*(1+$J$10)</f>
        <v>0</v>
      </c>
      <c r="H80" s="393">
        <f>'FG3'!H80*(1+$J$10)</f>
        <v>0</v>
      </c>
      <c r="I80" s="393">
        <f>'FG3'!I80*(1+$J$10)</f>
        <v>0</v>
      </c>
      <c r="J80" s="393">
        <f>'FG3'!J80*(1+$J$10)</f>
        <v>0</v>
      </c>
      <c r="K80" s="393">
        <f>'FG3'!K80*(1+$J$10)</f>
        <v>0</v>
      </c>
      <c r="L80" s="393">
        <f>'FG3'!L80*(1+$J$10)</f>
        <v>0</v>
      </c>
      <c r="M80" s="393">
        <f>'FG3'!M80*(1+$J$10)</f>
        <v>0</v>
      </c>
      <c r="N80" s="393">
        <f>'FG3'!N80*(1+$J$10)</f>
        <v>0</v>
      </c>
      <c r="O80" s="76">
        <f>SUM(C80:N80)</f>
        <v>0</v>
      </c>
    </row>
    <row r="81" spans="1:15" s="261" customFormat="1" ht="13.5" thickBot="1">
      <c r="A81" s="78"/>
      <c r="B81" s="78"/>
      <c r="C81" s="110"/>
      <c r="D81" s="110"/>
      <c r="E81" s="110"/>
      <c r="F81" s="110"/>
      <c r="G81" s="110"/>
      <c r="H81" s="110"/>
      <c r="I81" s="110"/>
      <c r="J81" s="110"/>
      <c r="K81" s="110"/>
      <c r="L81" s="110"/>
      <c r="M81" s="110"/>
      <c r="N81" s="110"/>
      <c r="O81" s="77"/>
    </row>
    <row r="82" spans="1:15" s="261" customFormat="1" ht="13.5" thickBot="1">
      <c r="A82" s="1188" t="str">
        <f>'FG3'!A82:B82</f>
        <v>Autres frais d'administration 6</v>
      </c>
      <c r="B82" s="1188"/>
      <c r="C82" s="393">
        <f>'FG3'!C82*(1+$J$10)</f>
        <v>0</v>
      </c>
      <c r="D82" s="393">
        <f>'FG3'!D82*(1+$J$10)</f>
        <v>0</v>
      </c>
      <c r="E82" s="393">
        <f>'FG3'!E82*(1+$J$10)</f>
        <v>0</v>
      </c>
      <c r="F82" s="393">
        <f>'FG3'!F82*(1+$J$10)</f>
        <v>0</v>
      </c>
      <c r="G82" s="393">
        <f>'FG3'!G82*(1+$J$10)</f>
        <v>0</v>
      </c>
      <c r="H82" s="393">
        <f>'FG3'!H82*(1+$J$10)</f>
        <v>0</v>
      </c>
      <c r="I82" s="393">
        <f>'FG3'!I82*(1+$J$10)</f>
        <v>0</v>
      </c>
      <c r="J82" s="393">
        <f>'FG3'!J82*(1+$J$10)</f>
        <v>0</v>
      </c>
      <c r="K82" s="393">
        <f>'FG3'!K82*(1+$J$10)</f>
        <v>0</v>
      </c>
      <c r="L82" s="393">
        <f>'FG3'!L82*(1+$J$10)</f>
        <v>0</v>
      </c>
      <c r="M82" s="393">
        <f>'FG3'!M82*(1+$J$10)</f>
        <v>0</v>
      </c>
      <c r="N82" s="393">
        <f>'FG3'!N82*(1+$J$10)</f>
        <v>0</v>
      </c>
      <c r="O82" s="76">
        <f>SUM(C82:N82)</f>
        <v>0</v>
      </c>
    </row>
    <row r="83" spans="1:15" s="261" customFormat="1" ht="13">
      <c r="A83" s="852"/>
      <c r="B83" s="48"/>
      <c r="C83" s="110"/>
      <c r="D83" s="110"/>
      <c r="E83" s="110"/>
      <c r="F83" s="110"/>
      <c r="G83" s="110"/>
      <c r="H83" s="110"/>
      <c r="I83" s="110"/>
      <c r="J83" s="110"/>
      <c r="K83" s="110"/>
      <c r="L83" s="110"/>
      <c r="M83" s="110"/>
      <c r="N83" s="110"/>
      <c r="O83" s="77"/>
    </row>
    <row r="84" spans="1:15" s="261" customFormat="1" ht="13.5" thickBot="1">
      <c r="A84" s="859" t="s">
        <v>654</v>
      </c>
      <c r="B84" s="856"/>
      <c r="C84" s="861"/>
      <c r="D84" s="861"/>
      <c r="E84" s="861"/>
      <c r="F84" s="861"/>
      <c r="G84" s="861"/>
      <c r="H84" s="861"/>
      <c r="I84" s="861"/>
      <c r="J84" s="861"/>
      <c r="K84" s="861"/>
      <c r="L84" s="861"/>
      <c r="M84" s="861"/>
      <c r="N84" s="861"/>
      <c r="O84" s="858"/>
    </row>
    <row r="85" spans="1:15" s="261" customFormat="1" ht="13.5" thickBot="1">
      <c r="A85" s="1188" t="str">
        <f>'FG3'!A85:B85</f>
        <v>Frais bancaires</v>
      </c>
      <c r="B85" s="1188"/>
      <c r="C85" s="393">
        <f>'FG3'!C85*(1+$J$10)</f>
        <v>0</v>
      </c>
      <c r="D85" s="393">
        <f>'FG3'!D85*(1+$J$10)</f>
        <v>0</v>
      </c>
      <c r="E85" s="393">
        <f>'FG3'!E85*(1+$J$10)</f>
        <v>0</v>
      </c>
      <c r="F85" s="393">
        <f>'FG3'!F85*(1+$J$10)</f>
        <v>0</v>
      </c>
      <c r="G85" s="393">
        <f>'FG3'!G85*(1+$J$10)</f>
        <v>0</v>
      </c>
      <c r="H85" s="393">
        <f>'FG3'!H85*(1+$J$10)</f>
        <v>0</v>
      </c>
      <c r="I85" s="393">
        <f>'FG3'!I85*(1+$J$10)</f>
        <v>0</v>
      </c>
      <c r="J85" s="393">
        <f>'FG3'!J85*(1+$J$10)</f>
        <v>0</v>
      </c>
      <c r="K85" s="393">
        <f>'FG3'!K85*(1+$J$10)</f>
        <v>0</v>
      </c>
      <c r="L85" s="393">
        <f>'FG3'!L85*(1+$J$10)</f>
        <v>0</v>
      </c>
      <c r="M85" s="393">
        <f>'FG3'!M85*(1+$J$10)</f>
        <v>0</v>
      </c>
      <c r="N85" s="393">
        <f>'FG3'!N85*(1+$J$10)</f>
        <v>0</v>
      </c>
      <c r="O85" s="76">
        <f>SUM(C85:N85)</f>
        <v>0</v>
      </c>
    </row>
    <row r="86" spans="1:15" s="261" customFormat="1" ht="13.5" thickBot="1">
      <c r="A86" s="78"/>
      <c r="B86" s="78"/>
      <c r="C86" s="110"/>
      <c r="D86" s="110"/>
      <c r="E86" s="110"/>
      <c r="F86" s="110"/>
      <c r="G86" s="110"/>
      <c r="H86" s="110"/>
      <c r="I86" s="110"/>
      <c r="J86" s="110"/>
      <c r="K86" s="110"/>
      <c r="L86" s="110"/>
      <c r="M86" s="110"/>
      <c r="N86" s="110"/>
      <c r="O86" s="77"/>
    </row>
    <row r="87" spans="1:15" s="261" customFormat="1" ht="13.5" thickBot="1">
      <c r="A87" s="1188" t="str">
        <f>'FG3'!A87:B87</f>
        <v>Frais de carte de crédit</v>
      </c>
      <c r="B87" s="1188"/>
      <c r="C87" s="393">
        <f>'FG3'!C87*(1+$J$10)</f>
        <v>0</v>
      </c>
      <c r="D87" s="393">
        <f>'FG3'!D87*(1+$J$10)</f>
        <v>0</v>
      </c>
      <c r="E87" s="393">
        <f>'FG3'!E87*(1+$J$10)</f>
        <v>0</v>
      </c>
      <c r="F87" s="393">
        <f>'FG3'!F87*(1+$J$10)</f>
        <v>0</v>
      </c>
      <c r="G87" s="393">
        <f>'FG3'!G87*(1+$J$10)</f>
        <v>0</v>
      </c>
      <c r="H87" s="393">
        <f>'FG3'!H87*(1+$J$10)</f>
        <v>0</v>
      </c>
      <c r="I87" s="393">
        <f>'FG3'!I87*(1+$J$10)</f>
        <v>0</v>
      </c>
      <c r="J87" s="393">
        <f>'FG3'!J87*(1+$J$10)</f>
        <v>0</v>
      </c>
      <c r="K87" s="393">
        <f>'FG3'!K87*(1+$J$10)</f>
        <v>0</v>
      </c>
      <c r="L87" s="393">
        <f>'FG3'!L87*(1+$J$10)</f>
        <v>0</v>
      </c>
      <c r="M87" s="393">
        <f>'FG3'!M87*(1+$J$10)</f>
        <v>0</v>
      </c>
      <c r="N87" s="393">
        <f>'FG3'!N87*(1+$J$10)</f>
        <v>0</v>
      </c>
      <c r="O87" s="76">
        <f>SUM(C87:N87)</f>
        <v>0</v>
      </c>
    </row>
    <row r="88" spans="1:15" s="261" customFormat="1" ht="13.5" thickBot="1">
      <c r="A88" s="78"/>
      <c r="B88" s="78"/>
      <c r="C88" s="110"/>
      <c r="D88" s="110"/>
      <c r="E88" s="110"/>
      <c r="F88" s="110"/>
      <c r="G88" s="110"/>
      <c r="H88" s="110"/>
      <c r="I88" s="110"/>
      <c r="J88" s="110"/>
      <c r="K88" s="110"/>
      <c r="L88" s="110"/>
      <c r="M88" s="110"/>
      <c r="N88" s="110"/>
      <c r="O88" s="77"/>
    </row>
    <row r="89" spans="1:15" s="261" customFormat="1" ht="13.5" thickBot="1">
      <c r="A89" s="1188" t="str">
        <f>'FG3'!A89:B89</f>
        <v>Autres frais financiers 1</v>
      </c>
      <c r="B89" s="1196"/>
      <c r="C89" s="393">
        <f>'FG3'!C89*(1+$J$10)</f>
        <v>0</v>
      </c>
      <c r="D89" s="393">
        <f>'FG3'!D89*(1+$J$10)</f>
        <v>0</v>
      </c>
      <c r="E89" s="393">
        <f>'FG3'!E89*(1+$J$10)</f>
        <v>0</v>
      </c>
      <c r="F89" s="393">
        <f>'FG3'!F89*(1+$J$10)</f>
        <v>0</v>
      </c>
      <c r="G89" s="393">
        <f>'FG3'!G89*(1+$J$10)</f>
        <v>0</v>
      </c>
      <c r="H89" s="393">
        <f>'FG3'!H89*(1+$J$10)</f>
        <v>0</v>
      </c>
      <c r="I89" s="393">
        <f>'FG3'!I89*(1+$J$10)</f>
        <v>0</v>
      </c>
      <c r="J89" s="393">
        <f>'FG3'!J89*(1+$J$10)</f>
        <v>0</v>
      </c>
      <c r="K89" s="393">
        <f>'FG3'!K89*(1+$J$10)</f>
        <v>0</v>
      </c>
      <c r="L89" s="393">
        <f>'FG3'!L89*(1+$J$10)</f>
        <v>0</v>
      </c>
      <c r="M89" s="393">
        <f>'FG3'!M89*(1+$J$10)</f>
        <v>0</v>
      </c>
      <c r="N89" s="393">
        <f>'FG3'!N89*(1+$J$10)</f>
        <v>0</v>
      </c>
      <c r="O89" s="76">
        <f>SUM(C89:N89)</f>
        <v>0</v>
      </c>
    </row>
    <row r="90" spans="1:15" s="261" customFormat="1" ht="13.5" thickBot="1">
      <c r="A90" s="78"/>
      <c r="B90" s="78"/>
      <c r="C90" s="110"/>
      <c r="D90" s="110"/>
      <c r="E90" s="110"/>
      <c r="F90" s="110"/>
      <c r="G90" s="110"/>
      <c r="H90" s="110"/>
      <c r="I90" s="110"/>
      <c r="J90" s="110"/>
      <c r="K90" s="110"/>
      <c r="L90" s="110"/>
      <c r="M90" s="110"/>
      <c r="N90" s="110"/>
      <c r="O90" s="77"/>
    </row>
    <row r="91" spans="1:15" s="261" customFormat="1" ht="13.5" thickBot="1">
      <c r="A91" s="1188" t="str">
        <f>'FG3'!A91:B91</f>
        <v>Autres frais financiers 2</v>
      </c>
      <c r="B91" s="1196"/>
      <c r="C91" s="393">
        <f>'FG3'!C91*(1+$J$10)</f>
        <v>0</v>
      </c>
      <c r="D91" s="393">
        <f>'FG3'!D91*(1+$J$10)</f>
        <v>0</v>
      </c>
      <c r="E91" s="393">
        <f>'FG3'!E91*(1+$J$10)</f>
        <v>0</v>
      </c>
      <c r="F91" s="393">
        <f>'FG3'!F91*(1+$J$10)</f>
        <v>0</v>
      </c>
      <c r="G91" s="393">
        <f>'FG3'!G91*(1+$J$10)</f>
        <v>0</v>
      </c>
      <c r="H91" s="393">
        <f>'FG3'!H91*(1+$J$10)</f>
        <v>0</v>
      </c>
      <c r="I91" s="393">
        <f>'FG3'!I91*(1+$J$10)</f>
        <v>0</v>
      </c>
      <c r="J91" s="393">
        <f>'FG3'!J91*(1+$J$10)</f>
        <v>0</v>
      </c>
      <c r="K91" s="393">
        <f>'FG3'!K91*(1+$J$10)</f>
        <v>0</v>
      </c>
      <c r="L91" s="393">
        <f>'FG3'!L91*(1+$J$10)</f>
        <v>0</v>
      </c>
      <c r="M91" s="393">
        <f>'FG3'!M91*(1+$J$10)</f>
        <v>0</v>
      </c>
      <c r="N91" s="393">
        <f>'FG3'!N91*(1+$J$10)</f>
        <v>0</v>
      </c>
      <c r="O91" s="76">
        <f>SUM(C91:N91)</f>
        <v>0</v>
      </c>
    </row>
    <row r="92" spans="1:15" s="261" customFormat="1" ht="13.5" thickBot="1">
      <c r="A92" s="78"/>
      <c r="B92" s="78"/>
      <c r="C92" s="110"/>
      <c r="D92" s="110"/>
      <c r="E92" s="110"/>
      <c r="F92" s="110"/>
      <c r="G92" s="110"/>
      <c r="H92" s="110"/>
      <c r="I92" s="110"/>
      <c r="J92" s="110"/>
      <c r="K92" s="110"/>
      <c r="L92" s="110"/>
      <c r="M92" s="110"/>
      <c r="N92" s="110"/>
      <c r="O92" s="77"/>
    </row>
    <row r="93" spans="1:15" s="261" customFormat="1" ht="13.5" thickBot="1">
      <c r="A93" s="1188" t="str">
        <f>'FG3'!A93:B93</f>
        <v>Autres frais financiers 3</v>
      </c>
      <c r="B93" s="1196"/>
      <c r="C93" s="393">
        <f>'FG3'!C93*(1+$J$10)</f>
        <v>0</v>
      </c>
      <c r="D93" s="393">
        <f>'FG3'!D93*(1+$J$10)</f>
        <v>0</v>
      </c>
      <c r="E93" s="393">
        <f>'FG3'!E93*(1+$J$10)</f>
        <v>0</v>
      </c>
      <c r="F93" s="393">
        <f>'FG3'!F93*(1+$J$10)</f>
        <v>0</v>
      </c>
      <c r="G93" s="393">
        <f>'FG3'!G93*(1+$J$10)</f>
        <v>0</v>
      </c>
      <c r="H93" s="393">
        <f>'FG3'!H93*(1+$J$10)</f>
        <v>0</v>
      </c>
      <c r="I93" s="393">
        <f>'FG3'!I93*(1+$J$10)</f>
        <v>0</v>
      </c>
      <c r="J93" s="393">
        <f>'FG3'!J93*(1+$J$10)</f>
        <v>0</v>
      </c>
      <c r="K93" s="393">
        <f>'FG3'!K93*(1+$J$10)</f>
        <v>0</v>
      </c>
      <c r="L93" s="393">
        <f>'FG3'!L93*(1+$J$10)</f>
        <v>0</v>
      </c>
      <c r="M93" s="393">
        <f>'FG3'!M93*(1+$J$10)</f>
        <v>0</v>
      </c>
      <c r="N93" s="393">
        <f>'FG3'!N93*(1+$J$10)</f>
        <v>0</v>
      </c>
      <c r="O93" s="76">
        <f>SUM(C93:N93)</f>
        <v>0</v>
      </c>
    </row>
    <row r="94" spans="1:15" s="261" customFormat="1" ht="13.5" thickBot="1">
      <c r="A94" s="78"/>
      <c r="B94" s="78"/>
      <c r="C94" s="110"/>
      <c r="D94" s="110"/>
      <c r="E94" s="110"/>
      <c r="F94" s="110"/>
      <c r="G94" s="110"/>
      <c r="H94" s="110"/>
      <c r="I94" s="110"/>
      <c r="J94" s="110"/>
      <c r="K94" s="110"/>
      <c r="L94" s="110"/>
      <c r="M94" s="110"/>
      <c r="N94" s="110"/>
      <c r="O94" s="77"/>
    </row>
    <row r="95" spans="1:15" s="261" customFormat="1" ht="13.5" thickBot="1">
      <c r="A95" s="1188" t="str">
        <f>'FG3'!A95:B95</f>
        <v>Autres frais financiers 4</v>
      </c>
      <c r="B95" s="1196"/>
      <c r="C95" s="393">
        <f>'FG3'!C95*(1+$J$10)</f>
        <v>0</v>
      </c>
      <c r="D95" s="393">
        <f>'FG3'!D95*(1+$J$10)</f>
        <v>0</v>
      </c>
      <c r="E95" s="393">
        <f>'FG3'!E95*(1+$J$10)</f>
        <v>0</v>
      </c>
      <c r="F95" s="393">
        <f>'FG3'!F95*(1+$J$10)</f>
        <v>0</v>
      </c>
      <c r="G95" s="393">
        <f>'FG3'!G95*(1+$J$10)</f>
        <v>0</v>
      </c>
      <c r="H95" s="393">
        <f>'FG3'!H95*(1+$J$10)</f>
        <v>0</v>
      </c>
      <c r="I95" s="393">
        <f>'FG3'!I95*(1+$J$10)</f>
        <v>0</v>
      </c>
      <c r="J95" s="393">
        <f>'FG3'!J95*(1+$J$10)</f>
        <v>0</v>
      </c>
      <c r="K95" s="393">
        <f>'FG3'!K95*(1+$J$10)</f>
        <v>0</v>
      </c>
      <c r="L95" s="393">
        <f>'FG3'!L95*(1+$J$10)</f>
        <v>0</v>
      </c>
      <c r="M95" s="393">
        <f>'FG3'!M95*(1+$J$10)</f>
        <v>0</v>
      </c>
      <c r="N95" s="393">
        <f>'FG3'!N95*(1+$J$10)</f>
        <v>0</v>
      </c>
      <c r="O95" s="76">
        <f>SUM(C95:N95)</f>
        <v>0</v>
      </c>
    </row>
    <row r="96" spans="1:15" s="261" customFormat="1" ht="13.5" thickBot="1">
      <c r="A96" s="79"/>
      <c r="B96" s="79"/>
      <c r="C96" s="110"/>
      <c r="D96" s="110"/>
      <c r="E96" s="110"/>
      <c r="F96" s="110"/>
      <c r="G96" s="110"/>
      <c r="H96" s="110"/>
      <c r="I96" s="110"/>
      <c r="J96" s="110"/>
      <c r="K96" s="110"/>
      <c r="L96" s="110"/>
      <c r="M96" s="110"/>
      <c r="N96" s="110"/>
      <c r="O96" s="77"/>
    </row>
    <row r="97" spans="1:16" ht="13.5" thickBot="1">
      <c r="A97" s="108" t="s">
        <v>498</v>
      </c>
      <c r="C97" s="480">
        <f>SUM(C14:C89)</f>
        <v>0</v>
      </c>
      <c r="D97" s="480">
        <f t="shared" ref="D97:O97" si="1">SUM(D14:D89)</f>
        <v>0</v>
      </c>
      <c r="E97" s="480">
        <f t="shared" si="1"/>
        <v>0</v>
      </c>
      <c r="F97" s="480">
        <f t="shared" si="1"/>
        <v>0</v>
      </c>
      <c r="G97" s="480">
        <f t="shared" si="1"/>
        <v>0</v>
      </c>
      <c r="H97" s="480">
        <f t="shared" si="1"/>
        <v>0</v>
      </c>
      <c r="I97" s="480">
        <f t="shared" si="1"/>
        <v>0</v>
      </c>
      <c r="J97" s="480">
        <f t="shared" si="1"/>
        <v>0</v>
      </c>
      <c r="K97" s="480">
        <f t="shared" si="1"/>
        <v>0</v>
      </c>
      <c r="L97" s="480">
        <f t="shared" si="1"/>
        <v>0</v>
      </c>
      <c r="M97" s="480">
        <f t="shared" si="1"/>
        <v>0</v>
      </c>
      <c r="N97" s="480">
        <f t="shared" si="1"/>
        <v>0</v>
      </c>
      <c r="O97" s="480">
        <f t="shared" si="1"/>
        <v>0</v>
      </c>
    </row>
    <row r="98" spans="1:16" ht="13">
      <c r="A98" s="79"/>
      <c r="B98" s="79"/>
      <c r="C98" s="110"/>
      <c r="D98" s="110"/>
      <c r="E98" s="110"/>
      <c r="F98" s="110"/>
      <c r="G98" s="110"/>
      <c r="H98" s="110"/>
      <c r="I98" s="110"/>
      <c r="J98" s="110"/>
      <c r="K98" s="110"/>
      <c r="L98" s="110"/>
      <c r="M98" s="110"/>
      <c r="N98" s="110"/>
      <c r="O98" s="77"/>
      <c r="P98" s="48"/>
    </row>
    <row r="99" spans="1:16" ht="13">
      <c r="A99" s="79"/>
      <c r="B99" s="79"/>
      <c r="O99" s="251"/>
      <c r="P99" s="48"/>
    </row>
    <row r="100" spans="1:16" ht="13.5" thickBot="1">
      <c r="A100" s="862" t="s">
        <v>717</v>
      </c>
      <c r="B100" s="863"/>
      <c r="C100" s="861"/>
      <c r="D100" s="861"/>
      <c r="E100" s="861"/>
      <c r="F100" s="861"/>
      <c r="G100" s="861"/>
      <c r="H100" s="861"/>
      <c r="I100" s="861"/>
      <c r="J100" s="861"/>
      <c r="K100" s="861"/>
      <c r="L100" s="861"/>
      <c r="M100" s="861"/>
      <c r="N100" s="861"/>
      <c r="O100" s="858"/>
      <c r="P100" s="48"/>
    </row>
    <row r="101" spans="1:16" s="261" customFormat="1" ht="13.5" thickBot="1">
      <c r="A101" s="1188" t="str">
        <f>'FG3'!A101</f>
        <v>Acquisition d'immobilisations</v>
      </c>
      <c r="B101" s="1188"/>
      <c r="C101" s="393"/>
      <c r="D101" s="393"/>
      <c r="E101" s="393">
        <f>DG!N241+DG!Z241+DG!AL241+DG!AX241+DG!BJ241+DG!BV241+DG!CH241+DG!CT241+DG!DF241+DG!DR241+DG!ED241</f>
        <v>0</v>
      </c>
      <c r="F101" s="393"/>
      <c r="G101" s="393"/>
      <c r="H101" s="393"/>
      <c r="I101" s="393"/>
      <c r="J101" s="393"/>
      <c r="K101" s="393"/>
      <c r="L101" s="393"/>
      <c r="M101" s="393"/>
      <c r="N101" s="393"/>
      <c r="O101" s="76">
        <f>SUM(C101:N101)</f>
        <v>0</v>
      </c>
    </row>
    <row r="102" spans="1:16" s="261" customFormat="1" ht="13.5" thickBot="1">
      <c r="A102" s="78"/>
      <c r="B102" s="78"/>
      <c r="C102" s="110"/>
      <c r="D102" s="110"/>
      <c r="E102" s="110"/>
      <c r="F102" s="110"/>
      <c r="G102" s="110"/>
      <c r="H102" s="110"/>
      <c r="I102" s="110"/>
      <c r="J102" s="110"/>
      <c r="K102" s="110"/>
      <c r="L102" s="110"/>
      <c r="M102" s="110"/>
      <c r="N102" s="110"/>
      <c r="O102" s="77"/>
    </row>
    <row r="103" spans="1:16" s="261" customFormat="1" ht="13.5" thickBot="1">
      <c r="A103" s="1188" t="str">
        <f>'FG3'!A103</f>
        <v>Retraits du (des) actionnaire(s)</v>
      </c>
      <c r="B103" s="1195"/>
      <c r="C103" s="393">
        <f>'FG3'!C103</f>
        <v>0</v>
      </c>
      <c r="D103" s="393">
        <f>'FG3'!D103</f>
        <v>0</v>
      </c>
      <c r="E103" s="393">
        <f>'FG3'!E103</f>
        <v>0</v>
      </c>
      <c r="F103" s="393">
        <f>'FG3'!F103</f>
        <v>0</v>
      </c>
      <c r="G103" s="393">
        <f>'FG3'!G103</f>
        <v>0</v>
      </c>
      <c r="H103" s="393">
        <f>'FG3'!H103</f>
        <v>0</v>
      </c>
      <c r="I103" s="393">
        <f>'FG3'!I103</f>
        <v>0</v>
      </c>
      <c r="J103" s="393">
        <f>'FG3'!J103</f>
        <v>0</v>
      </c>
      <c r="K103" s="393">
        <f>'FG3'!K103</f>
        <v>0</v>
      </c>
      <c r="L103" s="393">
        <f>'FG3'!L103</f>
        <v>0</v>
      </c>
      <c r="M103" s="393">
        <f>'FG3'!M103</f>
        <v>0</v>
      </c>
      <c r="N103" s="393">
        <f>'FG3'!N103</f>
        <v>0</v>
      </c>
      <c r="O103" s="76">
        <f>SUM(C103:N103)</f>
        <v>0</v>
      </c>
    </row>
    <row r="104" spans="1:16" ht="13.5" thickBot="1">
      <c r="A104" s="48"/>
      <c r="B104" s="106"/>
      <c r="C104" s="177"/>
      <c r="D104" s="177"/>
      <c r="E104" s="177"/>
      <c r="F104" s="177"/>
      <c r="G104" s="177"/>
      <c r="H104" s="177"/>
      <c r="I104" s="177"/>
      <c r="J104" s="177"/>
      <c r="K104" s="177"/>
      <c r="L104" s="177"/>
      <c r="M104" s="177"/>
      <c r="N104" s="177"/>
      <c r="O104" s="177"/>
    </row>
    <row r="105" spans="1:16" ht="13.5" thickBot="1">
      <c r="A105" s="108" t="s">
        <v>144</v>
      </c>
      <c r="C105" s="480">
        <f>SUM(C101:C103)</f>
        <v>0</v>
      </c>
      <c r="D105" s="480">
        <f t="shared" ref="D105:O105" si="2">SUM(D101:D103)</f>
        <v>0</v>
      </c>
      <c r="E105" s="480">
        <f t="shared" si="2"/>
        <v>0</v>
      </c>
      <c r="F105" s="480">
        <f t="shared" si="2"/>
        <v>0</v>
      </c>
      <c r="G105" s="480">
        <f t="shared" si="2"/>
        <v>0</v>
      </c>
      <c r="H105" s="480">
        <f t="shared" si="2"/>
        <v>0</v>
      </c>
      <c r="I105" s="480">
        <f t="shared" si="2"/>
        <v>0</v>
      </c>
      <c r="J105" s="480">
        <f t="shared" si="2"/>
        <v>0</v>
      </c>
      <c r="K105" s="480">
        <f t="shared" si="2"/>
        <v>0</v>
      </c>
      <c r="L105" s="480">
        <f t="shared" si="2"/>
        <v>0</v>
      </c>
      <c r="M105" s="480">
        <f t="shared" si="2"/>
        <v>0</v>
      </c>
      <c r="N105" s="480">
        <f t="shared" si="2"/>
        <v>0</v>
      </c>
      <c r="O105" s="480">
        <f t="shared" si="2"/>
        <v>0</v>
      </c>
    </row>
  </sheetData>
  <sheetProtection password="E242" sheet="1" objects="1" scenarios="1"/>
  <customSheetViews>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G5">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ColWidth="11.453125" defaultRowHeight="12.5"/>
  <cols>
    <col min="1" max="1" width="24.453125" style="251" customWidth="1"/>
    <col min="2" max="2" width="5.6328125" style="251" customWidth="1"/>
    <col min="3" max="5" width="11.453125" style="251"/>
    <col min="6" max="8" width="12.453125" style="251" customWidth="1"/>
    <col min="9" max="14" width="11.453125" style="251"/>
    <col min="15" max="15" width="11.453125" style="275"/>
    <col min="16" max="16384" width="11.453125" style="251"/>
  </cols>
  <sheetData>
    <row r="1" spans="1:15" customFormat="1"/>
    <row r="2" spans="1:15" customFormat="1"/>
    <row r="3" spans="1:15" customFormat="1"/>
    <row r="4" spans="1:15" s="261" customFormat="1"/>
    <row r="5" spans="1:15" s="261" customFormat="1"/>
    <row r="6" spans="1:15" s="261" customFormat="1"/>
    <row r="7" spans="1:15" s="261" customFormat="1"/>
    <row r="8" spans="1:15" ht="25">
      <c r="A8" s="105" t="str">
        <f>RG!D17</f>
        <v>Jhon Wesly inc.</v>
      </c>
    </row>
    <row r="9" spans="1:15" ht="13.5" thickBot="1">
      <c r="C9" s="328"/>
      <c r="I9" s="327"/>
    </row>
    <row r="10" spans="1:15" ht="15.5" thickBot="1">
      <c r="A10" s="72" t="s">
        <v>25</v>
      </c>
      <c r="B10" s="106"/>
      <c r="C10" s="107"/>
      <c r="D10" s="107"/>
      <c r="E10" s="107"/>
      <c r="F10" s="1194" t="s">
        <v>66</v>
      </c>
      <c r="G10" s="1194"/>
      <c r="H10" s="1194"/>
      <c r="I10" s="751" t="s">
        <v>67</v>
      </c>
      <c r="J10" s="753">
        <v>0</v>
      </c>
      <c r="K10" s="107"/>
      <c r="L10" s="107"/>
      <c r="M10" s="107"/>
      <c r="N10" s="107"/>
      <c r="O10" s="107"/>
    </row>
    <row r="11" spans="1:15" ht="15.5" thickBot="1">
      <c r="A11" s="72"/>
      <c r="B11" s="106"/>
      <c r="C11" s="107"/>
      <c r="D11" s="107"/>
      <c r="E11" s="107"/>
      <c r="F11" s="107"/>
      <c r="G11" s="107"/>
      <c r="H11" s="107"/>
      <c r="I11" s="107"/>
      <c r="J11" s="107"/>
      <c r="K11" s="107"/>
      <c r="L11" s="107"/>
      <c r="M11" s="107"/>
      <c r="N11" s="107"/>
      <c r="O11" s="107"/>
    </row>
    <row r="12" spans="1:15" ht="15.5" thickBot="1">
      <c r="A12" s="72"/>
      <c r="B12" s="106"/>
      <c r="C12" s="482">
        <f>'FG4'!C12+366</f>
        <v>46762</v>
      </c>
      <c r="D12" s="482">
        <f t="shared" ref="D12:N12" si="0">C12+31</f>
        <v>46793</v>
      </c>
      <c r="E12" s="482">
        <f t="shared" si="0"/>
        <v>46824</v>
      </c>
      <c r="F12" s="482">
        <f t="shared" si="0"/>
        <v>46855</v>
      </c>
      <c r="G12" s="482">
        <f t="shared" si="0"/>
        <v>46886</v>
      </c>
      <c r="H12" s="482">
        <f t="shared" si="0"/>
        <v>46917</v>
      </c>
      <c r="I12" s="482">
        <f t="shared" si="0"/>
        <v>46948</v>
      </c>
      <c r="J12" s="482">
        <f t="shared" si="0"/>
        <v>46979</v>
      </c>
      <c r="K12" s="482">
        <f t="shared" si="0"/>
        <v>47010</v>
      </c>
      <c r="L12" s="482">
        <f t="shared" si="0"/>
        <v>47041</v>
      </c>
      <c r="M12" s="482">
        <f t="shared" si="0"/>
        <v>47072</v>
      </c>
      <c r="N12" s="482">
        <f t="shared" si="0"/>
        <v>47103</v>
      </c>
      <c r="O12" s="258" t="s">
        <v>489</v>
      </c>
    </row>
    <row r="13" spans="1:15" ht="13.5" thickBot="1">
      <c r="A13" s="853" t="s">
        <v>651</v>
      </c>
      <c r="B13" s="854"/>
      <c r="C13" s="855"/>
      <c r="D13" s="855"/>
      <c r="E13" s="855"/>
      <c r="F13" s="855"/>
      <c r="G13" s="855"/>
      <c r="H13" s="855"/>
      <c r="I13" s="855"/>
      <c r="J13" s="855"/>
      <c r="K13" s="855"/>
      <c r="L13" s="855"/>
      <c r="M13" s="855"/>
      <c r="N13" s="855"/>
      <c r="O13" s="855"/>
    </row>
    <row r="14" spans="1:15" s="261" customFormat="1" ht="13.5" thickBot="1">
      <c r="A14" s="1188" t="str">
        <f>'FG4'!A14:B14</f>
        <v>Loyer</v>
      </c>
      <c r="B14" s="1188"/>
      <c r="C14" s="393">
        <f>'FG4'!C14*(1+$J$10)</f>
        <v>0</v>
      </c>
      <c r="D14" s="393">
        <f>'FG4'!D14*(1+$J$10)</f>
        <v>0</v>
      </c>
      <c r="E14" s="393">
        <f>'FG4'!E14*(1+$J$10)</f>
        <v>0</v>
      </c>
      <c r="F14" s="393">
        <f>'FG4'!F14*(1+$J$10)</f>
        <v>0</v>
      </c>
      <c r="G14" s="393">
        <f>'FG4'!G14*(1+$J$10)</f>
        <v>0</v>
      </c>
      <c r="H14" s="393">
        <f>'FG4'!H14*(1+$J$10)</f>
        <v>0</v>
      </c>
      <c r="I14" s="393">
        <f>'FG4'!I14*(1+$J$10)</f>
        <v>0</v>
      </c>
      <c r="J14" s="393">
        <f>'FG4'!J14*(1+$J$10)</f>
        <v>0</v>
      </c>
      <c r="K14" s="393">
        <f>'FG4'!K14*(1+$J$10)</f>
        <v>0</v>
      </c>
      <c r="L14" s="393">
        <f>'FG4'!L14*(1+$J$10)</f>
        <v>0</v>
      </c>
      <c r="M14" s="393">
        <f>'FG4'!M14*(1+$J$10)</f>
        <v>0</v>
      </c>
      <c r="N14" s="393">
        <f>'FG4'!N14*(1+$J$10)</f>
        <v>0</v>
      </c>
      <c r="O14" s="76">
        <f>SUM(C14:N14)</f>
        <v>0</v>
      </c>
    </row>
    <row r="15" spans="1:15" s="261" customFormat="1" ht="13.5" thickBot="1">
      <c r="A15" s="78"/>
      <c r="B15" s="78"/>
      <c r="C15" s="110"/>
      <c r="D15" s="110"/>
      <c r="E15" s="110"/>
      <c r="F15" s="110"/>
      <c r="G15" s="110"/>
      <c r="H15" s="110"/>
      <c r="I15" s="110"/>
      <c r="J15" s="110"/>
      <c r="K15" s="110"/>
      <c r="L15" s="110"/>
      <c r="M15" s="110"/>
      <c r="N15" s="110"/>
      <c r="O15" s="77"/>
    </row>
    <row r="16" spans="1:15" s="261" customFormat="1" ht="13.5" thickBot="1">
      <c r="A16" s="1188" t="str">
        <f>'FG4'!A16:B16</f>
        <v>Coût d'énergie</v>
      </c>
      <c r="B16" s="1188"/>
      <c r="C16" s="393">
        <f>'FG4'!C16*(1+$J$10)</f>
        <v>0</v>
      </c>
      <c r="D16" s="393">
        <f>'FG4'!D16*(1+$J$10)</f>
        <v>0</v>
      </c>
      <c r="E16" s="393">
        <f>'FG4'!E16*(1+$J$10)</f>
        <v>0</v>
      </c>
      <c r="F16" s="393">
        <f>'FG4'!F16*(1+$J$10)</f>
        <v>0</v>
      </c>
      <c r="G16" s="393">
        <f>'FG4'!G16*(1+$J$10)</f>
        <v>0</v>
      </c>
      <c r="H16" s="393">
        <f>'FG4'!H16*(1+$J$10)</f>
        <v>0</v>
      </c>
      <c r="I16" s="393">
        <f>'FG4'!I16*(1+$J$10)</f>
        <v>0</v>
      </c>
      <c r="J16" s="393">
        <f>'FG4'!J16*(1+$J$10)</f>
        <v>0</v>
      </c>
      <c r="K16" s="393">
        <f>'FG4'!K16*(1+$J$10)</f>
        <v>0</v>
      </c>
      <c r="L16" s="393">
        <f>'FG4'!L16*(1+$J$10)</f>
        <v>0</v>
      </c>
      <c r="M16" s="393">
        <f>'FG4'!M16*(1+$J$10)</f>
        <v>0</v>
      </c>
      <c r="N16" s="393">
        <f>'FG4'!N16*(1+$J$10)</f>
        <v>0</v>
      </c>
      <c r="O16" s="76">
        <f>SUM(C16:N16)</f>
        <v>0</v>
      </c>
    </row>
    <row r="17" spans="1:15" s="261" customFormat="1" ht="13.5" thickBot="1">
      <c r="A17" s="78"/>
      <c r="B17" s="78"/>
      <c r="C17" s="110"/>
      <c r="D17" s="110"/>
      <c r="E17" s="110"/>
      <c r="F17" s="110"/>
      <c r="G17" s="110"/>
      <c r="H17" s="110"/>
      <c r="I17" s="110"/>
      <c r="J17" s="110"/>
      <c r="K17" s="110"/>
      <c r="L17" s="110"/>
      <c r="M17" s="110"/>
      <c r="N17" s="110"/>
      <c r="O17" s="77"/>
    </row>
    <row r="18" spans="1:15" s="261" customFormat="1" ht="13.5" thickBot="1">
      <c r="A18" s="1188" t="str">
        <f>'FG4'!A18:B18</f>
        <v>Entretien / réparation</v>
      </c>
      <c r="B18" s="1188"/>
      <c r="C18" s="393">
        <f>'FG4'!C18*(1+$J$10)</f>
        <v>0</v>
      </c>
      <c r="D18" s="393">
        <f>'FG4'!D18*(1+$J$10)</f>
        <v>0</v>
      </c>
      <c r="E18" s="393">
        <f>'FG4'!E18*(1+$J$10)</f>
        <v>0</v>
      </c>
      <c r="F18" s="393">
        <f>'FG4'!F18*(1+$J$10)</f>
        <v>0</v>
      </c>
      <c r="G18" s="393">
        <f>'FG4'!G18*(1+$J$10)</f>
        <v>0</v>
      </c>
      <c r="H18" s="393">
        <f>'FG4'!H18*(1+$J$10)</f>
        <v>0</v>
      </c>
      <c r="I18" s="393">
        <f>'FG4'!I18*(1+$J$10)</f>
        <v>0</v>
      </c>
      <c r="J18" s="393">
        <f>'FG4'!J18*(1+$J$10)</f>
        <v>0</v>
      </c>
      <c r="K18" s="393">
        <f>'FG4'!K18*(1+$J$10)</f>
        <v>0</v>
      </c>
      <c r="L18" s="393">
        <f>'FG4'!L18*(1+$J$10)</f>
        <v>0</v>
      </c>
      <c r="M18" s="393">
        <f>'FG4'!M18*(1+$J$10)</f>
        <v>0</v>
      </c>
      <c r="N18" s="393">
        <f>'FG4'!N18*(1+$J$10)</f>
        <v>0</v>
      </c>
      <c r="O18" s="76">
        <f>SUM(C18:N18)</f>
        <v>0</v>
      </c>
    </row>
    <row r="19" spans="1:15" s="261" customFormat="1" ht="13.5" thickBot="1">
      <c r="A19" s="78"/>
      <c r="B19" s="78"/>
      <c r="C19" s="110"/>
      <c r="D19" s="110"/>
      <c r="E19" s="110"/>
      <c r="F19" s="110"/>
      <c r="G19" s="110"/>
      <c r="H19" s="110"/>
      <c r="I19" s="110"/>
      <c r="J19" s="110"/>
      <c r="K19" s="110"/>
      <c r="L19" s="110"/>
      <c r="M19" s="110"/>
      <c r="N19" s="110"/>
      <c r="O19" s="77"/>
    </row>
    <row r="20" spans="1:15" s="261" customFormat="1" ht="13.5" thickBot="1">
      <c r="A20" s="1188" t="str">
        <f>'FG4'!A20:B20</f>
        <v>Services sanitaires</v>
      </c>
      <c r="B20" s="1188"/>
      <c r="C20" s="393">
        <f>'FG4'!C20*(1+$J$10)</f>
        <v>0</v>
      </c>
      <c r="D20" s="393">
        <f>'FG4'!D20*(1+$J$10)</f>
        <v>0</v>
      </c>
      <c r="E20" s="393">
        <f>'FG4'!E20*(1+$J$10)</f>
        <v>0</v>
      </c>
      <c r="F20" s="393">
        <f>'FG4'!F20*(1+$J$10)</f>
        <v>0</v>
      </c>
      <c r="G20" s="393">
        <f>'FG4'!G20*(1+$J$10)</f>
        <v>0</v>
      </c>
      <c r="H20" s="393">
        <f>'FG4'!H20*(1+$J$10)</f>
        <v>0</v>
      </c>
      <c r="I20" s="393">
        <f>'FG4'!I20*(1+$J$10)</f>
        <v>0</v>
      </c>
      <c r="J20" s="393">
        <f>'FG4'!J20*(1+$J$10)</f>
        <v>0</v>
      </c>
      <c r="K20" s="393">
        <f>'FG4'!K20*(1+$J$10)</f>
        <v>0</v>
      </c>
      <c r="L20" s="393">
        <f>'FG4'!L20*(1+$J$10)</f>
        <v>0</v>
      </c>
      <c r="M20" s="393">
        <f>'FG4'!M20*(1+$J$10)</f>
        <v>0</v>
      </c>
      <c r="N20" s="393">
        <f>'FG4'!N20*(1+$J$10)</f>
        <v>0</v>
      </c>
      <c r="O20" s="76">
        <f>SUM(C20:N20)</f>
        <v>0</v>
      </c>
    </row>
    <row r="21" spans="1:15" s="261" customFormat="1" ht="13.5" thickBot="1">
      <c r="A21" s="78"/>
      <c r="B21" s="78"/>
      <c r="C21" s="110"/>
      <c r="D21" s="110"/>
      <c r="E21" s="110"/>
      <c r="F21" s="110"/>
      <c r="G21" s="110"/>
      <c r="H21" s="110"/>
      <c r="I21" s="110"/>
      <c r="J21" s="110"/>
      <c r="K21" s="110"/>
      <c r="L21" s="110"/>
      <c r="M21" s="110"/>
      <c r="N21" s="110"/>
      <c r="O21" s="77"/>
    </row>
    <row r="22" spans="1:15" s="261" customFormat="1" ht="13.5" thickBot="1">
      <c r="A22" s="1188" t="str">
        <f>'FG4'!A22:B22</f>
        <v>Frais de déplacement</v>
      </c>
      <c r="B22" s="1188"/>
      <c r="C22" s="393">
        <f>'FG4'!C22*(1+$J$10)</f>
        <v>0</v>
      </c>
      <c r="D22" s="393">
        <f>'FG4'!D22*(1+$J$10)</f>
        <v>0</v>
      </c>
      <c r="E22" s="393">
        <f>'FG4'!E22*(1+$J$10)</f>
        <v>0</v>
      </c>
      <c r="F22" s="393">
        <f>'FG4'!F22*(1+$J$10)</f>
        <v>0</v>
      </c>
      <c r="G22" s="393">
        <f>'FG4'!G22*(1+$J$10)</f>
        <v>0</v>
      </c>
      <c r="H22" s="393">
        <f>'FG4'!H22*(1+$J$10)</f>
        <v>0</v>
      </c>
      <c r="I22" s="393">
        <f>'FG4'!I22*(1+$J$10)</f>
        <v>0</v>
      </c>
      <c r="J22" s="393">
        <f>'FG4'!J22*(1+$J$10)</f>
        <v>0</v>
      </c>
      <c r="K22" s="393">
        <f>'FG4'!K22*(1+$J$10)</f>
        <v>0</v>
      </c>
      <c r="L22" s="393">
        <f>'FG4'!L22*(1+$J$10)</f>
        <v>0</v>
      </c>
      <c r="M22" s="393">
        <f>'FG4'!M22*(1+$J$10)</f>
        <v>0</v>
      </c>
      <c r="N22" s="393">
        <f>'FG4'!N22*(1+$J$10)</f>
        <v>0</v>
      </c>
      <c r="O22" s="76">
        <f>SUM(C22:N22)</f>
        <v>0</v>
      </c>
    </row>
    <row r="23" spans="1:15" s="261" customFormat="1" ht="13.5" thickBot="1">
      <c r="A23" s="78"/>
      <c r="B23" s="78"/>
      <c r="C23" s="110"/>
      <c r="D23" s="110"/>
      <c r="E23" s="110"/>
      <c r="F23" s="110"/>
      <c r="G23" s="110"/>
      <c r="H23" s="110"/>
      <c r="I23" s="110"/>
      <c r="J23" s="110"/>
      <c r="K23" s="110"/>
      <c r="L23" s="110"/>
      <c r="M23" s="110"/>
      <c r="N23" s="110"/>
      <c r="O23" s="77"/>
    </row>
    <row r="24" spans="1:15" s="261" customFormat="1" ht="13.5" thickBot="1">
      <c r="A24" s="1188" t="str">
        <f>'FG4'!A24:B24</f>
        <v>Immatriculation et permis</v>
      </c>
      <c r="B24" s="1188"/>
      <c r="C24" s="393">
        <f>'FG4'!C24*(1+$J$10)</f>
        <v>0</v>
      </c>
      <c r="D24" s="393">
        <f>'FG4'!D24*(1+$J$10)</f>
        <v>0</v>
      </c>
      <c r="E24" s="393">
        <f>'FG4'!E24*(1+$J$10)</f>
        <v>0</v>
      </c>
      <c r="F24" s="393">
        <f>'FG4'!F24*(1+$J$10)</f>
        <v>0</v>
      </c>
      <c r="G24" s="393">
        <f>'FG4'!G24*(1+$J$10)</f>
        <v>0</v>
      </c>
      <c r="H24" s="393">
        <f>'FG4'!H24*(1+$J$10)</f>
        <v>0</v>
      </c>
      <c r="I24" s="393">
        <f>'FG4'!I24*(1+$J$10)</f>
        <v>0</v>
      </c>
      <c r="J24" s="393">
        <f>'FG4'!J24*(1+$J$10)</f>
        <v>0</v>
      </c>
      <c r="K24" s="393">
        <f>'FG4'!K24*(1+$J$10)</f>
        <v>0</v>
      </c>
      <c r="L24" s="393">
        <f>'FG4'!L24*(1+$J$10)</f>
        <v>0</v>
      </c>
      <c r="M24" s="393">
        <f>'FG4'!M24*(1+$J$10)</f>
        <v>0</v>
      </c>
      <c r="N24" s="393">
        <f>'FG4'!N24*(1+$J$10)</f>
        <v>0</v>
      </c>
      <c r="O24" s="76">
        <f>SUM(C24:N24)</f>
        <v>0</v>
      </c>
    </row>
    <row r="25" spans="1:15" s="261" customFormat="1" ht="13.5" thickBot="1">
      <c r="A25" s="78"/>
      <c r="B25" s="78"/>
      <c r="C25" s="110"/>
      <c r="D25" s="110"/>
      <c r="E25" s="110"/>
      <c r="F25" s="110"/>
      <c r="G25" s="110"/>
      <c r="H25" s="110"/>
      <c r="I25" s="110"/>
      <c r="J25" s="110"/>
      <c r="K25" s="110"/>
      <c r="L25" s="110"/>
      <c r="M25" s="110"/>
      <c r="N25" s="110"/>
      <c r="O25" s="77"/>
    </row>
    <row r="26" spans="1:15" s="261" customFormat="1" ht="13.5" thickBot="1">
      <c r="A26" s="1188" t="str">
        <f>'FG4'!A26:B26</f>
        <v>Assurances</v>
      </c>
      <c r="B26" s="1188"/>
      <c r="C26" s="393">
        <f>'FG4'!C26*(1+$J$10)</f>
        <v>0</v>
      </c>
      <c r="D26" s="393">
        <f>'FG4'!D26*(1+$J$10)</f>
        <v>0</v>
      </c>
      <c r="E26" s="393">
        <f>'FG4'!E26*(1+$J$10)</f>
        <v>0</v>
      </c>
      <c r="F26" s="393">
        <f>'FG4'!F26*(1+$J$10)</f>
        <v>0</v>
      </c>
      <c r="G26" s="393">
        <f>'FG4'!G26*(1+$J$10)</f>
        <v>0</v>
      </c>
      <c r="H26" s="393">
        <f>'FG4'!H26*(1+$J$10)</f>
        <v>0</v>
      </c>
      <c r="I26" s="393">
        <f>'FG4'!I26*(1+$J$10)</f>
        <v>0</v>
      </c>
      <c r="J26" s="393">
        <f>'FG4'!J26*(1+$J$10)</f>
        <v>0</v>
      </c>
      <c r="K26" s="393">
        <f>'FG4'!K26*(1+$J$10)</f>
        <v>0</v>
      </c>
      <c r="L26" s="393">
        <f>'FG4'!L26*(1+$J$10)</f>
        <v>0</v>
      </c>
      <c r="M26" s="393">
        <f>'FG4'!M26*(1+$J$10)</f>
        <v>0</v>
      </c>
      <c r="N26" s="393">
        <f>'FG4'!N26*(1+$J$10)</f>
        <v>0</v>
      </c>
      <c r="O26" s="76">
        <f>SUM(C26:N26)</f>
        <v>0</v>
      </c>
    </row>
    <row r="27" spans="1:15" s="261" customFormat="1" ht="13.5" thickBot="1">
      <c r="A27" s="78"/>
      <c r="B27" s="78"/>
      <c r="C27" s="110"/>
      <c r="D27" s="110"/>
      <c r="E27" s="110"/>
      <c r="F27" s="110"/>
      <c r="G27" s="110"/>
      <c r="H27" s="110"/>
      <c r="I27" s="110"/>
      <c r="J27" s="110"/>
      <c r="K27" s="110"/>
      <c r="L27" s="110"/>
      <c r="M27" s="110"/>
      <c r="N27" s="110"/>
      <c r="O27" s="77"/>
    </row>
    <row r="28" spans="1:15" s="261" customFormat="1" ht="13.5" thickBot="1">
      <c r="A28" s="1188" t="str">
        <f>'FG4'!A28:B28</f>
        <v>Dépenses R&amp;D</v>
      </c>
      <c r="B28" s="1188"/>
      <c r="C28" s="393">
        <f>'FG4'!C28*(1+$J$10)</f>
        <v>0</v>
      </c>
      <c r="D28" s="393">
        <f>'FG4'!D28*(1+$J$10)</f>
        <v>0</v>
      </c>
      <c r="E28" s="393">
        <f>'FG4'!E28*(1+$J$10)</f>
        <v>0</v>
      </c>
      <c r="F28" s="393">
        <f>'FG4'!F28*(1+$J$10)</f>
        <v>0</v>
      </c>
      <c r="G28" s="393">
        <f>'FG4'!G28*(1+$J$10)</f>
        <v>0</v>
      </c>
      <c r="H28" s="393">
        <f>'FG4'!H28*(1+$J$10)</f>
        <v>0</v>
      </c>
      <c r="I28" s="393">
        <f>'FG4'!I28*(1+$J$10)</f>
        <v>0</v>
      </c>
      <c r="J28" s="393">
        <f>'FG4'!J28*(1+$J$10)</f>
        <v>0</v>
      </c>
      <c r="K28" s="393">
        <f>'FG4'!K28*(1+$J$10)</f>
        <v>0</v>
      </c>
      <c r="L28" s="393">
        <f>'FG4'!L28*(1+$J$10)</f>
        <v>0</v>
      </c>
      <c r="M28" s="393">
        <f>'FG4'!M28*(1+$J$10)</f>
        <v>0</v>
      </c>
      <c r="N28" s="393">
        <f>'FG4'!N28*(1+$J$10)</f>
        <v>0</v>
      </c>
      <c r="O28" s="76">
        <f>SUM(C28:N28)</f>
        <v>0</v>
      </c>
    </row>
    <row r="29" spans="1:15" s="261" customFormat="1" ht="13.5" thickBot="1">
      <c r="A29" s="78"/>
      <c r="B29" s="78"/>
      <c r="C29" s="110"/>
      <c r="D29" s="110"/>
      <c r="E29" s="110"/>
      <c r="F29" s="110"/>
      <c r="G29" s="110"/>
      <c r="H29" s="110"/>
      <c r="I29" s="110"/>
      <c r="J29" s="110"/>
      <c r="K29" s="110"/>
      <c r="L29" s="110"/>
      <c r="M29" s="110"/>
      <c r="N29" s="110"/>
      <c r="O29" s="77"/>
    </row>
    <row r="30" spans="1:15" s="261" customFormat="1" ht="13.5" thickBot="1">
      <c r="A30" s="1188" t="str">
        <f>'FG4'!A30:B30</f>
        <v>Autre frais d'exploitation 1</v>
      </c>
      <c r="B30" s="1188"/>
      <c r="C30" s="393">
        <f>'FG4'!C30*(1+$J$10)</f>
        <v>0</v>
      </c>
      <c r="D30" s="393">
        <f>'FG4'!D30*(1+$J$10)</f>
        <v>0</v>
      </c>
      <c r="E30" s="393">
        <f>'FG4'!E30*(1+$J$10)</f>
        <v>0</v>
      </c>
      <c r="F30" s="393">
        <f>'FG4'!F30*(1+$J$10)</f>
        <v>0</v>
      </c>
      <c r="G30" s="393">
        <f>'FG4'!G30*(1+$J$10)</f>
        <v>0</v>
      </c>
      <c r="H30" s="393">
        <f>'FG4'!H30*(1+$J$10)</f>
        <v>0</v>
      </c>
      <c r="I30" s="393">
        <f>'FG4'!I30*(1+$J$10)</f>
        <v>0</v>
      </c>
      <c r="J30" s="393">
        <f>'FG4'!J30*(1+$J$10)</f>
        <v>0</v>
      </c>
      <c r="K30" s="393">
        <f>'FG4'!K30*(1+$J$10)</f>
        <v>0</v>
      </c>
      <c r="L30" s="393">
        <f>'FG4'!L30*(1+$J$10)</f>
        <v>0</v>
      </c>
      <c r="M30" s="393">
        <f>'FG4'!M30*(1+$J$10)</f>
        <v>0</v>
      </c>
      <c r="N30" s="393">
        <f>'FG4'!N30*(1+$J$10)</f>
        <v>0</v>
      </c>
      <c r="O30" s="76">
        <f>SUM(C30:N30)</f>
        <v>0</v>
      </c>
    </row>
    <row r="31" spans="1:15" s="261" customFormat="1" ht="13.5" thickBot="1">
      <c r="A31" s="78"/>
      <c r="B31" s="78"/>
      <c r="C31" s="110"/>
      <c r="D31" s="110"/>
      <c r="E31" s="110"/>
      <c r="F31" s="110"/>
      <c r="G31" s="110"/>
      <c r="H31" s="110"/>
      <c r="I31" s="110"/>
      <c r="J31" s="110"/>
      <c r="K31" s="110"/>
      <c r="L31" s="110"/>
      <c r="M31" s="110"/>
      <c r="N31" s="110"/>
      <c r="O31" s="77"/>
    </row>
    <row r="32" spans="1:15" s="261" customFormat="1" ht="13.5" thickBot="1">
      <c r="A32" s="1188" t="str">
        <f>'FG4'!A32:B32</f>
        <v>Autre frais d'exploitation 2</v>
      </c>
      <c r="B32" s="1188"/>
      <c r="C32" s="393">
        <f>'FG4'!C32*(1+$J$10)</f>
        <v>0</v>
      </c>
      <c r="D32" s="393">
        <f>'FG4'!D32*(1+$J$10)</f>
        <v>0</v>
      </c>
      <c r="E32" s="393">
        <f>'FG4'!E32*(1+$J$10)</f>
        <v>0</v>
      </c>
      <c r="F32" s="393">
        <f>'FG4'!F32*(1+$J$10)</f>
        <v>0</v>
      </c>
      <c r="G32" s="393">
        <f>'FG4'!G32*(1+$J$10)</f>
        <v>0</v>
      </c>
      <c r="H32" s="393">
        <f>'FG4'!H32*(1+$J$10)</f>
        <v>0</v>
      </c>
      <c r="I32" s="393">
        <f>'FG4'!I32*(1+$J$10)</f>
        <v>0</v>
      </c>
      <c r="J32" s="393">
        <f>'FG4'!J32*(1+$J$10)</f>
        <v>0</v>
      </c>
      <c r="K32" s="393">
        <f>'FG4'!K32*(1+$J$10)</f>
        <v>0</v>
      </c>
      <c r="L32" s="393">
        <f>'FG4'!L32*(1+$J$10)</f>
        <v>0</v>
      </c>
      <c r="M32" s="393">
        <f>'FG4'!M32*(1+$J$10)</f>
        <v>0</v>
      </c>
      <c r="N32" s="393">
        <f>'FG4'!N32*(1+$J$10)</f>
        <v>0</v>
      </c>
      <c r="O32" s="76">
        <f>SUM(C32:N32)</f>
        <v>0</v>
      </c>
    </row>
    <row r="33" spans="1:15" s="261" customFormat="1" ht="13.5" thickBot="1">
      <c r="A33" s="78"/>
      <c r="B33" s="78"/>
      <c r="C33" s="110"/>
      <c r="D33" s="110"/>
      <c r="E33" s="110"/>
      <c r="F33" s="110"/>
      <c r="G33" s="110"/>
      <c r="H33" s="110"/>
      <c r="I33" s="110"/>
      <c r="J33" s="110"/>
      <c r="K33" s="110"/>
      <c r="L33" s="110"/>
      <c r="M33" s="110"/>
      <c r="N33" s="110"/>
      <c r="O33" s="77"/>
    </row>
    <row r="34" spans="1:15" s="261" customFormat="1" ht="13.5" thickBot="1">
      <c r="A34" s="1188" t="str">
        <f>'FG4'!A34:B34</f>
        <v>Autre frais d'exploitation 3</v>
      </c>
      <c r="B34" s="1188"/>
      <c r="C34" s="393">
        <f>'FG4'!C34*(1+$J$10)</f>
        <v>0</v>
      </c>
      <c r="D34" s="393">
        <f>'FG4'!D34*(1+$J$10)</f>
        <v>0</v>
      </c>
      <c r="E34" s="393">
        <f>'FG4'!E34*(1+$J$10)</f>
        <v>0</v>
      </c>
      <c r="F34" s="393">
        <f>'FG4'!F34*(1+$J$10)</f>
        <v>0</v>
      </c>
      <c r="G34" s="393">
        <f>'FG4'!G34*(1+$J$10)</f>
        <v>0</v>
      </c>
      <c r="H34" s="393">
        <f>'FG4'!H34*(1+$J$10)</f>
        <v>0</v>
      </c>
      <c r="I34" s="393">
        <f>'FG4'!I34*(1+$J$10)</f>
        <v>0</v>
      </c>
      <c r="J34" s="393">
        <f>'FG4'!J34*(1+$J$10)</f>
        <v>0</v>
      </c>
      <c r="K34" s="393">
        <f>'FG4'!K34*(1+$J$10)</f>
        <v>0</v>
      </c>
      <c r="L34" s="393">
        <f>'FG4'!L34*(1+$J$10)</f>
        <v>0</v>
      </c>
      <c r="M34" s="393">
        <f>'FG4'!M34*(1+$J$10)</f>
        <v>0</v>
      </c>
      <c r="N34" s="393">
        <f>'FG4'!N34*(1+$J$10)</f>
        <v>0</v>
      </c>
      <c r="O34" s="76">
        <f>SUM(C34:N34)</f>
        <v>0</v>
      </c>
    </row>
    <row r="35" spans="1:15" s="261" customFormat="1" ht="13.5" thickBot="1">
      <c r="A35" s="78"/>
      <c r="B35" s="78"/>
      <c r="C35" s="110"/>
      <c r="D35" s="110"/>
      <c r="E35" s="110"/>
      <c r="F35" s="110"/>
      <c r="G35" s="110"/>
      <c r="H35" s="110"/>
      <c r="I35" s="110"/>
      <c r="J35" s="110"/>
      <c r="K35" s="110"/>
      <c r="L35" s="110"/>
      <c r="M35" s="110"/>
      <c r="N35" s="110"/>
      <c r="O35" s="77"/>
    </row>
    <row r="36" spans="1:15" s="261" customFormat="1" ht="13.5" thickBot="1">
      <c r="A36" s="1188" t="str">
        <f>'FG4'!A36:B36</f>
        <v>Autre frais d'exploitation 4</v>
      </c>
      <c r="B36" s="1188"/>
      <c r="C36" s="393">
        <f>'FG4'!C36*(1+$J$10)</f>
        <v>0</v>
      </c>
      <c r="D36" s="393">
        <f>'FG4'!D36*(1+$J$10)</f>
        <v>0</v>
      </c>
      <c r="E36" s="393">
        <f>'FG4'!E36*(1+$J$10)</f>
        <v>0</v>
      </c>
      <c r="F36" s="393">
        <f>'FG4'!F36*(1+$J$10)</f>
        <v>0</v>
      </c>
      <c r="G36" s="393">
        <f>'FG4'!G36*(1+$J$10)</f>
        <v>0</v>
      </c>
      <c r="H36" s="393">
        <f>'FG4'!H36*(1+$J$10)</f>
        <v>0</v>
      </c>
      <c r="I36" s="393">
        <f>'FG4'!I36*(1+$J$10)</f>
        <v>0</v>
      </c>
      <c r="J36" s="393">
        <f>'FG4'!J36*(1+$J$10)</f>
        <v>0</v>
      </c>
      <c r="K36" s="393">
        <f>'FG4'!K36*(1+$J$10)</f>
        <v>0</v>
      </c>
      <c r="L36" s="393">
        <f>'FG4'!L36*(1+$J$10)</f>
        <v>0</v>
      </c>
      <c r="M36" s="393">
        <f>'FG4'!M36*(1+$J$10)</f>
        <v>0</v>
      </c>
      <c r="N36" s="393">
        <f>'FG4'!N36*(1+$J$10)</f>
        <v>0</v>
      </c>
      <c r="O36" s="76">
        <f>SUM(C36:N36)</f>
        <v>0</v>
      </c>
    </row>
    <row r="37" spans="1:15" s="261" customFormat="1" ht="13.5" thickBot="1">
      <c r="A37" s="78"/>
      <c r="B37" s="78"/>
      <c r="C37" s="110"/>
      <c r="D37" s="110"/>
      <c r="E37" s="110"/>
      <c r="F37" s="110"/>
      <c r="G37" s="110"/>
      <c r="H37" s="110"/>
      <c r="I37" s="110"/>
      <c r="J37" s="110"/>
      <c r="K37" s="110"/>
      <c r="L37" s="110"/>
      <c r="M37" s="110"/>
      <c r="N37" s="110"/>
      <c r="O37" s="77"/>
    </row>
    <row r="38" spans="1:15" s="261" customFormat="1" ht="13.5" thickBot="1">
      <c r="A38" s="1188" t="str">
        <f>'FG4'!A38:B38</f>
        <v>Autre frais d'exploitation 5</v>
      </c>
      <c r="B38" s="1188"/>
      <c r="C38" s="393">
        <f>'FG4'!C38*(1+$J$10)</f>
        <v>0</v>
      </c>
      <c r="D38" s="393">
        <f>'FG4'!D38*(1+$J$10)</f>
        <v>0</v>
      </c>
      <c r="E38" s="393">
        <f>'FG4'!E38*(1+$J$10)</f>
        <v>0</v>
      </c>
      <c r="F38" s="393">
        <f>'FG4'!F38*(1+$J$10)</f>
        <v>0</v>
      </c>
      <c r="G38" s="393">
        <f>'FG4'!G38*(1+$J$10)</f>
        <v>0</v>
      </c>
      <c r="H38" s="393">
        <f>'FG4'!H38*(1+$J$10)</f>
        <v>0</v>
      </c>
      <c r="I38" s="393">
        <f>'FG4'!I38*(1+$J$10)</f>
        <v>0</v>
      </c>
      <c r="J38" s="393">
        <f>'FG4'!J38*(1+$J$10)</f>
        <v>0</v>
      </c>
      <c r="K38" s="393">
        <f>'FG4'!K38*(1+$J$10)</f>
        <v>0</v>
      </c>
      <c r="L38" s="393">
        <f>'FG4'!L38*(1+$J$10)</f>
        <v>0</v>
      </c>
      <c r="M38" s="393">
        <f>'FG4'!M38*(1+$J$10)</f>
        <v>0</v>
      </c>
      <c r="N38" s="393">
        <f>'FG4'!N38*(1+$J$10)</f>
        <v>0</v>
      </c>
      <c r="O38" s="76">
        <f>SUM(C38:N38)</f>
        <v>0</v>
      </c>
    </row>
    <row r="39" spans="1:15" s="261" customFormat="1" ht="13.5" thickBot="1">
      <c r="A39" s="78"/>
      <c r="B39" s="78"/>
      <c r="C39" s="110"/>
      <c r="D39" s="110"/>
      <c r="E39" s="110"/>
      <c r="F39" s="110"/>
      <c r="G39" s="110"/>
      <c r="H39" s="110"/>
      <c r="I39" s="110"/>
      <c r="J39" s="110"/>
      <c r="K39" s="110"/>
      <c r="L39" s="110"/>
      <c r="M39" s="110"/>
      <c r="N39" s="110"/>
      <c r="O39" s="77"/>
    </row>
    <row r="40" spans="1:15" s="261" customFormat="1" ht="13.5" thickBot="1">
      <c r="A40" s="1188" t="str">
        <f>'FG4'!A40:B40</f>
        <v>Autre frais d'exploitation 6</v>
      </c>
      <c r="B40" s="1188"/>
      <c r="C40" s="393">
        <f>'FG4'!C40*(1+$J$10)</f>
        <v>0</v>
      </c>
      <c r="D40" s="393">
        <f>'FG4'!D40*(1+$J$10)</f>
        <v>0</v>
      </c>
      <c r="E40" s="393">
        <f>'FG4'!E40*(1+$J$10)</f>
        <v>0</v>
      </c>
      <c r="F40" s="393">
        <f>'FG4'!F40*(1+$J$10)</f>
        <v>0</v>
      </c>
      <c r="G40" s="393">
        <f>'FG4'!G40*(1+$J$10)</f>
        <v>0</v>
      </c>
      <c r="H40" s="393">
        <f>'FG4'!H40*(1+$J$10)</f>
        <v>0</v>
      </c>
      <c r="I40" s="393">
        <f>'FG4'!I40*(1+$J$10)</f>
        <v>0</v>
      </c>
      <c r="J40" s="393">
        <f>'FG4'!J40*(1+$J$10)</f>
        <v>0</v>
      </c>
      <c r="K40" s="393">
        <f>'FG4'!K40*(1+$J$10)</f>
        <v>0</v>
      </c>
      <c r="L40" s="393">
        <f>'FG4'!L40*(1+$J$10)</f>
        <v>0</v>
      </c>
      <c r="M40" s="393">
        <f>'FG4'!M40*(1+$J$10)</f>
        <v>0</v>
      </c>
      <c r="N40" s="393">
        <f>'FG4'!N40*(1+$J$10)</f>
        <v>0</v>
      </c>
      <c r="O40" s="76">
        <f>SUM(C40:N40)</f>
        <v>0</v>
      </c>
    </row>
    <row r="41" spans="1:15" s="261" customFormat="1" ht="13.5" thickBot="1">
      <c r="A41" s="78"/>
      <c r="B41" s="78"/>
      <c r="C41" s="110"/>
      <c r="D41" s="110"/>
      <c r="E41" s="110"/>
      <c r="F41" s="110"/>
      <c r="G41" s="110"/>
      <c r="H41" s="110"/>
      <c r="I41" s="110"/>
      <c r="J41" s="110"/>
      <c r="K41" s="110"/>
      <c r="L41" s="110"/>
      <c r="M41" s="110"/>
      <c r="N41" s="110"/>
      <c r="O41" s="77"/>
    </row>
    <row r="42" spans="1:15" s="261" customFormat="1" ht="13.5" thickBot="1">
      <c r="A42" s="1188" t="str">
        <f>'FG4'!A42:B42</f>
        <v>Autre frais d'exploitation 7</v>
      </c>
      <c r="B42" s="1188"/>
      <c r="C42" s="393">
        <f>'FG4'!C42*(1+$J$10)</f>
        <v>0</v>
      </c>
      <c r="D42" s="393">
        <f>'FG4'!D42*(1+$J$10)</f>
        <v>0</v>
      </c>
      <c r="E42" s="393">
        <f>'FG4'!E42*(1+$J$10)</f>
        <v>0</v>
      </c>
      <c r="F42" s="393">
        <f>'FG4'!F42*(1+$J$10)</f>
        <v>0</v>
      </c>
      <c r="G42" s="393">
        <f>'FG4'!G42*(1+$J$10)</f>
        <v>0</v>
      </c>
      <c r="H42" s="393">
        <f>'FG4'!H42*(1+$J$10)</f>
        <v>0</v>
      </c>
      <c r="I42" s="393">
        <f>'FG4'!I42*(1+$J$10)</f>
        <v>0</v>
      </c>
      <c r="J42" s="393">
        <f>'FG4'!J42*(1+$J$10)</f>
        <v>0</v>
      </c>
      <c r="K42" s="393">
        <f>'FG4'!K42*(1+$J$10)</f>
        <v>0</v>
      </c>
      <c r="L42" s="393">
        <f>'FG4'!L42*(1+$J$10)</f>
        <v>0</v>
      </c>
      <c r="M42" s="393">
        <f>'FG4'!M42*(1+$J$10)</f>
        <v>0</v>
      </c>
      <c r="N42" s="393">
        <f>'FG4'!N42*(1+$J$10)</f>
        <v>0</v>
      </c>
      <c r="O42" s="76">
        <f>SUM(C42:N42)</f>
        <v>0</v>
      </c>
    </row>
    <row r="43" spans="1:15" s="261" customFormat="1" ht="13.5" thickBot="1">
      <c r="A43" s="78"/>
      <c r="B43" s="78"/>
      <c r="C43" s="110"/>
      <c r="D43" s="110"/>
      <c r="E43" s="110"/>
      <c r="F43" s="110"/>
      <c r="G43" s="110"/>
      <c r="H43" s="110"/>
      <c r="I43" s="110"/>
      <c r="J43" s="110"/>
      <c r="K43" s="110"/>
      <c r="L43" s="110"/>
      <c r="M43" s="110"/>
      <c r="N43" s="110"/>
      <c r="O43" s="77"/>
    </row>
    <row r="44" spans="1:15" s="261" customFormat="1" ht="13.5" thickBot="1">
      <c r="A44" s="1188" t="str">
        <f>'FG4'!A44:B44</f>
        <v>Autre frais d'exploitation 8</v>
      </c>
      <c r="B44" s="1188"/>
      <c r="C44" s="393">
        <f>'FG4'!C44*(1+$J$10)</f>
        <v>0</v>
      </c>
      <c r="D44" s="393">
        <f>'FG4'!D44*(1+$J$10)</f>
        <v>0</v>
      </c>
      <c r="E44" s="393">
        <f>'FG4'!E44*(1+$J$10)</f>
        <v>0</v>
      </c>
      <c r="F44" s="393">
        <f>'FG4'!F44*(1+$J$10)</f>
        <v>0</v>
      </c>
      <c r="G44" s="393">
        <f>'FG4'!G44*(1+$J$10)</f>
        <v>0</v>
      </c>
      <c r="H44" s="393">
        <f>'FG4'!H44*(1+$J$10)</f>
        <v>0</v>
      </c>
      <c r="I44" s="393">
        <f>'FG4'!I44*(1+$J$10)</f>
        <v>0</v>
      </c>
      <c r="J44" s="393">
        <f>'FG4'!J44*(1+$J$10)</f>
        <v>0</v>
      </c>
      <c r="K44" s="393">
        <f>'FG4'!K44*(1+$J$10)</f>
        <v>0</v>
      </c>
      <c r="L44" s="393">
        <f>'FG4'!L44*(1+$J$10)</f>
        <v>0</v>
      </c>
      <c r="M44" s="393">
        <f>'FG4'!M44*(1+$J$10)</f>
        <v>0</v>
      </c>
      <c r="N44" s="393">
        <f>'FG4'!N44*(1+$J$10)</f>
        <v>0</v>
      </c>
      <c r="O44" s="76">
        <f>SUM(C44:N44)</f>
        <v>0</v>
      </c>
    </row>
    <row r="45" spans="1:15" s="261" customFormat="1" ht="13">
      <c r="A45" s="850"/>
      <c r="B45" s="251"/>
      <c r="C45" s="110"/>
      <c r="D45" s="110"/>
      <c r="E45" s="110"/>
      <c r="F45" s="110"/>
      <c r="G45" s="110"/>
      <c r="H45" s="110"/>
      <c r="I45" s="110"/>
      <c r="J45" s="110"/>
      <c r="K45" s="110"/>
      <c r="L45" s="110"/>
      <c r="M45" s="110"/>
      <c r="N45" s="110"/>
      <c r="O45" s="77"/>
    </row>
    <row r="46" spans="1:15" s="261" customFormat="1" ht="13.5" thickBot="1">
      <c r="A46" s="853" t="s">
        <v>653</v>
      </c>
      <c r="B46" s="856"/>
      <c r="C46" s="861"/>
      <c r="D46" s="861"/>
      <c r="E46" s="861"/>
      <c r="F46" s="861"/>
      <c r="G46" s="861"/>
      <c r="H46" s="861"/>
      <c r="I46" s="861"/>
      <c r="J46" s="861"/>
      <c r="K46" s="861"/>
      <c r="L46" s="861"/>
      <c r="M46" s="861"/>
      <c r="N46" s="861"/>
      <c r="O46" s="858"/>
    </row>
    <row r="47" spans="1:15" s="261" customFormat="1" ht="13.5" thickBot="1">
      <c r="A47" s="1188" t="str">
        <f>'FG4'!A47:B47</f>
        <v>Frais de représentation</v>
      </c>
      <c r="B47" s="1188"/>
      <c r="C47" s="393">
        <f>'FG4'!C47*(1+$J$10)</f>
        <v>0</v>
      </c>
      <c r="D47" s="393">
        <f>'FG4'!D47*(1+$J$10)</f>
        <v>0</v>
      </c>
      <c r="E47" s="393">
        <f>'FG4'!E47*(1+$J$10)</f>
        <v>0</v>
      </c>
      <c r="F47" s="393">
        <f>'FG4'!F47*(1+$J$10)</f>
        <v>0</v>
      </c>
      <c r="G47" s="393">
        <f>'FG4'!G47*(1+$J$10)</f>
        <v>0</v>
      </c>
      <c r="H47" s="393">
        <f>'FG4'!H47*(1+$J$10)</f>
        <v>0</v>
      </c>
      <c r="I47" s="393">
        <f>'FG4'!I47*(1+$J$10)</f>
        <v>0</v>
      </c>
      <c r="J47" s="393">
        <f>'FG4'!J47*(1+$J$10)</f>
        <v>0</v>
      </c>
      <c r="K47" s="393">
        <f>'FG4'!K47*(1+$J$10)</f>
        <v>0</v>
      </c>
      <c r="L47" s="393">
        <f>'FG4'!L47*(1+$J$10)</f>
        <v>0</v>
      </c>
      <c r="M47" s="393">
        <f>'FG4'!M47*(1+$J$10)</f>
        <v>0</v>
      </c>
      <c r="N47" s="393">
        <f>'FG4'!N47*(1+$J$10)</f>
        <v>0</v>
      </c>
      <c r="O47" s="76">
        <f>SUM(C47:N47)</f>
        <v>0</v>
      </c>
    </row>
    <row r="48" spans="1:15" s="261" customFormat="1" ht="13.5" thickBot="1">
      <c r="A48" s="78"/>
      <c r="B48" s="78"/>
      <c r="C48" s="110"/>
      <c r="D48" s="110"/>
      <c r="E48" s="110"/>
      <c r="F48" s="110"/>
      <c r="G48" s="110"/>
      <c r="H48" s="110"/>
      <c r="I48" s="110"/>
      <c r="J48" s="110"/>
      <c r="K48" s="110"/>
      <c r="L48" s="110"/>
      <c r="M48" s="110"/>
      <c r="N48" s="110"/>
      <c r="O48" s="77"/>
    </row>
    <row r="49" spans="1:15" s="261" customFormat="1" ht="13.5" thickBot="1">
      <c r="A49" s="1188" t="str">
        <f>'FG4'!A49:B49</f>
        <v>Publicité</v>
      </c>
      <c r="B49" s="1188"/>
      <c r="C49" s="393">
        <f>'FG4'!C49*(1+$J$10)</f>
        <v>0</v>
      </c>
      <c r="D49" s="393">
        <f>'FG4'!D49*(1+$J$10)</f>
        <v>0</v>
      </c>
      <c r="E49" s="393">
        <f>'FG4'!E49*(1+$J$10)</f>
        <v>0</v>
      </c>
      <c r="F49" s="393">
        <f>'FG4'!F49*(1+$J$10)</f>
        <v>0</v>
      </c>
      <c r="G49" s="393">
        <f>'FG4'!G49*(1+$J$10)</f>
        <v>0</v>
      </c>
      <c r="H49" s="393">
        <f>'FG4'!H49*(1+$J$10)</f>
        <v>0</v>
      </c>
      <c r="I49" s="393">
        <f>'FG4'!I49*(1+$J$10)</f>
        <v>0</v>
      </c>
      <c r="J49" s="393">
        <f>'FG4'!J49*(1+$J$10)</f>
        <v>0</v>
      </c>
      <c r="K49" s="393">
        <f>'FG4'!K49*(1+$J$10)</f>
        <v>0</v>
      </c>
      <c r="L49" s="393">
        <f>'FG4'!L49*(1+$J$10)</f>
        <v>0</v>
      </c>
      <c r="M49" s="393">
        <f>'FG4'!M49*(1+$J$10)</f>
        <v>0</v>
      </c>
      <c r="N49" s="393">
        <f>'FG4'!N49*(1+$J$10)</f>
        <v>0</v>
      </c>
      <c r="O49" s="76">
        <f>SUM(C49:N49)</f>
        <v>0</v>
      </c>
    </row>
    <row r="50" spans="1:15" s="261" customFormat="1" ht="13.5" thickBot="1">
      <c r="A50" s="78"/>
      <c r="B50" s="78"/>
      <c r="C50" s="110"/>
      <c r="D50" s="110"/>
      <c r="E50" s="110"/>
      <c r="F50" s="110"/>
      <c r="G50" s="110"/>
      <c r="H50" s="110"/>
      <c r="I50" s="110"/>
      <c r="J50" s="110"/>
      <c r="K50" s="110"/>
      <c r="L50" s="110"/>
      <c r="M50" s="110"/>
      <c r="N50" s="110"/>
      <c r="O50" s="77"/>
    </row>
    <row r="51" spans="1:15" s="261" customFormat="1" ht="13.5" thickBot="1">
      <c r="A51" s="1188" t="str">
        <f>'FG4'!A51:B51</f>
        <v>Autres frais de vente 1</v>
      </c>
      <c r="B51" s="1188"/>
      <c r="C51" s="393">
        <f>'FG4'!C51*(1+$J$10)</f>
        <v>0</v>
      </c>
      <c r="D51" s="393">
        <f>'FG4'!D51*(1+$J$10)</f>
        <v>0</v>
      </c>
      <c r="E51" s="393">
        <f>'FG4'!E51*(1+$J$10)</f>
        <v>0</v>
      </c>
      <c r="F51" s="393">
        <f>'FG4'!F51*(1+$J$10)</f>
        <v>0</v>
      </c>
      <c r="G51" s="393">
        <f>'FG4'!G51*(1+$J$10)</f>
        <v>0</v>
      </c>
      <c r="H51" s="393">
        <f>'FG4'!H51*(1+$J$10)</f>
        <v>0</v>
      </c>
      <c r="I51" s="393">
        <f>'FG4'!I51*(1+$J$10)</f>
        <v>0</v>
      </c>
      <c r="J51" s="393">
        <f>'FG4'!J51*(1+$J$10)</f>
        <v>0</v>
      </c>
      <c r="K51" s="393">
        <f>'FG4'!K51*(1+$J$10)</f>
        <v>0</v>
      </c>
      <c r="L51" s="393">
        <f>'FG4'!L51*(1+$J$10)</f>
        <v>0</v>
      </c>
      <c r="M51" s="393">
        <f>'FG4'!M51*(1+$J$10)</f>
        <v>0</v>
      </c>
      <c r="N51" s="393">
        <f>'FG4'!N51*(1+$J$10)</f>
        <v>0</v>
      </c>
      <c r="O51" s="76">
        <f>SUM(C51:N51)</f>
        <v>0</v>
      </c>
    </row>
    <row r="52" spans="1:15" s="261" customFormat="1" ht="13.5" thickBot="1">
      <c r="A52" s="78"/>
      <c r="B52" s="78"/>
      <c r="C52" s="110"/>
      <c r="D52" s="110"/>
      <c r="E52" s="110"/>
      <c r="F52" s="110"/>
      <c r="G52" s="110"/>
      <c r="H52" s="110"/>
      <c r="I52" s="110"/>
      <c r="J52" s="110"/>
      <c r="K52" s="110"/>
      <c r="L52" s="110"/>
      <c r="M52" s="110"/>
      <c r="N52" s="110"/>
      <c r="O52" s="77"/>
    </row>
    <row r="53" spans="1:15" s="261" customFormat="1" ht="13.5" thickBot="1">
      <c r="A53" s="1188" t="str">
        <f>'FG4'!A53:B53</f>
        <v>Autres frais de vente 2</v>
      </c>
      <c r="B53" s="1188"/>
      <c r="C53" s="393">
        <f>'FG4'!C53*(1+$J$10)</f>
        <v>0</v>
      </c>
      <c r="D53" s="393">
        <f>'FG4'!D53*(1+$J$10)</f>
        <v>0</v>
      </c>
      <c r="E53" s="393">
        <f>'FG4'!E53*(1+$J$10)</f>
        <v>0</v>
      </c>
      <c r="F53" s="393">
        <f>'FG4'!F53*(1+$J$10)</f>
        <v>0</v>
      </c>
      <c r="G53" s="393">
        <f>'FG4'!G53*(1+$J$10)</f>
        <v>0</v>
      </c>
      <c r="H53" s="393">
        <f>'FG4'!H53*(1+$J$10)</f>
        <v>0</v>
      </c>
      <c r="I53" s="393">
        <f>'FG4'!I53*(1+$J$10)</f>
        <v>0</v>
      </c>
      <c r="J53" s="393">
        <f>'FG4'!J53*(1+$J$10)</f>
        <v>0</v>
      </c>
      <c r="K53" s="393">
        <f>'FG4'!K53*(1+$J$10)</f>
        <v>0</v>
      </c>
      <c r="L53" s="393">
        <f>'FG4'!L53*(1+$J$10)</f>
        <v>0</v>
      </c>
      <c r="M53" s="393">
        <f>'FG4'!M53*(1+$J$10)</f>
        <v>0</v>
      </c>
      <c r="N53" s="393">
        <f>'FG4'!N53*(1+$J$10)</f>
        <v>0</v>
      </c>
      <c r="O53" s="76">
        <f>SUM(C53:N53)</f>
        <v>0</v>
      </c>
    </row>
    <row r="54" spans="1:15" s="261" customFormat="1" ht="13.5" thickBot="1">
      <c r="A54" s="78"/>
      <c r="B54" s="78"/>
      <c r="C54" s="110"/>
      <c r="D54" s="110"/>
      <c r="E54" s="110"/>
      <c r="F54" s="110"/>
      <c r="G54" s="110"/>
      <c r="H54" s="110"/>
      <c r="I54" s="110"/>
      <c r="J54" s="110"/>
      <c r="K54" s="110"/>
      <c r="L54" s="110"/>
      <c r="M54" s="110"/>
      <c r="N54" s="110"/>
      <c r="O54" s="77"/>
    </row>
    <row r="55" spans="1:15" s="261" customFormat="1" ht="13.5" thickBot="1">
      <c r="A55" s="1188" t="str">
        <f>'FG4'!A55:B55</f>
        <v>Autres frais de vente 3</v>
      </c>
      <c r="B55" s="1188"/>
      <c r="C55" s="393">
        <f>'FG4'!C55*(1+$J$10)</f>
        <v>0</v>
      </c>
      <c r="D55" s="393">
        <f>'FG4'!D55*(1+$J$10)</f>
        <v>0</v>
      </c>
      <c r="E55" s="393">
        <f>'FG4'!E55*(1+$J$10)</f>
        <v>0</v>
      </c>
      <c r="F55" s="393">
        <f>'FG4'!F55*(1+$J$10)</f>
        <v>0</v>
      </c>
      <c r="G55" s="393">
        <f>'FG4'!G55*(1+$J$10)</f>
        <v>0</v>
      </c>
      <c r="H55" s="393">
        <f>'FG4'!H55*(1+$J$10)</f>
        <v>0</v>
      </c>
      <c r="I55" s="393">
        <f>'FG4'!I55*(1+$J$10)</f>
        <v>0</v>
      </c>
      <c r="J55" s="393">
        <f>'FG4'!J55*(1+$J$10)</f>
        <v>0</v>
      </c>
      <c r="K55" s="393">
        <f>'FG4'!K55*(1+$J$10)</f>
        <v>0</v>
      </c>
      <c r="L55" s="393">
        <f>'FG4'!L55*(1+$J$10)</f>
        <v>0</v>
      </c>
      <c r="M55" s="393">
        <f>'FG4'!M55*(1+$J$10)</f>
        <v>0</v>
      </c>
      <c r="N55" s="393">
        <f>'FG4'!N55*(1+$J$10)</f>
        <v>0</v>
      </c>
      <c r="O55" s="76">
        <f>SUM(C55:N55)</f>
        <v>0</v>
      </c>
    </row>
    <row r="56" spans="1:15" s="261" customFormat="1" ht="13.5" thickBot="1">
      <c r="A56" s="78"/>
      <c r="B56" s="78"/>
      <c r="C56" s="110"/>
      <c r="D56" s="110"/>
      <c r="E56" s="110"/>
      <c r="F56" s="110"/>
      <c r="G56" s="110"/>
      <c r="H56" s="110"/>
      <c r="I56" s="110"/>
      <c r="J56" s="110"/>
      <c r="K56" s="110"/>
      <c r="L56" s="110"/>
      <c r="M56" s="110"/>
      <c r="N56" s="110"/>
      <c r="O56" s="77"/>
    </row>
    <row r="57" spans="1:15" s="261" customFormat="1" ht="13.5" thickBot="1">
      <c r="A57" s="1188" t="str">
        <f>'FG4'!A57:B57</f>
        <v>Autres frais de vente 4</v>
      </c>
      <c r="B57" s="1188"/>
      <c r="C57" s="393">
        <f>'FG4'!C57*(1+$J$10)</f>
        <v>0</v>
      </c>
      <c r="D57" s="393">
        <f>'FG4'!D57*(1+$J$10)</f>
        <v>0</v>
      </c>
      <c r="E57" s="393">
        <f>'FG4'!E57*(1+$J$10)</f>
        <v>0</v>
      </c>
      <c r="F57" s="393">
        <f>'FG4'!F57*(1+$J$10)</f>
        <v>0</v>
      </c>
      <c r="G57" s="393">
        <f>'FG4'!G57*(1+$J$10)</f>
        <v>0</v>
      </c>
      <c r="H57" s="393">
        <f>'FG4'!H57*(1+$J$10)</f>
        <v>0</v>
      </c>
      <c r="I57" s="393">
        <f>'FG4'!I57*(1+$J$10)</f>
        <v>0</v>
      </c>
      <c r="J57" s="393">
        <f>'FG4'!J57*(1+$J$10)</f>
        <v>0</v>
      </c>
      <c r="K57" s="393">
        <f>'FG4'!K57*(1+$J$10)</f>
        <v>0</v>
      </c>
      <c r="L57" s="393">
        <f>'FG4'!L57*(1+$J$10)</f>
        <v>0</v>
      </c>
      <c r="M57" s="393">
        <f>'FG4'!M57*(1+$J$10)</f>
        <v>0</v>
      </c>
      <c r="N57" s="393">
        <f>'FG4'!N57*(1+$J$10)</f>
        <v>0</v>
      </c>
      <c r="O57" s="76">
        <f>SUM(C57:N57)</f>
        <v>0</v>
      </c>
    </row>
    <row r="58" spans="1:15" s="261" customFormat="1" ht="13.5" thickBot="1">
      <c r="A58" s="78"/>
      <c r="B58" s="78"/>
      <c r="C58" s="110"/>
      <c r="D58" s="110"/>
      <c r="E58" s="110"/>
      <c r="F58" s="110"/>
      <c r="G58" s="110"/>
      <c r="H58" s="110"/>
      <c r="I58" s="110"/>
      <c r="J58" s="110"/>
      <c r="K58" s="110"/>
      <c r="L58" s="110"/>
      <c r="M58" s="110"/>
      <c r="N58" s="110"/>
      <c r="O58" s="77"/>
    </row>
    <row r="59" spans="1:15" s="261" customFormat="1" ht="13.5" thickBot="1">
      <c r="A59" s="1188" t="str">
        <f>'FG4'!A59:B59</f>
        <v>Autres frais de vente 5</v>
      </c>
      <c r="B59" s="1188"/>
      <c r="C59" s="393">
        <f>'FG4'!C59*(1+$J$10)</f>
        <v>0</v>
      </c>
      <c r="D59" s="393">
        <f>'FG4'!D59*(1+$J$10)</f>
        <v>0</v>
      </c>
      <c r="E59" s="393">
        <f>'FG4'!E59*(1+$J$10)</f>
        <v>0</v>
      </c>
      <c r="F59" s="393">
        <f>'FG4'!F59*(1+$J$10)</f>
        <v>0</v>
      </c>
      <c r="G59" s="393">
        <f>'FG4'!G59*(1+$J$10)</f>
        <v>0</v>
      </c>
      <c r="H59" s="393">
        <f>'FG4'!H59*(1+$J$10)</f>
        <v>0</v>
      </c>
      <c r="I59" s="393">
        <f>'FG4'!I59*(1+$J$10)</f>
        <v>0</v>
      </c>
      <c r="J59" s="393">
        <f>'FG4'!J59*(1+$J$10)</f>
        <v>0</v>
      </c>
      <c r="K59" s="393">
        <f>'FG4'!K59*(1+$J$10)</f>
        <v>0</v>
      </c>
      <c r="L59" s="393">
        <f>'FG4'!L59*(1+$J$10)</f>
        <v>0</v>
      </c>
      <c r="M59" s="393">
        <f>'FG4'!M59*(1+$J$10)</f>
        <v>0</v>
      </c>
      <c r="N59" s="393">
        <f>'FG4'!N59*(1+$J$10)</f>
        <v>0</v>
      </c>
      <c r="O59" s="76">
        <f>SUM(C59:N59)</f>
        <v>0</v>
      </c>
    </row>
    <row r="60" spans="1:15" s="261" customFormat="1" ht="13">
      <c r="A60" s="852"/>
      <c r="B60" s="78"/>
      <c r="C60" s="110"/>
      <c r="D60" s="110"/>
      <c r="E60" s="110"/>
      <c r="F60" s="110"/>
      <c r="G60" s="110"/>
      <c r="H60" s="110"/>
      <c r="I60" s="110"/>
      <c r="J60" s="110"/>
      <c r="K60" s="110"/>
      <c r="L60" s="110"/>
      <c r="M60" s="110"/>
      <c r="N60" s="110"/>
      <c r="O60" s="77"/>
    </row>
    <row r="61" spans="1:15" s="261" customFormat="1" ht="13.5" thickBot="1">
      <c r="A61" s="859" t="s">
        <v>652</v>
      </c>
      <c r="B61" s="856"/>
      <c r="C61" s="861"/>
      <c r="D61" s="861"/>
      <c r="E61" s="861"/>
      <c r="F61" s="861"/>
      <c r="G61" s="861"/>
      <c r="H61" s="861"/>
      <c r="I61" s="861"/>
      <c r="J61" s="861"/>
      <c r="K61" s="861"/>
      <c r="L61" s="861"/>
      <c r="M61" s="861"/>
      <c r="N61" s="861"/>
      <c r="O61" s="858"/>
    </row>
    <row r="62" spans="1:15" s="261" customFormat="1" ht="13.5" thickBot="1">
      <c r="A62" s="1188" t="str">
        <f>'FG4'!A62:B62</f>
        <v>Téléphonie et internet</v>
      </c>
      <c r="B62" s="1188"/>
      <c r="C62" s="393">
        <f>'FG4'!C62*(1+$J$10)</f>
        <v>0</v>
      </c>
      <c r="D62" s="393">
        <f>'FG4'!D62*(1+$J$10)</f>
        <v>0</v>
      </c>
      <c r="E62" s="393">
        <f>'FG4'!E62*(1+$J$10)</f>
        <v>0</v>
      </c>
      <c r="F62" s="393">
        <f>'FG4'!F62*(1+$J$10)</f>
        <v>0</v>
      </c>
      <c r="G62" s="393">
        <f>'FG4'!G62*(1+$J$10)</f>
        <v>0</v>
      </c>
      <c r="H62" s="393">
        <f>'FG4'!H62*(1+$J$10)</f>
        <v>0</v>
      </c>
      <c r="I62" s="393">
        <f>'FG4'!I62*(1+$J$10)</f>
        <v>0</v>
      </c>
      <c r="J62" s="393">
        <f>'FG4'!J62*(1+$J$10)</f>
        <v>0</v>
      </c>
      <c r="K62" s="393">
        <f>'FG4'!K62*(1+$J$10)</f>
        <v>0</v>
      </c>
      <c r="L62" s="393">
        <f>'FG4'!L62*(1+$J$10)</f>
        <v>0</v>
      </c>
      <c r="M62" s="393">
        <f>'FG4'!M62*(1+$J$10)</f>
        <v>0</v>
      </c>
      <c r="N62" s="393">
        <f>'FG4'!N62*(1+$J$10)</f>
        <v>0</v>
      </c>
      <c r="O62" s="76">
        <f>SUM(C62:N62)</f>
        <v>0</v>
      </c>
    </row>
    <row r="63" spans="1:15" s="261" customFormat="1" ht="13.5" thickBot="1">
      <c r="A63" s="78"/>
      <c r="B63" s="78"/>
      <c r="C63" s="110"/>
      <c r="D63" s="110"/>
      <c r="E63" s="110"/>
      <c r="F63" s="110"/>
      <c r="G63" s="110"/>
      <c r="H63" s="110"/>
      <c r="I63" s="110"/>
      <c r="J63" s="110"/>
      <c r="K63" s="110"/>
      <c r="L63" s="110"/>
      <c r="M63" s="110"/>
      <c r="N63" s="110"/>
      <c r="O63" s="77"/>
    </row>
    <row r="64" spans="1:15" s="261" customFormat="1" ht="13.5" thickBot="1">
      <c r="A64" s="1188" t="str">
        <f>'FG4'!A64:B64</f>
        <v>Honoraires professionnels</v>
      </c>
      <c r="B64" s="1188"/>
      <c r="C64" s="393">
        <f>'FG4'!C64*(1+$J$10)</f>
        <v>0</v>
      </c>
      <c r="D64" s="393">
        <f>'FG4'!D64*(1+$J$10)</f>
        <v>0</v>
      </c>
      <c r="E64" s="393">
        <f>'FG4'!E64*(1+$J$10)</f>
        <v>0</v>
      </c>
      <c r="F64" s="393">
        <f>'FG4'!F64*(1+$J$10)</f>
        <v>0</v>
      </c>
      <c r="G64" s="393">
        <f>'FG4'!G64*(1+$J$10)</f>
        <v>0</v>
      </c>
      <c r="H64" s="393">
        <f>'FG4'!H64*(1+$J$10)</f>
        <v>0</v>
      </c>
      <c r="I64" s="393">
        <f>'FG4'!I64*(1+$J$10)</f>
        <v>0</v>
      </c>
      <c r="J64" s="393">
        <f>'FG4'!J64*(1+$J$10)</f>
        <v>0</v>
      </c>
      <c r="K64" s="393">
        <f>'FG4'!K64*(1+$J$10)</f>
        <v>0</v>
      </c>
      <c r="L64" s="393">
        <f>'FG4'!L64*(1+$J$10)</f>
        <v>0</v>
      </c>
      <c r="M64" s="393">
        <f>'FG4'!M64*(1+$J$10)</f>
        <v>0</v>
      </c>
      <c r="N64" s="393">
        <f>'FG4'!N64*(1+$J$10)</f>
        <v>0</v>
      </c>
      <c r="O64" s="76">
        <f>SUM(C64:N64)</f>
        <v>0</v>
      </c>
    </row>
    <row r="65" spans="1:15" s="261" customFormat="1" ht="13.5" thickBot="1">
      <c r="A65" s="78"/>
      <c r="B65" s="78"/>
      <c r="C65" s="110"/>
      <c r="D65" s="110"/>
      <c r="E65" s="110"/>
      <c r="F65" s="110"/>
      <c r="G65" s="110"/>
      <c r="H65" s="110"/>
      <c r="I65" s="110"/>
      <c r="J65" s="110"/>
      <c r="K65" s="110"/>
      <c r="L65" s="110"/>
      <c r="M65" s="110"/>
      <c r="N65" s="110"/>
      <c r="O65" s="77"/>
    </row>
    <row r="66" spans="1:15" s="261" customFormat="1" ht="13.5" thickBot="1">
      <c r="A66" s="1188" t="str">
        <f>'FG4'!A66:B66</f>
        <v>Frais de bureau</v>
      </c>
      <c r="B66" s="1188"/>
      <c r="C66" s="393">
        <f>'FG4'!C66*(1+$J$10)</f>
        <v>0</v>
      </c>
      <c r="D66" s="393">
        <f>'FG4'!D66*(1+$J$10)</f>
        <v>0</v>
      </c>
      <c r="E66" s="393">
        <f>'FG4'!E66*(1+$J$10)</f>
        <v>0</v>
      </c>
      <c r="F66" s="393">
        <f>'FG4'!F66*(1+$J$10)</f>
        <v>0</v>
      </c>
      <c r="G66" s="393">
        <f>'FG4'!G66*(1+$J$10)</f>
        <v>0</v>
      </c>
      <c r="H66" s="393">
        <f>'FG4'!H66*(1+$J$10)</f>
        <v>0</v>
      </c>
      <c r="I66" s="393">
        <f>'FG4'!I66*(1+$J$10)</f>
        <v>0</v>
      </c>
      <c r="J66" s="393">
        <f>'FG4'!J66*(1+$J$10)</f>
        <v>0</v>
      </c>
      <c r="K66" s="393">
        <f>'FG4'!K66*(1+$J$10)</f>
        <v>0</v>
      </c>
      <c r="L66" s="393">
        <f>'FG4'!L66*(1+$J$10)</f>
        <v>0</v>
      </c>
      <c r="M66" s="393">
        <f>'FG4'!M66*(1+$J$10)</f>
        <v>0</v>
      </c>
      <c r="N66" s="393">
        <f>'FG4'!N66*(1+$J$10)</f>
        <v>0</v>
      </c>
      <c r="O66" s="76">
        <f>SUM(C66:N66)</f>
        <v>0</v>
      </c>
    </row>
    <row r="67" spans="1:15" s="261" customFormat="1" ht="13.5" thickBot="1">
      <c r="A67" s="498"/>
      <c r="B67" s="78"/>
      <c r="C67" s="110"/>
      <c r="D67" s="110"/>
      <c r="E67" s="110"/>
      <c r="F67" s="110"/>
      <c r="G67" s="110"/>
      <c r="H67" s="110"/>
      <c r="I67" s="110"/>
      <c r="J67" s="110"/>
      <c r="K67" s="110"/>
      <c r="L67" s="110"/>
      <c r="M67" s="110"/>
      <c r="N67" s="110"/>
      <c r="O67" s="77"/>
    </row>
    <row r="68" spans="1:15" s="261" customFormat="1" ht="13.5" thickBot="1">
      <c r="A68" s="1188" t="str">
        <f>'FG4'!A68:B68</f>
        <v>Mauvaises créances</v>
      </c>
      <c r="B68" s="1188"/>
      <c r="C68" s="393">
        <f>'FG4'!C68*(1+$J$10)</f>
        <v>0</v>
      </c>
      <c r="D68" s="393">
        <f>'FG4'!D68*(1+$J$10)</f>
        <v>0</v>
      </c>
      <c r="E68" s="393">
        <f>'FG4'!E68*(1+$J$10)</f>
        <v>0</v>
      </c>
      <c r="F68" s="393">
        <f>'FG4'!F68*(1+$J$10)</f>
        <v>0</v>
      </c>
      <c r="G68" s="393">
        <f>'FG4'!G68*(1+$J$10)</f>
        <v>0</v>
      </c>
      <c r="H68" s="393">
        <f>'FG4'!H68*(1+$J$10)</f>
        <v>0</v>
      </c>
      <c r="I68" s="393">
        <f>'FG4'!I68*(1+$J$10)</f>
        <v>0</v>
      </c>
      <c r="J68" s="393">
        <f>'FG4'!J68*(1+$J$10)</f>
        <v>0</v>
      </c>
      <c r="K68" s="393">
        <f>'FG4'!K68*(1+$J$10)</f>
        <v>0</v>
      </c>
      <c r="L68" s="393">
        <f>'FG4'!L68*(1+$J$10)</f>
        <v>0</v>
      </c>
      <c r="M68" s="393">
        <f>'FG4'!M68*(1+$J$10)</f>
        <v>0</v>
      </c>
      <c r="N68" s="393">
        <f>'FG4'!N68*(1+$J$10)</f>
        <v>0</v>
      </c>
      <c r="O68" s="76">
        <f>SUM(C68:N68)</f>
        <v>0</v>
      </c>
    </row>
    <row r="69" spans="1:15" s="261" customFormat="1" ht="13.5" thickBot="1">
      <c r="A69" s="78"/>
      <c r="B69" s="78"/>
      <c r="C69" s="110"/>
      <c r="D69" s="110"/>
      <c r="E69" s="110"/>
      <c r="F69" s="110"/>
      <c r="G69" s="110"/>
      <c r="H69" s="110"/>
      <c r="I69" s="110"/>
      <c r="J69" s="110"/>
      <c r="K69" s="110"/>
      <c r="L69" s="110"/>
      <c r="M69" s="110"/>
      <c r="N69" s="110"/>
      <c r="O69" s="77"/>
    </row>
    <row r="70" spans="1:15" s="261" customFormat="1" ht="13.5" thickBot="1">
      <c r="A70" s="1188" t="str">
        <f>'FG4'!A70:B70</f>
        <v>Fournitures de bureau</v>
      </c>
      <c r="B70" s="1188"/>
      <c r="C70" s="393">
        <f>'FG4'!C70*(1+$J$10)</f>
        <v>0</v>
      </c>
      <c r="D70" s="393">
        <f>'FG4'!D70*(1+$J$10)</f>
        <v>0</v>
      </c>
      <c r="E70" s="393">
        <f>'FG4'!E70*(1+$J$10)</f>
        <v>0</v>
      </c>
      <c r="F70" s="393">
        <f>'FG4'!F70*(1+$J$10)</f>
        <v>0</v>
      </c>
      <c r="G70" s="393">
        <f>'FG4'!G70*(1+$J$10)</f>
        <v>0</v>
      </c>
      <c r="H70" s="393">
        <f>'FG4'!H70*(1+$J$10)</f>
        <v>0</v>
      </c>
      <c r="I70" s="393">
        <f>'FG4'!I70*(1+$J$10)</f>
        <v>0</v>
      </c>
      <c r="J70" s="393">
        <f>'FG4'!J70*(1+$J$10)</f>
        <v>0</v>
      </c>
      <c r="K70" s="393">
        <f>'FG4'!K70*(1+$J$10)</f>
        <v>0</v>
      </c>
      <c r="L70" s="393">
        <f>'FG4'!L70*(1+$J$10)</f>
        <v>0</v>
      </c>
      <c r="M70" s="393">
        <f>'FG4'!M70*(1+$J$10)</f>
        <v>0</v>
      </c>
      <c r="N70" s="393">
        <f>'FG4'!N70*(1+$J$10)</f>
        <v>0</v>
      </c>
      <c r="O70" s="76">
        <f>SUM(C70:N70)</f>
        <v>0</v>
      </c>
    </row>
    <row r="71" spans="1:15" s="261" customFormat="1" ht="13.5" thickBot="1">
      <c r="A71" s="78"/>
      <c r="B71" s="78"/>
      <c r="C71" s="110"/>
      <c r="D71" s="110"/>
      <c r="E71" s="110"/>
      <c r="F71" s="110"/>
      <c r="G71" s="110"/>
      <c r="H71" s="110"/>
      <c r="I71" s="110"/>
      <c r="J71" s="110"/>
      <c r="K71" s="110"/>
      <c r="L71" s="110"/>
      <c r="M71" s="110"/>
      <c r="N71" s="110"/>
      <c r="O71" s="77"/>
    </row>
    <row r="72" spans="1:15" s="261" customFormat="1" ht="13.5" thickBot="1">
      <c r="A72" s="1188" t="str">
        <f>'FG4'!A72:B72</f>
        <v>Fais d'hébèrgement de site Web</v>
      </c>
      <c r="B72" s="1188"/>
      <c r="C72" s="393">
        <f>'FG4'!C72*(1+$J$10)</f>
        <v>0</v>
      </c>
      <c r="D72" s="393">
        <f>'FG4'!D72*(1+$J$10)</f>
        <v>0</v>
      </c>
      <c r="E72" s="393">
        <f>'FG4'!E72*(1+$J$10)</f>
        <v>0</v>
      </c>
      <c r="F72" s="393">
        <f>'FG4'!F72*(1+$J$10)</f>
        <v>0</v>
      </c>
      <c r="G72" s="393">
        <f>'FG4'!G72*(1+$J$10)</f>
        <v>0</v>
      </c>
      <c r="H72" s="393">
        <f>'FG4'!H72*(1+$J$10)</f>
        <v>0</v>
      </c>
      <c r="I72" s="393">
        <f>'FG4'!I72*(1+$J$10)</f>
        <v>0</v>
      </c>
      <c r="J72" s="393">
        <f>'FG4'!J72*(1+$J$10)</f>
        <v>0</v>
      </c>
      <c r="K72" s="393">
        <f>'FG4'!K72*(1+$J$10)</f>
        <v>0</v>
      </c>
      <c r="L72" s="393">
        <f>'FG4'!L72*(1+$J$10)</f>
        <v>0</v>
      </c>
      <c r="M72" s="393">
        <f>'FG4'!M72*(1+$J$10)</f>
        <v>0</v>
      </c>
      <c r="N72" s="393">
        <f>'FG4'!N72*(1+$J$10)</f>
        <v>0</v>
      </c>
      <c r="O72" s="76">
        <f>SUM(C72:N72)</f>
        <v>0</v>
      </c>
    </row>
    <row r="73" spans="1:15" s="261" customFormat="1" ht="13.5" thickBot="1">
      <c r="A73" s="78"/>
      <c r="B73" s="78"/>
      <c r="C73" s="110"/>
      <c r="D73" s="110"/>
      <c r="E73" s="110"/>
      <c r="F73" s="110"/>
      <c r="G73" s="110"/>
      <c r="H73" s="110"/>
      <c r="I73" s="110"/>
      <c r="J73" s="110"/>
      <c r="K73" s="110"/>
      <c r="L73" s="110"/>
      <c r="M73" s="110"/>
      <c r="N73" s="110"/>
      <c r="O73" s="77"/>
    </row>
    <row r="74" spans="1:15" s="261" customFormat="1" ht="13.5" thickBot="1">
      <c r="A74" s="1188" t="str">
        <f>'FG4'!A74:B74</f>
        <v>Autres frais d'administration 2</v>
      </c>
      <c r="B74" s="1188"/>
      <c r="C74" s="393">
        <f>'FG4'!C74*(1+$J$10)</f>
        <v>0</v>
      </c>
      <c r="D74" s="393">
        <f>'FG4'!D74*(1+$J$10)</f>
        <v>0</v>
      </c>
      <c r="E74" s="393">
        <f>'FG4'!E74*(1+$J$10)</f>
        <v>0</v>
      </c>
      <c r="F74" s="393">
        <f>'FG4'!F74*(1+$J$10)</f>
        <v>0</v>
      </c>
      <c r="G74" s="393">
        <f>'FG4'!G74*(1+$J$10)</f>
        <v>0</v>
      </c>
      <c r="H74" s="393">
        <f>'FG4'!H74*(1+$J$10)</f>
        <v>0</v>
      </c>
      <c r="I74" s="393">
        <f>'FG4'!I74*(1+$J$10)</f>
        <v>0</v>
      </c>
      <c r="J74" s="393">
        <f>'FG4'!J74*(1+$J$10)</f>
        <v>0</v>
      </c>
      <c r="K74" s="393">
        <f>'FG4'!K74*(1+$J$10)</f>
        <v>0</v>
      </c>
      <c r="L74" s="393">
        <f>'FG4'!L74*(1+$J$10)</f>
        <v>0</v>
      </c>
      <c r="M74" s="393">
        <f>'FG4'!M74*(1+$J$10)</f>
        <v>0</v>
      </c>
      <c r="N74" s="393">
        <f>'FG4'!N74*(1+$J$10)</f>
        <v>0</v>
      </c>
      <c r="O74" s="76">
        <f>SUM(C74:N74)</f>
        <v>0</v>
      </c>
    </row>
    <row r="75" spans="1:15" s="261" customFormat="1" ht="13.5" thickBot="1">
      <c r="A75" s="78"/>
      <c r="B75" s="78"/>
      <c r="C75" s="110"/>
      <c r="D75" s="110"/>
      <c r="E75" s="110"/>
      <c r="F75" s="110"/>
      <c r="G75" s="110"/>
      <c r="H75" s="110"/>
      <c r="I75" s="110"/>
      <c r="J75" s="110"/>
      <c r="K75" s="110"/>
      <c r="L75" s="110"/>
      <c r="M75" s="110"/>
      <c r="N75" s="110"/>
      <c r="O75" s="77"/>
    </row>
    <row r="76" spans="1:15" s="261" customFormat="1" ht="13.5" thickBot="1">
      <c r="A76" s="1188" t="str">
        <f>'FG4'!A76:B76</f>
        <v>Autres frais d'administration 3</v>
      </c>
      <c r="B76" s="1188"/>
      <c r="C76" s="393">
        <f>'FG4'!C76*(1+$J$10)</f>
        <v>0</v>
      </c>
      <c r="D76" s="393">
        <f>'FG4'!D76*(1+$J$10)</f>
        <v>0</v>
      </c>
      <c r="E76" s="393">
        <f>'FG4'!E76*(1+$J$10)</f>
        <v>0</v>
      </c>
      <c r="F76" s="393">
        <f>'FG4'!F76*(1+$J$10)</f>
        <v>0</v>
      </c>
      <c r="G76" s="393">
        <f>'FG4'!G76*(1+$J$10)</f>
        <v>0</v>
      </c>
      <c r="H76" s="393">
        <f>'FG4'!H76*(1+$J$10)</f>
        <v>0</v>
      </c>
      <c r="I76" s="393">
        <f>'FG4'!I76*(1+$J$10)</f>
        <v>0</v>
      </c>
      <c r="J76" s="393">
        <f>'FG4'!J76*(1+$J$10)</f>
        <v>0</v>
      </c>
      <c r="K76" s="393">
        <f>'FG4'!K76*(1+$J$10)</f>
        <v>0</v>
      </c>
      <c r="L76" s="393">
        <f>'FG4'!L76*(1+$J$10)</f>
        <v>0</v>
      </c>
      <c r="M76" s="393">
        <f>'FG4'!M76*(1+$J$10)</f>
        <v>0</v>
      </c>
      <c r="N76" s="393">
        <f>'FG4'!N76*(1+$J$10)</f>
        <v>0</v>
      </c>
      <c r="O76" s="76">
        <f>SUM(C76:N76)</f>
        <v>0</v>
      </c>
    </row>
    <row r="77" spans="1:15" s="261" customFormat="1" ht="13.5" thickBot="1">
      <c r="A77" s="78"/>
      <c r="B77" s="78"/>
      <c r="C77" s="110"/>
      <c r="D77" s="110"/>
      <c r="E77" s="110"/>
      <c r="F77" s="110"/>
      <c r="G77" s="110"/>
      <c r="H77" s="110"/>
      <c r="I77" s="110"/>
      <c r="J77" s="110"/>
      <c r="K77" s="110"/>
      <c r="L77" s="110"/>
      <c r="M77" s="110"/>
      <c r="N77" s="110"/>
      <c r="O77" s="77"/>
    </row>
    <row r="78" spans="1:15" s="261" customFormat="1" ht="13.5" thickBot="1">
      <c r="A78" s="1188" t="str">
        <f>'FG4'!A78:B78</f>
        <v>Autres frais d'administration 4</v>
      </c>
      <c r="B78" s="1188"/>
      <c r="C78" s="393">
        <f>'FG4'!C78*(1+$J$10)</f>
        <v>0</v>
      </c>
      <c r="D78" s="393">
        <f>'FG4'!D78*(1+$J$10)</f>
        <v>0</v>
      </c>
      <c r="E78" s="393">
        <f>'FG4'!E78*(1+$J$10)</f>
        <v>0</v>
      </c>
      <c r="F78" s="393">
        <f>'FG4'!F78*(1+$J$10)</f>
        <v>0</v>
      </c>
      <c r="G78" s="393">
        <f>'FG4'!G78*(1+$J$10)</f>
        <v>0</v>
      </c>
      <c r="H78" s="393">
        <f>'FG4'!H78*(1+$J$10)</f>
        <v>0</v>
      </c>
      <c r="I78" s="393">
        <f>'FG4'!I78*(1+$J$10)</f>
        <v>0</v>
      </c>
      <c r="J78" s="393">
        <f>'FG4'!J78*(1+$J$10)</f>
        <v>0</v>
      </c>
      <c r="K78" s="393">
        <f>'FG4'!K78*(1+$J$10)</f>
        <v>0</v>
      </c>
      <c r="L78" s="393">
        <f>'FG4'!L78*(1+$J$10)</f>
        <v>0</v>
      </c>
      <c r="M78" s="393">
        <f>'FG4'!M78*(1+$J$10)</f>
        <v>0</v>
      </c>
      <c r="N78" s="393">
        <f>'FG4'!N78*(1+$J$10)</f>
        <v>0</v>
      </c>
      <c r="O78" s="76">
        <f>SUM(C78:N78)</f>
        <v>0</v>
      </c>
    </row>
    <row r="79" spans="1:15" s="261" customFormat="1" ht="13.5" thickBot="1">
      <c r="A79" s="78"/>
      <c r="B79" s="78"/>
      <c r="C79" s="110"/>
      <c r="D79" s="110"/>
      <c r="E79" s="110"/>
      <c r="F79" s="110"/>
      <c r="G79" s="110"/>
      <c r="H79" s="110"/>
      <c r="I79" s="110"/>
      <c r="J79" s="110"/>
      <c r="K79" s="110"/>
      <c r="L79" s="110"/>
      <c r="M79" s="110"/>
      <c r="N79" s="110"/>
      <c r="O79" s="77"/>
    </row>
    <row r="80" spans="1:15" s="261" customFormat="1" ht="13.5" thickBot="1">
      <c r="A80" s="1188" t="str">
        <f>'FG4'!A80:B80</f>
        <v>Autres frais d'administration 5</v>
      </c>
      <c r="B80" s="1188"/>
      <c r="C80" s="393">
        <f>'FG4'!C80*(1+$J$10)</f>
        <v>0</v>
      </c>
      <c r="D80" s="393">
        <f>'FG4'!D80*(1+$J$10)</f>
        <v>0</v>
      </c>
      <c r="E80" s="393">
        <f>'FG4'!E80*(1+$J$10)</f>
        <v>0</v>
      </c>
      <c r="F80" s="393">
        <f>'FG4'!F80*(1+$J$10)</f>
        <v>0</v>
      </c>
      <c r="G80" s="393">
        <f>'FG4'!G80*(1+$J$10)</f>
        <v>0</v>
      </c>
      <c r="H80" s="393">
        <f>'FG4'!H80*(1+$J$10)</f>
        <v>0</v>
      </c>
      <c r="I80" s="393">
        <f>'FG4'!I80*(1+$J$10)</f>
        <v>0</v>
      </c>
      <c r="J80" s="393">
        <f>'FG4'!J80*(1+$J$10)</f>
        <v>0</v>
      </c>
      <c r="K80" s="393">
        <f>'FG4'!K80*(1+$J$10)</f>
        <v>0</v>
      </c>
      <c r="L80" s="393">
        <f>'FG4'!L80*(1+$J$10)</f>
        <v>0</v>
      </c>
      <c r="M80" s="393">
        <f>'FG4'!M80*(1+$J$10)</f>
        <v>0</v>
      </c>
      <c r="N80" s="393">
        <f>'FG4'!N80*(1+$J$10)</f>
        <v>0</v>
      </c>
      <c r="O80" s="76">
        <f>SUM(C80:N80)</f>
        <v>0</v>
      </c>
    </row>
    <row r="81" spans="1:15" s="261" customFormat="1" ht="13.5" thickBot="1">
      <c r="A81" s="78"/>
      <c r="B81" s="78"/>
      <c r="C81" s="110"/>
      <c r="D81" s="110"/>
      <c r="E81" s="110"/>
      <c r="F81" s="110"/>
      <c r="G81" s="110"/>
      <c r="H81" s="110"/>
      <c r="I81" s="110"/>
      <c r="J81" s="110"/>
      <c r="K81" s="110"/>
      <c r="L81" s="110"/>
      <c r="M81" s="110"/>
      <c r="N81" s="110"/>
      <c r="O81" s="77"/>
    </row>
    <row r="82" spans="1:15" s="261" customFormat="1" ht="13.5" thickBot="1">
      <c r="A82" s="1188" t="str">
        <f>'FG4'!A82:B82</f>
        <v>Autres frais d'administration 6</v>
      </c>
      <c r="B82" s="1188"/>
      <c r="C82" s="393">
        <f>'FG4'!C82*(1+$J$10)</f>
        <v>0</v>
      </c>
      <c r="D82" s="393">
        <f>'FG4'!D82*(1+$J$10)</f>
        <v>0</v>
      </c>
      <c r="E82" s="393">
        <f>'FG4'!E82*(1+$J$10)</f>
        <v>0</v>
      </c>
      <c r="F82" s="393">
        <f>'FG4'!F82*(1+$J$10)</f>
        <v>0</v>
      </c>
      <c r="G82" s="393">
        <f>'FG4'!G82*(1+$J$10)</f>
        <v>0</v>
      </c>
      <c r="H82" s="393">
        <f>'FG4'!H82*(1+$J$10)</f>
        <v>0</v>
      </c>
      <c r="I82" s="393">
        <f>'FG4'!I82*(1+$J$10)</f>
        <v>0</v>
      </c>
      <c r="J82" s="393">
        <f>'FG4'!J82*(1+$J$10)</f>
        <v>0</v>
      </c>
      <c r="K82" s="393">
        <f>'FG4'!K82*(1+$J$10)</f>
        <v>0</v>
      </c>
      <c r="L82" s="393">
        <f>'FG4'!L82*(1+$J$10)</f>
        <v>0</v>
      </c>
      <c r="M82" s="393">
        <f>'FG4'!M82*(1+$J$10)</f>
        <v>0</v>
      </c>
      <c r="N82" s="393">
        <f>'FG4'!N82*(1+$J$10)</f>
        <v>0</v>
      </c>
      <c r="O82" s="76">
        <f>SUM(C82:N82)</f>
        <v>0</v>
      </c>
    </row>
    <row r="83" spans="1:15" s="261" customFormat="1" ht="13">
      <c r="A83" s="852"/>
      <c r="B83" s="48"/>
      <c r="C83" s="110"/>
      <c r="D83" s="110"/>
      <c r="E83" s="110"/>
      <c r="F83" s="110"/>
      <c r="G83" s="110"/>
      <c r="H83" s="110"/>
      <c r="I83" s="110"/>
      <c r="J83" s="110"/>
      <c r="K83" s="110"/>
      <c r="L83" s="110"/>
      <c r="M83" s="110"/>
      <c r="N83" s="110"/>
      <c r="O83" s="77"/>
    </row>
    <row r="84" spans="1:15" s="261" customFormat="1" ht="13.5" thickBot="1">
      <c r="A84" s="859" t="s">
        <v>654</v>
      </c>
      <c r="B84" s="856"/>
      <c r="C84" s="861"/>
      <c r="D84" s="861"/>
      <c r="E84" s="861"/>
      <c r="F84" s="861"/>
      <c r="G84" s="861"/>
      <c r="H84" s="861"/>
      <c r="I84" s="861"/>
      <c r="J84" s="861"/>
      <c r="K84" s="861"/>
      <c r="L84" s="861"/>
      <c r="M84" s="861"/>
      <c r="N84" s="861"/>
      <c r="O84" s="858"/>
    </row>
    <row r="85" spans="1:15" s="261" customFormat="1" ht="13.5" thickBot="1">
      <c r="A85" s="1188" t="str">
        <f>'FG4'!A85:B85</f>
        <v>Frais bancaires</v>
      </c>
      <c r="B85" s="1188"/>
      <c r="C85" s="393">
        <f>'FG4'!C85*(1+$J$10)</f>
        <v>0</v>
      </c>
      <c r="D85" s="393">
        <f>'FG4'!D85*(1+$J$10)</f>
        <v>0</v>
      </c>
      <c r="E85" s="393">
        <f>'FG4'!E85*(1+$J$10)</f>
        <v>0</v>
      </c>
      <c r="F85" s="393">
        <f>'FG4'!F85*(1+$J$10)</f>
        <v>0</v>
      </c>
      <c r="G85" s="393">
        <f>'FG4'!G85*(1+$J$10)</f>
        <v>0</v>
      </c>
      <c r="H85" s="393">
        <f>'FG4'!H85*(1+$J$10)</f>
        <v>0</v>
      </c>
      <c r="I85" s="393">
        <f>'FG4'!I85*(1+$J$10)</f>
        <v>0</v>
      </c>
      <c r="J85" s="393">
        <f>'FG4'!J85*(1+$J$10)</f>
        <v>0</v>
      </c>
      <c r="K85" s="393">
        <f>'FG4'!K85*(1+$J$10)</f>
        <v>0</v>
      </c>
      <c r="L85" s="393">
        <f>'FG4'!L85*(1+$J$10)</f>
        <v>0</v>
      </c>
      <c r="M85" s="393">
        <f>'FG4'!M85*(1+$J$10)</f>
        <v>0</v>
      </c>
      <c r="N85" s="393">
        <f>'FG4'!N85*(1+$J$10)</f>
        <v>0</v>
      </c>
      <c r="O85" s="76">
        <f>SUM(C85:N85)</f>
        <v>0</v>
      </c>
    </row>
    <row r="86" spans="1:15" s="261" customFormat="1" ht="13.5" thickBot="1">
      <c r="A86" s="78"/>
      <c r="B86" s="78"/>
      <c r="C86" s="110"/>
      <c r="D86" s="110"/>
      <c r="E86" s="110"/>
      <c r="F86" s="110"/>
      <c r="G86" s="110"/>
      <c r="H86" s="110"/>
      <c r="I86" s="110"/>
      <c r="J86" s="110"/>
      <c r="K86" s="110"/>
      <c r="L86" s="110"/>
      <c r="M86" s="110"/>
      <c r="N86" s="110"/>
      <c r="O86" s="77"/>
    </row>
    <row r="87" spans="1:15" s="261" customFormat="1" ht="13.5" thickBot="1">
      <c r="A87" s="1188" t="str">
        <f>'FG4'!A87:B87</f>
        <v>Frais de carte de crédit</v>
      </c>
      <c r="B87" s="1188"/>
      <c r="C87" s="393">
        <f>'FG4'!C87*(1+$J$10)</f>
        <v>0</v>
      </c>
      <c r="D87" s="393">
        <f>'FG4'!D87*(1+$J$10)</f>
        <v>0</v>
      </c>
      <c r="E87" s="393">
        <f>'FG4'!E87*(1+$J$10)</f>
        <v>0</v>
      </c>
      <c r="F87" s="393">
        <f>'FG4'!F87*(1+$J$10)</f>
        <v>0</v>
      </c>
      <c r="G87" s="393">
        <f>'FG4'!G87*(1+$J$10)</f>
        <v>0</v>
      </c>
      <c r="H87" s="393">
        <f>'FG4'!H87*(1+$J$10)</f>
        <v>0</v>
      </c>
      <c r="I87" s="393">
        <f>'FG4'!I87*(1+$J$10)</f>
        <v>0</v>
      </c>
      <c r="J87" s="393">
        <f>'FG4'!J87*(1+$J$10)</f>
        <v>0</v>
      </c>
      <c r="K87" s="393">
        <f>'FG4'!K87*(1+$J$10)</f>
        <v>0</v>
      </c>
      <c r="L87" s="393">
        <f>'FG4'!L87*(1+$J$10)</f>
        <v>0</v>
      </c>
      <c r="M87" s="393">
        <f>'FG4'!M87*(1+$J$10)</f>
        <v>0</v>
      </c>
      <c r="N87" s="393">
        <f>'FG4'!N87*(1+$J$10)</f>
        <v>0</v>
      </c>
      <c r="O87" s="76">
        <f>SUM(C87:N87)</f>
        <v>0</v>
      </c>
    </row>
    <row r="88" spans="1:15" s="261" customFormat="1" ht="13.5" thickBot="1">
      <c r="A88" s="78"/>
      <c r="B88" s="78"/>
      <c r="C88" s="110"/>
      <c r="D88" s="110"/>
      <c r="E88" s="110"/>
      <c r="F88" s="110"/>
      <c r="G88" s="110"/>
      <c r="H88" s="110"/>
      <c r="I88" s="110"/>
      <c r="J88" s="110"/>
      <c r="K88" s="110"/>
      <c r="L88" s="110"/>
      <c r="M88" s="110"/>
      <c r="N88" s="110"/>
      <c r="O88" s="77"/>
    </row>
    <row r="89" spans="1:15" s="261" customFormat="1" ht="13.5" thickBot="1">
      <c r="A89" s="1188" t="str">
        <f>'FG4'!A89:B89</f>
        <v>Autres frais financiers 1</v>
      </c>
      <c r="B89" s="1188"/>
      <c r="C89" s="393">
        <f>'FG4'!C89*(1+$J$10)</f>
        <v>0</v>
      </c>
      <c r="D89" s="393">
        <f>'FG4'!D89*(1+$J$10)</f>
        <v>0</v>
      </c>
      <c r="E89" s="393">
        <f>'FG4'!E89*(1+$J$10)</f>
        <v>0</v>
      </c>
      <c r="F89" s="393">
        <f>'FG4'!F89*(1+$J$10)</f>
        <v>0</v>
      </c>
      <c r="G89" s="393">
        <f>'FG4'!G89*(1+$J$10)</f>
        <v>0</v>
      </c>
      <c r="H89" s="393">
        <f>'FG4'!H89*(1+$J$10)</f>
        <v>0</v>
      </c>
      <c r="I89" s="393">
        <f>'FG4'!I89*(1+$J$10)</f>
        <v>0</v>
      </c>
      <c r="J89" s="393">
        <f>'FG4'!J89*(1+$J$10)</f>
        <v>0</v>
      </c>
      <c r="K89" s="393">
        <f>'FG4'!K89*(1+$J$10)</f>
        <v>0</v>
      </c>
      <c r="L89" s="393">
        <f>'FG4'!L89*(1+$J$10)</f>
        <v>0</v>
      </c>
      <c r="M89" s="393">
        <f>'FG4'!M89*(1+$J$10)</f>
        <v>0</v>
      </c>
      <c r="N89" s="393">
        <f>'FG4'!N89*(1+$J$10)</f>
        <v>0</v>
      </c>
      <c r="O89" s="76">
        <f>SUM(C89:N89)</f>
        <v>0</v>
      </c>
    </row>
    <row r="90" spans="1:15" s="261" customFormat="1" ht="13.5" thickBot="1">
      <c r="A90" s="78"/>
      <c r="B90" s="78"/>
      <c r="C90" s="110"/>
      <c r="D90" s="110"/>
      <c r="E90" s="110"/>
      <c r="F90" s="110"/>
      <c r="G90" s="110"/>
      <c r="H90" s="110"/>
      <c r="I90" s="110"/>
      <c r="J90" s="110"/>
      <c r="K90" s="110"/>
      <c r="L90" s="110"/>
      <c r="M90" s="110"/>
      <c r="N90" s="110"/>
      <c r="O90" s="77"/>
    </row>
    <row r="91" spans="1:15" s="261" customFormat="1" ht="13.5" thickBot="1">
      <c r="A91" s="1188" t="str">
        <f>'FG4'!A91:B91</f>
        <v>Autres frais financiers 2</v>
      </c>
      <c r="B91" s="1188"/>
      <c r="C91" s="393">
        <f>'FG4'!C91*(1+$J$10)</f>
        <v>0</v>
      </c>
      <c r="D91" s="393">
        <f>'FG4'!D91*(1+$J$10)</f>
        <v>0</v>
      </c>
      <c r="E91" s="393">
        <f>'FG4'!E91*(1+$J$10)</f>
        <v>0</v>
      </c>
      <c r="F91" s="393">
        <f>'FG4'!F91*(1+$J$10)</f>
        <v>0</v>
      </c>
      <c r="G91" s="393">
        <f>'FG4'!G91*(1+$J$10)</f>
        <v>0</v>
      </c>
      <c r="H91" s="393">
        <f>'FG4'!H91*(1+$J$10)</f>
        <v>0</v>
      </c>
      <c r="I91" s="393">
        <f>'FG4'!I91*(1+$J$10)</f>
        <v>0</v>
      </c>
      <c r="J91" s="393">
        <f>'FG4'!J91*(1+$J$10)</f>
        <v>0</v>
      </c>
      <c r="K91" s="393">
        <f>'FG4'!K91*(1+$J$10)</f>
        <v>0</v>
      </c>
      <c r="L91" s="393">
        <f>'FG4'!L91*(1+$J$10)</f>
        <v>0</v>
      </c>
      <c r="M91" s="393">
        <f>'FG4'!M91*(1+$J$10)</f>
        <v>0</v>
      </c>
      <c r="N91" s="393">
        <f>'FG4'!N91*(1+$J$10)</f>
        <v>0</v>
      </c>
      <c r="O91" s="76">
        <f>SUM(C91:N91)</f>
        <v>0</v>
      </c>
    </row>
    <row r="92" spans="1:15" s="261" customFormat="1" ht="13.5" thickBot="1">
      <c r="A92" s="78"/>
      <c r="B92" s="78"/>
      <c r="C92" s="110"/>
      <c r="D92" s="110"/>
      <c r="E92" s="110"/>
      <c r="F92" s="110"/>
      <c r="G92" s="110"/>
      <c r="H92" s="110"/>
      <c r="I92" s="110"/>
      <c r="J92" s="110"/>
      <c r="K92" s="110"/>
      <c r="L92" s="110"/>
      <c r="M92" s="110"/>
      <c r="N92" s="110"/>
      <c r="O92" s="77"/>
    </row>
    <row r="93" spans="1:15" s="261" customFormat="1" ht="13.5" thickBot="1">
      <c r="A93" s="1188" t="str">
        <f>'FG4'!A93:B93</f>
        <v>Autres frais financiers 3</v>
      </c>
      <c r="B93" s="1188"/>
      <c r="C93" s="393">
        <f>'FG4'!C93*(1+$J$10)</f>
        <v>0</v>
      </c>
      <c r="D93" s="393">
        <f>'FG4'!D93*(1+$J$10)</f>
        <v>0</v>
      </c>
      <c r="E93" s="393">
        <f>'FG4'!E93*(1+$J$10)</f>
        <v>0</v>
      </c>
      <c r="F93" s="393">
        <f>'FG4'!F93*(1+$J$10)</f>
        <v>0</v>
      </c>
      <c r="G93" s="393">
        <f>'FG4'!G93*(1+$J$10)</f>
        <v>0</v>
      </c>
      <c r="H93" s="393">
        <f>'FG4'!H93*(1+$J$10)</f>
        <v>0</v>
      </c>
      <c r="I93" s="393">
        <f>'FG4'!I93*(1+$J$10)</f>
        <v>0</v>
      </c>
      <c r="J93" s="393">
        <f>'FG4'!J93*(1+$J$10)</f>
        <v>0</v>
      </c>
      <c r="K93" s="393">
        <f>'FG4'!K93*(1+$J$10)</f>
        <v>0</v>
      </c>
      <c r="L93" s="393">
        <f>'FG4'!L93*(1+$J$10)</f>
        <v>0</v>
      </c>
      <c r="M93" s="393">
        <f>'FG4'!M93*(1+$J$10)</f>
        <v>0</v>
      </c>
      <c r="N93" s="393">
        <f>'FG4'!N93*(1+$J$10)</f>
        <v>0</v>
      </c>
      <c r="O93" s="76">
        <f>SUM(C93:N93)</f>
        <v>0</v>
      </c>
    </row>
    <row r="94" spans="1:15" s="261" customFormat="1" ht="13.5" thickBot="1">
      <c r="A94" s="78"/>
      <c r="B94" s="78"/>
      <c r="C94" s="110"/>
      <c r="D94" s="110"/>
      <c r="E94" s="110"/>
      <c r="F94" s="110"/>
      <c r="G94" s="110"/>
      <c r="H94" s="110"/>
      <c r="I94" s="110"/>
      <c r="J94" s="110"/>
      <c r="K94" s="110"/>
      <c r="L94" s="110"/>
      <c r="M94" s="110"/>
      <c r="N94" s="110"/>
      <c r="O94" s="77"/>
    </row>
    <row r="95" spans="1:15" s="261" customFormat="1" ht="13.5" thickBot="1">
      <c r="A95" s="1188" t="str">
        <f>'FG4'!A95:B95</f>
        <v>Autres frais financiers 4</v>
      </c>
      <c r="B95" s="1188"/>
      <c r="C95" s="393">
        <f>'FG4'!C95*(1+$J$10)</f>
        <v>0</v>
      </c>
      <c r="D95" s="393">
        <f>'FG4'!D95*(1+$J$10)</f>
        <v>0</v>
      </c>
      <c r="E95" s="393">
        <f>'FG4'!E95*(1+$J$10)</f>
        <v>0</v>
      </c>
      <c r="F95" s="393">
        <f>'FG4'!F95*(1+$J$10)</f>
        <v>0</v>
      </c>
      <c r="G95" s="393">
        <f>'FG4'!G95*(1+$J$10)</f>
        <v>0</v>
      </c>
      <c r="H95" s="393">
        <f>'FG4'!H95*(1+$J$10)</f>
        <v>0</v>
      </c>
      <c r="I95" s="393">
        <f>'FG4'!I95*(1+$J$10)</f>
        <v>0</v>
      </c>
      <c r="J95" s="393">
        <f>'FG4'!J95*(1+$J$10)</f>
        <v>0</v>
      </c>
      <c r="K95" s="393">
        <f>'FG4'!K95*(1+$J$10)</f>
        <v>0</v>
      </c>
      <c r="L95" s="393">
        <f>'FG4'!L95*(1+$J$10)</f>
        <v>0</v>
      </c>
      <c r="M95" s="393">
        <f>'FG4'!M95*(1+$J$10)</f>
        <v>0</v>
      </c>
      <c r="N95" s="393">
        <f>'FG4'!N95*(1+$J$10)</f>
        <v>0</v>
      </c>
      <c r="O95" s="76">
        <f>SUM(C95:N95)</f>
        <v>0</v>
      </c>
    </row>
    <row r="96" spans="1:15" s="261" customFormat="1" ht="13.5" thickBot="1">
      <c r="A96" s="78"/>
      <c r="B96" s="78"/>
      <c r="C96" s="110"/>
      <c r="D96" s="110"/>
      <c r="E96" s="110"/>
      <c r="F96" s="110"/>
      <c r="G96" s="110"/>
      <c r="H96" s="110"/>
      <c r="I96" s="110"/>
      <c r="J96" s="110"/>
      <c r="K96" s="110"/>
      <c r="L96" s="110"/>
      <c r="M96" s="110"/>
      <c r="N96" s="110"/>
      <c r="O96" s="77"/>
    </row>
    <row r="97" spans="1:16" s="261" customFormat="1" ht="13.5" thickBot="1">
      <c r="A97" s="1188" t="str">
        <f>'FG4'!A97:B97</f>
        <v>TOTAL</v>
      </c>
      <c r="B97" s="1188"/>
      <c r="C97" s="393">
        <f>'FG4'!C97*(1+$J$10)</f>
        <v>0</v>
      </c>
      <c r="D97" s="393">
        <f>'FG4'!D97*(1+$J$10)</f>
        <v>0</v>
      </c>
      <c r="E97" s="393">
        <f>'FG4'!E97*(1+$J$10)</f>
        <v>0</v>
      </c>
      <c r="F97" s="393">
        <f>'FG4'!F97*(1+$J$10)</f>
        <v>0</v>
      </c>
      <c r="G97" s="393">
        <f>'FG4'!G97*(1+$J$10)</f>
        <v>0</v>
      </c>
      <c r="H97" s="393">
        <f>'FG4'!H97*(1+$J$10)</f>
        <v>0</v>
      </c>
      <c r="I97" s="393">
        <f>'FG4'!I97*(1+$J$10)</f>
        <v>0</v>
      </c>
      <c r="J97" s="393">
        <f>'FG4'!J97*(1+$J$10)</f>
        <v>0</v>
      </c>
      <c r="K97" s="393">
        <f>'FG4'!K97*(1+$J$10)</f>
        <v>0</v>
      </c>
      <c r="L97" s="393">
        <f>'FG4'!L97*(1+$J$10)</f>
        <v>0</v>
      </c>
      <c r="M97" s="393">
        <f>'FG4'!M97*(1+$J$10)</f>
        <v>0</v>
      </c>
      <c r="N97" s="393">
        <f>'FG4'!N97*(1+$J$10)</f>
        <v>0</v>
      </c>
      <c r="O97" s="76">
        <f>SUM(C97:N97)</f>
        <v>0</v>
      </c>
    </row>
    <row r="98" spans="1:16" ht="13">
      <c r="A98" s="79"/>
      <c r="B98" s="79"/>
      <c r="C98" s="110"/>
      <c r="D98" s="110"/>
      <c r="E98" s="110"/>
      <c r="F98" s="110"/>
      <c r="G98" s="110"/>
      <c r="H98" s="110"/>
      <c r="I98" s="110"/>
      <c r="J98" s="110"/>
      <c r="K98" s="110"/>
      <c r="L98" s="110"/>
      <c r="M98" s="110"/>
      <c r="N98" s="110"/>
      <c r="O98" s="77"/>
      <c r="P98" s="48"/>
    </row>
    <row r="99" spans="1:16" ht="13">
      <c r="A99" s="79"/>
      <c r="B99" s="79"/>
      <c r="O99" s="251"/>
      <c r="P99" s="48"/>
    </row>
    <row r="100" spans="1:16" ht="13.5" thickBot="1">
      <c r="A100" s="862" t="s">
        <v>717</v>
      </c>
      <c r="B100" s="863"/>
      <c r="C100" s="861"/>
      <c r="D100" s="861"/>
      <c r="E100" s="861"/>
      <c r="F100" s="861"/>
      <c r="G100" s="861"/>
      <c r="H100" s="861"/>
      <c r="I100" s="861"/>
      <c r="J100" s="861"/>
      <c r="K100" s="861"/>
      <c r="L100" s="861"/>
      <c r="M100" s="861"/>
      <c r="N100" s="861"/>
      <c r="O100" s="858"/>
      <c r="P100" s="48"/>
    </row>
    <row r="101" spans="1:16" s="261" customFormat="1" ht="13.5" thickBot="1">
      <c r="A101" s="1188" t="str">
        <f>'FG4'!A101</f>
        <v>Acquisition d'immobilisations</v>
      </c>
      <c r="B101" s="1188"/>
      <c r="C101" s="393"/>
      <c r="D101" s="393"/>
      <c r="E101" s="393">
        <f>DG!O241+DG!AA241+DG!AM241+DG!AY241+DG!BK241+DG!BW241+DG!CI241+DG!CU241+DG!DG241+DG!DS241+DG!EE241</f>
        <v>0</v>
      </c>
      <c r="F101" s="393"/>
      <c r="G101" s="393"/>
      <c r="H101" s="393"/>
      <c r="I101" s="393"/>
      <c r="J101" s="393"/>
      <c r="K101" s="393"/>
      <c r="L101" s="393"/>
      <c r="M101" s="393"/>
      <c r="N101" s="393"/>
      <c r="O101" s="76">
        <f>SUM(C101:N101)</f>
        <v>0</v>
      </c>
    </row>
    <row r="102" spans="1:16" s="261" customFormat="1" ht="13.5" thickBot="1">
      <c r="A102" s="78"/>
      <c r="B102" s="78"/>
      <c r="C102" s="110"/>
      <c r="D102" s="110"/>
      <c r="E102" s="110"/>
      <c r="F102" s="110"/>
      <c r="G102" s="110"/>
      <c r="H102" s="110"/>
      <c r="I102" s="110"/>
      <c r="J102" s="110"/>
      <c r="K102" s="110"/>
      <c r="L102" s="110"/>
      <c r="M102" s="110"/>
      <c r="N102" s="110"/>
      <c r="O102" s="77"/>
    </row>
    <row r="103" spans="1:16" s="261" customFormat="1" ht="13.5" thickBot="1">
      <c r="A103" s="1188" t="str">
        <f>'FG4'!A103</f>
        <v>Retraits du (des) actionnaire(s)</v>
      </c>
      <c r="B103" s="1195"/>
      <c r="C103" s="393">
        <f>'FG4'!C103</f>
        <v>0</v>
      </c>
      <c r="D103" s="393">
        <f>'FG4'!D103</f>
        <v>0</v>
      </c>
      <c r="E103" s="393">
        <f>'FG4'!E103</f>
        <v>0</v>
      </c>
      <c r="F103" s="393">
        <f>'FG4'!F103</f>
        <v>0</v>
      </c>
      <c r="G103" s="393">
        <f>'FG4'!G103</f>
        <v>0</v>
      </c>
      <c r="H103" s="393">
        <f>'FG4'!H103</f>
        <v>0</v>
      </c>
      <c r="I103" s="393">
        <f>'FG4'!I103</f>
        <v>0</v>
      </c>
      <c r="J103" s="393">
        <f>'FG4'!J103</f>
        <v>0</v>
      </c>
      <c r="K103" s="393">
        <f>'FG4'!K103</f>
        <v>0</v>
      </c>
      <c r="L103" s="393">
        <f>'FG4'!L103</f>
        <v>0</v>
      </c>
      <c r="M103" s="393">
        <f>'FG4'!M103</f>
        <v>0</v>
      </c>
      <c r="N103" s="393">
        <f>'FG4'!N103</f>
        <v>0</v>
      </c>
      <c r="O103" s="76">
        <f>SUM(C103:N103)</f>
        <v>0</v>
      </c>
    </row>
    <row r="104" spans="1:16" ht="13.5" thickBot="1">
      <c r="A104" s="48"/>
      <c r="B104" s="106"/>
      <c r="C104" s="177"/>
      <c r="D104" s="177"/>
      <c r="E104" s="177"/>
      <c r="F104" s="177"/>
      <c r="G104" s="177"/>
      <c r="H104" s="177"/>
      <c r="I104" s="177"/>
      <c r="J104" s="177"/>
      <c r="K104" s="177"/>
      <c r="L104" s="177"/>
      <c r="M104" s="177"/>
      <c r="N104" s="177"/>
      <c r="O104" s="177"/>
    </row>
    <row r="105" spans="1:16" ht="13.5" thickBot="1">
      <c r="A105" s="108" t="s">
        <v>144</v>
      </c>
      <c r="C105" s="480">
        <f>SUM(C101:C103)</f>
        <v>0</v>
      </c>
      <c r="D105" s="480">
        <f t="shared" ref="D105:O105" si="1">SUM(D101:D103)</f>
        <v>0</v>
      </c>
      <c r="E105" s="480">
        <f t="shared" si="1"/>
        <v>0</v>
      </c>
      <c r="F105" s="480">
        <f t="shared" si="1"/>
        <v>0</v>
      </c>
      <c r="G105" s="480">
        <f t="shared" si="1"/>
        <v>0</v>
      </c>
      <c r="H105" s="480">
        <f t="shared" si="1"/>
        <v>0</v>
      </c>
      <c r="I105" s="480">
        <f t="shared" si="1"/>
        <v>0</v>
      </c>
      <c r="J105" s="480">
        <f t="shared" si="1"/>
        <v>0</v>
      </c>
      <c r="K105" s="480">
        <f t="shared" si="1"/>
        <v>0</v>
      </c>
      <c r="L105" s="480">
        <f t="shared" si="1"/>
        <v>0</v>
      </c>
      <c r="M105" s="480">
        <f t="shared" si="1"/>
        <v>0</v>
      </c>
      <c r="N105" s="480">
        <f t="shared" si="1"/>
        <v>0</v>
      </c>
      <c r="O105" s="480">
        <f t="shared" si="1"/>
        <v>0</v>
      </c>
    </row>
  </sheetData>
  <sheetProtection password="E242" sheet="1" objects="1" scenarios="1"/>
  <customSheetViews>
    <customSheetView guid="{30D0538C-360A-4CDF-8D89-584CED1967CC}" showGridLines="0" outlineSymbols="0" fitToPage="1">
      <selection activeCell="F8" sqref="F8"/>
      <pageMargins left="0.78740157499999996" right="0.78740157499999996" top="0.984251969" bottom="0.984251969" header="0.4921259845" footer="0.4921259845"/>
      <pageSetup scale="66" orientation="landscape" horizontalDpi="300" verticalDpi="300" r:id="rId1"/>
      <headerFooter alignWithMargins="0"/>
    </customSheetView>
    <customSheetView guid="{4F3169C3-3348-49DE-A6DC-8AA4D2A9D7A1}" showGridLines="0" outlineSymbols="0" fitToPage="1">
      <selection activeCell="F8" sqref="F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4">
    <mergeCell ref="F10:H10"/>
    <mergeCell ref="A14:B14"/>
    <mergeCell ref="A16:B16"/>
    <mergeCell ref="A18:B18"/>
    <mergeCell ref="A20:B20"/>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95:B95"/>
    <mergeCell ref="A97:B97"/>
    <mergeCell ref="A44:B44"/>
    <mergeCell ref="A53:B53"/>
    <mergeCell ref="A55:B55"/>
    <mergeCell ref="A57:B57"/>
    <mergeCell ref="A59:B59"/>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CS">
    <pageSetUpPr fitToPage="1"/>
  </sheetPr>
  <dimension ref="A4:T32"/>
  <sheetViews>
    <sheetView showGridLines="0" showRowColHeaders="0" showOutlineSymbols="0" topLeftCell="U1" workbookViewId="0">
      <selection activeCell="Z6" sqref="Z6"/>
    </sheetView>
  </sheetViews>
  <sheetFormatPr baseColWidth="10" defaultColWidth="11.453125" defaultRowHeight="13"/>
  <cols>
    <col min="1" max="2" width="0" style="167" hidden="1" customWidth="1"/>
    <col min="3" max="3" width="9.08984375" style="167" hidden="1" customWidth="1"/>
    <col min="4" max="4" width="3.36328125" style="167" hidden="1" customWidth="1"/>
    <col min="5" max="5" width="3.81640625" style="167" hidden="1" customWidth="1"/>
    <col min="6" max="6" width="3.6328125" style="167" hidden="1" customWidth="1"/>
    <col min="7" max="7" width="2.81640625" style="167" hidden="1" customWidth="1"/>
    <col min="8" max="8" width="8.6328125" style="167" hidden="1" customWidth="1"/>
    <col min="9" max="10" width="1.453125" style="167" hidden="1" customWidth="1"/>
    <col min="11" max="11" width="10" style="167" hidden="1" customWidth="1"/>
    <col min="12" max="12" width="2.81640625" style="167" hidden="1" customWidth="1"/>
    <col min="13" max="13" width="10" style="167" hidden="1" customWidth="1"/>
    <col min="14" max="14" width="2.81640625" style="167" hidden="1" customWidth="1"/>
    <col min="15" max="15" width="10" style="167" hidden="1" customWidth="1"/>
    <col min="16" max="16" width="2.81640625" style="167" hidden="1" customWidth="1"/>
    <col min="17" max="17" width="10" style="167" hidden="1" customWidth="1"/>
    <col min="18" max="18" width="1.453125" style="167" hidden="1" customWidth="1"/>
    <col min="19" max="19" width="10" style="167" hidden="1" customWidth="1"/>
    <col min="20" max="20" width="0" style="167" hidden="1" customWidth="1"/>
    <col min="21" max="16384" width="11.453125" style="167"/>
  </cols>
  <sheetData>
    <row r="4" spans="1:20" ht="16.5" customHeight="1">
      <c r="A4" s="428" t="str">
        <f>RG!D17</f>
        <v>Jhon Wesly inc.</v>
      </c>
    </row>
    <row r="5" spans="1:20">
      <c r="A5" s="1197" t="s">
        <v>609</v>
      </c>
      <c r="B5" s="1197"/>
      <c r="C5" s="1197"/>
      <c r="D5" s="1197"/>
      <c r="E5" s="1197"/>
      <c r="F5" s="1197"/>
      <c r="G5" s="1197"/>
      <c r="H5" s="1197"/>
      <c r="I5" s="1197"/>
      <c r="J5" s="1197"/>
      <c r="K5" s="1197"/>
      <c r="L5" s="1197"/>
      <c r="M5" s="1197"/>
      <c r="N5" s="1197"/>
      <c r="O5" s="1197"/>
      <c r="P5" s="1197"/>
      <c r="Q5" s="1197"/>
      <c r="R5" s="1197"/>
    </row>
    <row r="6" spans="1:20">
      <c r="A6" s="1197"/>
      <c r="B6" s="1197"/>
      <c r="C6" s="1197"/>
      <c r="D6" s="1197"/>
      <c r="E6" s="1197"/>
      <c r="F6" s="1197"/>
      <c r="G6" s="1197"/>
      <c r="H6" s="1197"/>
      <c r="I6" s="1197"/>
      <c r="J6" s="1197"/>
      <c r="K6" s="1197"/>
      <c r="L6" s="1197"/>
      <c r="M6" s="1197"/>
      <c r="N6" s="1197"/>
      <c r="O6" s="1197"/>
      <c r="P6" s="1197"/>
      <c r="Q6" s="1197"/>
      <c r="R6" s="1197"/>
    </row>
    <row r="7" spans="1:20">
      <c r="A7" s="769"/>
      <c r="B7" s="769"/>
      <c r="C7" s="769"/>
      <c r="D7" s="769"/>
      <c r="E7" s="769"/>
      <c r="F7" s="769"/>
      <c r="G7" s="769"/>
      <c r="H7" s="769"/>
      <c r="I7" s="769"/>
      <c r="J7" s="769"/>
      <c r="K7" s="1197" t="s">
        <v>600</v>
      </c>
      <c r="L7" s="1197"/>
      <c r="M7" s="1197"/>
      <c r="N7" s="769"/>
      <c r="O7" s="1197" t="s">
        <v>355</v>
      </c>
      <c r="P7" s="1197"/>
      <c r="Q7" s="1197"/>
      <c r="R7" s="769"/>
    </row>
    <row r="8" spans="1:20">
      <c r="K8" s="424" t="s">
        <v>454</v>
      </c>
      <c r="L8" s="424"/>
      <c r="M8" s="424" t="s">
        <v>598</v>
      </c>
      <c r="O8" s="424" t="s">
        <v>454</v>
      </c>
      <c r="Q8" s="424" t="s">
        <v>598</v>
      </c>
      <c r="S8" s="424" t="s">
        <v>601</v>
      </c>
    </row>
    <row r="9" spans="1:20" ht="17.5">
      <c r="B9" s="417" t="s">
        <v>271</v>
      </c>
      <c r="K9" s="424" t="s">
        <v>187</v>
      </c>
      <c r="L9" s="424"/>
      <c r="M9" s="424" t="s">
        <v>599</v>
      </c>
      <c r="O9" s="424" t="s">
        <v>186</v>
      </c>
      <c r="P9" s="168"/>
      <c r="Q9" s="424" t="s">
        <v>599</v>
      </c>
      <c r="S9" s="424" t="s">
        <v>602</v>
      </c>
      <c r="T9" s="809"/>
    </row>
    <row r="10" spans="1:20" ht="6.75" customHeight="1" thickBot="1"/>
    <row r="11" spans="1:20" ht="12.75" customHeight="1" thickBot="1">
      <c r="B11" s="167" t="s">
        <v>377</v>
      </c>
      <c r="K11" s="420">
        <v>1.54E-2</v>
      </c>
      <c r="L11" s="775"/>
      <c r="M11" s="420">
        <f>K11*1.4</f>
        <v>2.1559999999999999E-2</v>
      </c>
      <c r="O11" s="420">
        <v>1.54E-2</v>
      </c>
      <c r="P11" s="70"/>
      <c r="Q11" s="420">
        <f>O11*1.4</f>
        <v>2.1559999999999999E-2</v>
      </c>
      <c r="S11" s="420">
        <f>Q11+O11</f>
        <v>3.696E-2</v>
      </c>
    </row>
    <row r="12" spans="1:20" ht="6" customHeight="1">
      <c r="K12" s="421"/>
      <c r="L12" s="421"/>
      <c r="M12" s="421"/>
      <c r="O12" s="421"/>
      <c r="P12" s="43"/>
      <c r="Q12" s="421"/>
      <c r="S12" s="421"/>
    </row>
    <row r="13" spans="1:20">
      <c r="B13" s="417" t="s">
        <v>272</v>
      </c>
      <c r="K13" s="421"/>
      <c r="L13" s="421"/>
      <c r="M13" s="421"/>
      <c r="O13" s="421"/>
      <c r="P13" s="43"/>
      <c r="Q13" s="421"/>
      <c r="S13" s="421"/>
    </row>
    <row r="14" spans="1:20" ht="6" customHeight="1" thickBot="1">
      <c r="K14" s="421"/>
      <c r="L14" s="421"/>
      <c r="M14" s="421"/>
      <c r="O14" s="421"/>
      <c r="P14" s="43"/>
      <c r="Q14" s="421"/>
      <c r="S14" s="421"/>
    </row>
    <row r="15" spans="1:20" ht="13.5" thickBot="1">
      <c r="B15" s="167" t="s">
        <v>374</v>
      </c>
      <c r="K15" s="420">
        <v>5.2499999999999998E-2</v>
      </c>
      <c r="L15" s="64"/>
      <c r="M15" s="420">
        <v>5.2499999999999998E-2</v>
      </c>
      <c r="O15" s="420">
        <f>K15</f>
        <v>5.2499999999999998E-2</v>
      </c>
      <c r="P15" s="70"/>
      <c r="Q15" s="420">
        <f>O15</f>
        <v>5.2499999999999998E-2</v>
      </c>
      <c r="S15" s="420">
        <f>Q15*2</f>
        <v>0.105</v>
      </c>
    </row>
    <row r="16" spans="1:20" ht="7.5" customHeight="1" thickBot="1">
      <c r="K16" s="421"/>
      <c r="L16" s="423"/>
      <c r="M16" s="421"/>
      <c r="O16" s="421"/>
      <c r="P16" s="43"/>
      <c r="Q16" s="421"/>
      <c r="S16" s="421"/>
    </row>
    <row r="17" spans="2:19" ht="13.5" thickBot="1">
      <c r="B17" s="167" t="s">
        <v>375</v>
      </c>
      <c r="K17" s="775"/>
      <c r="L17" s="64"/>
      <c r="M17" s="420">
        <v>2.7E-2</v>
      </c>
      <c r="O17" s="775"/>
      <c r="P17" s="70" t="str">
        <f>IF(RG!A74=3,"X 0,25 =","")</f>
        <v>X 0,25 =</v>
      </c>
      <c r="Q17" s="420">
        <v>2.7E-2</v>
      </c>
      <c r="S17" s="775"/>
    </row>
    <row r="18" spans="2:19" ht="7.5" customHeight="1" thickBot="1">
      <c r="K18" s="421"/>
      <c r="L18" s="423"/>
      <c r="M18" s="421"/>
      <c r="O18" s="421"/>
      <c r="Q18" s="421"/>
      <c r="S18" s="421"/>
    </row>
    <row r="19" spans="2:19" ht="13.5" thickBot="1">
      <c r="B19" s="167" t="s">
        <v>376</v>
      </c>
      <c r="K19" s="775"/>
      <c r="L19" s="64"/>
      <c r="M19" s="420">
        <v>8.0000000000000004E-4</v>
      </c>
      <c r="O19" s="775"/>
      <c r="P19" s="418"/>
      <c r="Q19" s="420">
        <v>8.0000000000000004E-4</v>
      </c>
      <c r="S19" s="775"/>
    </row>
    <row r="20" spans="2:19" ht="7.5" customHeight="1" thickBot="1">
      <c r="K20" s="421"/>
      <c r="L20" s="421"/>
      <c r="M20" s="421"/>
      <c r="O20" s="421"/>
      <c r="Q20" s="421"/>
      <c r="S20" s="421"/>
    </row>
    <row r="21" spans="2:19" ht="13.5" thickBot="1">
      <c r="B21" s="167" t="s">
        <v>382</v>
      </c>
      <c r="K21" s="775"/>
      <c r="L21" s="775"/>
      <c r="M21" s="420">
        <v>3.6700000000000003E-2</v>
      </c>
      <c r="O21" s="775"/>
      <c r="P21" s="418"/>
      <c r="Q21" s="420">
        <v>3.6700000000000003E-2</v>
      </c>
      <c r="S21" s="775"/>
    </row>
    <row r="22" spans="2:19" ht="8.25" customHeight="1" thickBot="1">
      <c r="K22" s="421"/>
      <c r="L22" s="421"/>
      <c r="M22" s="421"/>
      <c r="O22" s="421"/>
      <c r="Q22" s="421"/>
      <c r="S22" s="421"/>
    </row>
    <row r="23" spans="2:19" ht="13.5" thickBot="1">
      <c r="B23" s="167" t="s">
        <v>24</v>
      </c>
      <c r="K23" s="420">
        <v>5.5900000000000004E-3</v>
      </c>
      <c r="L23" s="775"/>
      <c r="M23" s="420">
        <f>K23*1.4</f>
        <v>7.8259999999999996E-3</v>
      </c>
      <c r="O23" s="420">
        <v>5.5900000000000004E-3</v>
      </c>
      <c r="P23" s="418"/>
      <c r="Q23" s="420">
        <f>O23*1.4</f>
        <v>7.8259999999999996E-3</v>
      </c>
      <c r="S23" s="420">
        <v>9.9299999999999996E-3</v>
      </c>
    </row>
    <row r="24" spans="2:19" ht="8.25" customHeight="1">
      <c r="K24" s="421"/>
      <c r="L24" s="421"/>
      <c r="M24" s="421"/>
      <c r="O24" s="421"/>
      <c r="Q24" s="421"/>
      <c r="S24" s="421"/>
    </row>
    <row r="25" spans="2:19" ht="8.25" customHeight="1">
      <c r="K25" s="421"/>
      <c r="L25" s="421"/>
      <c r="M25" s="421"/>
      <c r="O25" s="421"/>
      <c r="Q25" s="421"/>
      <c r="S25" s="421"/>
    </row>
    <row r="26" spans="2:19">
      <c r="B26" s="417" t="s">
        <v>273</v>
      </c>
      <c r="K26" s="421"/>
      <c r="L26" s="421"/>
      <c r="M26" s="421"/>
      <c r="O26" s="421"/>
      <c r="Q26" s="421"/>
      <c r="S26" s="421"/>
    </row>
    <row r="27" spans="2:19" ht="8.25" customHeight="1" thickBot="1">
      <c r="K27" s="421"/>
      <c r="L27" s="421"/>
      <c r="M27" s="421"/>
      <c r="O27" s="421"/>
      <c r="Q27" s="421"/>
      <c r="S27" s="421"/>
    </row>
    <row r="28" spans="2:19" ht="13.5" thickBot="1">
      <c r="B28" s="167" t="s">
        <v>373</v>
      </c>
      <c r="K28" s="775"/>
      <c r="L28" s="775"/>
      <c r="M28" s="420">
        <v>0.04</v>
      </c>
      <c r="O28" s="775"/>
      <c r="P28" s="418"/>
      <c r="Q28" s="420">
        <v>0.04</v>
      </c>
      <c r="S28" s="775"/>
    </row>
    <row r="29" spans="2:19" ht="7.5" customHeight="1"/>
    <row r="30" spans="2:19" ht="7.5" customHeight="1"/>
    <row r="31" spans="2:19" ht="13.5" thickBot="1">
      <c r="B31" s="419" t="s">
        <v>381</v>
      </c>
      <c r="K31" s="776"/>
      <c r="L31" s="776"/>
      <c r="M31" s="422">
        <f>SUM(M11:M28)</f>
        <v>0.186386</v>
      </c>
      <c r="O31" s="776"/>
      <c r="P31" s="168"/>
      <c r="Q31" s="422">
        <f>SUM(Q11:Q28)</f>
        <v>0.186386</v>
      </c>
      <c r="S31" s="422">
        <f>SUM(S11:S28)</f>
        <v>0.15189</v>
      </c>
    </row>
    <row r="32" spans="2:19" ht="13.5" thickTop="1"/>
  </sheetData>
  <sheetProtection password="E242" sheet="1" objects="1" scenarios="1"/>
  <customSheetViews>
    <customSheetView guid="{30D0538C-360A-4CDF-8D89-584CED1967CC}"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 guid="{4F3169C3-3348-49DE-A6DC-8AA4D2A9D7A1}"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s>
  <mergeCells count="3">
    <mergeCell ref="A5:R6"/>
    <mergeCell ref="K7:M7"/>
    <mergeCell ref="O7:Q7"/>
  </mergeCell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RH">
    <pageSetUpPr fitToPage="1"/>
  </sheetPr>
  <dimension ref="A1:AA40"/>
  <sheetViews>
    <sheetView showGridLines="0" showRowColHeaders="0" showOutlineSymbols="0" zoomScale="80" zoomScaleNormal="80" workbookViewId="0">
      <pane ySplit="19" topLeftCell="A20" activePane="bottomLeft" state="frozen"/>
      <selection activeCell="G24" sqref="G24"/>
      <selection pane="bottomLeft" activeCell="AA31" sqref="AA31"/>
    </sheetView>
  </sheetViews>
  <sheetFormatPr baseColWidth="10" defaultColWidth="11.453125" defaultRowHeight="13"/>
  <cols>
    <col min="1" max="1" width="5.453125" style="43" customWidth="1"/>
    <col min="2" max="2" width="28.36328125" style="43" customWidth="1"/>
    <col min="3" max="14" width="8.453125" style="43" customWidth="1"/>
    <col min="15" max="15" width="14" style="43" customWidth="1"/>
    <col min="16" max="20" width="9.6328125" style="43" customWidth="1"/>
    <col min="21" max="21" width="12.08984375" style="43" customWidth="1"/>
    <col min="22" max="22" width="12" style="43" customWidth="1"/>
    <col min="23" max="23" width="15.453125" style="43" customWidth="1"/>
    <col min="24" max="24" width="12" style="43" customWidth="1"/>
    <col min="25" max="25" width="9.08984375" style="43" customWidth="1"/>
    <col min="26" max="26" width="9.6328125" style="43" customWidth="1"/>
    <col min="27" max="27" width="13" style="43" customWidth="1"/>
    <col min="28" max="16384" width="11.453125" style="43"/>
  </cols>
  <sheetData>
    <row r="1" spans="1:27" customFormat="1" ht="12.5"/>
    <row r="2" spans="1:27" customFormat="1" ht="12.5"/>
    <row r="3" spans="1:27" customFormat="1" ht="12.5"/>
    <row r="4" spans="1:27" s="261" customFormat="1" ht="12.5"/>
    <row r="5" spans="1:27" s="261" customFormat="1" ht="12.5"/>
    <row r="6" spans="1:27" s="261" customFormat="1" ht="12.5"/>
    <row r="7" spans="1:27" s="261" customFormat="1" ht="12.5"/>
    <row r="8" spans="1:27" s="261" customFormat="1" ht="12.5"/>
    <row r="9" spans="1:27" s="261" customFormat="1" ht="6" customHeight="1">
      <c r="B9" s="932"/>
      <c r="C9" s="932"/>
      <c r="D9" s="932"/>
      <c r="E9" s="932"/>
      <c r="F9" s="932"/>
      <c r="G9" s="932"/>
      <c r="H9" s="932"/>
      <c r="I9" s="932"/>
      <c r="J9" s="932"/>
      <c r="K9" s="932"/>
      <c r="L9" s="932"/>
      <c r="M9" s="932"/>
      <c r="N9" s="932"/>
      <c r="O9" s="932"/>
      <c r="P9" s="932"/>
      <c r="Q9" s="932"/>
      <c r="R9" s="932"/>
      <c r="S9" s="932"/>
      <c r="T9" s="932"/>
      <c r="U9" s="932"/>
      <c r="V9" s="932"/>
      <c r="W9" s="932"/>
      <c r="X9" s="932"/>
      <c r="Y9" s="932"/>
      <c r="Z9" s="932"/>
      <c r="AA9" s="932"/>
    </row>
    <row r="10" spans="1:27" ht="33" customHeight="1">
      <c r="A10" s="1198" t="str">
        <f>RG!D17</f>
        <v>Jhon Wesly inc.</v>
      </c>
      <c r="B10" s="1198"/>
      <c r="C10" s="1198"/>
      <c r="D10" s="1198"/>
      <c r="E10" s="277"/>
      <c r="F10" s="277"/>
      <c r="G10" s="277"/>
      <c r="H10" s="277"/>
      <c r="I10" s="277"/>
      <c r="J10" s="277"/>
      <c r="K10" s="277"/>
      <c r="L10" s="277"/>
      <c r="M10" s="277"/>
      <c r="N10" s="277"/>
      <c r="O10" s="277"/>
      <c r="P10" s="277"/>
      <c r="Q10" s="277"/>
      <c r="R10" s="277"/>
      <c r="S10" s="277"/>
      <c r="T10" s="277"/>
      <c r="U10" s="277"/>
      <c r="V10" s="277"/>
      <c r="W10" s="277"/>
      <c r="X10" s="277"/>
      <c r="Y10" s="277"/>
      <c r="Z10" s="277"/>
      <c r="AA10" s="277"/>
    </row>
    <row r="11" spans="1:27" ht="23" thickBot="1">
      <c r="C11" s="285"/>
      <c r="D11" s="285"/>
      <c r="E11" s="807"/>
      <c r="F11" s="285"/>
      <c r="G11" s="285"/>
      <c r="H11" s="285"/>
      <c r="I11" s="285"/>
      <c r="J11" s="285"/>
      <c r="K11" s="285"/>
      <c r="L11" s="285"/>
      <c r="M11" s="285"/>
      <c r="N11" s="285"/>
      <c r="O11" s="277"/>
      <c r="P11" s="277"/>
      <c r="Q11" s="277"/>
      <c r="R11" s="277"/>
      <c r="S11" s="277"/>
      <c r="T11" s="277"/>
      <c r="U11" s="1043" t="s">
        <v>883</v>
      </c>
      <c r="V11" s="277"/>
      <c r="W11" s="277"/>
      <c r="X11" s="277"/>
      <c r="Y11" s="277"/>
      <c r="Z11" s="277"/>
      <c r="AA11" s="277"/>
    </row>
    <row r="12" spans="1:27" ht="16" thickBot="1">
      <c r="A12" s="500" t="s">
        <v>742</v>
      </c>
      <c r="B12" s="277"/>
      <c r="C12" s="277"/>
      <c r="D12" s="277"/>
      <c r="E12" s="277"/>
      <c r="F12" s="277"/>
      <c r="G12" s="277"/>
      <c r="H12" s="277"/>
      <c r="I12" s="277"/>
      <c r="J12" s="277"/>
      <c r="K12" s="277"/>
      <c r="L12" s="277"/>
      <c r="M12" s="277"/>
      <c r="N12" s="277"/>
      <c r="P12" s="1044" t="s">
        <v>881</v>
      </c>
      <c r="U12" s="1070" t="s">
        <v>916</v>
      </c>
    </row>
    <row r="13" spans="1:27" ht="16" thickBot="1">
      <c r="A13" s="1207"/>
      <c r="B13" s="1207"/>
      <c r="C13" s="276"/>
      <c r="D13" s="276"/>
      <c r="E13" s="276"/>
      <c r="F13" s="276"/>
      <c r="G13" s="276"/>
      <c r="H13" s="276"/>
      <c r="I13" s="276"/>
      <c r="J13" s="276"/>
      <c r="K13" s="276"/>
      <c r="L13" s="276"/>
      <c r="M13" s="276"/>
      <c r="N13" s="276"/>
      <c r="O13" s="277"/>
      <c r="P13" s="771" t="s">
        <v>880</v>
      </c>
      <c r="Q13" s="277"/>
      <c r="R13" s="277"/>
      <c r="S13" s="277"/>
      <c r="T13" s="277"/>
      <c r="U13" s="1070" t="s">
        <v>916</v>
      </c>
      <c r="V13" s="277"/>
      <c r="W13" s="277"/>
      <c r="X13" s="277"/>
      <c r="Y13" s="277"/>
      <c r="Z13" s="277"/>
      <c r="AA13" s="277"/>
    </row>
    <row r="14" spans="1:27" ht="18" thickBot="1">
      <c r="A14" s="277"/>
      <c r="B14" s="282" t="s">
        <v>350</v>
      </c>
      <c r="C14" s="282"/>
      <c r="D14" s="282"/>
      <c r="E14" s="282"/>
      <c r="F14" s="282"/>
      <c r="G14" s="282"/>
      <c r="H14" s="282"/>
      <c r="I14" s="282"/>
      <c r="J14" s="282"/>
      <c r="K14" s="282"/>
      <c r="L14" s="282"/>
      <c r="M14" s="282"/>
      <c r="N14" s="282"/>
      <c r="O14" s="277"/>
      <c r="P14" s="771" t="s">
        <v>882</v>
      </c>
      <c r="Q14" s="277"/>
      <c r="R14" s="277"/>
      <c r="S14" s="277"/>
      <c r="T14" s="277"/>
      <c r="U14" s="1070" t="s">
        <v>916</v>
      </c>
      <c r="V14" s="277"/>
      <c r="W14" s="277"/>
      <c r="X14" s="277"/>
      <c r="Y14" s="277"/>
      <c r="Z14" s="277"/>
      <c r="AA14" s="277"/>
    </row>
    <row r="15" spans="1:27" ht="18" thickBot="1">
      <c r="A15" s="277"/>
      <c r="B15" s="283" t="s">
        <v>351</v>
      </c>
      <c r="C15" s="284"/>
      <c r="D15" s="284"/>
      <c r="E15" s="284"/>
      <c r="F15" s="284"/>
      <c r="G15" s="284"/>
      <c r="H15" s="284"/>
      <c r="I15" s="284"/>
      <c r="J15" s="284"/>
      <c r="K15" s="284"/>
      <c r="L15" s="284"/>
      <c r="M15" s="284"/>
      <c r="N15" s="284"/>
      <c r="O15" s="286">
        <v>4.3333000000000004</v>
      </c>
      <c r="P15" s="277"/>
      <c r="Q15" s="277"/>
      <c r="R15" s="277"/>
      <c r="S15" s="277"/>
      <c r="T15" s="277"/>
      <c r="U15" s="277"/>
      <c r="V15" s="277"/>
      <c r="W15" s="277"/>
      <c r="X15" s="277"/>
      <c r="Y15" s="277"/>
      <c r="Z15" s="277"/>
      <c r="AA15" s="277"/>
    </row>
    <row r="16" spans="1:27" ht="22.5">
      <c r="A16" s="277"/>
      <c r="B16" s="285" t="s">
        <v>354</v>
      </c>
      <c r="C16" s="285"/>
      <c r="D16" s="285"/>
      <c r="E16" s="285"/>
      <c r="F16" s="285"/>
      <c r="G16" s="285"/>
      <c r="H16" s="285"/>
      <c r="I16" s="285"/>
      <c r="J16" s="285"/>
      <c r="K16" s="285"/>
      <c r="L16" s="285"/>
      <c r="M16" s="285"/>
      <c r="N16" s="285"/>
      <c r="O16" s="277" t="s">
        <v>355</v>
      </c>
      <c r="P16" s="277"/>
      <c r="Q16" s="277"/>
      <c r="R16" s="277"/>
      <c r="S16" s="277"/>
      <c r="T16" s="277"/>
      <c r="U16" s="277"/>
      <c r="V16" s="277"/>
      <c r="W16" s="277"/>
      <c r="X16" s="277"/>
      <c r="Z16" s="277"/>
      <c r="AA16" s="277"/>
    </row>
    <row r="17" spans="1:27" ht="16" thickBot="1">
      <c r="A17" s="823"/>
      <c r="B17" s="1205" t="s">
        <v>357</v>
      </c>
      <c r="C17" s="1199" t="s">
        <v>312</v>
      </c>
      <c r="D17" s="1200"/>
      <c r="E17" s="1200"/>
      <c r="F17" s="1200"/>
      <c r="G17" s="1200"/>
      <c r="H17" s="1200"/>
      <c r="I17" s="1200"/>
      <c r="J17" s="1200"/>
      <c r="K17" s="1200"/>
      <c r="L17" s="1200"/>
      <c r="M17" s="1200"/>
      <c r="N17" s="1201"/>
      <c r="O17" s="824" t="s">
        <v>454</v>
      </c>
      <c r="P17" s="824" t="s">
        <v>655</v>
      </c>
      <c r="Q17" s="824" t="s">
        <v>656</v>
      </c>
      <c r="R17" s="824" t="s">
        <v>657</v>
      </c>
      <c r="S17" s="824" t="s">
        <v>658</v>
      </c>
      <c r="T17" s="824" t="s">
        <v>659</v>
      </c>
      <c r="U17" s="824" t="s">
        <v>661</v>
      </c>
      <c r="V17" s="827" t="s">
        <v>660</v>
      </c>
      <c r="W17" s="827" t="s">
        <v>761</v>
      </c>
      <c r="X17" s="824" t="s">
        <v>553</v>
      </c>
      <c r="Y17" s="828" t="s">
        <v>419</v>
      </c>
      <c r="Z17" s="824" t="s">
        <v>422</v>
      </c>
      <c r="AA17" s="824" t="s">
        <v>423</v>
      </c>
    </row>
    <row r="18" spans="1:27" ht="16" thickBot="1">
      <c r="A18" s="825"/>
      <c r="B18" s="1206"/>
      <c r="C18" s="1202"/>
      <c r="D18" s="1203"/>
      <c r="E18" s="1203"/>
      <c r="F18" s="1203"/>
      <c r="G18" s="1203"/>
      <c r="H18" s="1203"/>
      <c r="I18" s="1203"/>
      <c r="J18" s="1203"/>
      <c r="K18" s="1203"/>
      <c r="L18" s="1203"/>
      <c r="M18" s="1203"/>
      <c r="N18" s="1204"/>
      <c r="O18" s="1025" t="s">
        <v>418</v>
      </c>
      <c r="P18" s="1026">
        <v>5.2499999999999998E-2</v>
      </c>
      <c r="Q18" s="1026">
        <v>5.5999999999999999E-3</v>
      </c>
      <c r="R18" s="1027">
        <v>2.7E-2</v>
      </c>
      <c r="S18" s="1069">
        <v>0.11</v>
      </c>
      <c r="T18" s="1068">
        <v>1.54E-2</v>
      </c>
      <c r="U18" s="1026">
        <v>8.0000000000000004E-4</v>
      </c>
      <c r="V18" s="1027">
        <v>0.04</v>
      </c>
      <c r="W18" s="1010">
        <v>0</v>
      </c>
      <c r="X18" s="829" t="s">
        <v>498</v>
      </c>
      <c r="Y18" s="829" t="s">
        <v>420</v>
      </c>
      <c r="Z18" s="826" t="s">
        <v>421</v>
      </c>
      <c r="AA18" s="826" t="s">
        <v>424</v>
      </c>
    </row>
    <row r="19" spans="1:27" ht="16" thickBot="1">
      <c r="A19" s="277"/>
      <c r="B19" s="277"/>
      <c r="C19" s="278">
        <f>TE!E9</f>
        <v>45292</v>
      </c>
      <c r="D19" s="278">
        <f>TE!F9</f>
        <v>45323</v>
      </c>
      <c r="E19" s="278">
        <f>TE!G9</f>
        <v>45354</v>
      </c>
      <c r="F19" s="278">
        <f>TE!H9</f>
        <v>45385</v>
      </c>
      <c r="G19" s="278">
        <f>TE!I9</f>
        <v>45416</v>
      </c>
      <c r="H19" s="278">
        <f>TE!J9</f>
        <v>45447</v>
      </c>
      <c r="I19" s="278">
        <f>TE!K9</f>
        <v>45478</v>
      </c>
      <c r="J19" s="278">
        <f>TE!L9</f>
        <v>45509</v>
      </c>
      <c r="K19" s="278">
        <f>TE!M9</f>
        <v>45540</v>
      </c>
      <c r="L19" s="278">
        <f>TE!N9</f>
        <v>45571</v>
      </c>
      <c r="M19" s="278">
        <f>TE!O9</f>
        <v>45602</v>
      </c>
      <c r="N19" s="278">
        <f>TE!P9</f>
        <v>45633</v>
      </c>
      <c r="O19" s="277"/>
      <c r="P19" s="277"/>
      <c r="Q19" s="277"/>
      <c r="R19" s="277"/>
      <c r="S19" s="277"/>
      <c r="T19" s="277"/>
      <c r="U19" s="277"/>
      <c r="V19" s="277"/>
      <c r="W19" s="277"/>
      <c r="X19" s="277"/>
      <c r="Y19" s="277"/>
      <c r="Z19" s="277"/>
      <c r="AA19" s="277"/>
    </row>
    <row r="20" spans="1:27" ht="16" thickBot="1">
      <c r="A20" s="865">
        <v>1</v>
      </c>
      <c r="B20" s="1021" t="str">
        <f>IF(RG!$A$74=3,"Poste MOD 1 - Actionnaire","Poste MOD 1")</f>
        <v>Poste MOD 1 - Actionnaire</v>
      </c>
      <c r="C20" s="1015">
        <v>1</v>
      </c>
      <c r="D20" s="1015">
        <v>1</v>
      </c>
      <c r="E20" s="1015">
        <v>1</v>
      </c>
      <c r="F20" s="1015">
        <v>1</v>
      </c>
      <c r="G20" s="1015">
        <v>1</v>
      </c>
      <c r="H20" s="1015">
        <v>1</v>
      </c>
      <c r="I20" s="1015">
        <v>1</v>
      </c>
      <c r="J20" s="1015">
        <v>1</v>
      </c>
      <c r="K20" s="1015">
        <v>1</v>
      </c>
      <c r="L20" s="1015">
        <v>1</v>
      </c>
      <c r="M20" s="1015">
        <v>1</v>
      </c>
      <c r="N20" s="1015">
        <v>1</v>
      </c>
      <c r="O20" s="1016">
        <v>11.25</v>
      </c>
      <c r="P20" s="813">
        <f>O20*(P18)</f>
        <v>0.59062499999999996</v>
      </c>
      <c r="Q20" s="813">
        <f>IF($U$13="non",0,O20*$Q$18*1.4)</f>
        <v>8.8200000000000001E-2</v>
      </c>
      <c r="R20" s="813">
        <f>O20*(R18)</f>
        <v>0.30375000000000002</v>
      </c>
      <c r="S20" s="813">
        <f>IF($U$13="non",0,O20*$S$18)</f>
        <v>1.2375</v>
      </c>
      <c r="T20" s="813">
        <f>IF($U$14="non",0,O20*$T$18*1.4)</f>
        <v>0.24255000000000002</v>
      </c>
      <c r="U20" s="813">
        <f>O20*(U18)</f>
        <v>9.0000000000000011E-3</v>
      </c>
      <c r="V20" s="813">
        <f>O20*(V18)</f>
        <v>0.45</v>
      </c>
      <c r="W20" s="1012">
        <f>O20*($W$18)</f>
        <v>0</v>
      </c>
      <c r="X20" s="1042">
        <f>IF(RG!$A$78=6,SUM(O20:W20),SUM(O20:V20))</f>
        <v>14.171625000000001</v>
      </c>
      <c r="Y20" s="1011">
        <v>0</v>
      </c>
      <c r="Z20" s="814">
        <v>35</v>
      </c>
      <c r="AA20" s="815">
        <v>0.02</v>
      </c>
    </row>
    <row r="21" spans="1:27" ht="16" thickBot="1">
      <c r="A21" s="865">
        <f t="shared" ref="A21:A31" si="0">A20+1</f>
        <v>2</v>
      </c>
      <c r="B21" s="1021" t="str">
        <f>IF(RG!$A$74=3,"Poste MOD 2 - Actionnaire","Poste MOD 2")</f>
        <v>Poste MOD 2 - Actionnaire</v>
      </c>
      <c r="C21" s="1015">
        <v>1</v>
      </c>
      <c r="D21" s="1015">
        <v>1</v>
      </c>
      <c r="E21" s="1015">
        <v>1</v>
      </c>
      <c r="F21" s="1015">
        <v>1</v>
      </c>
      <c r="G21" s="1015">
        <v>1</v>
      </c>
      <c r="H21" s="1015">
        <v>1</v>
      </c>
      <c r="I21" s="1015">
        <v>1</v>
      </c>
      <c r="J21" s="1015">
        <v>1</v>
      </c>
      <c r="K21" s="1015">
        <v>1</v>
      </c>
      <c r="L21" s="1015">
        <v>1</v>
      </c>
      <c r="M21" s="1015">
        <v>1</v>
      </c>
      <c r="N21" s="1015">
        <v>1</v>
      </c>
      <c r="O21" s="1016">
        <f>O20</f>
        <v>11.25</v>
      </c>
      <c r="P21" s="813">
        <f>O21*(P18)</f>
        <v>0.59062499999999996</v>
      </c>
      <c r="Q21" s="813">
        <f>IF($U$13="non",0,O21*$Q$18*1.4)</f>
        <v>8.8200000000000001E-2</v>
      </c>
      <c r="R21" s="813">
        <f>O21*(R18)</f>
        <v>0.30375000000000002</v>
      </c>
      <c r="S21" s="813">
        <f>IF($U$13="non",0,O21*$S$18)</f>
        <v>1.2375</v>
      </c>
      <c r="T21" s="813">
        <f>IF($U$14="non",0,O21*$T$18*1.4)</f>
        <v>0.24255000000000002</v>
      </c>
      <c r="U21" s="813">
        <f>O21*(U18)</f>
        <v>9.0000000000000011E-3</v>
      </c>
      <c r="V21" s="813">
        <f>O21*(V18)</f>
        <v>0.45</v>
      </c>
      <c r="W21" s="1012">
        <f t="shared" ref="W21:W31" si="1">O21*($W$18)</f>
        <v>0</v>
      </c>
      <c r="X21" s="1042">
        <f>IF(RG!$A$78=6,SUM(O21:W21),SUM(O21:V21))</f>
        <v>14.171625000000001</v>
      </c>
      <c r="Y21" s="1011">
        <v>0</v>
      </c>
      <c r="Z21" s="814">
        <v>35</v>
      </c>
      <c r="AA21" s="815">
        <v>0.02</v>
      </c>
    </row>
    <row r="22" spans="1:27" ht="16" thickBot="1">
      <c r="A22" s="865">
        <f t="shared" si="0"/>
        <v>3</v>
      </c>
      <c r="B22" s="1022" t="s">
        <v>607</v>
      </c>
      <c r="C22" s="1017">
        <v>1</v>
      </c>
      <c r="D22" s="1017">
        <v>1</v>
      </c>
      <c r="E22" s="1017">
        <v>1</v>
      </c>
      <c r="F22" s="1017">
        <v>1</v>
      </c>
      <c r="G22" s="1017">
        <v>1</v>
      </c>
      <c r="H22" s="1017">
        <v>1</v>
      </c>
      <c r="I22" s="1017">
        <v>1</v>
      </c>
      <c r="J22" s="1017">
        <v>1</v>
      </c>
      <c r="K22" s="1017">
        <v>1</v>
      </c>
      <c r="L22" s="1017">
        <v>1</v>
      </c>
      <c r="M22" s="1017">
        <v>1</v>
      </c>
      <c r="N22" s="1017">
        <v>1</v>
      </c>
      <c r="O22" s="1018">
        <f>O21</f>
        <v>11.25</v>
      </c>
      <c r="P22" s="1106">
        <f>O22*(P18)</f>
        <v>0.59062499999999996</v>
      </c>
      <c r="Q22" s="1106">
        <f>O22*(Q18)</f>
        <v>6.3E-2</v>
      </c>
      <c r="R22" s="1106">
        <f>O22*(R18)</f>
        <v>0.30375000000000002</v>
      </c>
      <c r="S22" s="1106">
        <f>O22*(S18)</f>
        <v>1.2375</v>
      </c>
      <c r="T22" s="1106">
        <f>O22*(T18)</f>
        <v>0.17325000000000002</v>
      </c>
      <c r="U22" s="1106">
        <f>O22*(U18)</f>
        <v>9.0000000000000011E-3</v>
      </c>
      <c r="V22" s="1106">
        <f>O22*(V18)</f>
        <v>0.45</v>
      </c>
      <c r="W22" s="1107">
        <f t="shared" si="1"/>
        <v>0</v>
      </c>
      <c r="X22" s="833">
        <f>IF(RG!$A$78=6,SUM(O22:W22),SUM(O22:V22))</f>
        <v>14.077125000000001</v>
      </c>
      <c r="Y22" s="1011">
        <v>0</v>
      </c>
      <c r="Z22" s="499">
        <v>35</v>
      </c>
      <c r="AA22" s="501">
        <v>0.02</v>
      </c>
    </row>
    <row r="23" spans="1:27" ht="16" thickBot="1">
      <c r="A23" s="865">
        <f t="shared" si="0"/>
        <v>4</v>
      </c>
      <c r="B23" s="1022" t="s">
        <v>604</v>
      </c>
      <c r="C23" s="1017">
        <v>1</v>
      </c>
      <c r="D23" s="1017">
        <v>1</v>
      </c>
      <c r="E23" s="1017">
        <v>1</v>
      </c>
      <c r="F23" s="1017">
        <v>1</v>
      </c>
      <c r="G23" s="1017">
        <v>1</v>
      </c>
      <c r="H23" s="1017">
        <v>1</v>
      </c>
      <c r="I23" s="1017">
        <v>1</v>
      </c>
      <c r="J23" s="1017">
        <v>1</v>
      </c>
      <c r="K23" s="1017">
        <v>1</v>
      </c>
      <c r="L23" s="1017">
        <v>1</v>
      </c>
      <c r="M23" s="1017">
        <v>1</v>
      </c>
      <c r="N23" s="1017">
        <v>1</v>
      </c>
      <c r="O23" s="1018">
        <f t="shared" ref="O23:O26" si="2">O22</f>
        <v>11.25</v>
      </c>
      <c r="P23" s="1106">
        <f>O23*(P18)</f>
        <v>0.59062499999999996</v>
      </c>
      <c r="Q23" s="1106">
        <f>O23*(Q18)</f>
        <v>6.3E-2</v>
      </c>
      <c r="R23" s="1106">
        <f>O23*(R18)</f>
        <v>0.30375000000000002</v>
      </c>
      <c r="S23" s="1106">
        <f>O23*(S18)</f>
        <v>1.2375</v>
      </c>
      <c r="T23" s="1106">
        <f>O23*(T18)</f>
        <v>0.17325000000000002</v>
      </c>
      <c r="U23" s="1106">
        <f>O23*(U18)</f>
        <v>9.0000000000000011E-3</v>
      </c>
      <c r="V23" s="1106">
        <f>O23*(V18)</f>
        <v>0.45</v>
      </c>
      <c r="W23" s="1107">
        <f t="shared" si="1"/>
        <v>0</v>
      </c>
      <c r="X23" s="833">
        <f>IF(RG!$A$78=6,SUM(O23:W23),SUM(O23:V23))</f>
        <v>14.077125000000001</v>
      </c>
      <c r="Y23" s="1011">
        <v>0</v>
      </c>
      <c r="Z23" s="499">
        <v>35</v>
      </c>
      <c r="AA23" s="501">
        <v>0.02</v>
      </c>
    </row>
    <row r="24" spans="1:27" ht="16" thickBot="1">
      <c r="A24" s="865">
        <f t="shared" si="0"/>
        <v>5</v>
      </c>
      <c r="B24" s="1022" t="s">
        <v>605</v>
      </c>
      <c r="C24" s="1017">
        <v>1</v>
      </c>
      <c r="D24" s="1017">
        <v>1</v>
      </c>
      <c r="E24" s="1017">
        <v>1</v>
      </c>
      <c r="F24" s="1017">
        <v>1</v>
      </c>
      <c r="G24" s="1017">
        <v>1</v>
      </c>
      <c r="H24" s="1017">
        <v>1</v>
      </c>
      <c r="I24" s="1017">
        <v>1</v>
      </c>
      <c r="J24" s="1017">
        <v>1</v>
      </c>
      <c r="K24" s="1017">
        <v>1</v>
      </c>
      <c r="L24" s="1017">
        <v>1</v>
      </c>
      <c r="M24" s="1017">
        <v>1</v>
      </c>
      <c r="N24" s="1017">
        <v>1</v>
      </c>
      <c r="O24" s="1018">
        <f t="shared" si="2"/>
        <v>11.25</v>
      </c>
      <c r="P24" s="1106">
        <f>O24*(P18)</f>
        <v>0.59062499999999996</v>
      </c>
      <c r="Q24" s="1106">
        <f>O24*(Q18)</f>
        <v>6.3E-2</v>
      </c>
      <c r="R24" s="1106">
        <f>O24*(R18)</f>
        <v>0.30375000000000002</v>
      </c>
      <c r="S24" s="1106">
        <f>O24*(S18)</f>
        <v>1.2375</v>
      </c>
      <c r="T24" s="1106">
        <f>O24*(T18)</f>
        <v>0.17325000000000002</v>
      </c>
      <c r="U24" s="1106">
        <f>O24*(U18)</f>
        <v>9.0000000000000011E-3</v>
      </c>
      <c r="V24" s="1106">
        <f>O24*(V18)</f>
        <v>0.45</v>
      </c>
      <c r="W24" s="1107">
        <f t="shared" si="1"/>
        <v>0</v>
      </c>
      <c r="X24" s="833">
        <f>IF(RG!$A$78=6,SUM(O24:W24),SUM(O24:V24))</f>
        <v>14.077125000000001</v>
      </c>
      <c r="Y24" s="1011">
        <v>0</v>
      </c>
      <c r="Z24" s="499">
        <v>35</v>
      </c>
      <c r="AA24" s="501">
        <v>0.02</v>
      </c>
    </row>
    <row r="25" spans="1:27" ht="16" thickBot="1">
      <c r="A25" s="865">
        <f t="shared" si="0"/>
        <v>6</v>
      </c>
      <c r="B25" s="1022" t="s">
        <v>569</v>
      </c>
      <c r="C25" s="1017">
        <v>1</v>
      </c>
      <c r="D25" s="1017">
        <v>1</v>
      </c>
      <c r="E25" s="1017">
        <v>1</v>
      </c>
      <c r="F25" s="1017">
        <v>1</v>
      </c>
      <c r="G25" s="1017">
        <v>1</v>
      </c>
      <c r="H25" s="1017">
        <v>1</v>
      </c>
      <c r="I25" s="1017">
        <v>1</v>
      </c>
      <c r="J25" s="1017">
        <v>1</v>
      </c>
      <c r="K25" s="1017">
        <v>1</v>
      </c>
      <c r="L25" s="1017">
        <v>1</v>
      </c>
      <c r="M25" s="1017">
        <v>1</v>
      </c>
      <c r="N25" s="1017">
        <v>1</v>
      </c>
      <c r="O25" s="1018">
        <f t="shared" si="2"/>
        <v>11.25</v>
      </c>
      <c r="P25" s="1106">
        <f>O25*(P18)</f>
        <v>0.59062499999999996</v>
      </c>
      <c r="Q25" s="1106">
        <f>O25*(Q18)</f>
        <v>6.3E-2</v>
      </c>
      <c r="R25" s="1106">
        <f>O25*(R18)</f>
        <v>0.30375000000000002</v>
      </c>
      <c r="S25" s="1106">
        <f>O25*(S18)</f>
        <v>1.2375</v>
      </c>
      <c r="T25" s="1106">
        <f>O25*(T18)</f>
        <v>0.17325000000000002</v>
      </c>
      <c r="U25" s="1106">
        <f>O25*(U18)</f>
        <v>9.0000000000000011E-3</v>
      </c>
      <c r="V25" s="1106">
        <f>O25*(V18)</f>
        <v>0.45</v>
      </c>
      <c r="W25" s="1107">
        <f t="shared" si="1"/>
        <v>0</v>
      </c>
      <c r="X25" s="833">
        <f>IF(RG!$A$78=6,SUM(O25:W25),SUM(O25:V25))</f>
        <v>14.077125000000001</v>
      </c>
      <c r="Y25" s="1011">
        <v>0</v>
      </c>
      <c r="Z25" s="499">
        <v>35</v>
      </c>
      <c r="AA25" s="501">
        <v>0.02</v>
      </c>
    </row>
    <row r="26" spans="1:27" ht="16" thickBot="1">
      <c r="A26" s="865">
        <f t="shared" si="0"/>
        <v>7</v>
      </c>
      <c r="B26" s="1022" t="s">
        <v>570</v>
      </c>
      <c r="C26" s="1017">
        <v>1</v>
      </c>
      <c r="D26" s="1017">
        <v>1</v>
      </c>
      <c r="E26" s="1017">
        <v>1</v>
      </c>
      <c r="F26" s="1017">
        <v>1</v>
      </c>
      <c r="G26" s="1017">
        <v>1</v>
      </c>
      <c r="H26" s="1017">
        <v>1</v>
      </c>
      <c r="I26" s="1017">
        <v>1</v>
      </c>
      <c r="J26" s="1017">
        <v>1</v>
      </c>
      <c r="K26" s="1017">
        <v>1</v>
      </c>
      <c r="L26" s="1017">
        <v>1</v>
      </c>
      <c r="M26" s="1017">
        <v>1</v>
      </c>
      <c r="N26" s="1017">
        <v>1</v>
      </c>
      <c r="O26" s="1018">
        <f t="shared" si="2"/>
        <v>11.25</v>
      </c>
      <c r="P26" s="1106">
        <f>O26*(P18)</f>
        <v>0.59062499999999996</v>
      </c>
      <c r="Q26" s="1106">
        <f>O26*(Q18)</f>
        <v>6.3E-2</v>
      </c>
      <c r="R26" s="1106">
        <f>O26*(R18)</f>
        <v>0.30375000000000002</v>
      </c>
      <c r="S26" s="1106">
        <f>O26*(S18)</f>
        <v>1.2375</v>
      </c>
      <c r="T26" s="1106">
        <f>O26*(T18)</f>
        <v>0.17325000000000002</v>
      </c>
      <c r="U26" s="1106">
        <f>O26*(U18)</f>
        <v>9.0000000000000011E-3</v>
      </c>
      <c r="V26" s="1106">
        <f>O26*(V18)</f>
        <v>0.45</v>
      </c>
      <c r="W26" s="1107">
        <f t="shared" si="1"/>
        <v>0</v>
      </c>
      <c r="X26" s="833">
        <f>IF(RG!$A$78=6,SUM(O26:W26),SUM(O26:V26))</f>
        <v>14.077125000000001</v>
      </c>
      <c r="Y26" s="1011">
        <v>0</v>
      </c>
      <c r="Z26" s="499">
        <v>35</v>
      </c>
      <c r="AA26" s="501">
        <v>0.02</v>
      </c>
    </row>
    <row r="27" spans="1:27" ht="16" thickBot="1">
      <c r="A27" s="1009">
        <f t="shared" si="0"/>
        <v>8</v>
      </c>
      <c r="B27" s="1023" t="str">
        <f>IF(RG!$A$78=4,"Main-d'œuvre R&amp;D",IF(RG!$A$78=1,"Main-d'œuvre R&amp;D","Poste MOD 8"))</f>
        <v>Poste MOD 8</v>
      </c>
      <c r="C27" s="1019">
        <v>1</v>
      </c>
      <c r="D27" s="1019">
        <v>1</v>
      </c>
      <c r="E27" s="1019">
        <v>1</v>
      </c>
      <c r="F27" s="1019">
        <v>1</v>
      </c>
      <c r="G27" s="1019">
        <v>1</v>
      </c>
      <c r="H27" s="1019">
        <v>1</v>
      </c>
      <c r="I27" s="1019">
        <v>1</v>
      </c>
      <c r="J27" s="1019">
        <v>1</v>
      </c>
      <c r="K27" s="1019">
        <v>1</v>
      </c>
      <c r="L27" s="1019">
        <v>1</v>
      </c>
      <c r="M27" s="1019">
        <v>1</v>
      </c>
      <c r="N27" s="1019">
        <v>1</v>
      </c>
      <c r="O27" s="1020">
        <f>O26</f>
        <v>11.25</v>
      </c>
      <c r="P27" s="1108">
        <f>O27*(P18)</f>
        <v>0.59062499999999996</v>
      </c>
      <c r="Q27" s="1108">
        <f>O27*(Q18)</f>
        <v>6.3E-2</v>
      </c>
      <c r="R27" s="1108">
        <f>O27*(R18)</f>
        <v>0.30375000000000002</v>
      </c>
      <c r="S27" s="1108">
        <f>O27*(S18)</f>
        <v>1.2375</v>
      </c>
      <c r="T27" s="1108">
        <f>O27*(T18)</f>
        <v>0.17325000000000002</v>
      </c>
      <c r="U27" s="1108">
        <f>O27*(U18)</f>
        <v>9.0000000000000011E-3</v>
      </c>
      <c r="V27" s="1108">
        <f>O27*(V18)</f>
        <v>0.45</v>
      </c>
      <c r="W27" s="1109">
        <f t="shared" si="1"/>
        <v>0</v>
      </c>
      <c r="X27" s="1005">
        <f>IF(RG!$A$78=6,SUM(O27:W27),SUM(O27:V27))</f>
        <v>14.077125000000001</v>
      </c>
      <c r="Y27" s="1011">
        <v>0</v>
      </c>
      <c r="Z27" s="1007">
        <v>35</v>
      </c>
      <c r="AA27" s="1008">
        <v>0.02</v>
      </c>
    </row>
    <row r="28" spans="1:27" ht="16" thickBot="1">
      <c r="A28" s="866">
        <f t="shared" si="0"/>
        <v>9</v>
      </c>
      <c r="B28" s="1021" t="str">
        <f>IF(RG!$A$74=3,"Poste ADM 1 - Actionnaire","Poste ADM 1")</f>
        <v>Poste ADM 1 - Actionnaire</v>
      </c>
      <c r="C28" s="1015">
        <v>1</v>
      </c>
      <c r="D28" s="1015">
        <v>1</v>
      </c>
      <c r="E28" s="1015">
        <v>1</v>
      </c>
      <c r="F28" s="1015">
        <v>1</v>
      </c>
      <c r="G28" s="1015">
        <v>1</v>
      </c>
      <c r="H28" s="1015">
        <v>1</v>
      </c>
      <c r="I28" s="1015">
        <v>1</v>
      </c>
      <c r="J28" s="1015">
        <v>1</v>
      </c>
      <c r="K28" s="1015">
        <v>1</v>
      </c>
      <c r="L28" s="1015">
        <v>1</v>
      </c>
      <c r="M28" s="1015">
        <v>1</v>
      </c>
      <c r="N28" s="1015">
        <v>1</v>
      </c>
      <c r="O28" s="1016">
        <f>O27</f>
        <v>11.25</v>
      </c>
      <c r="P28" s="813">
        <f>O28*(P18)</f>
        <v>0.59062499999999996</v>
      </c>
      <c r="Q28" s="813">
        <f>IF($U$13="non",0,O28*$Q$18*1.4)</f>
        <v>8.8200000000000001E-2</v>
      </c>
      <c r="R28" s="813">
        <f>O28*(R18)</f>
        <v>0.30375000000000002</v>
      </c>
      <c r="S28" s="813">
        <f>IF($U$13="non",0,O28*$S$18)</f>
        <v>1.2375</v>
      </c>
      <c r="T28" s="813">
        <f>IF($U$14="non",0,O28*$T$18*1.4)</f>
        <v>0.24255000000000002</v>
      </c>
      <c r="U28" s="813">
        <f>O28*(U18)</f>
        <v>9.0000000000000011E-3</v>
      </c>
      <c r="V28" s="813">
        <f>O28*(V18)</f>
        <v>0.45</v>
      </c>
      <c r="W28" s="1012">
        <f t="shared" si="1"/>
        <v>0</v>
      </c>
      <c r="X28" s="1042">
        <f>IF(RG!$A$78=6,SUM(O28:W28),SUM(O28:V28))</f>
        <v>14.171625000000001</v>
      </c>
      <c r="Y28" s="1011">
        <v>0</v>
      </c>
      <c r="Z28" s="814">
        <v>35</v>
      </c>
      <c r="AA28" s="815">
        <v>0.02</v>
      </c>
    </row>
    <row r="29" spans="1:27" ht="16" thickBot="1">
      <c r="A29" s="866">
        <f t="shared" si="0"/>
        <v>10</v>
      </c>
      <c r="B29" s="1021" t="str">
        <f>IF(RG!$A$74=3,"Poste ADM 2 - Actionnaire","Poste ADM 2")</f>
        <v>Poste ADM 2 - Actionnaire</v>
      </c>
      <c r="C29" s="1015">
        <v>1</v>
      </c>
      <c r="D29" s="1015">
        <v>1</v>
      </c>
      <c r="E29" s="1015">
        <v>1</v>
      </c>
      <c r="F29" s="1015">
        <v>1</v>
      </c>
      <c r="G29" s="1015">
        <v>1</v>
      </c>
      <c r="H29" s="1015">
        <v>1</v>
      </c>
      <c r="I29" s="1015">
        <v>1</v>
      </c>
      <c r="J29" s="1015">
        <v>1</v>
      </c>
      <c r="K29" s="1015">
        <v>1</v>
      </c>
      <c r="L29" s="1015">
        <v>1</v>
      </c>
      <c r="M29" s="1015">
        <v>1</v>
      </c>
      <c r="N29" s="1015">
        <v>1</v>
      </c>
      <c r="O29" s="1016">
        <f>O28</f>
        <v>11.25</v>
      </c>
      <c r="P29" s="813">
        <f>O29*(P18)</f>
        <v>0.59062499999999996</v>
      </c>
      <c r="Q29" s="813">
        <f>IF($U$13="non",0,O29*$Q$18*1.4)</f>
        <v>8.8200000000000001E-2</v>
      </c>
      <c r="R29" s="813">
        <f>O29*(R18)</f>
        <v>0.30375000000000002</v>
      </c>
      <c r="S29" s="813">
        <f>IF($U$13="non",0,O29*$S$18)</f>
        <v>1.2375</v>
      </c>
      <c r="T29" s="813">
        <f>IF($U$14="non",0,O29*$T$18*1.4)</f>
        <v>0.24255000000000002</v>
      </c>
      <c r="U29" s="813">
        <f>O29*(U18)</f>
        <v>9.0000000000000011E-3</v>
      </c>
      <c r="V29" s="813">
        <f>O29*(V18)</f>
        <v>0.45</v>
      </c>
      <c r="W29" s="1012">
        <f t="shared" si="1"/>
        <v>0</v>
      </c>
      <c r="X29" s="1042">
        <f>IF(RG!$A$78=6,SUM(O29:W29),SUM(O29:V29))</f>
        <v>14.171625000000001</v>
      </c>
      <c r="Y29" s="1011">
        <v>0</v>
      </c>
      <c r="Z29" s="814">
        <v>35</v>
      </c>
      <c r="AA29" s="815">
        <v>0.02</v>
      </c>
    </row>
    <row r="30" spans="1:27" ht="16" thickBot="1">
      <c r="A30" s="866">
        <f t="shared" si="0"/>
        <v>11</v>
      </c>
      <c r="B30" s="1024" t="s">
        <v>606</v>
      </c>
      <c r="C30" s="1017">
        <v>1</v>
      </c>
      <c r="D30" s="1017">
        <v>1</v>
      </c>
      <c r="E30" s="1017">
        <v>1</v>
      </c>
      <c r="F30" s="1017">
        <v>1</v>
      </c>
      <c r="G30" s="1017">
        <v>1</v>
      </c>
      <c r="H30" s="1017">
        <v>1</v>
      </c>
      <c r="I30" s="1017">
        <v>1</v>
      </c>
      <c r="J30" s="1017">
        <v>1</v>
      </c>
      <c r="K30" s="1017">
        <v>1</v>
      </c>
      <c r="L30" s="1017">
        <v>1</v>
      </c>
      <c r="M30" s="1017">
        <v>1</v>
      </c>
      <c r="N30" s="1017">
        <v>1</v>
      </c>
      <c r="O30" s="1018">
        <f t="shared" ref="O30" si="3">O29</f>
        <v>11.25</v>
      </c>
      <c r="P30" s="1106">
        <f>O30*(P18)</f>
        <v>0.59062499999999996</v>
      </c>
      <c r="Q30" s="1106">
        <f>O30*(Q18)</f>
        <v>6.3E-2</v>
      </c>
      <c r="R30" s="1106">
        <f>O30*(R18)</f>
        <v>0.30375000000000002</v>
      </c>
      <c r="S30" s="1106">
        <f>O30*(S18)</f>
        <v>1.2375</v>
      </c>
      <c r="T30" s="1106">
        <f>O30*(T18)</f>
        <v>0.17325000000000002</v>
      </c>
      <c r="U30" s="1106">
        <f>O30*(U18)</f>
        <v>9.0000000000000011E-3</v>
      </c>
      <c r="V30" s="1106">
        <f>O30*(V18)</f>
        <v>0.45</v>
      </c>
      <c r="W30" s="1107">
        <f t="shared" si="1"/>
        <v>0</v>
      </c>
      <c r="X30" s="833">
        <f>IF(RG!$A$78=6,SUM(O30:W30),SUM(O30:V30))</f>
        <v>14.077125000000001</v>
      </c>
      <c r="Y30" s="1011">
        <v>0</v>
      </c>
      <c r="Z30" s="499">
        <v>35</v>
      </c>
      <c r="AA30" s="501">
        <v>0.02</v>
      </c>
    </row>
    <row r="31" spans="1:27" ht="16" thickBot="1">
      <c r="A31" s="866">
        <f t="shared" si="0"/>
        <v>12</v>
      </c>
      <c r="B31" s="1024" t="s">
        <v>571</v>
      </c>
      <c r="C31" s="1017">
        <v>1</v>
      </c>
      <c r="D31" s="1017">
        <v>1</v>
      </c>
      <c r="E31" s="1017">
        <v>1</v>
      </c>
      <c r="F31" s="1017">
        <v>1</v>
      </c>
      <c r="G31" s="1017">
        <v>1</v>
      </c>
      <c r="H31" s="1017">
        <v>1</v>
      </c>
      <c r="I31" s="1017">
        <v>1</v>
      </c>
      <c r="J31" s="1017">
        <v>1</v>
      </c>
      <c r="K31" s="1017">
        <v>1</v>
      </c>
      <c r="L31" s="1017">
        <v>1</v>
      </c>
      <c r="M31" s="1017">
        <v>1</v>
      </c>
      <c r="N31" s="1017">
        <v>1</v>
      </c>
      <c r="O31" s="1018">
        <v>20</v>
      </c>
      <c r="P31" s="1106">
        <f>O31*(P18)</f>
        <v>1.05</v>
      </c>
      <c r="Q31" s="1106">
        <f>O31*(Q18)</f>
        <v>0.112</v>
      </c>
      <c r="R31" s="1106">
        <f>O31*(R18)</f>
        <v>0.54</v>
      </c>
      <c r="S31" s="1106">
        <f>O31*(S18)</f>
        <v>2.2000000000000002</v>
      </c>
      <c r="T31" s="1106">
        <f>O31*(T18)</f>
        <v>0.308</v>
      </c>
      <c r="U31" s="1106">
        <f>O31*(U18)</f>
        <v>1.6E-2</v>
      </c>
      <c r="V31" s="1106">
        <f>O31*(V18)</f>
        <v>0.8</v>
      </c>
      <c r="W31" s="1107">
        <f t="shared" si="1"/>
        <v>0</v>
      </c>
      <c r="X31" s="833">
        <f>IF(RG!$A$78=6,SUM(O31:W31),SUM(O31:V31))</f>
        <v>25.025999999999996</v>
      </c>
      <c r="Y31" s="1011">
        <v>1</v>
      </c>
      <c r="Z31" s="499">
        <v>40</v>
      </c>
      <c r="AA31" s="501">
        <v>0.02</v>
      </c>
    </row>
    <row r="32" spans="1:27" ht="15.5">
      <c r="A32" s="277"/>
      <c r="B32" s="279"/>
      <c r="C32" s="279"/>
      <c r="D32" s="279"/>
      <c r="E32" s="279"/>
      <c r="F32" s="279"/>
      <c r="G32" s="279"/>
      <c r="H32" s="279"/>
      <c r="I32" s="279"/>
      <c r="J32" s="279"/>
      <c r="K32" s="279"/>
      <c r="L32" s="279"/>
      <c r="M32" s="279"/>
      <c r="N32" s="279"/>
      <c r="O32" s="280"/>
      <c r="P32" s="279"/>
      <c r="Q32" s="279"/>
      <c r="R32" s="279"/>
      <c r="S32" s="279"/>
      <c r="T32" s="279"/>
      <c r="U32" s="279"/>
      <c r="V32" s="279"/>
      <c r="W32" s="279"/>
      <c r="X32" s="279"/>
      <c r="Y32" s="279"/>
      <c r="Z32" s="279"/>
      <c r="AA32" s="277"/>
    </row>
    <row r="33" spans="1:27" ht="15.5">
      <c r="A33" s="277"/>
      <c r="B33" s="277"/>
      <c r="C33" s="277"/>
      <c r="D33" s="277"/>
      <c r="E33" s="277"/>
      <c r="F33" s="277"/>
      <c r="G33" s="277"/>
      <c r="H33" s="277"/>
      <c r="I33" s="277"/>
      <c r="J33" s="277"/>
      <c r="K33" s="277"/>
      <c r="L33" s="277"/>
      <c r="M33" s="277"/>
      <c r="N33" s="277"/>
      <c r="O33" s="281"/>
      <c r="P33" s="277"/>
      <c r="Q33" s="277"/>
      <c r="R33" s="277"/>
      <c r="S33" s="277"/>
      <c r="T33" s="277"/>
      <c r="U33" s="277"/>
      <c r="V33" s="277"/>
      <c r="W33" s="277"/>
      <c r="X33" s="277"/>
      <c r="Y33" s="277"/>
      <c r="Z33" s="277"/>
      <c r="AA33" s="277"/>
    </row>
    <row r="34" spans="1:27" ht="15.5">
      <c r="A34" s="1072"/>
      <c r="B34" s="43" t="s">
        <v>919</v>
      </c>
      <c r="C34" s="277"/>
      <c r="D34" s="277"/>
      <c r="E34" s="277"/>
      <c r="F34" s="277"/>
      <c r="G34" s="277"/>
      <c r="H34" s="277"/>
      <c r="I34" s="277"/>
      <c r="J34" s="277"/>
      <c r="K34" s="277"/>
      <c r="L34" s="277"/>
      <c r="M34" s="277"/>
      <c r="N34" s="277"/>
      <c r="O34" s="281"/>
      <c r="P34" s="277"/>
      <c r="Q34" s="277"/>
      <c r="R34" s="277"/>
      <c r="S34" s="277"/>
      <c r="T34" s="277"/>
      <c r="U34" s="277"/>
      <c r="V34" s="277"/>
      <c r="W34" s="277"/>
      <c r="X34" s="277"/>
      <c r="Y34" s="277"/>
      <c r="Z34" s="277"/>
      <c r="AA34" s="277"/>
    </row>
    <row r="35" spans="1:27" ht="15.5">
      <c r="A35" s="277"/>
      <c r="B35" s="277"/>
      <c r="C35" s="277"/>
      <c r="D35" s="277"/>
      <c r="E35" s="277"/>
      <c r="F35" s="277"/>
      <c r="G35" s="277"/>
      <c r="H35" s="277"/>
      <c r="I35" s="277"/>
      <c r="J35" s="277"/>
      <c r="K35" s="277"/>
      <c r="L35" s="277"/>
      <c r="M35" s="277"/>
      <c r="N35" s="277"/>
      <c r="O35" s="281"/>
      <c r="P35" s="277"/>
      <c r="Q35" s="277"/>
      <c r="R35" s="277"/>
      <c r="S35" s="277"/>
      <c r="T35" s="277"/>
      <c r="U35" s="277"/>
      <c r="V35" s="277"/>
      <c r="W35" s="277"/>
      <c r="X35" s="277"/>
      <c r="Y35" s="277"/>
      <c r="Z35" s="277"/>
      <c r="AA35" s="277"/>
    </row>
    <row r="36" spans="1:27" ht="15.5">
      <c r="A36" s="1073"/>
      <c r="B36" s="43" t="s">
        <v>917</v>
      </c>
    </row>
    <row r="38" spans="1:27" ht="15.5">
      <c r="A38" s="1074"/>
      <c r="B38" s="43" t="s">
        <v>918</v>
      </c>
    </row>
    <row r="40" spans="1:27">
      <c r="A40" s="1075"/>
      <c r="B40" s="43" t="s">
        <v>920</v>
      </c>
    </row>
  </sheetData>
  <sheetProtection password="E242" sheet="1" objects="1" scenarios="1"/>
  <customSheetViews>
    <customSheetView guid="{30D0538C-360A-4CDF-8D89-584CED1967CC}" scale="80" showGridLines="0" outlineSymbols="0" fitToPage="1">
      <selection activeCell="P10" sqref="P10"/>
      <pageMargins left="0.78740157499999996" right="0.78740157499999996" top="0.984251969" bottom="0.984251969" header="0.4921259845" footer="0.4921259845"/>
      <pageSetup scale="46" orientation="landscape" r:id="rId1"/>
      <headerFooter alignWithMargins="0"/>
    </customSheetView>
    <customSheetView guid="{4F3169C3-3348-49DE-A6DC-8AA4D2A9D7A1}" scale="80" showGridLines="0" outlineSymbols="0" fitToPage="1">
      <selection activeCell="P10" sqref="P10"/>
      <pageMargins left="0.78740157499999996" right="0.78740157499999996" top="0.984251969" bottom="0.984251969" header="0.4921259845" footer="0.4921259845"/>
      <pageSetup scale="46" orientation="landscape" r:id="rId2"/>
      <headerFooter alignWithMargins="0"/>
    </customSheetView>
  </customSheetViews>
  <mergeCells count="4">
    <mergeCell ref="A10:D10"/>
    <mergeCell ref="C17:N18"/>
    <mergeCell ref="B17:B18"/>
    <mergeCell ref="A13:B13"/>
  </mergeCells>
  <phoneticPr fontId="0" type="noConversion"/>
  <pageMargins left="0.78740157499999996" right="0.78740157499999996" top="0.984251969" bottom="0.984251969" header="0.4921259845" footer="0.4921259845"/>
  <pageSetup scale="43" fitToHeight="0" orientation="landscape" r:id="rId3"/>
  <headerFooter alignWithMargins="0"/>
  <drawing r:id="rId4"/>
  <legacyDrawing r:id="rId5"/>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58">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X31" sqref="X31"/>
    </sheetView>
  </sheetViews>
  <sheetFormatPr baseColWidth="10" defaultRowHeight="13"/>
  <cols>
    <col min="1" max="1" width="5.453125" style="43" customWidth="1"/>
    <col min="2" max="2" width="28.36328125" style="43" customWidth="1"/>
    <col min="3" max="14" width="8.453125" style="43" customWidth="1"/>
    <col min="15" max="15" width="14" style="43" customWidth="1"/>
    <col min="16" max="20" width="9.6328125" style="43" customWidth="1"/>
    <col min="21" max="21" width="12.08984375" style="43" customWidth="1"/>
    <col min="22" max="22" width="12" style="43" customWidth="1"/>
    <col min="23" max="23" width="15.453125" style="43" customWidth="1"/>
    <col min="24" max="24" width="12" style="43" customWidth="1"/>
    <col min="25" max="25" width="9.08984375" style="43" customWidth="1"/>
    <col min="26" max="26" width="9.6328125" style="43" customWidth="1"/>
    <col min="27" max="27" width="13" style="43" customWidth="1"/>
  </cols>
  <sheetData>
    <row r="1" spans="1:27" ht="12.5">
      <c r="A1"/>
      <c r="B1"/>
      <c r="C1"/>
      <c r="D1"/>
      <c r="E1"/>
      <c r="F1"/>
      <c r="G1"/>
      <c r="H1"/>
      <c r="I1"/>
      <c r="J1"/>
      <c r="K1"/>
      <c r="L1"/>
      <c r="M1"/>
      <c r="N1"/>
      <c r="O1"/>
      <c r="P1"/>
      <c r="Q1"/>
      <c r="R1"/>
      <c r="S1"/>
      <c r="T1"/>
      <c r="U1"/>
      <c r="V1"/>
      <c r="W1"/>
      <c r="X1"/>
      <c r="Y1"/>
      <c r="Z1"/>
      <c r="AA1"/>
    </row>
    <row r="2" spans="1:27" ht="12.5">
      <c r="A2"/>
      <c r="B2"/>
      <c r="C2"/>
      <c r="D2"/>
      <c r="E2"/>
      <c r="F2"/>
      <c r="G2"/>
      <c r="H2"/>
      <c r="I2"/>
      <c r="J2"/>
      <c r="K2"/>
      <c r="L2"/>
      <c r="M2"/>
      <c r="N2"/>
      <c r="O2"/>
      <c r="P2"/>
      <c r="Q2"/>
      <c r="R2"/>
      <c r="S2"/>
      <c r="T2"/>
      <c r="U2"/>
      <c r="V2"/>
      <c r="W2"/>
      <c r="X2"/>
      <c r="Y2"/>
      <c r="Z2"/>
      <c r="AA2"/>
    </row>
    <row r="3" spans="1:27" ht="12.5">
      <c r="A3"/>
      <c r="B3"/>
      <c r="C3"/>
      <c r="D3"/>
      <c r="E3"/>
      <c r="F3"/>
      <c r="G3"/>
      <c r="H3"/>
      <c r="I3"/>
      <c r="J3"/>
      <c r="K3"/>
      <c r="L3"/>
      <c r="M3"/>
      <c r="N3"/>
      <c r="O3"/>
      <c r="P3"/>
      <c r="Q3"/>
      <c r="R3"/>
      <c r="S3"/>
      <c r="T3"/>
      <c r="U3"/>
      <c r="V3"/>
      <c r="W3"/>
      <c r="X3"/>
      <c r="Y3"/>
      <c r="Z3"/>
      <c r="AA3"/>
    </row>
    <row r="4" spans="1:27" s="261" customFormat="1" ht="12.5"/>
    <row r="5" spans="1:27" s="261" customFormat="1" ht="12.5"/>
    <row r="6" spans="1:27" s="261" customFormat="1" ht="12.5"/>
    <row r="7" spans="1:27" s="261" customFormat="1" ht="12.5"/>
    <row r="8" spans="1:27" s="261" customFormat="1" ht="12.5"/>
    <row r="9" spans="1:27" s="261" customFormat="1" ht="6.75" customHeight="1">
      <c r="B9" s="932"/>
      <c r="C9" s="932"/>
      <c r="D9" s="932"/>
      <c r="E9" s="932"/>
      <c r="F9" s="932"/>
      <c r="G9" s="932"/>
      <c r="H9" s="932"/>
      <c r="I9" s="932"/>
      <c r="J9" s="932"/>
      <c r="K9" s="932"/>
      <c r="L9" s="932"/>
      <c r="M9" s="932"/>
      <c r="N9" s="932"/>
      <c r="O9" s="932"/>
      <c r="P9" s="932"/>
      <c r="Q9" s="932"/>
      <c r="R9" s="932"/>
      <c r="S9" s="932"/>
      <c r="T9" s="932"/>
      <c r="U9" s="932"/>
      <c r="V9" s="932"/>
      <c r="W9" s="932"/>
      <c r="X9" s="932"/>
      <c r="Y9" s="932"/>
      <c r="Z9" s="932"/>
      <c r="AA9" s="932"/>
    </row>
    <row r="10" spans="1:27" s="43" customFormat="1" ht="33" customHeight="1">
      <c r="A10" s="1198" t="str">
        <f>RG!D17</f>
        <v>Jhon Wesly inc.</v>
      </c>
      <c r="B10" s="1198"/>
      <c r="C10" s="1198"/>
      <c r="D10" s="1198"/>
      <c r="E10" s="277"/>
      <c r="F10" s="277"/>
      <c r="G10" s="277"/>
      <c r="H10" s="277"/>
      <c r="I10" s="277"/>
      <c r="J10" s="277"/>
      <c r="K10" s="277"/>
      <c r="L10" s="277"/>
      <c r="M10" s="277"/>
      <c r="N10" s="277"/>
      <c r="O10" s="277"/>
      <c r="P10" s="277"/>
      <c r="Q10" s="277"/>
      <c r="R10" s="277"/>
      <c r="S10" s="277"/>
      <c r="T10" s="277"/>
      <c r="U10" s="277"/>
      <c r="V10" s="277"/>
      <c r="W10" s="277"/>
      <c r="X10" s="277"/>
      <c r="Y10" s="277"/>
      <c r="Z10" s="277"/>
      <c r="AA10" s="277"/>
    </row>
    <row r="11" spans="1:27" s="43" customFormat="1" ht="22.5">
      <c r="C11" s="285"/>
      <c r="D11" s="285"/>
      <c r="E11" s="807"/>
      <c r="F11" s="285"/>
      <c r="G11" s="285"/>
      <c r="H11" s="285"/>
      <c r="I11" s="285"/>
      <c r="J11" s="285"/>
      <c r="K11" s="285"/>
      <c r="L11" s="285"/>
      <c r="M11" s="285"/>
      <c r="N11" s="285"/>
      <c r="O11" s="277"/>
      <c r="P11" s="277"/>
      <c r="Q11" s="277"/>
      <c r="R11" s="277"/>
      <c r="S11" s="277"/>
      <c r="T11" s="277"/>
      <c r="U11" s="277"/>
      <c r="V11" s="277"/>
      <c r="W11" s="277"/>
      <c r="X11" s="277"/>
      <c r="Y11" s="277"/>
      <c r="Z11" s="277"/>
      <c r="AA11" s="277"/>
    </row>
    <row r="12" spans="1:27" s="43" customFormat="1" ht="15.5">
      <c r="A12" s="500" t="s">
        <v>741</v>
      </c>
      <c r="B12" s="277"/>
      <c r="C12" s="277"/>
      <c r="D12" s="277"/>
      <c r="E12" s="277"/>
      <c r="F12" s="277"/>
      <c r="G12" s="277"/>
      <c r="H12" s="277"/>
      <c r="I12" s="277"/>
      <c r="J12" s="277"/>
      <c r="K12" s="277"/>
      <c r="L12" s="277"/>
      <c r="M12" s="277"/>
      <c r="N12" s="277"/>
    </row>
    <row r="13" spans="1:27" s="43" customFormat="1" ht="15.5">
      <c r="A13" s="1207"/>
      <c r="B13" s="1207"/>
      <c r="C13" s="276"/>
      <c r="D13" s="276"/>
      <c r="E13" s="276"/>
      <c r="F13" s="276"/>
      <c r="G13" s="276"/>
      <c r="H13" s="276"/>
      <c r="I13" s="276"/>
      <c r="J13" s="276"/>
      <c r="K13" s="276"/>
      <c r="L13" s="276"/>
      <c r="M13" s="276"/>
      <c r="N13" s="276"/>
      <c r="O13" s="277"/>
      <c r="P13" s="277"/>
      <c r="Q13" s="277"/>
      <c r="R13" s="277"/>
      <c r="S13" s="277"/>
      <c r="T13" s="277"/>
      <c r="U13" s="277"/>
      <c r="V13" s="277"/>
      <c r="W13" s="277"/>
      <c r="X13" s="277"/>
      <c r="Y13" s="277"/>
      <c r="Z13" s="277"/>
      <c r="AA13" s="277"/>
    </row>
    <row r="14" spans="1:27" s="43" customFormat="1" ht="18" thickBot="1">
      <c r="A14" s="277"/>
      <c r="B14" s="282" t="s">
        <v>350</v>
      </c>
      <c r="C14" s="282"/>
      <c r="D14" s="282"/>
      <c r="E14" s="282"/>
      <c r="F14" s="282"/>
      <c r="G14" s="282"/>
      <c r="H14" s="282"/>
      <c r="I14" s="282"/>
      <c r="J14" s="282"/>
      <c r="K14" s="282"/>
      <c r="L14" s="282"/>
      <c r="M14" s="282"/>
      <c r="N14" s="282"/>
      <c r="O14" s="277"/>
      <c r="P14" s="277"/>
      <c r="Q14" s="277"/>
      <c r="R14" s="277"/>
      <c r="S14" s="277"/>
      <c r="T14" s="277"/>
      <c r="U14" s="277"/>
      <c r="V14" s="277"/>
      <c r="W14" s="277"/>
      <c r="X14" s="277"/>
      <c r="Y14" s="277"/>
      <c r="Z14" s="277"/>
      <c r="AA14" s="277"/>
    </row>
    <row r="15" spans="1:27" s="43" customFormat="1" ht="18" thickBot="1">
      <c r="A15" s="277"/>
      <c r="B15" s="283" t="s">
        <v>351</v>
      </c>
      <c r="C15" s="284"/>
      <c r="D15" s="284"/>
      <c r="E15" s="284"/>
      <c r="F15" s="284"/>
      <c r="G15" s="284"/>
      <c r="H15" s="284"/>
      <c r="I15" s="284"/>
      <c r="J15" s="284"/>
      <c r="K15" s="284"/>
      <c r="L15" s="284"/>
      <c r="M15" s="284"/>
      <c r="N15" s="284"/>
      <c r="O15" s="286">
        <f>'RH1'!O15</f>
        <v>4.3333000000000004</v>
      </c>
      <c r="P15" s="277"/>
      <c r="Q15" s="277"/>
      <c r="R15" s="277"/>
      <c r="S15" s="277"/>
      <c r="T15" s="277"/>
      <c r="U15" s="277"/>
      <c r="V15" s="277"/>
      <c r="W15" s="277"/>
      <c r="X15" s="277"/>
      <c r="Y15" s="277"/>
      <c r="Z15" s="277"/>
      <c r="AA15" s="277"/>
    </row>
    <row r="16" spans="1:27" s="43" customFormat="1" ht="22.5">
      <c r="A16" s="277"/>
      <c r="B16" s="285" t="s">
        <v>354</v>
      </c>
      <c r="C16" s="285"/>
      <c r="D16" s="285"/>
      <c r="E16" s="285"/>
      <c r="F16" s="285"/>
      <c r="G16" s="285"/>
      <c r="H16" s="285"/>
      <c r="I16" s="285"/>
      <c r="J16" s="285"/>
      <c r="K16" s="285"/>
      <c r="L16" s="285"/>
      <c r="M16" s="285"/>
      <c r="N16" s="285"/>
      <c r="O16" s="277" t="s">
        <v>355</v>
      </c>
      <c r="P16" s="277"/>
      <c r="Q16" s="277"/>
      <c r="R16" s="277"/>
      <c r="S16" s="277"/>
      <c r="T16" s="277"/>
      <c r="U16" s="277"/>
      <c r="V16" s="277"/>
      <c r="W16" s="277"/>
      <c r="X16" s="277"/>
      <c r="Z16" s="277"/>
      <c r="AA16" s="277"/>
    </row>
    <row r="17" spans="1:27" s="43" customFormat="1" ht="15.5">
      <c r="A17" s="823"/>
      <c r="B17" s="1205" t="s">
        <v>357</v>
      </c>
      <c r="C17" s="1199" t="s">
        <v>475</v>
      </c>
      <c r="D17" s="1200"/>
      <c r="E17" s="1200"/>
      <c r="F17" s="1200"/>
      <c r="G17" s="1200"/>
      <c r="H17" s="1200"/>
      <c r="I17" s="1200"/>
      <c r="J17" s="1200"/>
      <c r="K17" s="1200"/>
      <c r="L17" s="1200"/>
      <c r="M17" s="1200"/>
      <c r="N17" s="1201"/>
      <c r="O17" s="824" t="s">
        <v>454</v>
      </c>
      <c r="P17" s="824" t="s">
        <v>655</v>
      </c>
      <c r="Q17" s="824" t="s">
        <v>656</v>
      </c>
      <c r="R17" s="824" t="s">
        <v>657</v>
      </c>
      <c r="S17" s="824" t="s">
        <v>658</v>
      </c>
      <c r="T17" s="824" t="s">
        <v>659</v>
      </c>
      <c r="U17" s="824" t="s">
        <v>661</v>
      </c>
      <c r="V17" s="827" t="s">
        <v>660</v>
      </c>
      <c r="W17" s="827" t="s">
        <v>761</v>
      </c>
      <c r="X17" s="824" t="s">
        <v>553</v>
      </c>
      <c r="Y17" s="828" t="s">
        <v>419</v>
      </c>
      <c r="Z17" s="824" t="s">
        <v>422</v>
      </c>
      <c r="AA17" s="824" t="s">
        <v>423</v>
      </c>
    </row>
    <row r="18" spans="1:27" s="43" customFormat="1" ht="15.5">
      <c r="A18" s="825"/>
      <c r="B18" s="1206"/>
      <c r="C18" s="1202"/>
      <c r="D18" s="1203"/>
      <c r="E18" s="1203"/>
      <c r="F18" s="1203"/>
      <c r="G18" s="1203"/>
      <c r="H18" s="1203"/>
      <c r="I18" s="1203"/>
      <c r="J18" s="1203"/>
      <c r="K18" s="1203"/>
      <c r="L18" s="1203"/>
      <c r="M18" s="1203"/>
      <c r="N18" s="1204"/>
      <c r="O18" s="1025" t="s">
        <v>418</v>
      </c>
      <c r="P18" s="1030">
        <f>'RH1'!P18</f>
        <v>5.2499999999999998E-2</v>
      </c>
      <c r="Q18" s="1030">
        <f>'RH1'!Q18</f>
        <v>5.5999999999999999E-3</v>
      </c>
      <c r="R18" s="1030">
        <f>'RH1'!R18</f>
        <v>2.7E-2</v>
      </c>
      <c r="S18" s="1030">
        <f>'RH1'!S18</f>
        <v>0.11</v>
      </c>
      <c r="T18" s="1030">
        <f>'RH1'!T18</f>
        <v>1.54E-2</v>
      </c>
      <c r="U18" s="1030">
        <f>'RH1'!U18</f>
        <v>8.0000000000000004E-4</v>
      </c>
      <c r="V18" s="1030">
        <f>'RH1'!V18</f>
        <v>0.04</v>
      </c>
      <c r="W18" s="1030">
        <f>'RH1'!W18</f>
        <v>0</v>
      </c>
      <c r="X18" s="829" t="s">
        <v>498</v>
      </c>
      <c r="Y18" s="829" t="s">
        <v>420</v>
      </c>
      <c r="Z18" s="826" t="s">
        <v>421</v>
      </c>
      <c r="AA18" s="826" t="s">
        <v>424</v>
      </c>
    </row>
    <row r="19" spans="1:27" s="43" customFormat="1" ht="15.5">
      <c r="A19" s="277"/>
      <c r="B19" s="277"/>
      <c r="C19" s="278">
        <f>TE!E29</f>
        <v>45658</v>
      </c>
      <c r="D19" s="278">
        <f>TE!F29</f>
        <v>45689</v>
      </c>
      <c r="E19" s="278">
        <f>TE!G29</f>
        <v>45720</v>
      </c>
      <c r="F19" s="278">
        <f>TE!H29</f>
        <v>45751</v>
      </c>
      <c r="G19" s="278">
        <f>TE!I29</f>
        <v>45782</v>
      </c>
      <c r="H19" s="278">
        <f>TE!J29</f>
        <v>45813</v>
      </c>
      <c r="I19" s="278">
        <f>TE!K29</f>
        <v>45844</v>
      </c>
      <c r="J19" s="278">
        <f>TE!L29</f>
        <v>45875</v>
      </c>
      <c r="K19" s="278">
        <f>TE!M29</f>
        <v>45906</v>
      </c>
      <c r="L19" s="278">
        <f>TE!N29</f>
        <v>45937</v>
      </c>
      <c r="M19" s="278">
        <f>TE!O29</f>
        <v>45968</v>
      </c>
      <c r="N19" s="278">
        <f>TE!P29</f>
        <v>45999</v>
      </c>
      <c r="O19" s="277"/>
      <c r="P19" s="277"/>
      <c r="Q19" s="277"/>
      <c r="R19" s="277"/>
      <c r="S19" s="277"/>
      <c r="T19" s="277"/>
      <c r="U19" s="277"/>
      <c r="V19" s="277"/>
      <c r="W19" s="277"/>
      <c r="X19" s="277"/>
      <c r="Y19" s="277"/>
      <c r="Z19" s="277"/>
      <c r="AA19" s="277"/>
    </row>
    <row r="20" spans="1:27" s="43" customFormat="1" ht="15.5">
      <c r="A20" s="865">
        <v>1</v>
      </c>
      <c r="B20" s="1021" t="str">
        <f>'RH1'!B20</f>
        <v>Poste MOD 1 - Actionnaire</v>
      </c>
      <c r="C20" s="1015">
        <f>'RH1'!C20</f>
        <v>1</v>
      </c>
      <c r="D20" s="1015">
        <f>'RH1'!D20</f>
        <v>1</v>
      </c>
      <c r="E20" s="1015">
        <f>'RH1'!E20</f>
        <v>1</v>
      </c>
      <c r="F20" s="1015">
        <f>'RH1'!F20</f>
        <v>1</v>
      </c>
      <c r="G20" s="1015">
        <f>'RH1'!G20</f>
        <v>1</v>
      </c>
      <c r="H20" s="1015">
        <f>'RH1'!H20</f>
        <v>1</v>
      </c>
      <c r="I20" s="1015">
        <f>'RH1'!I20</f>
        <v>1</v>
      </c>
      <c r="J20" s="1015">
        <f>'RH1'!J20</f>
        <v>1</v>
      </c>
      <c r="K20" s="1015">
        <f>'RH1'!K20</f>
        <v>1</v>
      </c>
      <c r="L20" s="1015">
        <f>'RH1'!L20</f>
        <v>1</v>
      </c>
      <c r="M20" s="1015">
        <f>'RH1'!M20</f>
        <v>1</v>
      </c>
      <c r="N20" s="1015">
        <f>'RH1'!N20</f>
        <v>1</v>
      </c>
      <c r="O20" s="1016">
        <f>'RH1'!O20*(1+'RH1'!AA20)</f>
        <v>11.475</v>
      </c>
      <c r="P20" s="1012">
        <f>O20*(P18)</f>
        <v>0.60243749999999996</v>
      </c>
      <c r="Q20" s="813">
        <f>IF(RG!$A$74=3,0,O20*Q18*1.4)</f>
        <v>0</v>
      </c>
      <c r="R20" s="813">
        <f>O20*(R18)</f>
        <v>0.30982499999999996</v>
      </c>
      <c r="S20" s="813">
        <f>IF(RG!$A$74=3,0,O20*S18)</f>
        <v>0</v>
      </c>
      <c r="T20" s="813">
        <f>IF(RG!$A$74=3,0,O20*T18*1.4)</f>
        <v>0</v>
      </c>
      <c r="U20" s="813">
        <f>O20*(U18)</f>
        <v>9.1800000000000007E-3</v>
      </c>
      <c r="V20" s="813">
        <f>O20*(V18)</f>
        <v>0.45900000000000002</v>
      </c>
      <c r="W20" s="813">
        <f>O20*($W$18)</f>
        <v>0</v>
      </c>
      <c r="X20" s="813">
        <f>IF(RG!$A$78=6,SUM(O20:W20),SUM(O20:V20))</f>
        <v>12.855442500000001</v>
      </c>
      <c r="Y20" s="814">
        <f>'RH1'!Y20</f>
        <v>0</v>
      </c>
      <c r="Z20" s="814">
        <f>'RH1'!Z20</f>
        <v>35</v>
      </c>
      <c r="AA20" s="815">
        <f>+'RH1'!AA20</f>
        <v>0.02</v>
      </c>
    </row>
    <row r="21" spans="1:27" s="43" customFormat="1" ht="15.5">
      <c r="A21" s="865">
        <f t="shared" ref="A21:A31" si="0">A20+1</f>
        <v>2</v>
      </c>
      <c r="B21" s="1021" t="str">
        <f>'RH1'!B21</f>
        <v>Poste MOD 2 - Actionnaire</v>
      </c>
      <c r="C21" s="1015">
        <f>'RH1'!C21</f>
        <v>1</v>
      </c>
      <c r="D21" s="1015">
        <f>'RH1'!D21</f>
        <v>1</v>
      </c>
      <c r="E21" s="1015">
        <f>'RH1'!E21</f>
        <v>1</v>
      </c>
      <c r="F21" s="1015">
        <f>'RH1'!F21</f>
        <v>1</v>
      </c>
      <c r="G21" s="1015">
        <f>'RH1'!G21</f>
        <v>1</v>
      </c>
      <c r="H21" s="1015">
        <f>'RH1'!H21</f>
        <v>1</v>
      </c>
      <c r="I21" s="1015">
        <f>'RH1'!I21</f>
        <v>1</v>
      </c>
      <c r="J21" s="1015">
        <f>'RH1'!J21</f>
        <v>1</v>
      </c>
      <c r="K21" s="1015">
        <f>'RH1'!K21</f>
        <v>1</v>
      </c>
      <c r="L21" s="1015">
        <f>'RH1'!L21</f>
        <v>1</v>
      </c>
      <c r="M21" s="1015">
        <f>'RH1'!M21</f>
        <v>1</v>
      </c>
      <c r="N21" s="1015">
        <f>'RH1'!N21</f>
        <v>1</v>
      </c>
      <c r="O21" s="1016">
        <f>'RH1'!O21*(1+'RH1'!AA21)</f>
        <v>11.475</v>
      </c>
      <c r="P21" s="1028">
        <f>O21*(P18)</f>
        <v>0.60243749999999996</v>
      </c>
      <c r="Q21" s="831">
        <f>IF(RG!$A$74=3,0,O21*Q18*1.4)</f>
        <v>0</v>
      </c>
      <c r="R21" s="831">
        <f>O21*(R18)</f>
        <v>0.30982499999999996</v>
      </c>
      <c r="S21" s="831">
        <f>IF(RG!$A$74=3,0,O21*S18)</f>
        <v>0</v>
      </c>
      <c r="T21" s="831">
        <f>IF(RG!$A$74=3,0,O21*T18*1.4)</f>
        <v>0</v>
      </c>
      <c r="U21" s="831">
        <f>O21*(U18)</f>
        <v>9.1800000000000007E-3</v>
      </c>
      <c r="V21" s="831">
        <f>O21*(V18)</f>
        <v>0.45900000000000002</v>
      </c>
      <c r="W21" s="813">
        <f t="shared" ref="W21:W31" si="1">O21*($W$18)</f>
        <v>0</v>
      </c>
      <c r="X21" s="813">
        <f>IF(RG!$A$78=6,SUM(O21:W21),SUM(O21:V21))</f>
        <v>12.855442500000001</v>
      </c>
      <c r="Y21" s="814">
        <f>'RH1'!Y21</f>
        <v>0</v>
      </c>
      <c r="Z21" s="814">
        <f>'RH1'!Z21</f>
        <v>35</v>
      </c>
      <c r="AA21" s="815">
        <f>+'RH1'!AA21</f>
        <v>0.02</v>
      </c>
    </row>
    <row r="22" spans="1:27" s="43" customFormat="1" ht="15.5">
      <c r="A22" s="865">
        <f t="shared" si="0"/>
        <v>3</v>
      </c>
      <c r="B22" s="1022" t="str">
        <f>'RH1'!B22</f>
        <v>Poste MOD 3</v>
      </c>
      <c r="C22" s="1017">
        <f>'RH1'!C22</f>
        <v>1</v>
      </c>
      <c r="D22" s="1017">
        <f>'RH1'!D22</f>
        <v>1</v>
      </c>
      <c r="E22" s="1017">
        <f>'RH1'!E22</f>
        <v>1</v>
      </c>
      <c r="F22" s="1017">
        <f>'RH1'!F22</f>
        <v>1</v>
      </c>
      <c r="G22" s="1017">
        <f>'RH1'!G22</f>
        <v>1</v>
      </c>
      <c r="H22" s="1017">
        <f>'RH1'!H22</f>
        <v>1</v>
      </c>
      <c r="I22" s="1017">
        <f>'RH1'!I22</f>
        <v>1</v>
      </c>
      <c r="J22" s="1017">
        <f>'RH1'!J22</f>
        <v>1</v>
      </c>
      <c r="K22" s="1017">
        <f>'RH1'!K22</f>
        <v>1</v>
      </c>
      <c r="L22" s="1017">
        <f>'RH1'!L22</f>
        <v>1</v>
      </c>
      <c r="M22" s="1017">
        <f>'RH1'!M22</f>
        <v>1</v>
      </c>
      <c r="N22" s="1017">
        <f>'RH1'!N22</f>
        <v>1</v>
      </c>
      <c r="O22" s="1018">
        <f>'RH1'!O22*(1+'RH1'!AA22)</f>
        <v>11.475</v>
      </c>
      <c r="P22" s="1013">
        <f>O22*(P18)</f>
        <v>0.60243749999999996</v>
      </c>
      <c r="Q22" s="833">
        <f>O22*(Q18)</f>
        <v>6.4259999999999998E-2</v>
      </c>
      <c r="R22" s="833">
        <f>O22*(R18)</f>
        <v>0.30982499999999996</v>
      </c>
      <c r="S22" s="833">
        <f>O22*(S18)</f>
        <v>1.2622499999999999</v>
      </c>
      <c r="T22" s="833">
        <f>O22*(T18)</f>
        <v>0.17671500000000001</v>
      </c>
      <c r="U22" s="833">
        <f>O22*(U18)</f>
        <v>9.1800000000000007E-3</v>
      </c>
      <c r="V22" s="833">
        <f>O22*(V18)</f>
        <v>0.45900000000000002</v>
      </c>
      <c r="W22" s="833">
        <f t="shared" si="1"/>
        <v>0</v>
      </c>
      <c r="X22" s="833">
        <f>IF(RG!$A$78=6,SUM(O22:W22),SUM(O22:V22))</f>
        <v>14.358667500000001</v>
      </c>
      <c r="Y22" s="830">
        <f>'RH1'!Y22</f>
        <v>0</v>
      </c>
      <c r="Z22" s="499">
        <f>'RH1'!Z22</f>
        <v>35</v>
      </c>
      <c r="AA22" s="501">
        <f>+'RH1'!AA22</f>
        <v>0.02</v>
      </c>
    </row>
    <row r="23" spans="1:27" s="43" customFormat="1" ht="15.5">
      <c r="A23" s="865">
        <f t="shared" si="0"/>
        <v>4</v>
      </c>
      <c r="B23" s="1022" t="str">
        <f>'RH1'!B23</f>
        <v>Poste MOD 4</v>
      </c>
      <c r="C23" s="1017">
        <f>'RH1'!C23</f>
        <v>1</v>
      </c>
      <c r="D23" s="1017">
        <f>'RH1'!D23</f>
        <v>1</v>
      </c>
      <c r="E23" s="1017">
        <f>'RH1'!E23</f>
        <v>1</v>
      </c>
      <c r="F23" s="1017">
        <f>'RH1'!F23</f>
        <v>1</v>
      </c>
      <c r="G23" s="1017">
        <f>'RH1'!G23</f>
        <v>1</v>
      </c>
      <c r="H23" s="1017">
        <f>'RH1'!H23</f>
        <v>1</v>
      </c>
      <c r="I23" s="1017">
        <f>'RH1'!I23</f>
        <v>1</v>
      </c>
      <c r="J23" s="1017">
        <f>'RH1'!J23</f>
        <v>1</v>
      </c>
      <c r="K23" s="1017">
        <f>'RH1'!K23</f>
        <v>1</v>
      </c>
      <c r="L23" s="1017">
        <f>'RH1'!L23</f>
        <v>1</v>
      </c>
      <c r="M23" s="1017">
        <f>'RH1'!M23</f>
        <v>1</v>
      </c>
      <c r="N23" s="1017">
        <f>'RH1'!N23</f>
        <v>1</v>
      </c>
      <c r="O23" s="1018">
        <f>'RH1'!O23*(1+'RH1'!AA23)</f>
        <v>11.475</v>
      </c>
      <c r="P23" s="1013">
        <f>O23*(P18)</f>
        <v>0.60243749999999996</v>
      </c>
      <c r="Q23" s="833">
        <f>O23*(Q18)</f>
        <v>6.4259999999999998E-2</v>
      </c>
      <c r="R23" s="833">
        <f>O23*(R18)</f>
        <v>0.30982499999999996</v>
      </c>
      <c r="S23" s="833">
        <f>O23*(S18)</f>
        <v>1.2622499999999999</v>
      </c>
      <c r="T23" s="833">
        <f>O23*(T18)</f>
        <v>0.17671500000000001</v>
      </c>
      <c r="U23" s="833">
        <f>O23*(U18)</f>
        <v>9.1800000000000007E-3</v>
      </c>
      <c r="V23" s="833">
        <f>O23*(V18)</f>
        <v>0.45900000000000002</v>
      </c>
      <c r="W23" s="833">
        <f t="shared" si="1"/>
        <v>0</v>
      </c>
      <c r="X23" s="833">
        <f>IF(RG!$A$78=6,SUM(O23:W23),SUM(O23:V23))</f>
        <v>14.358667500000001</v>
      </c>
      <c r="Y23" s="830">
        <f>'RH1'!Y23</f>
        <v>0</v>
      </c>
      <c r="Z23" s="499">
        <f>'RH1'!Z23</f>
        <v>35</v>
      </c>
      <c r="AA23" s="501">
        <f>+'RH1'!AA23</f>
        <v>0.02</v>
      </c>
    </row>
    <row r="24" spans="1:27" s="43" customFormat="1" ht="15.5">
      <c r="A24" s="865">
        <f t="shared" si="0"/>
        <v>5</v>
      </c>
      <c r="B24" s="1022" t="str">
        <f>'RH1'!B24</f>
        <v>Poste MOD 5</v>
      </c>
      <c r="C24" s="1017">
        <f>'RH1'!C24</f>
        <v>1</v>
      </c>
      <c r="D24" s="1017">
        <f>'RH1'!D24</f>
        <v>1</v>
      </c>
      <c r="E24" s="1017">
        <f>'RH1'!E24</f>
        <v>1</v>
      </c>
      <c r="F24" s="1017">
        <f>'RH1'!F24</f>
        <v>1</v>
      </c>
      <c r="G24" s="1017">
        <f>'RH1'!G24</f>
        <v>1</v>
      </c>
      <c r="H24" s="1017">
        <f>'RH1'!H24</f>
        <v>1</v>
      </c>
      <c r="I24" s="1017">
        <f>'RH1'!I24</f>
        <v>1</v>
      </c>
      <c r="J24" s="1017">
        <f>'RH1'!J24</f>
        <v>1</v>
      </c>
      <c r="K24" s="1017">
        <f>'RH1'!K24</f>
        <v>1</v>
      </c>
      <c r="L24" s="1017">
        <f>'RH1'!L24</f>
        <v>1</v>
      </c>
      <c r="M24" s="1017">
        <f>'RH1'!M24</f>
        <v>1</v>
      </c>
      <c r="N24" s="1017">
        <f>'RH1'!N24</f>
        <v>1</v>
      </c>
      <c r="O24" s="1018">
        <f>'RH1'!O24*(1+'RH1'!AA24)</f>
        <v>11.475</v>
      </c>
      <c r="P24" s="1013">
        <f>O24*(P18)</f>
        <v>0.60243749999999996</v>
      </c>
      <c r="Q24" s="833">
        <f>O24*(Q18)</f>
        <v>6.4259999999999998E-2</v>
      </c>
      <c r="R24" s="833">
        <f>O24*(R18)</f>
        <v>0.30982499999999996</v>
      </c>
      <c r="S24" s="833">
        <f>O24*(S18)</f>
        <v>1.2622499999999999</v>
      </c>
      <c r="T24" s="833">
        <f>O24*(T18)</f>
        <v>0.17671500000000001</v>
      </c>
      <c r="U24" s="833">
        <f>O24*(U18)</f>
        <v>9.1800000000000007E-3</v>
      </c>
      <c r="V24" s="833">
        <f>O24*(V18)</f>
        <v>0.45900000000000002</v>
      </c>
      <c r="W24" s="833">
        <f t="shared" si="1"/>
        <v>0</v>
      </c>
      <c r="X24" s="833">
        <f>IF(RG!$A$78=6,SUM(O24:W24),SUM(O24:V24))</f>
        <v>14.358667500000001</v>
      </c>
      <c r="Y24" s="830">
        <f>'RH1'!Y24</f>
        <v>0</v>
      </c>
      <c r="Z24" s="499">
        <f>'RH1'!Z24</f>
        <v>35</v>
      </c>
      <c r="AA24" s="501">
        <f>+'RH1'!AA24</f>
        <v>0.02</v>
      </c>
    </row>
    <row r="25" spans="1:27" s="43" customFormat="1" ht="15.5">
      <c r="A25" s="865">
        <f t="shared" si="0"/>
        <v>6</v>
      </c>
      <c r="B25" s="1022" t="str">
        <f>'RH1'!B25</f>
        <v>Poste MOD 6</v>
      </c>
      <c r="C25" s="1017">
        <f>'RH1'!C25</f>
        <v>1</v>
      </c>
      <c r="D25" s="1017">
        <f>'RH1'!D25</f>
        <v>1</v>
      </c>
      <c r="E25" s="1017">
        <f>'RH1'!E25</f>
        <v>1</v>
      </c>
      <c r="F25" s="1017">
        <f>'RH1'!F25</f>
        <v>1</v>
      </c>
      <c r="G25" s="1017">
        <f>'RH1'!G25</f>
        <v>1</v>
      </c>
      <c r="H25" s="1017">
        <f>'RH1'!H25</f>
        <v>1</v>
      </c>
      <c r="I25" s="1017">
        <f>'RH1'!I25</f>
        <v>1</v>
      </c>
      <c r="J25" s="1017">
        <f>'RH1'!J25</f>
        <v>1</v>
      </c>
      <c r="K25" s="1017">
        <f>'RH1'!K25</f>
        <v>1</v>
      </c>
      <c r="L25" s="1017">
        <f>'RH1'!L25</f>
        <v>1</v>
      </c>
      <c r="M25" s="1017">
        <f>'RH1'!M25</f>
        <v>1</v>
      </c>
      <c r="N25" s="1017">
        <f>'RH1'!N25</f>
        <v>1</v>
      </c>
      <c r="O25" s="1018">
        <f>'RH1'!O25*(1+'RH1'!AA25)</f>
        <v>11.475</v>
      </c>
      <c r="P25" s="1013">
        <f>O25*(P18)</f>
        <v>0.60243749999999996</v>
      </c>
      <c r="Q25" s="833">
        <f>O25*(Q18)</f>
        <v>6.4259999999999998E-2</v>
      </c>
      <c r="R25" s="833">
        <f>O25*(R18)</f>
        <v>0.30982499999999996</v>
      </c>
      <c r="S25" s="833">
        <f>O25*(S18)</f>
        <v>1.2622499999999999</v>
      </c>
      <c r="T25" s="833">
        <f>O25*(T18)</f>
        <v>0.17671500000000001</v>
      </c>
      <c r="U25" s="833">
        <f>O25*(U18)</f>
        <v>9.1800000000000007E-3</v>
      </c>
      <c r="V25" s="833">
        <f>O25*(V18)</f>
        <v>0.45900000000000002</v>
      </c>
      <c r="W25" s="833">
        <f t="shared" si="1"/>
        <v>0</v>
      </c>
      <c r="X25" s="833">
        <f>IF(RG!$A$78=6,SUM(O25:W25),SUM(O25:V25))</f>
        <v>14.358667500000001</v>
      </c>
      <c r="Y25" s="830">
        <f>'RH1'!Y25</f>
        <v>0</v>
      </c>
      <c r="Z25" s="499">
        <f>'RH1'!Z25</f>
        <v>35</v>
      </c>
      <c r="AA25" s="501">
        <f>+'RH1'!AA25</f>
        <v>0.02</v>
      </c>
    </row>
    <row r="26" spans="1:27" s="43" customFormat="1" ht="15.5">
      <c r="A26" s="865">
        <f t="shared" si="0"/>
        <v>7</v>
      </c>
      <c r="B26" s="1022" t="str">
        <f>'RH1'!B26</f>
        <v>Poste MOD 7</v>
      </c>
      <c r="C26" s="1017">
        <f>'RH1'!C26</f>
        <v>1</v>
      </c>
      <c r="D26" s="1017">
        <f>'RH1'!D26</f>
        <v>1</v>
      </c>
      <c r="E26" s="1017">
        <f>'RH1'!E26</f>
        <v>1</v>
      </c>
      <c r="F26" s="1017">
        <f>'RH1'!F26</f>
        <v>1</v>
      </c>
      <c r="G26" s="1017">
        <f>'RH1'!G26</f>
        <v>1</v>
      </c>
      <c r="H26" s="1017">
        <f>'RH1'!H26</f>
        <v>1</v>
      </c>
      <c r="I26" s="1017">
        <f>'RH1'!I26</f>
        <v>1</v>
      </c>
      <c r="J26" s="1017">
        <f>'RH1'!J26</f>
        <v>1</v>
      </c>
      <c r="K26" s="1017">
        <f>'RH1'!K26</f>
        <v>1</v>
      </c>
      <c r="L26" s="1017">
        <f>'RH1'!L26</f>
        <v>1</v>
      </c>
      <c r="M26" s="1017">
        <f>'RH1'!M26</f>
        <v>1</v>
      </c>
      <c r="N26" s="1017">
        <f>'RH1'!N26</f>
        <v>1</v>
      </c>
      <c r="O26" s="1018">
        <f>'RH1'!O26*(1+'RH1'!AA26)</f>
        <v>11.475</v>
      </c>
      <c r="P26" s="1013">
        <f>O26*(P18)</f>
        <v>0.60243749999999996</v>
      </c>
      <c r="Q26" s="833">
        <f>O26*(Q18)</f>
        <v>6.4259999999999998E-2</v>
      </c>
      <c r="R26" s="833">
        <f>O26*(R18)</f>
        <v>0.30982499999999996</v>
      </c>
      <c r="S26" s="833">
        <f>O26*(S18)</f>
        <v>1.2622499999999999</v>
      </c>
      <c r="T26" s="833">
        <f>O26*(T18)</f>
        <v>0.17671500000000001</v>
      </c>
      <c r="U26" s="833">
        <f>O26*(U18)</f>
        <v>9.1800000000000007E-3</v>
      </c>
      <c r="V26" s="833">
        <f>O26*(V18)</f>
        <v>0.45900000000000002</v>
      </c>
      <c r="W26" s="833">
        <f t="shared" si="1"/>
        <v>0</v>
      </c>
      <c r="X26" s="833">
        <f>IF(RG!$A$78=6,SUM(O26:W26),SUM(O26:V26))</f>
        <v>14.358667500000001</v>
      </c>
      <c r="Y26" s="830">
        <f>'RH1'!Y26</f>
        <v>0</v>
      </c>
      <c r="Z26" s="499">
        <f>'RH1'!Z26</f>
        <v>35</v>
      </c>
      <c r="AA26" s="501">
        <f>+'RH1'!AA26</f>
        <v>0.02</v>
      </c>
    </row>
    <row r="27" spans="1:27" s="43" customFormat="1" ht="15.5">
      <c r="A27" s="1009">
        <f t="shared" si="0"/>
        <v>8</v>
      </c>
      <c r="B27" s="1023" t="str">
        <f>'RH1'!B27</f>
        <v>Poste MOD 8</v>
      </c>
      <c r="C27" s="1019">
        <f>'RH1'!C27</f>
        <v>1</v>
      </c>
      <c r="D27" s="1019">
        <f>'RH1'!D27</f>
        <v>1</v>
      </c>
      <c r="E27" s="1019">
        <f>'RH1'!E27</f>
        <v>1</v>
      </c>
      <c r="F27" s="1019">
        <f>'RH1'!F27</f>
        <v>1</v>
      </c>
      <c r="G27" s="1019">
        <f>'RH1'!G27</f>
        <v>1</v>
      </c>
      <c r="H27" s="1019">
        <f>'RH1'!H27</f>
        <v>1</v>
      </c>
      <c r="I27" s="1019">
        <f>'RH1'!I27</f>
        <v>1</v>
      </c>
      <c r="J27" s="1019">
        <f>'RH1'!J27</f>
        <v>1</v>
      </c>
      <c r="K27" s="1019">
        <f>'RH1'!K27</f>
        <v>1</v>
      </c>
      <c r="L27" s="1019">
        <f>'RH1'!L27</f>
        <v>1</v>
      </c>
      <c r="M27" s="1019">
        <f>'RH1'!M27</f>
        <v>1</v>
      </c>
      <c r="N27" s="1019">
        <f>'RH1'!N27</f>
        <v>1</v>
      </c>
      <c r="O27" s="1020">
        <f>'RH1'!O27*(1+'RH1'!AA27)</f>
        <v>11.475</v>
      </c>
      <c r="P27" s="1014">
        <f>O27*(P18)</f>
        <v>0.60243749999999996</v>
      </c>
      <c r="Q27" s="1005">
        <f>O27*(Q18)</f>
        <v>6.4259999999999998E-2</v>
      </c>
      <c r="R27" s="1005">
        <f>O27*(R18)</f>
        <v>0.30982499999999996</v>
      </c>
      <c r="S27" s="1005">
        <f>O27*(S18)</f>
        <v>1.2622499999999999</v>
      </c>
      <c r="T27" s="1005">
        <f>O27*(T18)</f>
        <v>0.17671500000000001</v>
      </c>
      <c r="U27" s="1005">
        <f>O27*(U18)</f>
        <v>9.1800000000000007E-3</v>
      </c>
      <c r="V27" s="1005">
        <f>O27*(V18)</f>
        <v>0.45900000000000002</v>
      </c>
      <c r="W27" s="1005">
        <f t="shared" si="1"/>
        <v>0</v>
      </c>
      <c r="X27" s="1005">
        <f>IF(RG!$A$78=6,SUM(O27:W27),SUM(O27:V27))</f>
        <v>14.358667500000001</v>
      </c>
      <c r="Y27" s="1006">
        <f>'RH1'!Y27</f>
        <v>0</v>
      </c>
      <c r="Z27" s="1007">
        <f>'RH1'!Z27</f>
        <v>35</v>
      </c>
      <c r="AA27" s="1008">
        <f>+'RH1'!AA27</f>
        <v>0.02</v>
      </c>
    </row>
    <row r="28" spans="1:27" s="43" customFormat="1" ht="15.5">
      <c r="A28" s="866">
        <f t="shared" si="0"/>
        <v>9</v>
      </c>
      <c r="B28" s="1021" t="str">
        <f>'RH1'!B28</f>
        <v>Poste ADM 1 - Actionnaire</v>
      </c>
      <c r="C28" s="1015">
        <f>'RH1'!C28</f>
        <v>1</v>
      </c>
      <c r="D28" s="1015">
        <f>'RH1'!D28</f>
        <v>1</v>
      </c>
      <c r="E28" s="1015">
        <f>'RH1'!E28</f>
        <v>1</v>
      </c>
      <c r="F28" s="1015">
        <f>'RH1'!F28</f>
        <v>1</v>
      </c>
      <c r="G28" s="1015">
        <f>'RH1'!G28</f>
        <v>1</v>
      </c>
      <c r="H28" s="1015">
        <f>'RH1'!H28</f>
        <v>1</v>
      </c>
      <c r="I28" s="1015">
        <f>'RH1'!I28</f>
        <v>1</v>
      </c>
      <c r="J28" s="1015">
        <f>'RH1'!J28</f>
        <v>1</v>
      </c>
      <c r="K28" s="1015">
        <f>'RH1'!K28</f>
        <v>1</v>
      </c>
      <c r="L28" s="1015">
        <f>'RH1'!L28</f>
        <v>1</v>
      </c>
      <c r="M28" s="1015">
        <f>'RH1'!M28</f>
        <v>1</v>
      </c>
      <c r="N28" s="1015">
        <f>'RH1'!N28</f>
        <v>1</v>
      </c>
      <c r="O28" s="1016">
        <f>'RH1'!O28*(1+'RH1'!AA28)</f>
        <v>11.475</v>
      </c>
      <c r="P28" s="1029">
        <f>O28*(P18)</f>
        <v>0.60243749999999996</v>
      </c>
      <c r="Q28" s="832">
        <f>IF(RG!$A$74=3,0,O28*Q18*1.4)</f>
        <v>0</v>
      </c>
      <c r="R28" s="832">
        <f>O28*(R18)</f>
        <v>0.30982499999999996</v>
      </c>
      <c r="S28" s="832">
        <f>IF(RG!$A$74=3,0,O28*S18)</f>
        <v>0</v>
      </c>
      <c r="T28" s="832">
        <f>IF(RG!$A$74=3,0,O28*T18*1.4)</f>
        <v>0</v>
      </c>
      <c r="U28" s="832">
        <f>O28*(U18)</f>
        <v>9.1800000000000007E-3</v>
      </c>
      <c r="V28" s="832">
        <f>O28*(V18)</f>
        <v>0.45900000000000002</v>
      </c>
      <c r="W28" s="813">
        <f t="shared" si="1"/>
        <v>0</v>
      </c>
      <c r="X28" s="813">
        <f>IF(RG!$A$78=6,SUM(O28:W28),SUM(O28:V28))</f>
        <v>12.855442500000001</v>
      </c>
      <c r="Y28" s="814">
        <f>'RH1'!Y28</f>
        <v>0</v>
      </c>
      <c r="Z28" s="814">
        <f>'RH1'!Z28</f>
        <v>35</v>
      </c>
      <c r="AA28" s="815">
        <f>+'RH1'!AA28</f>
        <v>0.02</v>
      </c>
    </row>
    <row r="29" spans="1:27" s="43" customFormat="1" ht="15.5">
      <c r="A29" s="866">
        <f t="shared" si="0"/>
        <v>10</v>
      </c>
      <c r="B29" s="1021" t="str">
        <f>'RH1'!B29</f>
        <v>Poste ADM 2 - Actionnaire</v>
      </c>
      <c r="C29" s="1015">
        <f>'RH1'!C29</f>
        <v>1</v>
      </c>
      <c r="D29" s="1015">
        <f>'RH1'!D29</f>
        <v>1</v>
      </c>
      <c r="E29" s="1015">
        <f>'RH1'!E29</f>
        <v>1</v>
      </c>
      <c r="F29" s="1015">
        <f>'RH1'!F29</f>
        <v>1</v>
      </c>
      <c r="G29" s="1015">
        <f>'RH1'!G29</f>
        <v>1</v>
      </c>
      <c r="H29" s="1015">
        <f>'RH1'!H29</f>
        <v>1</v>
      </c>
      <c r="I29" s="1015">
        <f>'RH1'!I29</f>
        <v>1</v>
      </c>
      <c r="J29" s="1015">
        <f>'RH1'!J29</f>
        <v>1</v>
      </c>
      <c r="K29" s="1015">
        <f>'RH1'!K29</f>
        <v>1</v>
      </c>
      <c r="L29" s="1015">
        <f>'RH1'!L29</f>
        <v>1</v>
      </c>
      <c r="M29" s="1015">
        <f>'RH1'!M29</f>
        <v>1</v>
      </c>
      <c r="N29" s="1015">
        <f>'RH1'!N29</f>
        <v>1</v>
      </c>
      <c r="O29" s="1016">
        <f>'RH1'!O29*(1+'RH1'!AA29)</f>
        <v>11.475</v>
      </c>
      <c r="P29" s="1028">
        <f>O29*(P18)</f>
        <v>0.60243749999999996</v>
      </c>
      <c r="Q29" s="831">
        <f>IF(RG!$A$74=3,0,O29*Q18*1.4)</f>
        <v>0</v>
      </c>
      <c r="R29" s="831">
        <f>O29*(R18)</f>
        <v>0.30982499999999996</v>
      </c>
      <c r="S29" s="831">
        <f>IF(RG!$A$74=3,0,O29*S18)</f>
        <v>0</v>
      </c>
      <c r="T29" s="831">
        <f>IF(RG!$A$74=3,0,O29*T18*1.4)</f>
        <v>0</v>
      </c>
      <c r="U29" s="831">
        <f>O29*(U18)</f>
        <v>9.1800000000000007E-3</v>
      </c>
      <c r="V29" s="831">
        <f>O29*(V18)</f>
        <v>0.45900000000000002</v>
      </c>
      <c r="W29" s="813">
        <f t="shared" si="1"/>
        <v>0</v>
      </c>
      <c r="X29" s="813">
        <f>IF(RG!$A$78=6,SUM(O29:W29),SUM(O29:V29))</f>
        <v>12.855442500000001</v>
      </c>
      <c r="Y29" s="814">
        <f>'RH1'!Y29</f>
        <v>0</v>
      </c>
      <c r="Z29" s="814">
        <f>'RH1'!Z29</f>
        <v>35</v>
      </c>
      <c r="AA29" s="815">
        <f>+'RH1'!AA29</f>
        <v>0.02</v>
      </c>
    </row>
    <row r="30" spans="1:27" s="43" customFormat="1" ht="15.5">
      <c r="A30" s="866">
        <f t="shared" si="0"/>
        <v>11</v>
      </c>
      <c r="B30" s="1024" t="str">
        <f>'RH1'!B30</f>
        <v>Poste administratif 3</v>
      </c>
      <c r="C30" s="1017">
        <f>'RH1'!C30</f>
        <v>1</v>
      </c>
      <c r="D30" s="1017">
        <f>'RH1'!D30</f>
        <v>1</v>
      </c>
      <c r="E30" s="1017">
        <f>'RH1'!E30</f>
        <v>1</v>
      </c>
      <c r="F30" s="1017">
        <f>'RH1'!F30</f>
        <v>1</v>
      </c>
      <c r="G30" s="1017">
        <f>'RH1'!G30</f>
        <v>1</v>
      </c>
      <c r="H30" s="1017">
        <f>'RH1'!H30</f>
        <v>1</v>
      </c>
      <c r="I30" s="1017">
        <f>'RH1'!I30</f>
        <v>1</v>
      </c>
      <c r="J30" s="1017">
        <f>'RH1'!J30</f>
        <v>1</v>
      </c>
      <c r="K30" s="1017">
        <f>'RH1'!K30</f>
        <v>1</v>
      </c>
      <c r="L30" s="1017">
        <f>'RH1'!L30</f>
        <v>1</v>
      </c>
      <c r="M30" s="1017">
        <f>'RH1'!M30</f>
        <v>1</v>
      </c>
      <c r="N30" s="1017">
        <f>'RH1'!N30</f>
        <v>1</v>
      </c>
      <c r="O30" s="1018">
        <f>'RH1'!O30*(1+'RH1'!AA30)</f>
        <v>11.475</v>
      </c>
      <c r="P30" s="1013">
        <f>O30*(P18)</f>
        <v>0.60243749999999996</v>
      </c>
      <c r="Q30" s="833">
        <f>O30*(Q18)</f>
        <v>6.4259999999999998E-2</v>
      </c>
      <c r="R30" s="833">
        <f>O30*(R18)</f>
        <v>0.30982499999999996</v>
      </c>
      <c r="S30" s="833">
        <f>O30*(S18)</f>
        <v>1.2622499999999999</v>
      </c>
      <c r="T30" s="833">
        <f>O30*(T18)</f>
        <v>0.17671500000000001</v>
      </c>
      <c r="U30" s="833">
        <f>O30*(U18)</f>
        <v>9.1800000000000007E-3</v>
      </c>
      <c r="V30" s="833">
        <f>O30*(V18)</f>
        <v>0.45900000000000002</v>
      </c>
      <c r="W30" s="833">
        <f t="shared" si="1"/>
        <v>0</v>
      </c>
      <c r="X30" s="833">
        <f>IF(RG!$A$78=6,SUM(O30:W30),SUM(O30:V30))</f>
        <v>14.358667500000001</v>
      </c>
      <c r="Y30" s="830">
        <f>'RH1'!Y30</f>
        <v>0</v>
      </c>
      <c r="Z30" s="499">
        <f>'RH1'!Z30</f>
        <v>35</v>
      </c>
      <c r="AA30" s="501">
        <f>+'RH1'!AA30</f>
        <v>0.02</v>
      </c>
    </row>
    <row r="31" spans="1:27" s="43" customFormat="1" ht="15.5">
      <c r="A31" s="866">
        <f t="shared" si="0"/>
        <v>12</v>
      </c>
      <c r="B31" s="1024" t="str">
        <f>'RH1'!B31</f>
        <v>Poste administratif 4</v>
      </c>
      <c r="C31" s="1017">
        <f>'RH1'!C31</f>
        <v>1</v>
      </c>
      <c r="D31" s="1017">
        <f>'RH1'!D31</f>
        <v>1</v>
      </c>
      <c r="E31" s="1017">
        <f>'RH1'!E31</f>
        <v>1</v>
      </c>
      <c r="F31" s="1017">
        <f>'RH1'!F31</f>
        <v>1</v>
      </c>
      <c r="G31" s="1017">
        <f>'RH1'!G31</f>
        <v>1</v>
      </c>
      <c r="H31" s="1017">
        <f>'RH1'!H31</f>
        <v>1</v>
      </c>
      <c r="I31" s="1017">
        <f>'RH1'!I31</f>
        <v>1</v>
      </c>
      <c r="J31" s="1017">
        <f>'RH1'!J31</f>
        <v>1</v>
      </c>
      <c r="K31" s="1017">
        <f>'RH1'!K31</f>
        <v>1</v>
      </c>
      <c r="L31" s="1017">
        <f>'RH1'!L31</f>
        <v>1</v>
      </c>
      <c r="M31" s="1017">
        <f>'RH1'!M31</f>
        <v>1</v>
      </c>
      <c r="N31" s="1017">
        <f>'RH1'!N31</f>
        <v>1</v>
      </c>
      <c r="O31" s="1018">
        <f>'RH1'!O31*(1+'RH1'!AA31)</f>
        <v>20.399999999999999</v>
      </c>
      <c r="P31" s="1013">
        <f>O31*(P18)</f>
        <v>1.071</v>
      </c>
      <c r="Q31" s="833">
        <f>O31*(Q18)</f>
        <v>0.11423999999999999</v>
      </c>
      <c r="R31" s="833">
        <f>O31*(R18)</f>
        <v>0.55079999999999996</v>
      </c>
      <c r="S31" s="833">
        <f>O31*(S18)</f>
        <v>2.2439999999999998</v>
      </c>
      <c r="T31" s="833">
        <f>O31*(T18)</f>
        <v>0.31415999999999999</v>
      </c>
      <c r="U31" s="833">
        <f>O31*(U18)</f>
        <v>1.6320000000000001E-2</v>
      </c>
      <c r="V31" s="833">
        <f>O31*(V18)</f>
        <v>0.81599999999999995</v>
      </c>
      <c r="W31" s="833">
        <f t="shared" si="1"/>
        <v>0</v>
      </c>
      <c r="X31" s="833">
        <f>IF(RG!$A$78=6,SUM(O31:W31),SUM(O31:V31))</f>
        <v>25.526519999999998</v>
      </c>
      <c r="Y31" s="830">
        <f>'RH1'!Y31</f>
        <v>1</v>
      </c>
      <c r="Z31" s="499">
        <f>'RH1'!Z31</f>
        <v>40</v>
      </c>
      <c r="AA31" s="501">
        <f>+'RH1'!AA31</f>
        <v>0.02</v>
      </c>
    </row>
    <row r="32" spans="1:27" s="43" customFormat="1" ht="15.5">
      <c r="A32" s="277"/>
      <c r="B32" s="279"/>
      <c r="C32" s="279"/>
      <c r="D32" s="279"/>
      <c r="E32" s="279"/>
      <c r="F32" s="279"/>
      <c r="G32" s="279"/>
      <c r="H32" s="279"/>
      <c r="I32" s="279"/>
      <c r="J32" s="279"/>
      <c r="K32" s="279"/>
      <c r="L32" s="279"/>
      <c r="M32" s="279"/>
      <c r="N32" s="279"/>
      <c r="O32" s="280"/>
      <c r="P32" s="279"/>
      <c r="Q32" s="279"/>
      <c r="R32" s="279"/>
      <c r="S32" s="279"/>
      <c r="T32" s="279"/>
      <c r="U32" s="279"/>
      <c r="V32" s="279"/>
      <c r="W32" s="279"/>
      <c r="X32" s="279"/>
      <c r="Y32" s="279"/>
      <c r="Z32" s="279"/>
      <c r="AA32" s="277"/>
    </row>
    <row r="33" spans="1:27" s="43" customFormat="1" ht="15.5">
      <c r="A33" s="277"/>
      <c r="B33" s="277"/>
      <c r="C33" s="277"/>
      <c r="D33" s="277"/>
      <c r="E33" s="277"/>
      <c r="F33" s="277"/>
      <c r="G33" s="277"/>
      <c r="H33" s="277"/>
      <c r="I33" s="277"/>
      <c r="J33" s="277"/>
      <c r="K33" s="277"/>
      <c r="L33" s="277"/>
      <c r="M33" s="277"/>
      <c r="N33" s="277"/>
      <c r="O33" s="281"/>
      <c r="P33" s="277"/>
      <c r="Q33" s="277"/>
      <c r="R33" s="277"/>
      <c r="S33" s="277"/>
      <c r="T33" s="277"/>
      <c r="U33" s="277"/>
      <c r="V33" s="277"/>
      <c r="W33" s="277"/>
      <c r="X33" s="277"/>
      <c r="Y33" s="277"/>
      <c r="Z33" s="277"/>
      <c r="AA33" s="277"/>
    </row>
    <row r="34" spans="1:27" s="43" customFormat="1" ht="15.5">
      <c r="A34" s="277"/>
      <c r="B34" s="277"/>
      <c r="C34" s="277"/>
      <c r="D34" s="277"/>
      <c r="E34" s="277"/>
      <c r="F34" s="277"/>
      <c r="G34" s="277"/>
      <c r="H34" s="277"/>
      <c r="I34" s="277"/>
      <c r="J34" s="277"/>
      <c r="K34" s="277"/>
      <c r="L34" s="277"/>
      <c r="M34" s="277"/>
      <c r="N34" s="277"/>
      <c r="O34" s="281"/>
      <c r="P34" s="277"/>
      <c r="Q34" s="277"/>
      <c r="R34" s="277"/>
      <c r="S34" s="277"/>
      <c r="T34" s="277"/>
      <c r="U34" s="277"/>
      <c r="V34" s="277"/>
      <c r="W34" s="277"/>
      <c r="X34" s="277"/>
      <c r="Y34" s="277"/>
      <c r="Z34" s="277"/>
      <c r="AA34" s="277"/>
    </row>
  </sheetData>
  <sheetProtection password="E242" sheet="1" objects="1" scenarios="1"/>
  <customSheetViews>
    <customSheetView guid="{30D0538C-360A-4CDF-8D89-584CED1967CC}" scale="80" showGridLines="0">
      <selection activeCell="W12" sqref="W12"/>
      <pageMargins left="0.7" right="0.7" top="0.75" bottom="0.75" header="0.3" footer="0.3"/>
    </customSheetView>
    <customSheetView guid="{4F3169C3-3348-49DE-A6DC-8AA4D2A9D7A1}" scale="80" showGridLines="0">
      <selection activeCell="W12" sqref="W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59">
    <pageSetUpPr fitToPage="1"/>
  </sheetPr>
  <dimension ref="A1:AA35"/>
  <sheetViews>
    <sheetView showGridLines="0" showRowColHeaders="0" zoomScale="80" zoomScaleNormal="80" workbookViewId="0">
      <pane ySplit="19" topLeftCell="A20" activePane="bottomLeft" state="frozen"/>
      <selection activeCell="G24" sqref="G24"/>
      <selection pane="bottomLeft" activeCell="A5" sqref="A5"/>
    </sheetView>
  </sheetViews>
  <sheetFormatPr baseColWidth="10" defaultRowHeight="13"/>
  <cols>
    <col min="1" max="1" width="5.453125" style="43" customWidth="1"/>
    <col min="2" max="2" width="28.36328125" style="43" customWidth="1"/>
    <col min="3" max="14" width="8.453125" style="43" customWidth="1"/>
    <col min="15" max="15" width="14" style="43" customWidth="1"/>
    <col min="16" max="20" width="9.6328125" style="43" customWidth="1"/>
    <col min="21" max="21" width="12.08984375" style="43" customWidth="1"/>
    <col min="22" max="22" width="12" style="43" customWidth="1"/>
    <col min="23" max="23" width="15.453125" style="43" customWidth="1"/>
    <col min="24" max="24" width="12" style="43" customWidth="1"/>
    <col min="25" max="25" width="9.08984375" style="43" customWidth="1"/>
    <col min="26" max="26" width="9.6328125" style="43" customWidth="1"/>
    <col min="27" max="27" width="13" style="43" customWidth="1"/>
  </cols>
  <sheetData>
    <row r="1" spans="1:27" ht="12.5">
      <c r="A1"/>
      <c r="B1"/>
      <c r="C1"/>
      <c r="D1"/>
      <c r="E1"/>
      <c r="F1"/>
      <c r="G1"/>
      <c r="H1"/>
      <c r="I1"/>
      <c r="J1"/>
      <c r="K1"/>
      <c r="L1"/>
      <c r="M1"/>
      <c r="N1"/>
      <c r="O1"/>
      <c r="P1"/>
      <c r="Q1"/>
      <c r="R1"/>
      <c r="S1"/>
      <c r="T1"/>
      <c r="U1"/>
      <c r="V1"/>
      <c r="W1"/>
      <c r="X1"/>
      <c r="Y1"/>
      <c r="Z1"/>
      <c r="AA1"/>
    </row>
    <row r="2" spans="1:27" ht="12.5">
      <c r="A2"/>
      <c r="B2"/>
      <c r="C2"/>
      <c r="D2"/>
      <c r="E2"/>
      <c r="F2"/>
      <c r="G2"/>
      <c r="H2"/>
      <c r="I2"/>
      <c r="J2"/>
      <c r="K2"/>
      <c r="L2"/>
      <c r="M2"/>
      <c r="N2"/>
      <c r="O2"/>
      <c r="P2"/>
      <c r="Q2"/>
      <c r="R2"/>
      <c r="S2"/>
      <c r="T2"/>
      <c r="U2"/>
      <c r="V2"/>
      <c r="W2"/>
      <c r="X2"/>
      <c r="Y2"/>
      <c r="Z2"/>
      <c r="AA2"/>
    </row>
    <row r="3" spans="1:27" ht="12.5">
      <c r="A3"/>
      <c r="B3"/>
      <c r="C3"/>
      <c r="D3"/>
      <c r="E3"/>
      <c r="F3"/>
      <c r="G3"/>
      <c r="H3"/>
      <c r="I3"/>
      <c r="J3"/>
      <c r="K3"/>
      <c r="L3"/>
      <c r="M3"/>
      <c r="N3"/>
      <c r="O3"/>
      <c r="P3"/>
      <c r="Q3"/>
      <c r="R3"/>
      <c r="S3"/>
      <c r="T3"/>
      <c r="U3"/>
      <c r="V3"/>
      <c r="W3"/>
      <c r="X3"/>
      <c r="Y3"/>
      <c r="Z3"/>
      <c r="AA3"/>
    </row>
    <row r="4" spans="1:27" s="261" customFormat="1" ht="12.5"/>
    <row r="5" spans="1:27" s="261" customFormat="1" ht="12.5"/>
    <row r="6" spans="1:27" s="261" customFormat="1" ht="12.5"/>
    <row r="7" spans="1:27" s="261" customFormat="1" ht="12.5"/>
    <row r="8" spans="1:27" s="261" customFormat="1" ht="12.5"/>
    <row r="9" spans="1:27" s="261" customFormat="1" ht="6.75" customHeight="1">
      <c r="B9" s="932"/>
      <c r="C9" s="932"/>
      <c r="D9" s="932"/>
      <c r="E9" s="932"/>
      <c r="F9" s="932"/>
      <c r="G9" s="932"/>
      <c r="H9" s="932"/>
      <c r="I9" s="932"/>
      <c r="J9" s="932"/>
      <c r="K9" s="932"/>
      <c r="L9" s="932"/>
      <c r="M9" s="932"/>
      <c r="N9" s="932"/>
      <c r="O9" s="932"/>
      <c r="P9" s="932"/>
      <c r="Q9" s="932"/>
      <c r="R9" s="932"/>
      <c r="S9" s="932"/>
      <c r="T9" s="932"/>
      <c r="U9" s="932"/>
      <c r="V9" s="932"/>
      <c r="W9" s="932"/>
      <c r="X9" s="932"/>
      <c r="Y9" s="932"/>
      <c r="Z9" s="932"/>
      <c r="AA9" s="932"/>
    </row>
    <row r="10" spans="1:27" s="43" customFormat="1" ht="33" customHeight="1">
      <c r="A10" s="1198" t="str">
        <f>RG!D17</f>
        <v>Jhon Wesly inc.</v>
      </c>
      <c r="B10" s="1198"/>
      <c r="C10" s="1198"/>
      <c r="D10" s="1198"/>
      <c r="E10" s="277"/>
      <c r="F10" s="277"/>
      <c r="G10" s="277"/>
      <c r="H10" s="277"/>
      <c r="I10" s="277"/>
      <c r="J10" s="277"/>
      <c r="K10" s="277"/>
      <c r="L10" s="277"/>
      <c r="M10" s="277"/>
      <c r="N10" s="277"/>
      <c r="O10" s="277"/>
      <c r="P10" s="277"/>
      <c r="Q10" s="277"/>
      <c r="R10" s="277"/>
      <c r="S10" s="277"/>
      <c r="T10" s="277"/>
      <c r="U10" s="277"/>
      <c r="V10" s="277"/>
      <c r="W10" s="277"/>
      <c r="X10" s="277"/>
      <c r="Y10" s="277"/>
      <c r="Z10" s="277"/>
      <c r="AA10" s="277"/>
    </row>
    <row r="11" spans="1:27" s="43" customFormat="1" ht="22.5">
      <c r="C11" s="285"/>
      <c r="D11" s="285"/>
      <c r="E11" s="807"/>
      <c r="F11" s="285"/>
      <c r="G11" s="285"/>
      <c r="H11" s="285"/>
      <c r="I11" s="285"/>
      <c r="J11" s="285"/>
      <c r="K11" s="285"/>
      <c r="L11" s="285"/>
      <c r="M11" s="285"/>
      <c r="N11" s="285"/>
      <c r="O11" s="277"/>
      <c r="P11" s="277"/>
      <c r="Q11" s="277"/>
      <c r="R11" s="277"/>
      <c r="S11" s="277"/>
      <c r="T11" s="277"/>
      <c r="U11" s="277"/>
      <c r="V11" s="277"/>
      <c r="W11" s="277"/>
      <c r="X11" s="277"/>
      <c r="Y11" s="277"/>
      <c r="Z11" s="277"/>
      <c r="AA11" s="277"/>
    </row>
    <row r="12" spans="1:27" s="43" customFormat="1" ht="15.5">
      <c r="A12" s="500" t="s">
        <v>740</v>
      </c>
      <c r="B12" s="277"/>
      <c r="C12" s="277"/>
      <c r="D12" s="277"/>
      <c r="E12" s="277"/>
      <c r="F12" s="277"/>
      <c r="G12" s="277"/>
      <c r="H12" s="277"/>
      <c r="I12" s="277"/>
      <c r="J12" s="277"/>
      <c r="K12" s="277"/>
      <c r="L12" s="277"/>
      <c r="M12" s="277"/>
      <c r="N12" s="277"/>
    </row>
    <row r="13" spans="1:27" s="43" customFormat="1" ht="15.5">
      <c r="A13" s="1207"/>
      <c r="B13" s="1207"/>
      <c r="C13" s="276"/>
      <c r="D13" s="276"/>
      <c r="E13" s="276"/>
      <c r="F13" s="276"/>
      <c r="G13" s="276"/>
      <c r="H13" s="276"/>
      <c r="I13" s="276"/>
      <c r="J13" s="276"/>
      <c r="K13" s="276"/>
      <c r="L13" s="276"/>
      <c r="M13" s="276"/>
      <c r="N13" s="276"/>
      <c r="O13" s="277"/>
      <c r="P13" s="277"/>
      <c r="Q13" s="277"/>
      <c r="R13" s="277"/>
      <c r="S13" s="277"/>
      <c r="T13" s="277"/>
      <c r="U13" s="277"/>
      <c r="V13" s="277"/>
      <c r="W13" s="277"/>
      <c r="X13" s="277"/>
      <c r="Y13" s="277"/>
      <c r="Z13" s="277"/>
      <c r="AA13" s="277"/>
    </row>
    <row r="14" spans="1:27" s="43" customFormat="1" ht="18" thickBot="1">
      <c r="A14" s="277"/>
      <c r="B14" s="282" t="s">
        <v>350</v>
      </c>
      <c r="C14" s="282"/>
      <c r="D14" s="282"/>
      <c r="E14" s="282"/>
      <c r="F14" s="282"/>
      <c r="G14" s="282"/>
      <c r="H14" s="282"/>
      <c r="I14" s="282"/>
      <c r="J14" s="282"/>
      <c r="K14" s="282"/>
      <c r="L14" s="282"/>
      <c r="M14" s="282"/>
      <c r="N14" s="282"/>
      <c r="O14" s="277"/>
      <c r="P14" s="277"/>
      <c r="Q14" s="277"/>
      <c r="R14" s="277"/>
      <c r="S14" s="277"/>
      <c r="T14" s="277"/>
      <c r="U14" s="277"/>
      <c r="V14" s="277"/>
      <c r="W14" s="277"/>
      <c r="X14" s="277"/>
      <c r="Y14" s="277"/>
      <c r="Z14" s="277"/>
      <c r="AA14" s="277"/>
    </row>
    <row r="15" spans="1:27" s="43" customFormat="1" ht="18" thickBot="1">
      <c r="A15" s="277"/>
      <c r="B15" s="283" t="s">
        <v>351</v>
      </c>
      <c r="C15" s="284"/>
      <c r="D15" s="284"/>
      <c r="E15" s="284"/>
      <c r="F15" s="284"/>
      <c r="G15" s="284"/>
      <c r="H15" s="284"/>
      <c r="I15" s="284"/>
      <c r="J15" s="284"/>
      <c r="K15" s="284"/>
      <c r="L15" s="284"/>
      <c r="M15" s="284"/>
      <c r="N15" s="284"/>
      <c r="O15" s="286">
        <f>'RH2'!O15</f>
        <v>4.3333000000000004</v>
      </c>
      <c r="P15" s="277"/>
      <c r="Q15" s="277"/>
      <c r="R15" s="277"/>
      <c r="S15" s="277"/>
      <c r="T15" s="277"/>
      <c r="U15" s="277"/>
      <c r="V15" s="277"/>
      <c r="W15" s="277"/>
      <c r="X15" s="277"/>
      <c r="Y15" s="277"/>
      <c r="Z15" s="277"/>
      <c r="AA15" s="277"/>
    </row>
    <row r="16" spans="1:27" s="43" customFormat="1" ht="22.5">
      <c r="A16" s="277"/>
      <c r="B16" s="285" t="s">
        <v>354</v>
      </c>
      <c r="C16" s="285"/>
      <c r="D16" s="285"/>
      <c r="E16" s="285"/>
      <c r="F16" s="285"/>
      <c r="G16" s="285"/>
      <c r="H16" s="285"/>
      <c r="I16" s="285"/>
      <c r="J16" s="285"/>
      <c r="K16" s="285"/>
      <c r="L16" s="285"/>
      <c r="M16" s="285"/>
      <c r="N16" s="285"/>
      <c r="O16" s="277" t="s">
        <v>355</v>
      </c>
      <c r="P16" s="277"/>
      <c r="Q16" s="277"/>
      <c r="R16" s="277"/>
      <c r="S16" s="277"/>
      <c r="T16" s="277"/>
      <c r="U16" s="277"/>
      <c r="V16" s="277"/>
      <c r="W16" s="277"/>
      <c r="X16" s="277"/>
      <c r="Z16" s="277"/>
      <c r="AA16" s="277"/>
    </row>
    <row r="17" spans="1:27" s="43" customFormat="1" ht="15.5">
      <c r="A17" s="823"/>
      <c r="B17" s="1205" t="s">
        <v>357</v>
      </c>
      <c r="C17" s="1199" t="s">
        <v>590</v>
      </c>
      <c r="D17" s="1200"/>
      <c r="E17" s="1200"/>
      <c r="F17" s="1200"/>
      <c r="G17" s="1200"/>
      <c r="H17" s="1200"/>
      <c r="I17" s="1200"/>
      <c r="J17" s="1200"/>
      <c r="K17" s="1200"/>
      <c r="L17" s="1200"/>
      <c r="M17" s="1200"/>
      <c r="N17" s="1201"/>
      <c r="O17" s="824" t="s">
        <v>454</v>
      </c>
      <c r="P17" s="824" t="s">
        <v>655</v>
      </c>
      <c r="Q17" s="824" t="s">
        <v>656</v>
      </c>
      <c r="R17" s="824" t="s">
        <v>657</v>
      </c>
      <c r="S17" s="824" t="s">
        <v>658</v>
      </c>
      <c r="T17" s="824" t="s">
        <v>659</v>
      </c>
      <c r="U17" s="824" t="s">
        <v>661</v>
      </c>
      <c r="V17" s="827" t="s">
        <v>660</v>
      </c>
      <c r="W17" s="827" t="s">
        <v>761</v>
      </c>
      <c r="X17" s="824" t="s">
        <v>553</v>
      </c>
      <c r="Y17" s="828" t="s">
        <v>419</v>
      </c>
      <c r="Z17" s="824" t="s">
        <v>422</v>
      </c>
      <c r="AA17" s="824" t="s">
        <v>423</v>
      </c>
    </row>
    <row r="18" spans="1:27" s="43" customFormat="1" ht="15.5">
      <c r="A18" s="825"/>
      <c r="B18" s="1206"/>
      <c r="C18" s="1202"/>
      <c r="D18" s="1203"/>
      <c r="E18" s="1203"/>
      <c r="F18" s="1203"/>
      <c r="G18" s="1203"/>
      <c r="H18" s="1203"/>
      <c r="I18" s="1203"/>
      <c r="J18" s="1203"/>
      <c r="K18" s="1203"/>
      <c r="L18" s="1203"/>
      <c r="M18" s="1203"/>
      <c r="N18" s="1204"/>
      <c r="O18" s="1025" t="s">
        <v>418</v>
      </c>
      <c r="P18" s="1030">
        <f>'RH2'!P18</f>
        <v>5.2499999999999998E-2</v>
      </c>
      <c r="Q18" s="1030">
        <f>'RH2'!Q18</f>
        <v>5.5999999999999999E-3</v>
      </c>
      <c r="R18" s="1030">
        <f>'RH2'!R18</f>
        <v>2.7E-2</v>
      </c>
      <c r="S18" s="1030">
        <f>'RH2'!S18</f>
        <v>0.11</v>
      </c>
      <c r="T18" s="1030">
        <f>'RH2'!T18</f>
        <v>1.54E-2</v>
      </c>
      <c r="U18" s="1030">
        <f>'RH2'!U18</f>
        <v>8.0000000000000004E-4</v>
      </c>
      <c r="V18" s="1030">
        <f>'RH2'!V18</f>
        <v>0.04</v>
      </c>
      <c r="W18" s="1030">
        <f>'RH2'!W18</f>
        <v>0</v>
      </c>
      <c r="X18" s="829" t="s">
        <v>498</v>
      </c>
      <c r="Y18" s="829" t="s">
        <v>420</v>
      </c>
      <c r="Z18" s="826" t="s">
        <v>421</v>
      </c>
      <c r="AA18" s="826" t="s">
        <v>424</v>
      </c>
    </row>
    <row r="19" spans="1:27" s="43" customFormat="1" ht="15.5">
      <c r="A19" s="277"/>
      <c r="B19" s="277"/>
      <c r="C19" s="278">
        <f>TE!E48</f>
        <v>46024</v>
      </c>
      <c r="D19" s="278">
        <f>TE!F48</f>
        <v>46055</v>
      </c>
      <c r="E19" s="278">
        <f>TE!G48</f>
        <v>46086</v>
      </c>
      <c r="F19" s="278">
        <f>TE!H48</f>
        <v>46117</v>
      </c>
      <c r="G19" s="278">
        <f>TE!I48</f>
        <v>46148</v>
      </c>
      <c r="H19" s="278">
        <f>TE!J48</f>
        <v>46179</v>
      </c>
      <c r="I19" s="278">
        <f>TE!K48</f>
        <v>46210</v>
      </c>
      <c r="J19" s="278">
        <f>TE!L48</f>
        <v>46241</v>
      </c>
      <c r="K19" s="278">
        <f>TE!M48</f>
        <v>46272</v>
      </c>
      <c r="L19" s="278">
        <f>TE!N48</f>
        <v>46303</v>
      </c>
      <c r="M19" s="278">
        <f>TE!O48</f>
        <v>46334</v>
      </c>
      <c r="N19" s="278">
        <f>TE!P48</f>
        <v>46365</v>
      </c>
      <c r="O19" s="277"/>
      <c r="P19" s="277"/>
      <c r="Q19" s="277"/>
      <c r="R19" s="277"/>
      <c r="S19" s="277"/>
      <c r="T19" s="277"/>
      <c r="U19" s="277"/>
      <c r="V19" s="277"/>
      <c r="W19" s="277"/>
      <c r="X19" s="277"/>
      <c r="Y19" s="277"/>
      <c r="Z19" s="277"/>
      <c r="AA19" s="277"/>
    </row>
    <row r="20" spans="1:27" s="43" customFormat="1" ht="15.5">
      <c r="A20" s="865">
        <v>1</v>
      </c>
      <c r="B20" s="1021" t="str">
        <f>'RH2'!B20</f>
        <v>Poste MOD 1 - Actionnaire</v>
      </c>
      <c r="C20" s="1015">
        <f>'RH2'!C20</f>
        <v>1</v>
      </c>
      <c r="D20" s="1015">
        <f>'RH2'!D20</f>
        <v>1</v>
      </c>
      <c r="E20" s="1015">
        <f>'RH2'!E20</f>
        <v>1</v>
      </c>
      <c r="F20" s="1015">
        <f>'RH2'!F20</f>
        <v>1</v>
      </c>
      <c r="G20" s="1015">
        <f>'RH2'!G20</f>
        <v>1</v>
      </c>
      <c r="H20" s="1015">
        <f>'RH2'!H20</f>
        <v>1</v>
      </c>
      <c r="I20" s="1015">
        <f>'RH2'!I20</f>
        <v>1</v>
      </c>
      <c r="J20" s="1015">
        <f>'RH2'!J20</f>
        <v>1</v>
      </c>
      <c r="K20" s="1015">
        <f>'RH2'!K20</f>
        <v>1</v>
      </c>
      <c r="L20" s="1015">
        <f>'RH2'!L20</f>
        <v>1</v>
      </c>
      <c r="M20" s="1015">
        <f>'RH2'!M20</f>
        <v>1</v>
      </c>
      <c r="N20" s="1015">
        <f>'RH2'!N20</f>
        <v>1</v>
      </c>
      <c r="O20" s="1016">
        <f>'RH2'!O20*(1+'RH2'!AA20)</f>
        <v>11.704499999999999</v>
      </c>
      <c r="P20" s="1012">
        <f>O20*(P18)</f>
        <v>0.6144862499999999</v>
      </c>
      <c r="Q20" s="813">
        <f>IF(RG!$A$74=3,0,O20*Q18*1.4)</f>
        <v>0</v>
      </c>
      <c r="R20" s="813">
        <f>O20*(R18)</f>
        <v>0.31602149999999996</v>
      </c>
      <c r="S20" s="813">
        <f>IF(RG!$A$74=3,0,O20*S18)</f>
        <v>0</v>
      </c>
      <c r="T20" s="813">
        <f>IF(RG!$A$74=3,0,O20*T18*1.4)</f>
        <v>0</v>
      </c>
      <c r="U20" s="813">
        <f>O20*(U18)</f>
        <v>9.3635999999999997E-3</v>
      </c>
      <c r="V20" s="813">
        <f>O20*(V18)</f>
        <v>0.46817999999999999</v>
      </c>
      <c r="W20" s="813">
        <f>O20*($W$18)</f>
        <v>0</v>
      </c>
      <c r="X20" s="813">
        <f>IF(RG!$A$78=6,SUM(O20:W20),SUM(O20:V20))</f>
        <v>13.11255135</v>
      </c>
      <c r="Y20" s="814">
        <f>'RH2'!Y20</f>
        <v>0</v>
      </c>
      <c r="Z20" s="814">
        <f>'RH2'!Z20</f>
        <v>35</v>
      </c>
      <c r="AA20" s="815">
        <f>'RH2'!AA20</f>
        <v>0.02</v>
      </c>
    </row>
    <row r="21" spans="1:27" s="43" customFormat="1" ht="15.5">
      <c r="A21" s="865">
        <f t="shared" ref="A21:A31" si="0">A20+1</f>
        <v>2</v>
      </c>
      <c r="B21" s="1021" t="str">
        <f>'RH2'!B21</f>
        <v>Poste MOD 2 - Actionnaire</v>
      </c>
      <c r="C21" s="1015">
        <f>'RH2'!C21</f>
        <v>1</v>
      </c>
      <c r="D21" s="1015">
        <f>'RH2'!D21</f>
        <v>1</v>
      </c>
      <c r="E21" s="1015">
        <f>'RH2'!E21</f>
        <v>1</v>
      </c>
      <c r="F21" s="1015">
        <f>'RH2'!F21</f>
        <v>1</v>
      </c>
      <c r="G21" s="1015">
        <f>'RH2'!G21</f>
        <v>1</v>
      </c>
      <c r="H21" s="1015">
        <f>'RH2'!H21</f>
        <v>1</v>
      </c>
      <c r="I21" s="1015">
        <f>'RH2'!I21</f>
        <v>1</v>
      </c>
      <c r="J21" s="1015">
        <f>'RH2'!J21</f>
        <v>1</v>
      </c>
      <c r="K21" s="1015">
        <f>'RH2'!K21</f>
        <v>1</v>
      </c>
      <c r="L21" s="1015">
        <f>'RH2'!L21</f>
        <v>1</v>
      </c>
      <c r="M21" s="1015">
        <f>'RH2'!M21</f>
        <v>1</v>
      </c>
      <c r="N21" s="1015">
        <f>'RH2'!N21</f>
        <v>1</v>
      </c>
      <c r="O21" s="1016">
        <f>'RH2'!O21*(1+'RH2'!AA21)</f>
        <v>11.704499999999999</v>
      </c>
      <c r="P21" s="1028">
        <f>O21*(P18)</f>
        <v>0.6144862499999999</v>
      </c>
      <c r="Q21" s="831">
        <f>IF(RG!$A$74=3,0,O21*Q18*1.4)</f>
        <v>0</v>
      </c>
      <c r="R21" s="831">
        <f>O21*(R18)</f>
        <v>0.31602149999999996</v>
      </c>
      <c r="S21" s="831">
        <f>IF(RG!$A$74=3,0,O21*S18)</f>
        <v>0</v>
      </c>
      <c r="T21" s="831">
        <f>IF(RG!$A$74=3,0,O21*T18*1.4)</f>
        <v>0</v>
      </c>
      <c r="U21" s="831">
        <f>O21*(U18)</f>
        <v>9.3635999999999997E-3</v>
      </c>
      <c r="V21" s="831">
        <f>O21*(V18)</f>
        <v>0.46817999999999999</v>
      </c>
      <c r="W21" s="813">
        <f t="shared" ref="W21:W31" si="1">O21*($W$18)</f>
        <v>0</v>
      </c>
      <c r="X21" s="813">
        <f>IF(RG!$A$78=6,SUM(O21:W21),SUM(O21:V21))</f>
        <v>13.11255135</v>
      </c>
      <c r="Y21" s="814">
        <f>'RH2'!Y21</f>
        <v>0</v>
      </c>
      <c r="Z21" s="814">
        <f>'RH2'!Z21</f>
        <v>35</v>
      </c>
      <c r="AA21" s="815">
        <f>'RH2'!AA21</f>
        <v>0.02</v>
      </c>
    </row>
    <row r="22" spans="1:27" s="43" customFormat="1" ht="15.5">
      <c r="A22" s="865">
        <f t="shared" si="0"/>
        <v>3</v>
      </c>
      <c r="B22" s="1022" t="str">
        <f>'RH2'!B22</f>
        <v>Poste MOD 3</v>
      </c>
      <c r="C22" s="1017">
        <f>'RH2'!C22</f>
        <v>1</v>
      </c>
      <c r="D22" s="1017">
        <f>'RH2'!D22</f>
        <v>1</v>
      </c>
      <c r="E22" s="1017">
        <f>'RH2'!E22</f>
        <v>1</v>
      </c>
      <c r="F22" s="1017">
        <f>'RH2'!F22</f>
        <v>1</v>
      </c>
      <c r="G22" s="1017">
        <f>'RH2'!G22</f>
        <v>1</v>
      </c>
      <c r="H22" s="1017">
        <f>'RH2'!H22</f>
        <v>1</v>
      </c>
      <c r="I22" s="1017">
        <f>'RH2'!I22</f>
        <v>1</v>
      </c>
      <c r="J22" s="1017">
        <f>'RH2'!J22</f>
        <v>1</v>
      </c>
      <c r="K22" s="1017">
        <f>'RH2'!K22</f>
        <v>1</v>
      </c>
      <c r="L22" s="1017">
        <f>'RH2'!L22</f>
        <v>1</v>
      </c>
      <c r="M22" s="1017">
        <f>'RH2'!M22</f>
        <v>1</v>
      </c>
      <c r="N22" s="1017">
        <f>'RH2'!N22</f>
        <v>1</v>
      </c>
      <c r="O22" s="1018">
        <f>'RH2'!O22*(1+'RH2'!AA22)</f>
        <v>11.704499999999999</v>
      </c>
      <c r="P22" s="1013">
        <f>O22*(P18)</f>
        <v>0.6144862499999999</v>
      </c>
      <c r="Q22" s="833">
        <f>O22*(Q18)</f>
        <v>6.5545199999999998E-2</v>
      </c>
      <c r="R22" s="833">
        <f>O22*(R18)</f>
        <v>0.31602149999999996</v>
      </c>
      <c r="S22" s="833">
        <f>O22*(S18)</f>
        <v>1.2874950000000001</v>
      </c>
      <c r="T22" s="833">
        <f>O22*(T18)</f>
        <v>0.1802493</v>
      </c>
      <c r="U22" s="833">
        <f>O22*(U18)</f>
        <v>9.3635999999999997E-3</v>
      </c>
      <c r="V22" s="833">
        <f>O22*(V18)</f>
        <v>0.46817999999999999</v>
      </c>
      <c r="W22" s="833">
        <f t="shared" si="1"/>
        <v>0</v>
      </c>
      <c r="X22" s="833">
        <f>IF(RG!$A$78=6,SUM(O22:W22),SUM(O22:V22))</f>
        <v>14.645840850000001</v>
      </c>
      <c r="Y22" s="830">
        <f>'RH2'!Y22</f>
        <v>0</v>
      </c>
      <c r="Z22" s="499">
        <f>'RH2'!Z22</f>
        <v>35</v>
      </c>
      <c r="AA22" s="501">
        <f>'RH2'!AA22</f>
        <v>0.02</v>
      </c>
    </row>
    <row r="23" spans="1:27" s="43" customFormat="1" ht="15.5">
      <c r="A23" s="865">
        <f t="shared" si="0"/>
        <v>4</v>
      </c>
      <c r="B23" s="1022" t="str">
        <f>'RH2'!B23</f>
        <v>Poste MOD 4</v>
      </c>
      <c r="C23" s="1017">
        <f>'RH2'!C23</f>
        <v>1</v>
      </c>
      <c r="D23" s="1017">
        <f>'RH2'!D23</f>
        <v>1</v>
      </c>
      <c r="E23" s="1017">
        <f>'RH2'!E23</f>
        <v>1</v>
      </c>
      <c r="F23" s="1017">
        <f>'RH2'!F23</f>
        <v>1</v>
      </c>
      <c r="G23" s="1017">
        <f>'RH2'!G23</f>
        <v>1</v>
      </c>
      <c r="H23" s="1017">
        <f>'RH2'!H23</f>
        <v>1</v>
      </c>
      <c r="I23" s="1017">
        <f>'RH2'!I23</f>
        <v>1</v>
      </c>
      <c r="J23" s="1017">
        <f>'RH2'!J23</f>
        <v>1</v>
      </c>
      <c r="K23" s="1017">
        <f>'RH2'!K23</f>
        <v>1</v>
      </c>
      <c r="L23" s="1017">
        <f>'RH2'!L23</f>
        <v>1</v>
      </c>
      <c r="M23" s="1017">
        <f>'RH2'!M23</f>
        <v>1</v>
      </c>
      <c r="N23" s="1017">
        <f>'RH2'!N23</f>
        <v>1</v>
      </c>
      <c r="O23" s="1018">
        <f>'RH2'!O23*(1+'RH2'!AA23)</f>
        <v>11.704499999999999</v>
      </c>
      <c r="P23" s="1013">
        <f>O23*(P18)</f>
        <v>0.6144862499999999</v>
      </c>
      <c r="Q23" s="833">
        <f>O23*(Q18)</f>
        <v>6.5545199999999998E-2</v>
      </c>
      <c r="R23" s="833">
        <f>O23*(R18)</f>
        <v>0.31602149999999996</v>
      </c>
      <c r="S23" s="833">
        <f>O23*(S18)</f>
        <v>1.2874950000000001</v>
      </c>
      <c r="T23" s="833">
        <f>O23*(T18)</f>
        <v>0.1802493</v>
      </c>
      <c r="U23" s="833">
        <f>O23*(U18)</f>
        <v>9.3635999999999997E-3</v>
      </c>
      <c r="V23" s="833">
        <f>O23*(V18)</f>
        <v>0.46817999999999999</v>
      </c>
      <c r="W23" s="833">
        <f t="shared" si="1"/>
        <v>0</v>
      </c>
      <c r="X23" s="833">
        <f>IF(RG!$A$78=6,SUM(O23:W23),SUM(O23:V23))</f>
        <v>14.645840850000001</v>
      </c>
      <c r="Y23" s="830">
        <f>'RH2'!Y23</f>
        <v>0</v>
      </c>
      <c r="Z23" s="499">
        <f>'RH2'!Z23</f>
        <v>35</v>
      </c>
      <c r="AA23" s="501">
        <f>'RH2'!AA23</f>
        <v>0.02</v>
      </c>
    </row>
    <row r="24" spans="1:27" s="43" customFormat="1" ht="15.5">
      <c r="A24" s="865">
        <f t="shared" si="0"/>
        <v>5</v>
      </c>
      <c r="B24" s="1022" t="str">
        <f>'RH2'!B24</f>
        <v>Poste MOD 5</v>
      </c>
      <c r="C24" s="1017">
        <f>'RH2'!C24</f>
        <v>1</v>
      </c>
      <c r="D24" s="1017">
        <f>'RH2'!D24</f>
        <v>1</v>
      </c>
      <c r="E24" s="1017">
        <f>'RH2'!E24</f>
        <v>1</v>
      </c>
      <c r="F24" s="1017">
        <f>'RH2'!F24</f>
        <v>1</v>
      </c>
      <c r="G24" s="1017">
        <f>'RH2'!G24</f>
        <v>1</v>
      </c>
      <c r="H24" s="1017">
        <f>'RH2'!H24</f>
        <v>1</v>
      </c>
      <c r="I24" s="1017">
        <f>'RH2'!I24</f>
        <v>1</v>
      </c>
      <c r="J24" s="1017">
        <f>'RH2'!J24</f>
        <v>1</v>
      </c>
      <c r="K24" s="1017">
        <f>'RH2'!K24</f>
        <v>1</v>
      </c>
      <c r="L24" s="1017">
        <f>'RH2'!L24</f>
        <v>1</v>
      </c>
      <c r="M24" s="1017">
        <f>'RH2'!M24</f>
        <v>1</v>
      </c>
      <c r="N24" s="1017">
        <f>'RH2'!N24</f>
        <v>1</v>
      </c>
      <c r="O24" s="1018">
        <f>'RH2'!O24*(1+'RH2'!AA24)</f>
        <v>11.704499999999999</v>
      </c>
      <c r="P24" s="1013">
        <f>O24*(P18)</f>
        <v>0.6144862499999999</v>
      </c>
      <c r="Q24" s="833">
        <f>O24*(Q18)</f>
        <v>6.5545199999999998E-2</v>
      </c>
      <c r="R24" s="833">
        <f>O24*(R18)</f>
        <v>0.31602149999999996</v>
      </c>
      <c r="S24" s="833">
        <f>O24*(S18)</f>
        <v>1.2874950000000001</v>
      </c>
      <c r="T24" s="833">
        <f>O24*(T18)</f>
        <v>0.1802493</v>
      </c>
      <c r="U24" s="833">
        <f>O24*(U18)</f>
        <v>9.3635999999999997E-3</v>
      </c>
      <c r="V24" s="833">
        <f>O24*(V18)</f>
        <v>0.46817999999999999</v>
      </c>
      <c r="W24" s="833">
        <f t="shared" si="1"/>
        <v>0</v>
      </c>
      <c r="X24" s="833">
        <f>IF(RG!$A$78=6,SUM(O24:W24),SUM(O24:V24))</f>
        <v>14.645840850000001</v>
      </c>
      <c r="Y24" s="830">
        <f>'RH2'!Y24</f>
        <v>0</v>
      </c>
      <c r="Z24" s="499">
        <f>'RH2'!Z24</f>
        <v>35</v>
      </c>
      <c r="AA24" s="501">
        <f>'RH2'!AA24</f>
        <v>0.02</v>
      </c>
    </row>
    <row r="25" spans="1:27" s="43" customFormat="1" ht="15.5">
      <c r="A25" s="865">
        <f t="shared" si="0"/>
        <v>6</v>
      </c>
      <c r="B25" s="1022" t="str">
        <f>'RH2'!B25</f>
        <v>Poste MOD 6</v>
      </c>
      <c r="C25" s="1017">
        <f>'RH2'!C25</f>
        <v>1</v>
      </c>
      <c r="D25" s="1017">
        <f>'RH2'!D25</f>
        <v>1</v>
      </c>
      <c r="E25" s="1017">
        <f>'RH2'!E25</f>
        <v>1</v>
      </c>
      <c r="F25" s="1017">
        <f>'RH2'!F25</f>
        <v>1</v>
      </c>
      <c r="G25" s="1017">
        <f>'RH2'!G25</f>
        <v>1</v>
      </c>
      <c r="H25" s="1017">
        <f>'RH2'!H25</f>
        <v>1</v>
      </c>
      <c r="I25" s="1017">
        <f>'RH2'!I25</f>
        <v>1</v>
      </c>
      <c r="J25" s="1017">
        <f>'RH2'!J25</f>
        <v>1</v>
      </c>
      <c r="K25" s="1017">
        <f>'RH2'!K25</f>
        <v>1</v>
      </c>
      <c r="L25" s="1017">
        <f>'RH2'!L25</f>
        <v>1</v>
      </c>
      <c r="M25" s="1017">
        <f>'RH2'!M25</f>
        <v>1</v>
      </c>
      <c r="N25" s="1017">
        <f>'RH2'!N25</f>
        <v>1</v>
      </c>
      <c r="O25" s="1018">
        <f>'RH2'!O25*(1+'RH2'!AA25)</f>
        <v>11.704499999999999</v>
      </c>
      <c r="P25" s="1013">
        <f>O25*(P18)</f>
        <v>0.6144862499999999</v>
      </c>
      <c r="Q25" s="833">
        <f>O25*(Q18)</f>
        <v>6.5545199999999998E-2</v>
      </c>
      <c r="R25" s="833">
        <f>O25*(R18)</f>
        <v>0.31602149999999996</v>
      </c>
      <c r="S25" s="833">
        <f>O25*(S18)</f>
        <v>1.2874950000000001</v>
      </c>
      <c r="T25" s="833">
        <f>O25*(T18)</f>
        <v>0.1802493</v>
      </c>
      <c r="U25" s="833">
        <f>O25*(U18)</f>
        <v>9.3635999999999997E-3</v>
      </c>
      <c r="V25" s="833">
        <f>O25*(V18)</f>
        <v>0.46817999999999999</v>
      </c>
      <c r="W25" s="833">
        <f t="shared" si="1"/>
        <v>0</v>
      </c>
      <c r="X25" s="833">
        <f>IF(RG!$A$78=6,SUM(O25:W25),SUM(O25:V25))</f>
        <v>14.645840850000001</v>
      </c>
      <c r="Y25" s="830">
        <f>'RH2'!Y25</f>
        <v>0</v>
      </c>
      <c r="Z25" s="499">
        <f>'RH2'!Z25</f>
        <v>35</v>
      </c>
      <c r="AA25" s="501">
        <f>'RH2'!AA25</f>
        <v>0.02</v>
      </c>
    </row>
    <row r="26" spans="1:27" s="43" customFormat="1" ht="15.5">
      <c r="A26" s="865">
        <f t="shared" si="0"/>
        <v>7</v>
      </c>
      <c r="B26" s="1022" t="str">
        <f>'RH2'!B26</f>
        <v>Poste MOD 7</v>
      </c>
      <c r="C26" s="1017">
        <f>'RH2'!C26</f>
        <v>1</v>
      </c>
      <c r="D26" s="1017">
        <f>'RH2'!D26</f>
        <v>1</v>
      </c>
      <c r="E26" s="1017">
        <f>'RH2'!E26</f>
        <v>1</v>
      </c>
      <c r="F26" s="1017">
        <f>'RH2'!F26</f>
        <v>1</v>
      </c>
      <c r="G26" s="1017">
        <f>'RH2'!G26</f>
        <v>1</v>
      </c>
      <c r="H26" s="1017">
        <f>'RH2'!H26</f>
        <v>1</v>
      </c>
      <c r="I26" s="1017">
        <f>'RH2'!I26</f>
        <v>1</v>
      </c>
      <c r="J26" s="1017">
        <f>'RH2'!J26</f>
        <v>1</v>
      </c>
      <c r="K26" s="1017">
        <f>'RH2'!K26</f>
        <v>1</v>
      </c>
      <c r="L26" s="1017">
        <f>'RH2'!L26</f>
        <v>1</v>
      </c>
      <c r="M26" s="1017">
        <f>'RH2'!M26</f>
        <v>1</v>
      </c>
      <c r="N26" s="1017">
        <f>'RH2'!N26</f>
        <v>1</v>
      </c>
      <c r="O26" s="1018">
        <f>'RH2'!O26*(1+'RH2'!AA26)</f>
        <v>11.704499999999999</v>
      </c>
      <c r="P26" s="1013">
        <f>O26*(P18)</f>
        <v>0.6144862499999999</v>
      </c>
      <c r="Q26" s="833">
        <f>O26*(Q18)</f>
        <v>6.5545199999999998E-2</v>
      </c>
      <c r="R26" s="833">
        <f>O26*(R18)</f>
        <v>0.31602149999999996</v>
      </c>
      <c r="S26" s="833">
        <f>O26*(S18)</f>
        <v>1.2874950000000001</v>
      </c>
      <c r="T26" s="833">
        <f>O26*(T18)</f>
        <v>0.1802493</v>
      </c>
      <c r="U26" s="833">
        <f>O26*(U18)</f>
        <v>9.3635999999999997E-3</v>
      </c>
      <c r="V26" s="833">
        <f>O26*(V18)</f>
        <v>0.46817999999999999</v>
      </c>
      <c r="W26" s="833">
        <f t="shared" si="1"/>
        <v>0</v>
      </c>
      <c r="X26" s="833">
        <f>IF(RG!$A$78=6,SUM(O26:W26),SUM(O26:V26))</f>
        <v>14.645840850000001</v>
      </c>
      <c r="Y26" s="830">
        <f>'RH2'!Y26</f>
        <v>0</v>
      </c>
      <c r="Z26" s="499">
        <f>'RH2'!Z26</f>
        <v>35</v>
      </c>
      <c r="AA26" s="501">
        <f>'RH2'!AA26</f>
        <v>0.02</v>
      </c>
    </row>
    <row r="27" spans="1:27" s="43" customFormat="1" ht="15.5">
      <c r="A27" s="1009">
        <f t="shared" si="0"/>
        <v>8</v>
      </c>
      <c r="B27" s="1023" t="str">
        <f>'RH2'!B27</f>
        <v>Poste MOD 8</v>
      </c>
      <c r="C27" s="1019">
        <f>'RH2'!C27</f>
        <v>1</v>
      </c>
      <c r="D27" s="1019">
        <f>'RH2'!D27</f>
        <v>1</v>
      </c>
      <c r="E27" s="1019">
        <f>'RH2'!E27</f>
        <v>1</v>
      </c>
      <c r="F27" s="1019">
        <f>'RH2'!F27</f>
        <v>1</v>
      </c>
      <c r="G27" s="1019">
        <f>'RH2'!G27</f>
        <v>1</v>
      </c>
      <c r="H27" s="1019">
        <f>'RH2'!H27</f>
        <v>1</v>
      </c>
      <c r="I27" s="1019">
        <f>'RH2'!I27</f>
        <v>1</v>
      </c>
      <c r="J27" s="1019">
        <f>'RH2'!J27</f>
        <v>1</v>
      </c>
      <c r="K27" s="1019">
        <f>'RH2'!K27</f>
        <v>1</v>
      </c>
      <c r="L27" s="1019">
        <f>'RH2'!L27</f>
        <v>1</v>
      </c>
      <c r="M27" s="1019">
        <f>'RH2'!M27</f>
        <v>1</v>
      </c>
      <c r="N27" s="1019">
        <f>'RH2'!N27</f>
        <v>1</v>
      </c>
      <c r="O27" s="1020">
        <f>'RH2'!O27*(1+'RH2'!AA27)</f>
        <v>11.704499999999999</v>
      </c>
      <c r="P27" s="1014">
        <f>O27*(P18)</f>
        <v>0.6144862499999999</v>
      </c>
      <c r="Q27" s="1005">
        <f>O27*(Q18)</f>
        <v>6.5545199999999998E-2</v>
      </c>
      <c r="R27" s="1005">
        <f>O27*(R18)</f>
        <v>0.31602149999999996</v>
      </c>
      <c r="S27" s="1005">
        <f>O27*(S18)</f>
        <v>1.2874950000000001</v>
      </c>
      <c r="T27" s="1005">
        <f>O27*(T18)</f>
        <v>0.1802493</v>
      </c>
      <c r="U27" s="1005">
        <f>O27*(U18)</f>
        <v>9.3635999999999997E-3</v>
      </c>
      <c r="V27" s="1005">
        <f>O27*(V18)</f>
        <v>0.46817999999999999</v>
      </c>
      <c r="W27" s="1005">
        <f t="shared" si="1"/>
        <v>0</v>
      </c>
      <c r="X27" s="1005">
        <f>IF(RG!$A$78=6,SUM(O27:W27),SUM(O27:V27))</f>
        <v>14.645840850000001</v>
      </c>
      <c r="Y27" s="1006">
        <f>'RH2'!Y27</f>
        <v>0</v>
      </c>
      <c r="Z27" s="1007">
        <f>'RH2'!Z27</f>
        <v>35</v>
      </c>
      <c r="AA27" s="1008">
        <f>'RH2'!AA27</f>
        <v>0.02</v>
      </c>
    </row>
    <row r="28" spans="1:27" s="43" customFormat="1" ht="15.5">
      <c r="A28" s="866">
        <f t="shared" si="0"/>
        <v>9</v>
      </c>
      <c r="B28" s="1021" t="str">
        <f>'RH2'!B28</f>
        <v>Poste ADM 1 - Actionnaire</v>
      </c>
      <c r="C28" s="1015">
        <f>'RH2'!C28</f>
        <v>1</v>
      </c>
      <c r="D28" s="1015">
        <f>'RH2'!D28</f>
        <v>1</v>
      </c>
      <c r="E28" s="1015">
        <f>'RH2'!E28</f>
        <v>1</v>
      </c>
      <c r="F28" s="1015">
        <f>'RH2'!F28</f>
        <v>1</v>
      </c>
      <c r="G28" s="1015">
        <f>'RH2'!G28</f>
        <v>1</v>
      </c>
      <c r="H28" s="1015">
        <f>'RH2'!H28</f>
        <v>1</v>
      </c>
      <c r="I28" s="1015">
        <f>'RH2'!I28</f>
        <v>1</v>
      </c>
      <c r="J28" s="1015">
        <f>'RH2'!J28</f>
        <v>1</v>
      </c>
      <c r="K28" s="1015">
        <f>'RH2'!K28</f>
        <v>1</v>
      </c>
      <c r="L28" s="1015">
        <f>'RH2'!L28</f>
        <v>1</v>
      </c>
      <c r="M28" s="1015">
        <f>'RH2'!M28</f>
        <v>1</v>
      </c>
      <c r="N28" s="1015">
        <f>'RH2'!N28</f>
        <v>1</v>
      </c>
      <c r="O28" s="1016">
        <f>'RH2'!O28*(1+'RH2'!AA28)</f>
        <v>11.704499999999999</v>
      </c>
      <c r="P28" s="1029">
        <f>O28*(P18)</f>
        <v>0.6144862499999999</v>
      </c>
      <c r="Q28" s="832">
        <f>IF(RG!$A$74=3,0,O28*Q18*1.4)</f>
        <v>0</v>
      </c>
      <c r="R28" s="832">
        <f>O28*(R18)</f>
        <v>0.31602149999999996</v>
      </c>
      <c r="S28" s="832">
        <f>IF(RG!$A$74=3,0,O28*S18)</f>
        <v>0</v>
      </c>
      <c r="T28" s="832">
        <f>IF(RG!$A$74=3,0,O28*T18*1.4)</f>
        <v>0</v>
      </c>
      <c r="U28" s="832">
        <f>O28*(U18)</f>
        <v>9.3635999999999997E-3</v>
      </c>
      <c r="V28" s="832">
        <f>O28*(V18)</f>
        <v>0.46817999999999999</v>
      </c>
      <c r="W28" s="813">
        <f t="shared" si="1"/>
        <v>0</v>
      </c>
      <c r="X28" s="813">
        <f>IF(RG!$A$78=6,SUM(O28:W28),SUM(O28:V28))</f>
        <v>13.11255135</v>
      </c>
      <c r="Y28" s="814">
        <f>'RH2'!Y28</f>
        <v>0</v>
      </c>
      <c r="Z28" s="814">
        <f>'RH2'!Z28</f>
        <v>35</v>
      </c>
      <c r="AA28" s="815">
        <f>'RH2'!AA28</f>
        <v>0.02</v>
      </c>
    </row>
    <row r="29" spans="1:27" s="43" customFormat="1" ht="15.5">
      <c r="A29" s="866">
        <f t="shared" si="0"/>
        <v>10</v>
      </c>
      <c r="B29" s="1021" t="str">
        <f>'RH2'!B29</f>
        <v>Poste ADM 2 - Actionnaire</v>
      </c>
      <c r="C29" s="1015">
        <f>'RH2'!C29</f>
        <v>1</v>
      </c>
      <c r="D29" s="1015">
        <f>'RH2'!D29</f>
        <v>1</v>
      </c>
      <c r="E29" s="1015">
        <f>'RH2'!E29</f>
        <v>1</v>
      </c>
      <c r="F29" s="1015">
        <f>'RH2'!F29</f>
        <v>1</v>
      </c>
      <c r="G29" s="1015">
        <f>'RH2'!G29</f>
        <v>1</v>
      </c>
      <c r="H29" s="1015">
        <f>'RH2'!H29</f>
        <v>1</v>
      </c>
      <c r="I29" s="1015">
        <f>'RH2'!I29</f>
        <v>1</v>
      </c>
      <c r="J29" s="1015">
        <f>'RH2'!J29</f>
        <v>1</v>
      </c>
      <c r="K29" s="1015">
        <f>'RH2'!K29</f>
        <v>1</v>
      </c>
      <c r="L29" s="1015">
        <f>'RH2'!L29</f>
        <v>1</v>
      </c>
      <c r="M29" s="1015">
        <f>'RH2'!M29</f>
        <v>1</v>
      </c>
      <c r="N29" s="1015">
        <f>'RH2'!N29</f>
        <v>1</v>
      </c>
      <c r="O29" s="1016">
        <f>'RH2'!O29*(1+'RH2'!AA29)</f>
        <v>11.704499999999999</v>
      </c>
      <c r="P29" s="1028">
        <f>O29*(P18)</f>
        <v>0.6144862499999999</v>
      </c>
      <c r="Q29" s="831">
        <f>IF(RG!$A$74=3,0,O29*Q18*1.4)</f>
        <v>0</v>
      </c>
      <c r="R29" s="831">
        <f>O29*(R18)</f>
        <v>0.31602149999999996</v>
      </c>
      <c r="S29" s="831">
        <f>IF(RG!$A$74=3,0,O29*S18)</f>
        <v>0</v>
      </c>
      <c r="T29" s="831">
        <f>IF(RG!$A$74=3,0,O29*T18*1.4)</f>
        <v>0</v>
      </c>
      <c r="U29" s="831">
        <f>O29*(U18)</f>
        <v>9.3635999999999997E-3</v>
      </c>
      <c r="V29" s="831">
        <f>O29*(V18)</f>
        <v>0.46817999999999999</v>
      </c>
      <c r="W29" s="813">
        <f t="shared" si="1"/>
        <v>0</v>
      </c>
      <c r="X29" s="813">
        <f>IF(RG!$A$78=6,SUM(O29:W29),SUM(O29:V29))</f>
        <v>13.11255135</v>
      </c>
      <c r="Y29" s="814">
        <f>'RH2'!Y29</f>
        <v>0</v>
      </c>
      <c r="Z29" s="814">
        <f>'RH2'!Z29</f>
        <v>35</v>
      </c>
      <c r="AA29" s="815">
        <f>'RH2'!AA29</f>
        <v>0.02</v>
      </c>
    </row>
    <row r="30" spans="1:27" s="43" customFormat="1" ht="15.5">
      <c r="A30" s="866">
        <f t="shared" si="0"/>
        <v>11</v>
      </c>
      <c r="B30" s="1024" t="str">
        <f>'RH2'!B30</f>
        <v>Poste administratif 3</v>
      </c>
      <c r="C30" s="1017">
        <f>'RH2'!C30</f>
        <v>1</v>
      </c>
      <c r="D30" s="1017">
        <f>'RH2'!D30</f>
        <v>1</v>
      </c>
      <c r="E30" s="1017">
        <f>'RH2'!E30</f>
        <v>1</v>
      </c>
      <c r="F30" s="1017">
        <f>'RH2'!F30</f>
        <v>1</v>
      </c>
      <c r="G30" s="1017">
        <f>'RH2'!G30</f>
        <v>1</v>
      </c>
      <c r="H30" s="1017">
        <f>'RH2'!H30</f>
        <v>1</v>
      </c>
      <c r="I30" s="1017">
        <f>'RH2'!I30</f>
        <v>1</v>
      </c>
      <c r="J30" s="1017">
        <f>'RH2'!J30</f>
        <v>1</v>
      </c>
      <c r="K30" s="1017">
        <f>'RH2'!K30</f>
        <v>1</v>
      </c>
      <c r="L30" s="1017">
        <f>'RH2'!L30</f>
        <v>1</v>
      </c>
      <c r="M30" s="1017">
        <f>'RH2'!M30</f>
        <v>1</v>
      </c>
      <c r="N30" s="1017">
        <f>'RH2'!N30</f>
        <v>1</v>
      </c>
      <c r="O30" s="1018">
        <f>'RH2'!O30*(1+'RH2'!AA30)</f>
        <v>11.704499999999999</v>
      </c>
      <c r="P30" s="1013">
        <f>O30*(P18)</f>
        <v>0.6144862499999999</v>
      </c>
      <c r="Q30" s="833">
        <f>O30*(Q18)</f>
        <v>6.5545199999999998E-2</v>
      </c>
      <c r="R30" s="833">
        <f>O30*(R18)</f>
        <v>0.31602149999999996</v>
      </c>
      <c r="S30" s="833">
        <f>O30*(S18)</f>
        <v>1.2874950000000001</v>
      </c>
      <c r="T30" s="833">
        <f>O30*(T18)</f>
        <v>0.1802493</v>
      </c>
      <c r="U30" s="833">
        <f>O30*(U18)</f>
        <v>9.3635999999999997E-3</v>
      </c>
      <c r="V30" s="833">
        <f>O30*(V18)</f>
        <v>0.46817999999999999</v>
      </c>
      <c r="W30" s="833">
        <f t="shared" si="1"/>
        <v>0</v>
      </c>
      <c r="X30" s="833">
        <f>IF(RG!$A$78=6,SUM(O30:W30),SUM(O30:V30))</f>
        <v>14.645840850000001</v>
      </c>
      <c r="Y30" s="830">
        <f>'RH2'!Y30</f>
        <v>0</v>
      </c>
      <c r="Z30" s="499">
        <f>'RH2'!Z30</f>
        <v>35</v>
      </c>
      <c r="AA30" s="501">
        <f>'RH2'!AA30</f>
        <v>0.02</v>
      </c>
    </row>
    <row r="31" spans="1:27" s="43" customFormat="1" ht="15.5">
      <c r="A31" s="866">
        <f t="shared" si="0"/>
        <v>12</v>
      </c>
      <c r="B31" s="1024" t="str">
        <f>'RH2'!B31</f>
        <v>Poste administratif 4</v>
      </c>
      <c r="C31" s="1017">
        <f>'RH2'!C31</f>
        <v>1</v>
      </c>
      <c r="D31" s="1017">
        <f>'RH2'!D31</f>
        <v>1</v>
      </c>
      <c r="E31" s="1017">
        <f>'RH2'!E31</f>
        <v>1</v>
      </c>
      <c r="F31" s="1017">
        <f>'RH2'!F31</f>
        <v>1</v>
      </c>
      <c r="G31" s="1017">
        <f>'RH2'!G31</f>
        <v>1</v>
      </c>
      <c r="H31" s="1017">
        <f>'RH2'!H31</f>
        <v>1</v>
      </c>
      <c r="I31" s="1017">
        <f>'RH2'!I31</f>
        <v>1</v>
      </c>
      <c r="J31" s="1017">
        <f>'RH2'!J31</f>
        <v>1</v>
      </c>
      <c r="K31" s="1017">
        <f>'RH2'!K31</f>
        <v>1</v>
      </c>
      <c r="L31" s="1017">
        <f>'RH2'!L31</f>
        <v>1</v>
      </c>
      <c r="M31" s="1017">
        <f>'RH2'!M31</f>
        <v>1</v>
      </c>
      <c r="N31" s="1017">
        <f>'RH2'!N31</f>
        <v>1</v>
      </c>
      <c r="O31" s="1018">
        <f>'RH2'!O31*(1+'RH2'!AA31)</f>
        <v>20.808</v>
      </c>
      <c r="P31" s="1013">
        <f>O31*(P18)</f>
        <v>1.0924199999999999</v>
      </c>
      <c r="Q31" s="833">
        <f>O31*(Q18)</f>
        <v>0.1165248</v>
      </c>
      <c r="R31" s="833">
        <f>O31*(R18)</f>
        <v>0.56181599999999998</v>
      </c>
      <c r="S31" s="833">
        <f>O31*(S18)</f>
        <v>2.2888799999999998</v>
      </c>
      <c r="T31" s="833">
        <f>O31*(T18)</f>
        <v>0.32044319999999998</v>
      </c>
      <c r="U31" s="833">
        <f>O31*(U18)</f>
        <v>1.6646400000000002E-2</v>
      </c>
      <c r="V31" s="833">
        <f>O31*(V18)</f>
        <v>0.83232000000000006</v>
      </c>
      <c r="W31" s="833">
        <f t="shared" si="1"/>
        <v>0</v>
      </c>
      <c r="X31" s="833">
        <f>IF(RG!$A$78=6,SUM(O31:W31),SUM(O31:V31))</f>
        <v>26.037050399999998</v>
      </c>
      <c r="Y31" s="830">
        <f>'RH2'!Y31</f>
        <v>1</v>
      </c>
      <c r="Z31" s="499">
        <f>'RH2'!Z31</f>
        <v>40</v>
      </c>
      <c r="AA31" s="501">
        <f>'RH2'!AA31</f>
        <v>0.02</v>
      </c>
    </row>
    <row r="32" spans="1:27" s="43" customFormat="1" ht="15.5">
      <c r="A32" s="277"/>
      <c r="B32" s="279"/>
      <c r="C32" s="279"/>
      <c r="D32" s="279"/>
      <c r="E32" s="279"/>
      <c r="F32" s="279"/>
      <c r="G32" s="279"/>
      <c r="H32" s="279"/>
      <c r="I32" s="279"/>
      <c r="J32" s="279"/>
      <c r="K32" s="279"/>
      <c r="L32" s="279"/>
      <c r="M32" s="279"/>
      <c r="N32" s="279"/>
      <c r="O32" s="280"/>
      <c r="P32" s="279"/>
      <c r="Q32" s="279"/>
      <c r="R32" s="279"/>
      <c r="S32" s="279"/>
      <c r="T32" s="279"/>
      <c r="U32" s="279"/>
      <c r="V32" s="279"/>
      <c r="W32" s="279"/>
      <c r="X32" s="279"/>
      <c r="Y32" s="279"/>
      <c r="Z32" s="279"/>
      <c r="AA32" s="277"/>
    </row>
    <row r="33" spans="1:27" s="43" customFormat="1" ht="15.5">
      <c r="A33" s="277"/>
      <c r="B33" s="277"/>
      <c r="C33" s="277"/>
      <c r="D33" s="277"/>
      <c r="E33" s="277"/>
      <c r="F33" s="277"/>
      <c r="G33" s="277"/>
      <c r="H33" s="277"/>
      <c r="I33" s="277"/>
      <c r="J33" s="277"/>
      <c r="K33" s="277"/>
      <c r="L33" s="277"/>
      <c r="M33" s="277"/>
      <c r="N33" s="277"/>
      <c r="O33" s="281"/>
      <c r="P33" s="277"/>
      <c r="Q33" s="277"/>
      <c r="R33" s="277"/>
      <c r="S33" s="277"/>
      <c r="T33" s="277"/>
      <c r="U33" s="277"/>
      <c r="V33" s="277"/>
      <c r="W33" s="277"/>
      <c r="X33" s="277"/>
      <c r="Y33" s="277"/>
      <c r="Z33" s="277"/>
      <c r="AA33" s="277"/>
    </row>
    <row r="34" spans="1:27" s="43" customFormat="1" ht="15.5">
      <c r="A34" s="277"/>
      <c r="B34" s="277"/>
      <c r="C34" s="277"/>
      <c r="D34" s="277"/>
      <c r="E34" s="277"/>
      <c r="F34" s="277"/>
      <c r="G34" s="277"/>
      <c r="H34" s="277"/>
      <c r="I34" s="277"/>
      <c r="J34" s="277"/>
      <c r="K34" s="277"/>
      <c r="L34" s="277"/>
      <c r="M34" s="277"/>
      <c r="N34" s="277"/>
      <c r="O34" s="281"/>
      <c r="P34" s="277"/>
      <c r="Q34" s="277"/>
      <c r="R34" s="277"/>
      <c r="S34" s="277"/>
      <c r="T34" s="277"/>
      <c r="U34" s="277"/>
      <c r="V34" s="277"/>
      <c r="W34" s="277"/>
      <c r="X34" s="277"/>
      <c r="Y34" s="277"/>
      <c r="Z34" s="277"/>
      <c r="AA34" s="277"/>
    </row>
    <row r="35" spans="1:27" s="43" customFormat="1"/>
  </sheetData>
  <sheetProtection password="E242" sheet="1" objects="1" scenarios="1"/>
  <customSheetViews>
    <customSheetView guid="{30D0538C-360A-4CDF-8D89-584CED1967CC}" scale="80" showGridLines="0">
      <selection activeCell="V12" sqref="V12"/>
      <pageMargins left="0.7" right="0.7" top="0.75" bottom="0.75" header="0.3" footer="0.3"/>
    </customSheetView>
    <customSheetView guid="{4F3169C3-3348-49DE-A6DC-8AA4D2A9D7A1}" scale="80" showGridLines="0">
      <selection activeCell="V12" sqref="V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60">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3"/>
  <cols>
    <col min="1" max="1" width="5.453125" style="43" customWidth="1"/>
    <col min="2" max="2" width="28.36328125" style="43" customWidth="1"/>
    <col min="3" max="14" width="8.453125" style="43" customWidth="1"/>
    <col min="15" max="15" width="14" style="43" customWidth="1"/>
    <col min="16" max="20" width="9.6328125" style="43" customWidth="1"/>
    <col min="21" max="21" width="12.08984375" style="43" customWidth="1"/>
    <col min="22" max="22" width="12" style="43" customWidth="1"/>
    <col min="23" max="23" width="15.453125" style="43" customWidth="1"/>
    <col min="24" max="24" width="12" style="43" customWidth="1"/>
    <col min="25" max="25" width="9.08984375" style="43" customWidth="1"/>
    <col min="26" max="26" width="9.6328125" style="43" customWidth="1"/>
    <col min="27" max="27" width="13" style="43" customWidth="1"/>
  </cols>
  <sheetData>
    <row r="1" spans="1:27" ht="12.5">
      <c r="A1"/>
      <c r="B1"/>
      <c r="C1"/>
      <c r="D1"/>
      <c r="E1"/>
      <c r="F1"/>
      <c r="G1"/>
      <c r="H1"/>
      <c r="I1"/>
      <c r="J1"/>
      <c r="K1"/>
      <c r="L1"/>
      <c r="M1"/>
      <c r="N1"/>
      <c r="O1"/>
      <c r="P1"/>
      <c r="Q1"/>
      <c r="R1"/>
      <c r="S1"/>
      <c r="T1"/>
      <c r="U1"/>
      <c r="V1"/>
      <c r="W1"/>
      <c r="X1"/>
      <c r="Y1"/>
      <c r="Z1"/>
      <c r="AA1"/>
    </row>
    <row r="2" spans="1:27" ht="12.5">
      <c r="A2"/>
      <c r="B2"/>
      <c r="C2"/>
      <c r="D2"/>
      <c r="E2"/>
      <c r="F2"/>
      <c r="G2"/>
      <c r="H2"/>
      <c r="I2"/>
      <c r="J2"/>
      <c r="K2"/>
      <c r="L2"/>
      <c r="M2"/>
      <c r="N2"/>
      <c r="O2"/>
      <c r="P2"/>
      <c r="Q2"/>
      <c r="R2"/>
      <c r="S2"/>
      <c r="T2"/>
      <c r="U2"/>
      <c r="V2"/>
      <c r="W2"/>
      <c r="X2"/>
      <c r="Y2"/>
      <c r="Z2"/>
      <c r="AA2"/>
    </row>
    <row r="3" spans="1:27" ht="12.5">
      <c r="A3"/>
      <c r="B3"/>
      <c r="C3"/>
      <c r="D3"/>
      <c r="E3"/>
      <c r="F3"/>
      <c r="G3"/>
      <c r="H3"/>
      <c r="I3"/>
      <c r="J3"/>
      <c r="K3"/>
      <c r="L3"/>
      <c r="M3"/>
      <c r="N3"/>
      <c r="O3"/>
      <c r="P3"/>
      <c r="Q3"/>
      <c r="R3"/>
      <c r="S3"/>
      <c r="T3"/>
      <c r="U3"/>
      <c r="V3"/>
      <c r="W3"/>
      <c r="X3"/>
      <c r="Y3"/>
      <c r="Z3"/>
      <c r="AA3"/>
    </row>
    <row r="4" spans="1:27" s="261" customFormat="1" ht="12.5"/>
    <row r="5" spans="1:27" s="261" customFormat="1" ht="12.5"/>
    <row r="6" spans="1:27" s="261" customFormat="1" ht="12.5"/>
    <row r="7" spans="1:27" s="261" customFormat="1" ht="12.5"/>
    <row r="8" spans="1:27" s="261" customFormat="1" ht="12.5"/>
    <row r="9" spans="1:27" s="261" customFormat="1" ht="6.75" customHeight="1">
      <c r="B9" s="932"/>
      <c r="C9" s="932"/>
      <c r="D9" s="932"/>
      <c r="E9" s="932"/>
      <c r="F9" s="932"/>
      <c r="G9" s="932"/>
      <c r="H9" s="932"/>
      <c r="I9" s="932"/>
      <c r="J9" s="932"/>
      <c r="K9" s="932"/>
      <c r="L9" s="932"/>
      <c r="M9" s="932"/>
      <c r="N9" s="932"/>
      <c r="O9" s="932"/>
      <c r="P9" s="932"/>
      <c r="Q9" s="932"/>
      <c r="R9" s="932"/>
      <c r="S9" s="932"/>
      <c r="T9" s="932"/>
      <c r="U9" s="932"/>
      <c r="V9" s="932"/>
      <c r="W9" s="932"/>
      <c r="X9" s="932"/>
      <c r="Y9" s="932"/>
      <c r="Z9" s="932"/>
      <c r="AA9" s="932"/>
    </row>
    <row r="10" spans="1:27" s="43" customFormat="1" ht="33" customHeight="1">
      <c r="A10" s="1198" t="str">
        <f>RG!D17</f>
        <v>Jhon Wesly inc.</v>
      </c>
      <c r="B10" s="1198"/>
      <c r="C10" s="1198"/>
      <c r="D10" s="1198"/>
      <c r="E10" s="277"/>
      <c r="F10" s="277"/>
      <c r="G10" s="277"/>
      <c r="H10" s="277"/>
      <c r="I10" s="277"/>
      <c r="J10" s="277"/>
      <c r="K10" s="277"/>
      <c r="L10" s="277"/>
      <c r="M10" s="277"/>
      <c r="N10" s="277"/>
      <c r="O10" s="277"/>
      <c r="P10" s="277"/>
      <c r="Q10" s="277"/>
      <c r="R10" s="277"/>
      <c r="S10" s="277"/>
      <c r="T10" s="277"/>
      <c r="U10" s="277"/>
      <c r="V10" s="277"/>
      <c r="W10" s="277"/>
      <c r="X10" s="277"/>
      <c r="Y10" s="277"/>
      <c r="Z10" s="277"/>
      <c r="AA10" s="277"/>
    </row>
    <row r="11" spans="1:27" s="43" customFormat="1" ht="22.5">
      <c r="C11" s="285"/>
      <c r="D11" s="285"/>
      <c r="E11" s="807"/>
      <c r="F11" s="285"/>
      <c r="G11" s="285"/>
      <c r="H11" s="285"/>
      <c r="I11" s="285"/>
      <c r="J11" s="285"/>
      <c r="K11" s="285"/>
      <c r="L11" s="285"/>
      <c r="M11" s="285"/>
      <c r="N11" s="285"/>
      <c r="O11" s="277"/>
      <c r="P11" s="277"/>
      <c r="Q11" s="277"/>
      <c r="R11" s="277"/>
      <c r="S11" s="277"/>
      <c r="T11" s="277"/>
      <c r="U11" s="277"/>
      <c r="V11" s="277"/>
      <c r="W11" s="277"/>
      <c r="X11" s="277"/>
      <c r="Y11" s="277"/>
      <c r="Z11" s="277"/>
      <c r="AA11" s="277"/>
    </row>
    <row r="12" spans="1:27" s="43" customFormat="1" ht="15.5">
      <c r="A12" s="500" t="s">
        <v>739</v>
      </c>
      <c r="B12" s="277"/>
      <c r="C12" s="277"/>
      <c r="D12" s="277"/>
      <c r="E12" s="277"/>
      <c r="F12" s="277"/>
      <c r="G12" s="277"/>
      <c r="H12" s="277"/>
      <c r="I12" s="277"/>
      <c r="J12" s="277"/>
      <c r="K12" s="277"/>
      <c r="L12" s="277"/>
      <c r="M12" s="277"/>
      <c r="N12" s="277"/>
    </row>
    <row r="13" spans="1:27" s="43" customFormat="1" ht="15.5">
      <c r="A13" s="1207"/>
      <c r="B13" s="1207"/>
      <c r="C13" s="276"/>
      <c r="D13" s="276"/>
      <c r="E13" s="276"/>
      <c r="F13" s="276"/>
      <c r="G13" s="276"/>
      <c r="H13" s="276"/>
      <c r="I13" s="276"/>
      <c r="J13" s="276"/>
      <c r="K13" s="276"/>
      <c r="L13" s="276"/>
      <c r="M13" s="276"/>
      <c r="N13" s="276"/>
      <c r="O13" s="277"/>
      <c r="P13" s="277"/>
      <c r="Q13" s="277"/>
      <c r="R13" s="277"/>
      <c r="S13" s="277"/>
      <c r="T13" s="277"/>
      <c r="U13" s="277"/>
      <c r="V13" s="277"/>
      <c r="W13" s="277"/>
      <c r="X13" s="277"/>
      <c r="Y13" s="277"/>
      <c r="Z13" s="277"/>
      <c r="AA13" s="277"/>
    </row>
    <row r="14" spans="1:27" s="43" customFormat="1" ht="18" thickBot="1">
      <c r="A14" s="277"/>
      <c r="B14" s="282" t="s">
        <v>350</v>
      </c>
      <c r="C14" s="282"/>
      <c r="D14" s="282"/>
      <c r="E14" s="282"/>
      <c r="F14" s="282"/>
      <c r="G14" s="282"/>
      <c r="H14" s="282"/>
      <c r="I14" s="282"/>
      <c r="J14" s="282"/>
      <c r="K14" s="282"/>
      <c r="L14" s="282"/>
      <c r="M14" s="282"/>
      <c r="N14" s="282"/>
      <c r="O14" s="277"/>
      <c r="P14" s="277"/>
      <c r="Q14" s="277"/>
      <c r="R14" s="277"/>
      <c r="S14" s="277"/>
      <c r="T14" s="277"/>
      <c r="U14" s="277"/>
      <c r="V14" s="277"/>
      <c r="W14" s="277"/>
      <c r="X14" s="277"/>
      <c r="Y14" s="277"/>
      <c r="Z14" s="277"/>
      <c r="AA14" s="277"/>
    </row>
    <row r="15" spans="1:27" s="43" customFormat="1" ht="18" thickBot="1">
      <c r="A15" s="277"/>
      <c r="B15" s="283" t="s">
        <v>351</v>
      </c>
      <c r="C15" s="284"/>
      <c r="D15" s="284"/>
      <c r="E15" s="284"/>
      <c r="F15" s="284"/>
      <c r="G15" s="284"/>
      <c r="H15" s="284"/>
      <c r="I15" s="284"/>
      <c r="J15" s="284"/>
      <c r="K15" s="284"/>
      <c r="L15" s="284"/>
      <c r="M15" s="284"/>
      <c r="N15" s="284"/>
      <c r="O15" s="286">
        <v>4.33</v>
      </c>
      <c r="P15" s="277"/>
      <c r="Q15" s="277"/>
      <c r="R15" s="277"/>
      <c r="S15" s="277"/>
      <c r="T15" s="277"/>
      <c r="U15" s="277"/>
      <c r="V15" s="277"/>
      <c r="W15" s="277"/>
      <c r="X15" s="277"/>
      <c r="Y15" s="277"/>
      <c r="Z15" s="277"/>
      <c r="AA15" s="277"/>
    </row>
    <row r="16" spans="1:27" s="43" customFormat="1" ht="22.5">
      <c r="A16" s="277"/>
      <c r="B16" s="285" t="s">
        <v>354</v>
      </c>
      <c r="C16" s="285"/>
      <c r="D16" s="285"/>
      <c r="E16" s="285"/>
      <c r="F16" s="285"/>
      <c r="G16" s="285"/>
      <c r="H16" s="285"/>
      <c r="I16" s="285"/>
      <c r="J16" s="285"/>
      <c r="K16" s="285"/>
      <c r="L16" s="285"/>
      <c r="M16" s="285"/>
      <c r="N16" s="285"/>
      <c r="O16" s="277" t="s">
        <v>355</v>
      </c>
      <c r="P16" s="277"/>
      <c r="Q16" s="277"/>
      <c r="R16" s="277"/>
      <c r="S16" s="277"/>
      <c r="T16" s="277"/>
      <c r="U16" s="277"/>
      <c r="V16" s="277"/>
      <c r="W16" s="277"/>
      <c r="X16" s="277"/>
      <c r="Z16" s="277"/>
      <c r="AA16" s="277"/>
    </row>
    <row r="17" spans="1:27" s="43" customFormat="1" ht="15.5">
      <c r="A17" s="823"/>
      <c r="B17" s="1205" t="s">
        <v>357</v>
      </c>
      <c r="C17" s="1199" t="s">
        <v>94</v>
      </c>
      <c r="D17" s="1200"/>
      <c r="E17" s="1200"/>
      <c r="F17" s="1200"/>
      <c r="G17" s="1200"/>
      <c r="H17" s="1200"/>
      <c r="I17" s="1200"/>
      <c r="J17" s="1200"/>
      <c r="K17" s="1200"/>
      <c r="L17" s="1200"/>
      <c r="M17" s="1200"/>
      <c r="N17" s="1201"/>
      <c r="O17" s="824" t="s">
        <v>454</v>
      </c>
      <c r="P17" s="824" t="s">
        <v>655</v>
      </c>
      <c r="Q17" s="824" t="s">
        <v>656</v>
      </c>
      <c r="R17" s="824" t="s">
        <v>657</v>
      </c>
      <c r="S17" s="824" t="s">
        <v>658</v>
      </c>
      <c r="T17" s="824" t="s">
        <v>659</v>
      </c>
      <c r="U17" s="824" t="s">
        <v>661</v>
      </c>
      <c r="V17" s="827" t="s">
        <v>660</v>
      </c>
      <c r="W17" s="827" t="s">
        <v>761</v>
      </c>
      <c r="X17" s="824" t="s">
        <v>553</v>
      </c>
      <c r="Y17" s="828" t="s">
        <v>419</v>
      </c>
      <c r="Z17" s="824" t="s">
        <v>422</v>
      </c>
      <c r="AA17" s="824" t="s">
        <v>423</v>
      </c>
    </row>
    <row r="18" spans="1:27" s="43" customFormat="1" ht="15.5">
      <c r="A18" s="825"/>
      <c r="B18" s="1206"/>
      <c r="C18" s="1202"/>
      <c r="D18" s="1203"/>
      <c r="E18" s="1203"/>
      <c r="F18" s="1203"/>
      <c r="G18" s="1203"/>
      <c r="H18" s="1203"/>
      <c r="I18" s="1203"/>
      <c r="J18" s="1203"/>
      <c r="K18" s="1203"/>
      <c r="L18" s="1203"/>
      <c r="M18" s="1203"/>
      <c r="N18" s="1204"/>
      <c r="O18" s="1025" t="s">
        <v>418</v>
      </c>
      <c r="P18" s="1030">
        <f>'RH3'!P18</f>
        <v>5.2499999999999998E-2</v>
      </c>
      <c r="Q18" s="1030">
        <f>'RH3'!Q18</f>
        <v>5.5999999999999999E-3</v>
      </c>
      <c r="R18" s="1030">
        <f>'RH3'!R18</f>
        <v>2.7E-2</v>
      </c>
      <c r="S18" s="1030">
        <f>'RH3'!S18</f>
        <v>0.11</v>
      </c>
      <c r="T18" s="1030">
        <f>'RH3'!T18</f>
        <v>1.54E-2</v>
      </c>
      <c r="U18" s="1030">
        <f>'RH3'!U18</f>
        <v>8.0000000000000004E-4</v>
      </c>
      <c r="V18" s="1030">
        <f>'RH3'!V18</f>
        <v>0.04</v>
      </c>
      <c r="W18" s="1030">
        <v>0</v>
      </c>
      <c r="X18" s="829" t="s">
        <v>498</v>
      </c>
      <c r="Y18" s="829" t="s">
        <v>420</v>
      </c>
      <c r="Z18" s="826" t="s">
        <v>421</v>
      </c>
      <c r="AA18" s="826" t="s">
        <v>424</v>
      </c>
    </row>
    <row r="19" spans="1:27" s="43" customFormat="1" ht="15.5">
      <c r="A19" s="277"/>
      <c r="B19" s="277"/>
      <c r="C19" s="278">
        <f>'RH3'!C19+366</f>
        <v>46390</v>
      </c>
      <c r="D19" s="278">
        <f>'RH3'!D19+366</f>
        <v>46421</v>
      </c>
      <c r="E19" s="278">
        <f>'RH3'!E19+366</f>
        <v>46452</v>
      </c>
      <c r="F19" s="278">
        <f>'RH3'!F19+366</f>
        <v>46483</v>
      </c>
      <c r="G19" s="278">
        <f>'RH3'!G19+366</f>
        <v>46514</v>
      </c>
      <c r="H19" s="278">
        <f>'RH3'!H19+366</f>
        <v>46545</v>
      </c>
      <c r="I19" s="278">
        <f>'RH3'!I19+366</f>
        <v>46576</v>
      </c>
      <c r="J19" s="278">
        <f>'RH3'!J19+366</f>
        <v>46607</v>
      </c>
      <c r="K19" s="278">
        <f>'RH3'!K19+366</f>
        <v>46638</v>
      </c>
      <c r="L19" s="278">
        <f>'RH3'!L19+366</f>
        <v>46669</v>
      </c>
      <c r="M19" s="278">
        <f>'RH3'!M19+366</f>
        <v>46700</v>
      </c>
      <c r="N19" s="278">
        <f>'RH3'!N19+366</f>
        <v>46731</v>
      </c>
      <c r="O19" s="277"/>
      <c r="P19" s="277"/>
      <c r="Q19" s="277"/>
      <c r="R19" s="277"/>
      <c r="S19" s="277"/>
      <c r="T19" s="277"/>
      <c r="U19" s="277"/>
      <c r="V19" s="277"/>
      <c r="W19" s="277"/>
      <c r="X19" s="277"/>
      <c r="Y19" s="277"/>
      <c r="Z19" s="277"/>
      <c r="AA19" s="277"/>
    </row>
    <row r="20" spans="1:27" s="43" customFormat="1" ht="15.5">
      <c r="A20" s="865">
        <v>1</v>
      </c>
      <c r="B20" s="1021" t="str">
        <f>'RH3'!B20</f>
        <v>Poste MOD 1 - Actionnaire</v>
      </c>
      <c r="C20" s="1015">
        <f>'RH3'!C20</f>
        <v>1</v>
      </c>
      <c r="D20" s="1015">
        <f>'RH3'!D20</f>
        <v>1</v>
      </c>
      <c r="E20" s="1015">
        <f>'RH3'!E20</f>
        <v>1</v>
      </c>
      <c r="F20" s="1015">
        <f>'RH3'!F20</f>
        <v>1</v>
      </c>
      <c r="G20" s="1015">
        <f>'RH3'!G20</f>
        <v>1</v>
      </c>
      <c r="H20" s="1015">
        <f>'RH3'!H20</f>
        <v>1</v>
      </c>
      <c r="I20" s="1015">
        <f>'RH3'!I20</f>
        <v>1</v>
      </c>
      <c r="J20" s="1015">
        <f>'RH3'!J20</f>
        <v>1</v>
      </c>
      <c r="K20" s="1015">
        <f>'RH3'!K20</f>
        <v>1</v>
      </c>
      <c r="L20" s="1015">
        <f>'RH3'!L20</f>
        <v>1</v>
      </c>
      <c r="M20" s="1015">
        <f>'RH3'!M20</f>
        <v>1</v>
      </c>
      <c r="N20" s="1015">
        <f>'RH3'!N20</f>
        <v>1</v>
      </c>
      <c r="O20" s="1016">
        <f>'RH3'!O20*(1+'RH3'!AA20)</f>
        <v>11.93859</v>
      </c>
      <c r="P20" s="1012">
        <f>O20*(P18)</f>
        <v>0.62677597499999993</v>
      </c>
      <c r="Q20" s="813">
        <f>IF(RG!$A$74=3,0,O20*Q18*1.4)</f>
        <v>0</v>
      </c>
      <c r="R20" s="813">
        <f>O20*(R18)</f>
        <v>0.32234193</v>
      </c>
      <c r="S20" s="813">
        <f>IF(RG!$A$74=3,0,O20*S18)</f>
        <v>0</v>
      </c>
      <c r="T20" s="813">
        <f>IF(RG!$A$74=3,0,O20*T18*1.4)</f>
        <v>0</v>
      </c>
      <c r="U20" s="813">
        <f>O20*(U18)</f>
        <v>9.5508720000000002E-3</v>
      </c>
      <c r="V20" s="813">
        <f>O20*(V18)</f>
        <v>0.47754360000000001</v>
      </c>
      <c r="W20" s="813">
        <f>O20*($W$18)</f>
        <v>0</v>
      </c>
      <c r="X20" s="813">
        <f>IF(RG!$A$78=6,SUM(O20:W20),SUM(O20:V20))</f>
        <v>13.374802377</v>
      </c>
      <c r="Y20" s="814">
        <f>'RH3'!Y20</f>
        <v>0</v>
      </c>
      <c r="Z20" s="814">
        <f>'RH3'!Z20</f>
        <v>35</v>
      </c>
      <c r="AA20" s="815">
        <f>'RH3'!AA20</f>
        <v>0.02</v>
      </c>
    </row>
    <row r="21" spans="1:27" s="43" customFormat="1" ht="15.5">
      <c r="A21" s="865">
        <f t="shared" ref="A21:A31" si="0">A20+1</f>
        <v>2</v>
      </c>
      <c r="B21" s="1021" t="str">
        <f>'RH3'!B21</f>
        <v>Poste MOD 2 - Actionnaire</v>
      </c>
      <c r="C21" s="1015">
        <f>'RH3'!C21</f>
        <v>1</v>
      </c>
      <c r="D21" s="1015">
        <f>'RH3'!D21</f>
        <v>1</v>
      </c>
      <c r="E21" s="1015">
        <f>'RH3'!E21</f>
        <v>1</v>
      </c>
      <c r="F21" s="1015">
        <f>'RH3'!F21</f>
        <v>1</v>
      </c>
      <c r="G21" s="1015">
        <f>'RH3'!G21</f>
        <v>1</v>
      </c>
      <c r="H21" s="1015">
        <f>'RH3'!H21</f>
        <v>1</v>
      </c>
      <c r="I21" s="1015">
        <f>'RH3'!I21</f>
        <v>1</v>
      </c>
      <c r="J21" s="1015">
        <f>'RH3'!J21</f>
        <v>1</v>
      </c>
      <c r="K21" s="1015">
        <f>'RH3'!K21</f>
        <v>1</v>
      </c>
      <c r="L21" s="1015">
        <f>'RH3'!L21</f>
        <v>1</v>
      </c>
      <c r="M21" s="1015">
        <f>'RH3'!M21</f>
        <v>1</v>
      </c>
      <c r="N21" s="1015">
        <f>'RH3'!N21</f>
        <v>1</v>
      </c>
      <c r="O21" s="1016">
        <f>'RH3'!O21*(1+'RH3'!AA21)</f>
        <v>11.93859</v>
      </c>
      <c r="P21" s="1028">
        <f>O21*(P18)</f>
        <v>0.62677597499999993</v>
      </c>
      <c r="Q21" s="831">
        <f>IF(RG!$A$74=3,0,O21*Q18*1.4)</f>
        <v>0</v>
      </c>
      <c r="R21" s="831">
        <f>O21*(R18)</f>
        <v>0.32234193</v>
      </c>
      <c r="S21" s="831">
        <f>IF(RG!$A$74=3,0,O21*S18)</f>
        <v>0</v>
      </c>
      <c r="T21" s="831">
        <f>IF(RG!$A$74=3,0,O21*T18*1.4)</f>
        <v>0</v>
      </c>
      <c r="U21" s="831">
        <f>O21*(U18)</f>
        <v>9.5508720000000002E-3</v>
      </c>
      <c r="V21" s="831">
        <f>O21*(V18)</f>
        <v>0.47754360000000001</v>
      </c>
      <c r="W21" s="813">
        <f t="shared" ref="W21:W31" si="1">O21*($W$18)</f>
        <v>0</v>
      </c>
      <c r="X21" s="813">
        <f>IF(RG!$A$78=6,SUM(O21:W21),SUM(O21:V21))</f>
        <v>13.374802377</v>
      </c>
      <c r="Y21" s="814">
        <f>'RH3'!Y21</f>
        <v>0</v>
      </c>
      <c r="Z21" s="814">
        <f>'RH3'!Z21</f>
        <v>35</v>
      </c>
      <c r="AA21" s="815">
        <f>'RH3'!AA21</f>
        <v>0.02</v>
      </c>
    </row>
    <row r="22" spans="1:27" s="43" customFormat="1" ht="15.5">
      <c r="A22" s="865">
        <f t="shared" si="0"/>
        <v>3</v>
      </c>
      <c r="B22" s="1022" t="str">
        <f>'RH3'!B22</f>
        <v>Poste MOD 3</v>
      </c>
      <c r="C22" s="1017">
        <f>'RH3'!C22</f>
        <v>1</v>
      </c>
      <c r="D22" s="1017">
        <f>'RH3'!D22</f>
        <v>1</v>
      </c>
      <c r="E22" s="1017">
        <f>'RH3'!E22</f>
        <v>1</v>
      </c>
      <c r="F22" s="1017">
        <f>'RH3'!F22</f>
        <v>1</v>
      </c>
      <c r="G22" s="1017">
        <f>'RH3'!G22</f>
        <v>1</v>
      </c>
      <c r="H22" s="1017">
        <f>'RH3'!H22</f>
        <v>1</v>
      </c>
      <c r="I22" s="1017">
        <f>'RH3'!I22</f>
        <v>1</v>
      </c>
      <c r="J22" s="1017">
        <f>'RH3'!J22</f>
        <v>1</v>
      </c>
      <c r="K22" s="1017">
        <f>'RH3'!K22</f>
        <v>1</v>
      </c>
      <c r="L22" s="1017">
        <f>'RH3'!L22</f>
        <v>1</v>
      </c>
      <c r="M22" s="1017">
        <f>'RH3'!M22</f>
        <v>1</v>
      </c>
      <c r="N22" s="1017">
        <f>'RH3'!N22</f>
        <v>1</v>
      </c>
      <c r="O22" s="1018">
        <f>'RH3'!O22*(1+'RH3'!AA22)</f>
        <v>11.93859</v>
      </c>
      <c r="P22" s="1013">
        <f>O22*(P18)</f>
        <v>0.62677597499999993</v>
      </c>
      <c r="Q22" s="833">
        <f>O22*(Q18)</f>
        <v>6.6856104E-2</v>
      </c>
      <c r="R22" s="833">
        <f>O22*(R18)</f>
        <v>0.32234193</v>
      </c>
      <c r="S22" s="833">
        <f>O22*(S18)</f>
        <v>1.3132448999999999</v>
      </c>
      <c r="T22" s="833">
        <f>O22*(T18)</f>
        <v>0.18385428600000001</v>
      </c>
      <c r="U22" s="833">
        <f>O22*(U18)</f>
        <v>9.5508720000000002E-3</v>
      </c>
      <c r="V22" s="833">
        <f>O22*(V18)</f>
        <v>0.47754360000000001</v>
      </c>
      <c r="W22" s="833">
        <f t="shared" si="1"/>
        <v>0</v>
      </c>
      <c r="X22" s="833">
        <f>IF(RG!$A$78=6,SUM(O22:W22),SUM(O22:V22))</f>
        <v>14.938757667000001</v>
      </c>
      <c r="Y22" s="830">
        <f>'RH3'!Y22</f>
        <v>0</v>
      </c>
      <c r="Z22" s="499">
        <f>'RH3'!Z22</f>
        <v>35</v>
      </c>
      <c r="AA22" s="501">
        <f>'RH3'!AA22</f>
        <v>0.02</v>
      </c>
    </row>
    <row r="23" spans="1:27" s="43" customFormat="1" ht="15.5">
      <c r="A23" s="865">
        <f t="shared" si="0"/>
        <v>4</v>
      </c>
      <c r="B23" s="1022" t="str">
        <f>'RH3'!B23</f>
        <v>Poste MOD 4</v>
      </c>
      <c r="C23" s="1017">
        <f>'RH3'!C23</f>
        <v>1</v>
      </c>
      <c r="D23" s="1017">
        <f>'RH3'!D23</f>
        <v>1</v>
      </c>
      <c r="E23" s="1017">
        <f>'RH3'!E23</f>
        <v>1</v>
      </c>
      <c r="F23" s="1017">
        <f>'RH3'!F23</f>
        <v>1</v>
      </c>
      <c r="G23" s="1017">
        <f>'RH3'!G23</f>
        <v>1</v>
      </c>
      <c r="H23" s="1017">
        <f>'RH3'!H23</f>
        <v>1</v>
      </c>
      <c r="I23" s="1017">
        <f>'RH3'!I23</f>
        <v>1</v>
      </c>
      <c r="J23" s="1017">
        <f>'RH3'!J23</f>
        <v>1</v>
      </c>
      <c r="K23" s="1017">
        <f>'RH3'!K23</f>
        <v>1</v>
      </c>
      <c r="L23" s="1017">
        <f>'RH3'!L23</f>
        <v>1</v>
      </c>
      <c r="M23" s="1017">
        <f>'RH3'!M23</f>
        <v>1</v>
      </c>
      <c r="N23" s="1017">
        <f>'RH3'!N23</f>
        <v>1</v>
      </c>
      <c r="O23" s="1018">
        <f>'RH3'!O23*(1+'RH3'!AA23)</f>
        <v>11.93859</v>
      </c>
      <c r="P23" s="1013">
        <f>O23*(P18)</f>
        <v>0.62677597499999993</v>
      </c>
      <c r="Q23" s="833">
        <f>O23*(Q18)</f>
        <v>6.6856104E-2</v>
      </c>
      <c r="R23" s="833">
        <f>O23*(R18)</f>
        <v>0.32234193</v>
      </c>
      <c r="S23" s="833">
        <f>O23*(S18)</f>
        <v>1.3132448999999999</v>
      </c>
      <c r="T23" s="833">
        <f>O23*(T18)</f>
        <v>0.18385428600000001</v>
      </c>
      <c r="U23" s="833">
        <f>O23*(U18)</f>
        <v>9.5508720000000002E-3</v>
      </c>
      <c r="V23" s="833">
        <f>O23*(V18)</f>
        <v>0.47754360000000001</v>
      </c>
      <c r="W23" s="833">
        <f t="shared" si="1"/>
        <v>0</v>
      </c>
      <c r="X23" s="833">
        <f>IF(RG!$A$78=6,SUM(O23:W23),SUM(O23:V23))</f>
        <v>14.938757667000001</v>
      </c>
      <c r="Y23" s="830">
        <f>'RH3'!Y23</f>
        <v>0</v>
      </c>
      <c r="Z23" s="499">
        <f>'RH3'!Z23</f>
        <v>35</v>
      </c>
      <c r="AA23" s="501">
        <f>'RH3'!AA23</f>
        <v>0.02</v>
      </c>
    </row>
    <row r="24" spans="1:27" s="43" customFormat="1" ht="15.5">
      <c r="A24" s="865">
        <f t="shared" si="0"/>
        <v>5</v>
      </c>
      <c r="B24" s="1022" t="str">
        <f>'RH3'!B24</f>
        <v>Poste MOD 5</v>
      </c>
      <c r="C24" s="1017">
        <f>'RH3'!C24</f>
        <v>1</v>
      </c>
      <c r="D24" s="1017">
        <f>'RH3'!D24</f>
        <v>1</v>
      </c>
      <c r="E24" s="1017">
        <f>'RH3'!E24</f>
        <v>1</v>
      </c>
      <c r="F24" s="1017">
        <f>'RH3'!F24</f>
        <v>1</v>
      </c>
      <c r="G24" s="1017">
        <f>'RH3'!G24</f>
        <v>1</v>
      </c>
      <c r="H24" s="1017">
        <f>'RH3'!H24</f>
        <v>1</v>
      </c>
      <c r="I24" s="1017">
        <f>'RH3'!I24</f>
        <v>1</v>
      </c>
      <c r="J24" s="1017">
        <f>'RH3'!J24</f>
        <v>1</v>
      </c>
      <c r="K24" s="1017">
        <f>'RH3'!K24</f>
        <v>1</v>
      </c>
      <c r="L24" s="1017">
        <f>'RH3'!L24</f>
        <v>1</v>
      </c>
      <c r="M24" s="1017">
        <f>'RH3'!M24</f>
        <v>1</v>
      </c>
      <c r="N24" s="1017">
        <f>'RH3'!N24</f>
        <v>1</v>
      </c>
      <c r="O24" s="1018">
        <f>'RH3'!O24*(1+'RH3'!AA24)</f>
        <v>11.93859</v>
      </c>
      <c r="P24" s="1013">
        <f>O24*(P18)</f>
        <v>0.62677597499999993</v>
      </c>
      <c r="Q24" s="833">
        <f>O24*(Q18)</f>
        <v>6.6856104E-2</v>
      </c>
      <c r="R24" s="833">
        <f>O24*(R18)</f>
        <v>0.32234193</v>
      </c>
      <c r="S24" s="833">
        <f>O24*(S18)</f>
        <v>1.3132448999999999</v>
      </c>
      <c r="T24" s="833">
        <f>O24*(T18)</f>
        <v>0.18385428600000001</v>
      </c>
      <c r="U24" s="833">
        <f>O24*(U18)</f>
        <v>9.5508720000000002E-3</v>
      </c>
      <c r="V24" s="833">
        <f>O24*(V18)</f>
        <v>0.47754360000000001</v>
      </c>
      <c r="W24" s="833">
        <f t="shared" si="1"/>
        <v>0</v>
      </c>
      <c r="X24" s="833">
        <f>IF(RG!$A$78=6,SUM(O24:W24),SUM(O24:V24))</f>
        <v>14.938757667000001</v>
      </c>
      <c r="Y24" s="830">
        <f>'RH3'!Y24</f>
        <v>0</v>
      </c>
      <c r="Z24" s="499">
        <f>'RH3'!Z24</f>
        <v>35</v>
      </c>
      <c r="AA24" s="501">
        <f>'RH3'!AA24</f>
        <v>0.02</v>
      </c>
    </row>
    <row r="25" spans="1:27" s="43" customFormat="1" ht="15.5">
      <c r="A25" s="865">
        <f t="shared" si="0"/>
        <v>6</v>
      </c>
      <c r="B25" s="1022" t="str">
        <f>'RH3'!B25</f>
        <v>Poste MOD 6</v>
      </c>
      <c r="C25" s="1017">
        <f>'RH3'!C25</f>
        <v>1</v>
      </c>
      <c r="D25" s="1017">
        <f>'RH3'!D25</f>
        <v>1</v>
      </c>
      <c r="E25" s="1017">
        <f>'RH3'!E25</f>
        <v>1</v>
      </c>
      <c r="F25" s="1017">
        <f>'RH3'!F25</f>
        <v>1</v>
      </c>
      <c r="G25" s="1017">
        <f>'RH3'!G25</f>
        <v>1</v>
      </c>
      <c r="H25" s="1017">
        <f>'RH3'!H25</f>
        <v>1</v>
      </c>
      <c r="I25" s="1017">
        <f>'RH3'!I25</f>
        <v>1</v>
      </c>
      <c r="J25" s="1017">
        <f>'RH3'!J25</f>
        <v>1</v>
      </c>
      <c r="K25" s="1017">
        <f>'RH3'!K25</f>
        <v>1</v>
      </c>
      <c r="L25" s="1017">
        <f>'RH3'!L25</f>
        <v>1</v>
      </c>
      <c r="M25" s="1017">
        <f>'RH3'!M25</f>
        <v>1</v>
      </c>
      <c r="N25" s="1017">
        <f>'RH3'!N25</f>
        <v>1</v>
      </c>
      <c r="O25" s="1018">
        <f>'RH3'!O25*(1+'RH3'!AA25)</f>
        <v>11.93859</v>
      </c>
      <c r="P25" s="1013">
        <f>O25*(P18)</f>
        <v>0.62677597499999993</v>
      </c>
      <c r="Q25" s="833">
        <f>O25*(Q18)</f>
        <v>6.6856104E-2</v>
      </c>
      <c r="R25" s="833">
        <f>O25*(R18)</f>
        <v>0.32234193</v>
      </c>
      <c r="S25" s="833">
        <f>O25*(S18)</f>
        <v>1.3132448999999999</v>
      </c>
      <c r="T25" s="833">
        <f>O25*(T18)</f>
        <v>0.18385428600000001</v>
      </c>
      <c r="U25" s="833">
        <f>O25*(U18)</f>
        <v>9.5508720000000002E-3</v>
      </c>
      <c r="V25" s="833">
        <f>O25*(V18)</f>
        <v>0.47754360000000001</v>
      </c>
      <c r="W25" s="833">
        <f t="shared" si="1"/>
        <v>0</v>
      </c>
      <c r="X25" s="833">
        <f>IF(RG!$A$78=6,SUM(O25:W25),SUM(O25:V25))</f>
        <v>14.938757667000001</v>
      </c>
      <c r="Y25" s="830">
        <f>'RH3'!Y25</f>
        <v>0</v>
      </c>
      <c r="Z25" s="499">
        <f>'RH3'!Z25</f>
        <v>35</v>
      </c>
      <c r="AA25" s="501">
        <f>'RH3'!AA25</f>
        <v>0.02</v>
      </c>
    </row>
    <row r="26" spans="1:27" s="43" customFormat="1" ht="15.5">
      <c r="A26" s="865">
        <f t="shared" si="0"/>
        <v>7</v>
      </c>
      <c r="B26" s="1022" t="str">
        <f>'RH3'!B26</f>
        <v>Poste MOD 7</v>
      </c>
      <c r="C26" s="1017">
        <f>'RH3'!C26</f>
        <v>1</v>
      </c>
      <c r="D26" s="1017">
        <f>'RH3'!D26</f>
        <v>1</v>
      </c>
      <c r="E26" s="1017">
        <f>'RH3'!E26</f>
        <v>1</v>
      </c>
      <c r="F26" s="1017">
        <f>'RH3'!F26</f>
        <v>1</v>
      </c>
      <c r="G26" s="1017">
        <f>'RH3'!G26</f>
        <v>1</v>
      </c>
      <c r="H26" s="1017">
        <f>'RH3'!H26</f>
        <v>1</v>
      </c>
      <c r="I26" s="1017">
        <f>'RH3'!I26</f>
        <v>1</v>
      </c>
      <c r="J26" s="1017">
        <f>'RH3'!J26</f>
        <v>1</v>
      </c>
      <c r="K26" s="1017">
        <f>'RH3'!K26</f>
        <v>1</v>
      </c>
      <c r="L26" s="1017">
        <f>'RH3'!L26</f>
        <v>1</v>
      </c>
      <c r="M26" s="1017">
        <f>'RH3'!M26</f>
        <v>1</v>
      </c>
      <c r="N26" s="1017">
        <f>'RH3'!N26</f>
        <v>1</v>
      </c>
      <c r="O26" s="1018">
        <f>'RH3'!O26*(1+'RH3'!AA26)</f>
        <v>11.93859</v>
      </c>
      <c r="P26" s="1013">
        <f>O26*(P18)</f>
        <v>0.62677597499999993</v>
      </c>
      <c r="Q26" s="833">
        <f>O26*(Q18)</f>
        <v>6.6856104E-2</v>
      </c>
      <c r="R26" s="833">
        <f>O26*(R18)</f>
        <v>0.32234193</v>
      </c>
      <c r="S26" s="833">
        <f>O26*(S18)</f>
        <v>1.3132448999999999</v>
      </c>
      <c r="T26" s="833">
        <f>O26*(T18)</f>
        <v>0.18385428600000001</v>
      </c>
      <c r="U26" s="833">
        <f>O26*(U18)</f>
        <v>9.5508720000000002E-3</v>
      </c>
      <c r="V26" s="833">
        <f>O26*(V18)</f>
        <v>0.47754360000000001</v>
      </c>
      <c r="W26" s="833">
        <f t="shared" si="1"/>
        <v>0</v>
      </c>
      <c r="X26" s="833">
        <f>IF(RG!$A$78=6,SUM(O26:W26),SUM(O26:V26))</f>
        <v>14.938757667000001</v>
      </c>
      <c r="Y26" s="830">
        <f>'RH3'!Y26</f>
        <v>0</v>
      </c>
      <c r="Z26" s="499">
        <f>'RH3'!Z26</f>
        <v>35</v>
      </c>
      <c r="AA26" s="501">
        <f>'RH3'!AA26</f>
        <v>0.02</v>
      </c>
    </row>
    <row r="27" spans="1:27" s="43" customFormat="1" ht="15.5">
      <c r="A27" s="1009">
        <f t="shared" si="0"/>
        <v>8</v>
      </c>
      <c r="B27" s="1023" t="str">
        <f>'RH3'!B27</f>
        <v>Poste MOD 8</v>
      </c>
      <c r="C27" s="1019">
        <f>'RH3'!C27</f>
        <v>1</v>
      </c>
      <c r="D27" s="1019">
        <f>'RH3'!D27</f>
        <v>1</v>
      </c>
      <c r="E27" s="1019">
        <f>'RH3'!E27</f>
        <v>1</v>
      </c>
      <c r="F27" s="1019">
        <f>'RH3'!F27</f>
        <v>1</v>
      </c>
      <c r="G27" s="1019">
        <f>'RH3'!G27</f>
        <v>1</v>
      </c>
      <c r="H27" s="1019">
        <f>'RH3'!H27</f>
        <v>1</v>
      </c>
      <c r="I27" s="1019">
        <f>'RH3'!I27</f>
        <v>1</v>
      </c>
      <c r="J27" s="1019">
        <f>'RH3'!J27</f>
        <v>1</v>
      </c>
      <c r="K27" s="1019">
        <f>'RH3'!K27</f>
        <v>1</v>
      </c>
      <c r="L27" s="1019">
        <f>'RH3'!L27</f>
        <v>1</v>
      </c>
      <c r="M27" s="1019">
        <f>'RH3'!M27</f>
        <v>1</v>
      </c>
      <c r="N27" s="1019">
        <f>'RH3'!N27</f>
        <v>1</v>
      </c>
      <c r="O27" s="1020">
        <f>'RH3'!O27*(1+'RH3'!AA27)</f>
        <v>11.93859</v>
      </c>
      <c r="P27" s="1014">
        <f>O27*(P18)</f>
        <v>0.62677597499999993</v>
      </c>
      <c r="Q27" s="1005">
        <f>O27*(Q18)</f>
        <v>6.6856104E-2</v>
      </c>
      <c r="R27" s="1005">
        <f>O27*(R18)</f>
        <v>0.32234193</v>
      </c>
      <c r="S27" s="1005">
        <f>O27*(S18)</f>
        <v>1.3132448999999999</v>
      </c>
      <c r="T27" s="1005">
        <f>O27*(T18)</f>
        <v>0.18385428600000001</v>
      </c>
      <c r="U27" s="1005">
        <f>O27*(U18)</f>
        <v>9.5508720000000002E-3</v>
      </c>
      <c r="V27" s="1005">
        <f>O27*(V18)</f>
        <v>0.47754360000000001</v>
      </c>
      <c r="W27" s="1005">
        <f t="shared" si="1"/>
        <v>0</v>
      </c>
      <c r="X27" s="1005">
        <f>IF(RG!$A$78=6,SUM(O27:W27),SUM(O27:V27))</f>
        <v>14.938757667000001</v>
      </c>
      <c r="Y27" s="1006">
        <f>'RH3'!Y27</f>
        <v>0</v>
      </c>
      <c r="Z27" s="1007">
        <f>'RH3'!Z27</f>
        <v>35</v>
      </c>
      <c r="AA27" s="1008">
        <f>'RH3'!AA27</f>
        <v>0.02</v>
      </c>
    </row>
    <row r="28" spans="1:27" s="43" customFormat="1" ht="15.5">
      <c r="A28" s="866">
        <f t="shared" si="0"/>
        <v>9</v>
      </c>
      <c r="B28" s="1021" t="str">
        <f>'RH3'!B28</f>
        <v>Poste ADM 1 - Actionnaire</v>
      </c>
      <c r="C28" s="1015">
        <f>'RH3'!C28</f>
        <v>1</v>
      </c>
      <c r="D28" s="1015">
        <f>'RH3'!D28</f>
        <v>1</v>
      </c>
      <c r="E28" s="1015">
        <f>'RH3'!E28</f>
        <v>1</v>
      </c>
      <c r="F28" s="1015">
        <f>'RH3'!F28</f>
        <v>1</v>
      </c>
      <c r="G28" s="1015">
        <f>'RH3'!G28</f>
        <v>1</v>
      </c>
      <c r="H28" s="1015">
        <f>'RH3'!H28</f>
        <v>1</v>
      </c>
      <c r="I28" s="1015">
        <f>'RH3'!I28</f>
        <v>1</v>
      </c>
      <c r="J28" s="1015">
        <f>'RH3'!J28</f>
        <v>1</v>
      </c>
      <c r="K28" s="1015">
        <f>'RH3'!K28</f>
        <v>1</v>
      </c>
      <c r="L28" s="1015">
        <f>'RH3'!L28</f>
        <v>1</v>
      </c>
      <c r="M28" s="1015">
        <f>'RH3'!M28</f>
        <v>1</v>
      </c>
      <c r="N28" s="1015">
        <f>'RH3'!N28</f>
        <v>1</v>
      </c>
      <c r="O28" s="1016">
        <f>'RH3'!O28*(1+'RH3'!AA28)</f>
        <v>11.93859</v>
      </c>
      <c r="P28" s="1029">
        <f>O28*(P18)</f>
        <v>0.62677597499999993</v>
      </c>
      <c r="Q28" s="832">
        <f>IF(RG!$A$74=3,0,O28*Q18*1.4)</f>
        <v>0</v>
      </c>
      <c r="R28" s="832">
        <f>O28*(R18)</f>
        <v>0.32234193</v>
      </c>
      <c r="S28" s="832">
        <f>IF(RG!$A$74=3,0,O28*S18)</f>
        <v>0</v>
      </c>
      <c r="T28" s="832">
        <f>IF(RG!$A$74=3,0,O28*T18*1.4)</f>
        <v>0</v>
      </c>
      <c r="U28" s="832">
        <f>O28*(U18)</f>
        <v>9.5508720000000002E-3</v>
      </c>
      <c r="V28" s="832">
        <f>O28*(V18)</f>
        <v>0.47754360000000001</v>
      </c>
      <c r="W28" s="813">
        <f t="shared" si="1"/>
        <v>0</v>
      </c>
      <c r="X28" s="813">
        <f>IF(RG!$A$78=6,SUM(O28:W28),SUM(O28:V28))</f>
        <v>13.374802377</v>
      </c>
      <c r="Y28" s="814">
        <f>'RH3'!Y28</f>
        <v>0</v>
      </c>
      <c r="Z28" s="814">
        <f>'RH3'!Z28</f>
        <v>35</v>
      </c>
      <c r="AA28" s="815">
        <f>'RH3'!AA28</f>
        <v>0.02</v>
      </c>
    </row>
    <row r="29" spans="1:27" s="43" customFormat="1" ht="15.5">
      <c r="A29" s="866">
        <f t="shared" si="0"/>
        <v>10</v>
      </c>
      <c r="B29" s="1021" t="str">
        <f>'RH3'!B29</f>
        <v>Poste ADM 2 - Actionnaire</v>
      </c>
      <c r="C29" s="1015">
        <f>'RH3'!C29</f>
        <v>1</v>
      </c>
      <c r="D29" s="1015">
        <f>'RH3'!D29</f>
        <v>1</v>
      </c>
      <c r="E29" s="1015">
        <f>'RH3'!E29</f>
        <v>1</v>
      </c>
      <c r="F29" s="1015">
        <f>'RH3'!F29</f>
        <v>1</v>
      </c>
      <c r="G29" s="1015">
        <f>'RH3'!G29</f>
        <v>1</v>
      </c>
      <c r="H29" s="1015">
        <f>'RH3'!H29</f>
        <v>1</v>
      </c>
      <c r="I29" s="1015">
        <f>'RH3'!I29</f>
        <v>1</v>
      </c>
      <c r="J29" s="1015">
        <f>'RH3'!J29</f>
        <v>1</v>
      </c>
      <c r="K29" s="1015">
        <f>'RH3'!K29</f>
        <v>1</v>
      </c>
      <c r="L29" s="1015">
        <f>'RH3'!L29</f>
        <v>1</v>
      </c>
      <c r="M29" s="1015">
        <f>'RH3'!M29</f>
        <v>1</v>
      </c>
      <c r="N29" s="1015">
        <f>'RH3'!N29</f>
        <v>1</v>
      </c>
      <c r="O29" s="1016">
        <f>'RH3'!O29*(1+'RH3'!AA29)</f>
        <v>11.93859</v>
      </c>
      <c r="P29" s="1028">
        <f>O29*(P18)</f>
        <v>0.62677597499999993</v>
      </c>
      <c r="Q29" s="831">
        <f>IF(RG!$A$74=3,0,O29*Q18*1.4)</f>
        <v>0</v>
      </c>
      <c r="R29" s="831">
        <f>O29*(R18)</f>
        <v>0.32234193</v>
      </c>
      <c r="S29" s="831">
        <f>IF(RG!$A$74=3,0,O29*S18)</f>
        <v>0</v>
      </c>
      <c r="T29" s="831">
        <f>IF(RG!$A$74=3,0,O29*T18*1.4)</f>
        <v>0</v>
      </c>
      <c r="U29" s="831">
        <f>O29*(U18)</f>
        <v>9.5508720000000002E-3</v>
      </c>
      <c r="V29" s="831">
        <f>O29*(V18)</f>
        <v>0.47754360000000001</v>
      </c>
      <c r="W29" s="813">
        <f t="shared" si="1"/>
        <v>0</v>
      </c>
      <c r="X29" s="813">
        <f>IF(RG!$A$78=6,SUM(O29:W29),SUM(O29:V29))</f>
        <v>13.374802377</v>
      </c>
      <c r="Y29" s="814">
        <f>'RH3'!Y29</f>
        <v>0</v>
      </c>
      <c r="Z29" s="814">
        <f>'RH3'!Z29</f>
        <v>35</v>
      </c>
      <c r="AA29" s="815">
        <f>'RH3'!AA29</f>
        <v>0.02</v>
      </c>
    </row>
    <row r="30" spans="1:27" s="43" customFormat="1" ht="15.5">
      <c r="A30" s="866">
        <f t="shared" si="0"/>
        <v>11</v>
      </c>
      <c r="B30" s="1024" t="str">
        <f>'RH3'!B30</f>
        <v>Poste administratif 3</v>
      </c>
      <c r="C30" s="1017">
        <f>'RH3'!C30</f>
        <v>1</v>
      </c>
      <c r="D30" s="1017">
        <f>'RH3'!D30</f>
        <v>1</v>
      </c>
      <c r="E30" s="1017">
        <f>'RH3'!E30</f>
        <v>1</v>
      </c>
      <c r="F30" s="1017">
        <f>'RH3'!F30</f>
        <v>1</v>
      </c>
      <c r="G30" s="1017">
        <f>'RH3'!G30</f>
        <v>1</v>
      </c>
      <c r="H30" s="1017">
        <f>'RH3'!H30</f>
        <v>1</v>
      </c>
      <c r="I30" s="1017">
        <f>'RH3'!I30</f>
        <v>1</v>
      </c>
      <c r="J30" s="1017">
        <f>'RH3'!J30</f>
        <v>1</v>
      </c>
      <c r="K30" s="1017">
        <f>'RH3'!K30</f>
        <v>1</v>
      </c>
      <c r="L30" s="1017">
        <f>'RH3'!L30</f>
        <v>1</v>
      </c>
      <c r="M30" s="1017">
        <f>'RH3'!M30</f>
        <v>1</v>
      </c>
      <c r="N30" s="1017">
        <f>'RH3'!N30</f>
        <v>1</v>
      </c>
      <c r="O30" s="1018">
        <f>'RH3'!O30*(1+'RH3'!AA30)</f>
        <v>11.93859</v>
      </c>
      <c r="P30" s="1013">
        <f>O30*(P18)</f>
        <v>0.62677597499999993</v>
      </c>
      <c r="Q30" s="833">
        <f>O30*(Q18)</f>
        <v>6.6856104E-2</v>
      </c>
      <c r="R30" s="833">
        <f>O30*(R18)</f>
        <v>0.32234193</v>
      </c>
      <c r="S30" s="833">
        <f>O30*(S18)</f>
        <v>1.3132448999999999</v>
      </c>
      <c r="T30" s="833">
        <f>O30*(T18)</f>
        <v>0.18385428600000001</v>
      </c>
      <c r="U30" s="833">
        <f>O30*(U18)</f>
        <v>9.5508720000000002E-3</v>
      </c>
      <c r="V30" s="833">
        <f>O30*(V18)</f>
        <v>0.47754360000000001</v>
      </c>
      <c r="W30" s="833">
        <f t="shared" si="1"/>
        <v>0</v>
      </c>
      <c r="X30" s="833">
        <f>IF(RG!$A$78=6,SUM(O30:W30),SUM(O30:V30))</f>
        <v>14.938757667000001</v>
      </c>
      <c r="Y30" s="830">
        <f>'RH3'!Y30</f>
        <v>0</v>
      </c>
      <c r="Z30" s="499">
        <f>'RH3'!Z30</f>
        <v>35</v>
      </c>
      <c r="AA30" s="501">
        <f>'RH3'!AA30</f>
        <v>0.02</v>
      </c>
    </row>
    <row r="31" spans="1:27" s="43" customFormat="1" ht="15.5">
      <c r="A31" s="866">
        <f t="shared" si="0"/>
        <v>12</v>
      </c>
      <c r="B31" s="1024" t="str">
        <f>'RH3'!B31</f>
        <v>Poste administratif 4</v>
      </c>
      <c r="C31" s="1017">
        <f>'RH3'!C31</f>
        <v>1</v>
      </c>
      <c r="D31" s="1017">
        <f>'RH3'!D31</f>
        <v>1</v>
      </c>
      <c r="E31" s="1017">
        <f>'RH3'!E31</f>
        <v>1</v>
      </c>
      <c r="F31" s="1017">
        <f>'RH3'!F31</f>
        <v>1</v>
      </c>
      <c r="G31" s="1017">
        <f>'RH3'!G31</f>
        <v>1</v>
      </c>
      <c r="H31" s="1017">
        <f>'RH3'!H31</f>
        <v>1</v>
      </c>
      <c r="I31" s="1017">
        <f>'RH3'!I31</f>
        <v>1</v>
      </c>
      <c r="J31" s="1017">
        <f>'RH3'!J31</f>
        <v>1</v>
      </c>
      <c r="K31" s="1017">
        <f>'RH3'!K31</f>
        <v>1</v>
      </c>
      <c r="L31" s="1017">
        <f>'RH3'!L31</f>
        <v>1</v>
      </c>
      <c r="M31" s="1017">
        <f>'RH3'!M31</f>
        <v>1</v>
      </c>
      <c r="N31" s="1017">
        <f>'RH3'!N31</f>
        <v>1</v>
      </c>
      <c r="O31" s="1018">
        <f>'RH3'!O31*(1+'RH3'!AA31)</f>
        <v>21.224160000000001</v>
      </c>
      <c r="P31" s="1013">
        <f>O31*(P18)</f>
        <v>1.1142684</v>
      </c>
      <c r="Q31" s="833">
        <f>O31*(Q18)</f>
        <v>0.118855296</v>
      </c>
      <c r="R31" s="833">
        <f>O31*(R18)</f>
        <v>0.57305232000000006</v>
      </c>
      <c r="S31" s="833">
        <f>O31*(S18)</f>
        <v>2.3346576000000003</v>
      </c>
      <c r="T31" s="833">
        <f>O31*(T18)</f>
        <v>0.32685206400000005</v>
      </c>
      <c r="U31" s="833">
        <f>O31*(U18)</f>
        <v>1.6979328000000002E-2</v>
      </c>
      <c r="V31" s="833">
        <f>O31*(V18)</f>
        <v>0.84896640000000012</v>
      </c>
      <c r="W31" s="833">
        <f t="shared" si="1"/>
        <v>0</v>
      </c>
      <c r="X31" s="833">
        <f>IF(RG!$A$78=6,SUM(O31:W31),SUM(O31:V31))</f>
        <v>26.557791408</v>
      </c>
      <c r="Y31" s="830">
        <f>'RH3'!Y31</f>
        <v>1</v>
      </c>
      <c r="Z31" s="499">
        <f>'RH3'!Z31</f>
        <v>40</v>
      </c>
      <c r="AA31" s="501">
        <f>'RH3'!AA31</f>
        <v>0.02</v>
      </c>
    </row>
    <row r="32" spans="1:27" s="43" customFormat="1" ht="15.5">
      <c r="A32" s="277"/>
      <c r="B32" s="279"/>
      <c r="C32" s="279"/>
      <c r="D32" s="279"/>
      <c r="E32" s="279"/>
      <c r="F32" s="279"/>
      <c r="G32" s="279"/>
      <c r="H32" s="279"/>
      <c r="I32" s="279"/>
      <c r="J32" s="279"/>
      <c r="K32" s="279"/>
      <c r="L32" s="279"/>
      <c r="M32" s="279"/>
      <c r="N32" s="279"/>
      <c r="O32" s="280"/>
      <c r="P32" s="279"/>
      <c r="Q32" s="279"/>
      <c r="R32" s="279"/>
      <c r="S32" s="279"/>
      <c r="T32" s="279"/>
      <c r="U32" s="279"/>
      <c r="V32" s="279"/>
      <c r="W32" s="279"/>
      <c r="X32" s="279"/>
      <c r="Y32" s="279"/>
      <c r="Z32" s="279"/>
      <c r="AA32" s="277"/>
    </row>
    <row r="33" spans="1:27" s="43" customFormat="1" ht="15.5">
      <c r="A33" s="277"/>
      <c r="B33" s="277"/>
      <c r="C33" s="277"/>
      <c r="D33" s="277"/>
      <c r="E33" s="277"/>
      <c r="F33" s="277"/>
      <c r="G33" s="277"/>
      <c r="H33" s="277"/>
      <c r="I33" s="277"/>
      <c r="J33" s="277"/>
      <c r="K33" s="277"/>
      <c r="L33" s="277"/>
      <c r="M33" s="277"/>
      <c r="N33" s="277"/>
      <c r="O33" s="281"/>
      <c r="P33" s="277"/>
      <c r="Q33" s="277"/>
      <c r="R33" s="277"/>
      <c r="S33" s="277"/>
      <c r="T33" s="277"/>
      <c r="U33" s="277"/>
      <c r="V33" s="277"/>
      <c r="W33" s="277"/>
      <c r="X33" s="277"/>
      <c r="Y33" s="277"/>
      <c r="Z33" s="277"/>
      <c r="AA33" s="277"/>
    </row>
    <row r="34" spans="1:27" s="43" customFormat="1" ht="15.5">
      <c r="A34" s="277"/>
      <c r="B34" s="277"/>
      <c r="C34" s="277"/>
      <c r="D34" s="277"/>
      <c r="E34" s="277"/>
      <c r="F34" s="277"/>
      <c r="G34" s="277"/>
      <c r="H34" s="277"/>
      <c r="I34" s="277"/>
      <c r="J34" s="277"/>
      <c r="K34" s="277"/>
      <c r="L34" s="277"/>
      <c r="M34" s="277"/>
      <c r="N34" s="277"/>
      <c r="O34" s="281"/>
      <c r="P34" s="277"/>
      <c r="Q34" s="277"/>
      <c r="R34" s="277"/>
      <c r="S34" s="277"/>
      <c r="T34" s="277"/>
      <c r="U34" s="277"/>
      <c r="V34" s="277"/>
      <c r="W34" s="277"/>
      <c r="X34" s="277"/>
      <c r="Y34" s="277"/>
      <c r="Z34" s="277"/>
      <c r="AA34" s="277"/>
    </row>
  </sheetData>
  <sheetProtection password="E242" sheet="1" objects="1" scenarios="1"/>
  <customSheetViews>
    <customSheetView guid="{30D0538C-360A-4CDF-8D89-584CED1967CC}" scale="80" showGridLines="0">
      <selection activeCell="W11" sqref="W11"/>
      <pageMargins left="0.7" right="0.7" top="0.75" bottom="0.75" header="0.3" footer="0.3"/>
    </customSheetView>
    <customSheetView guid="{4F3169C3-3348-49DE-A6DC-8AA4D2A9D7A1}" scale="80" showGridLines="0">
      <selection activeCell="W11" sqref="W11"/>
      <pageMargins left="0.7" right="0.7" top="0.75" bottom="0.75" header="0.3" footer="0.3"/>
    </customSheetView>
  </customSheetViews>
  <mergeCells count="4">
    <mergeCell ref="A13:B13"/>
    <mergeCell ref="B17:B18"/>
    <mergeCell ref="C17:N18"/>
    <mergeCell ref="A10:D10"/>
  </mergeCells>
  <pageMargins left="0.7" right="0.7" top="0.75" bottom="0.75" header="0.3" footer="0.3"/>
  <pageSetup scale="44" fitToHeight="0" orientation="landscape" r:id="rId1"/>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61">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3"/>
  <cols>
    <col min="1" max="1" width="5.453125" style="43" customWidth="1"/>
    <col min="2" max="2" width="28.36328125" style="43" customWidth="1"/>
    <col min="3" max="14" width="8.453125" style="43" customWidth="1"/>
    <col min="15" max="15" width="14" style="43" customWidth="1"/>
    <col min="16" max="20" width="9.6328125" style="43" customWidth="1"/>
    <col min="21" max="21" width="12.08984375" style="43" customWidth="1"/>
    <col min="22" max="22" width="12" style="43" customWidth="1"/>
    <col min="23" max="23" width="15.453125" style="43" customWidth="1"/>
    <col min="24" max="24" width="12" style="43" customWidth="1"/>
    <col min="25" max="25" width="9.08984375" style="43" customWidth="1"/>
    <col min="26" max="26" width="9.6328125" style="43" customWidth="1"/>
    <col min="27" max="27" width="13" style="43" customWidth="1"/>
  </cols>
  <sheetData>
    <row r="1" spans="1:27" ht="12.5">
      <c r="A1"/>
      <c r="B1"/>
      <c r="C1"/>
      <c r="D1"/>
      <c r="E1"/>
      <c r="F1"/>
      <c r="G1"/>
      <c r="H1"/>
      <c r="I1"/>
      <c r="J1"/>
      <c r="K1"/>
      <c r="L1"/>
      <c r="M1"/>
      <c r="N1"/>
      <c r="O1"/>
      <c r="P1"/>
      <c r="Q1"/>
      <c r="R1"/>
      <c r="S1"/>
      <c r="T1"/>
      <c r="U1"/>
      <c r="V1"/>
      <c r="W1"/>
      <c r="X1"/>
      <c r="Y1"/>
      <c r="Z1"/>
      <c r="AA1"/>
    </row>
    <row r="2" spans="1:27" ht="12.5">
      <c r="A2"/>
      <c r="B2"/>
      <c r="C2"/>
      <c r="D2"/>
      <c r="E2"/>
      <c r="F2"/>
      <c r="G2"/>
      <c r="H2"/>
      <c r="I2"/>
      <c r="J2"/>
      <c r="K2"/>
      <c r="L2"/>
      <c r="M2"/>
      <c r="N2"/>
      <c r="O2"/>
      <c r="P2"/>
      <c r="Q2"/>
      <c r="R2"/>
      <c r="S2"/>
      <c r="T2"/>
      <c r="U2"/>
      <c r="V2"/>
      <c r="W2"/>
      <c r="X2"/>
      <c r="Y2"/>
      <c r="Z2"/>
      <c r="AA2"/>
    </row>
    <row r="3" spans="1:27" ht="12.5">
      <c r="A3"/>
      <c r="B3"/>
      <c r="C3"/>
      <c r="D3"/>
      <c r="E3"/>
      <c r="F3"/>
      <c r="G3"/>
      <c r="H3"/>
      <c r="I3"/>
      <c r="J3"/>
      <c r="K3"/>
      <c r="L3"/>
      <c r="M3"/>
      <c r="N3"/>
      <c r="O3"/>
      <c r="P3"/>
      <c r="Q3"/>
      <c r="R3"/>
      <c r="S3"/>
      <c r="T3"/>
      <c r="U3"/>
      <c r="V3"/>
      <c r="W3"/>
      <c r="X3"/>
      <c r="Y3"/>
      <c r="Z3"/>
      <c r="AA3"/>
    </row>
    <row r="4" spans="1:27" s="261" customFormat="1" ht="12.5"/>
    <row r="5" spans="1:27" s="261" customFormat="1" ht="12.5"/>
    <row r="6" spans="1:27" s="261" customFormat="1" ht="12.5"/>
    <row r="7" spans="1:27" s="261" customFormat="1" ht="12.5"/>
    <row r="8" spans="1:27" s="261" customFormat="1" ht="12.5"/>
    <row r="9" spans="1:27" s="261" customFormat="1" ht="6.75" customHeight="1">
      <c r="B9" s="932"/>
      <c r="C9" s="932"/>
      <c r="D9" s="932"/>
      <c r="E9" s="932"/>
      <c r="F9" s="932"/>
      <c r="G9" s="932"/>
      <c r="H9" s="932"/>
      <c r="I9" s="932"/>
      <c r="J9" s="932"/>
      <c r="K9" s="932"/>
      <c r="L9" s="932"/>
      <c r="M9" s="932"/>
      <c r="N9" s="932"/>
      <c r="O9" s="932"/>
      <c r="P9" s="932"/>
      <c r="Q9" s="932"/>
      <c r="R9" s="932"/>
      <c r="S9" s="932"/>
      <c r="T9" s="932"/>
      <c r="U9" s="932"/>
      <c r="V9" s="932"/>
      <c r="W9" s="932"/>
      <c r="X9" s="932"/>
      <c r="Y9" s="932"/>
      <c r="Z9" s="932"/>
      <c r="AA9" s="932"/>
    </row>
    <row r="10" spans="1:27" s="43" customFormat="1" ht="33" customHeight="1">
      <c r="A10" s="1198" t="str">
        <f>RG!D17</f>
        <v>Jhon Wesly inc.</v>
      </c>
      <c r="B10" s="1198"/>
      <c r="C10" s="1198"/>
      <c r="D10" s="1198"/>
      <c r="E10" s="277"/>
      <c r="F10" s="277"/>
      <c r="G10" s="277"/>
      <c r="H10" s="277"/>
      <c r="I10" s="277"/>
      <c r="J10" s="277"/>
      <c r="K10" s="277"/>
      <c r="L10" s="277"/>
      <c r="M10" s="277"/>
      <c r="N10" s="277"/>
      <c r="O10" s="277"/>
      <c r="P10" s="277"/>
      <c r="Q10" s="277"/>
      <c r="R10" s="277"/>
      <c r="S10" s="277"/>
      <c r="T10" s="277"/>
      <c r="U10" s="277"/>
      <c r="V10" s="277"/>
      <c r="W10" s="277"/>
      <c r="X10" s="277"/>
      <c r="Y10" s="277"/>
      <c r="Z10" s="277"/>
      <c r="AA10" s="277"/>
    </row>
    <row r="11" spans="1:27" s="43" customFormat="1" ht="22.5">
      <c r="C11" s="285"/>
      <c r="D11" s="285"/>
      <c r="E11" s="807"/>
      <c r="F11" s="285"/>
      <c r="G11" s="285"/>
      <c r="H11" s="285"/>
      <c r="I11" s="285"/>
      <c r="J11" s="285"/>
      <c r="K11" s="285"/>
      <c r="L11" s="285"/>
      <c r="M11" s="285"/>
      <c r="N11" s="285"/>
      <c r="O11" s="277"/>
      <c r="P11" s="277"/>
      <c r="Q11" s="277"/>
      <c r="R11" s="277"/>
      <c r="S11" s="277"/>
      <c r="T11" s="277"/>
      <c r="U11" s="277"/>
      <c r="V11" s="277"/>
      <c r="W11" s="277"/>
      <c r="X11" s="277"/>
      <c r="Y11" s="277"/>
      <c r="Z11" s="277"/>
      <c r="AA11" s="277"/>
    </row>
    <row r="12" spans="1:27" s="43" customFormat="1" ht="15.5">
      <c r="A12" s="500" t="s">
        <v>738</v>
      </c>
      <c r="B12" s="277"/>
      <c r="C12" s="277"/>
      <c r="D12" s="277"/>
      <c r="E12" s="277"/>
      <c r="F12" s="277"/>
      <c r="G12" s="277"/>
      <c r="H12" s="277"/>
      <c r="I12" s="277"/>
      <c r="J12" s="277"/>
      <c r="K12" s="277"/>
      <c r="L12" s="277"/>
      <c r="M12" s="277"/>
      <c r="N12" s="277"/>
    </row>
    <row r="13" spans="1:27" s="43" customFormat="1" ht="15.5">
      <c r="A13" s="1207"/>
      <c r="B13" s="1207"/>
      <c r="C13" s="276"/>
      <c r="D13" s="276"/>
      <c r="E13" s="276"/>
      <c r="F13" s="276"/>
      <c r="G13" s="276"/>
      <c r="H13" s="276"/>
      <c r="I13" s="276"/>
      <c r="J13" s="276"/>
      <c r="K13" s="276"/>
      <c r="L13" s="276"/>
      <c r="M13" s="276"/>
      <c r="N13" s="276"/>
      <c r="O13" s="277"/>
      <c r="P13" s="277"/>
      <c r="Q13" s="277"/>
      <c r="R13" s="277"/>
      <c r="S13" s="277"/>
      <c r="T13" s="277"/>
      <c r="U13" s="277"/>
      <c r="V13" s="277"/>
      <c r="W13" s="277"/>
      <c r="X13" s="277"/>
      <c r="Y13" s="277"/>
      <c r="Z13" s="277"/>
      <c r="AA13" s="277"/>
    </row>
    <row r="14" spans="1:27" s="43" customFormat="1" ht="18" thickBot="1">
      <c r="A14" s="277"/>
      <c r="B14" s="282" t="s">
        <v>350</v>
      </c>
      <c r="C14" s="282"/>
      <c r="D14" s="282"/>
      <c r="E14" s="282"/>
      <c r="F14" s="282"/>
      <c r="G14" s="282"/>
      <c r="H14" s="282"/>
      <c r="I14" s="282"/>
      <c r="J14" s="282"/>
      <c r="K14" s="282"/>
      <c r="L14" s="282"/>
      <c r="M14" s="282"/>
      <c r="N14" s="282"/>
      <c r="O14" s="277"/>
      <c r="P14" s="277"/>
      <c r="Q14" s="277"/>
      <c r="R14" s="277"/>
      <c r="S14" s="277"/>
      <c r="T14" s="277"/>
      <c r="U14" s="277"/>
      <c r="V14" s="277"/>
      <c r="W14" s="277"/>
      <c r="X14" s="277"/>
      <c r="Y14" s="277"/>
      <c r="Z14" s="277"/>
      <c r="AA14" s="277"/>
    </row>
    <row r="15" spans="1:27" s="43" customFormat="1" ht="18" thickBot="1">
      <c r="A15" s="277"/>
      <c r="B15" s="283" t="s">
        <v>351</v>
      </c>
      <c r="C15" s="284"/>
      <c r="D15" s="284"/>
      <c r="E15" s="284"/>
      <c r="F15" s="284"/>
      <c r="G15" s="284"/>
      <c r="H15" s="284"/>
      <c r="I15" s="284"/>
      <c r="J15" s="284"/>
      <c r="K15" s="284"/>
      <c r="L15" s="284"/>
      <c r="M15" s="284"/>
      <c r="N15" s="284"/>
      <c r="O15" s="286">
        <f>'RH4'!O15</f>
        <v>4.33</v>
      </c>
      <c r="P15" s="277"/>
      <c r="Q15" s="277"/>
      <c r="R15" s="277"/>
      <c r="S15" s="277"/>
      <c r="T15" s="277"/>
      <c r="U15" s="277"/>
      <c r="V15" s="277"/>
      <c r="W15" s="277"/>
      <c r="X15" s="277"/>
      <c r="Y15" s="277"/>
      <c r="Z15" s="277"/>
      <c r="AA15" s="277"/>
    </row>
    <row r="16" spans="1:27" s="43" customFormat="1" ht="22.5">
      <c r="A16" s="277"/>
      <c r="B16" s="285" t="s">
        <v>354</v>
      </c>
      <c r="C16" s="285"/>
      <c r="D16" s="285"/>
      <c r="E16" s="285"/>
      <c r="F16" s="285"/>
      <c r="G16" s="285"/>
      <c r="H16" s="285"/>
      <c r="I16" s="285"/>
      <c r="J16" s="285"/>
      <c r="K16" s="285"/>
      <c r="L16" s="285"/>
      <c r="M16" s="285"/>
      <c r="N16" s="285"/>
      <c r="O16" s="277" t="s">
        <v>355</v>
      </c>
      <c r="P16" s="277" t="s">
        <v>356</v>
      </c>
      <c r="Q16" s="277"/>
      <c r="R16" s="277"/>
      <c r="S16" s="277"/>
      <c r="T16" s="277"/>
      <c r="U16" s="277"/>
      <c r="V16" s="277"/>
      <c r="W16" s="277"/>
      <c r="X16" s="277"/>
      <c r="Z16" s="277"/>
      <c r="AA16" s="277"/>
    </row>
    <row r="17" spans="1:27" s="43" customFormat="1" ht="15.5">
      <c r="A17" s="823"/>
      <c r="B17" s="1205" t="s">
        <v>357</v>
      </c>
      <c r="C17" s="1199" t="s">
        <v>95</v>
      </c>
      <c r="D17" s="1200"/>
      <c r="E17" s="1200"/>
      <c r="F17" s="1200"/>
      <c r="G17" s="1200"/>
      <c r="H17" s="1200"/>
      <c r="I17" s="1200"/>
      <c r="J17" s="1200"/>
      <c r="K17" s="1200"/>
      <c r="L17" s="1200"/>
      <c r="M17" s="1200"/>
      <c r="N17" s="1201"/>
      <c r="O17" s="824" t="s">
        <v>454</v>
      </c>
      <c r="P17" s="824" t="s">
        <v>655</v>
      </c>
      <c r="Q17" s="824" t="s">
        <v>656</v>
      </c>
      <c r="R17" s="824" t="s">
        <v>657</v>
      </c>
      <c r="S17" s="824" t="s">
        <v>658</v>
      </c>
      <c r="T17" s="824" t="s">
        <v>659</v>
      </c>
      <c r="U17" s="824" t="s">
        <v>661</v>
      </c>
      <c r="V17" s="827" t="s">
        <v>660</v>
      </c>
      <c r="W17" s="827" t="s">
        <v>761</v>
      </c>
      <c r="X17" s="824" t="s">
        <v>553</v>
      </c>
      <c r="Y17" s="828" t="s">
        <v>419</v>
      </c>
      <c r="Z17" s="824" t="s">
        <v>422</v>
      </c>
      <c r="AA17" s="824" t="s">
        <v>423</v>
      </c>
    </row>
    <row r="18" spans="1:27" s="43" customFormat="1" ht="15.5">
      <c r="A18" s="825"/>
      <c r="B18" s="1206"/>
      <c r="C18" s="1202"/>
      <c r="D18" s="1203"/>
      <c r="E18" s="1203"/>
      <c r="F18" s="1203"/>
      <c r="G18" s="1203"/>
      <c r="H18" s="1203"/>
      <c r="I18" s="1203"/>
      <c r="J18" s="1203"/>
      <c r="K18" s="1203"/>
      <c r="L18" s="1203"/>
      <c r="M18" s="1203"/>
      <c r="N18" s="1204"/>
      <c r="O18" s="1025" t="s">
        <v>418</v>
      </c>
      <c r="P18" s="1030">
        <f>'RH4'!P18</f>
        <v>5.2499999999999998E-2</v>
      </c>
      <c r="Q18" s="1030">
        <f>'RH4'!Q18</f>
        <v>5.5999999999999999E-3</v>
      </c>
      <c r="R18" s="1030">
        <f>'RH4'!R18</f>
        <v>2.7E-2</v>
      </c>
      <c r="S18" s="1030">
        <f>'RH4'!S18</f>
        <v>0.11</v>
      </c>
      <c r="T18" s="1030">
        <f>'RH4'!T18</f>
        <v>1.54E-2</v>
      </c>
      <c r="U18" s="1030">
        <f>'RH4'!U18</f>
        <v>8.0000000000000004E-4</v>
      </c>
      <c r="V18" s="1030">
        <f>'RH4'!V18</f>
        <v>0.04</v>
      </c>
      <c r="W18" s="1030">
        <f>'RH4'!W18</f>
        <v>0</v>
      </c>
      <c r="X18" s="829" t="s">
        <v>498</v>
      </c>
      <c r="Y18" s="829" t="s">
        <v>420</v>
      </c>
      <c r="Z18" s="826" t="s">
        <v>421</v>
      </c>
      <c r="AA18" s="826" t="s">
        <v>424</v>
      </c>
    </row>
    <row r="19" spans="1:27" s="43" customFormat="1" ht="15.5">
      <c r="A19" s="277"/>
      <c r="B19" s="277"/>
      <c r="C19" s="278">
        <f>'RH4'!C19+366</f>
        <v>46756</v>
      </c>
      <c r="D19" s="278">
        <f>'RH4'!D19+366</f>
        <v>46787</v>
      </c>
      <c r="E19" s="278">
        <f>'RH4'!E19+366</f>
        <v>46818</v>
      </c>
      <c r="F19" s="278">
        <f>'RH4'!F19+366</f>
        <v>46849</v>
      </c>
      <c r="G19" s="278">
        <f>'RH4'!G19+366</f>
        <v>46880</v>
      </c>
      <c r="H19" s="278">
        <f>'RH4'!H19+366</f>
        <v>46911</v>
      </c>
      <c r="I19" s="278">
        <f>'RH4'!I19+366</f>
        <v>46942</v>
      </c>
      <c r="J19" s="278">
        <f>'RH4'!J19+366</f>
        <v>46973</v>
      </c>
      <c r="K19" s="278">
        <f>'RH4'!K19+366</f>
        <v>47004</v>
      </c>
      <c r="L19" s="278">
        <f>'RH4'!L19+366</f>
        <v>47035</v>
      </c>
      <c r="M19" s="278">
        <f>'RH4'!M19+366</f>
        <v>47066</v>
      </c>
      <c r="N19" s="278">
        <f>'RH4'!N19+366</f>
        <v>47097</v>
      </c>
      <c r="O19" s="277"/>
      <c r="P19" s="277"/>
      <c r="Q19" s="277"/>
      <c r="R19" s="277"/>
      <c r="S19" s="277"/>
      <c r="T19" s="277"/>
      <c r="U19" s="277"/>
      <c r="V19" s="277"/>
      <c r="W19" s="277"/>
      <c r="X19" s="277"/>
      <c r="Y19" s="277"/>
      <c r="Z19" s="277"/>
      <c r="AA19" s="277"/>
    </row>
    <row r="20" spans="1:27" s="43" customFormat="1" ht="15.5">
      <c r="A20" s="865">
        <v>1</v>
      </c>
      <c r="B20" s="1021" t="str">
        <f>'RH4'!B20</f>
        <v>Poste MOD 1 - Actionnaire</v>
      </c>
      <c r="C20" s="1015">
        <f>'RH4'!C20</f>
        <v>1</v>
      </c>
      <c r="D20" s="1015">
        <f>'RH4'!D20</f>
        <v>1</v>
      </c>
      <c r="E20" s="1015">
        <f>'RH4'!E20</f>
        <v>1</v>
      </c>
      <c r="F20" s="1015">
        <f>'RH4'!F20</f>
        <v>1</v>
      </c>
      <c r="G20" s="1015">
        <f>'RH4'!G20</f>
        <v>1</v>
      </c>
      <c r="H20" s="1015">
        <f>'RH4'!H20</f>
        <v>1</v>
      </c>
      <c r="I20" s="1015">
        <f>'RH4'!I20</f>
        <v>1</v>
      </c>
      <c r="J20" s="1015">
        <f>'RH4'!J20</f>
        <v>1</v>
      </c>
      <c r="K20" s="1015">
        <f>'RH4'!K20</f>
        <v>1</v>
      </c>
      <c r="L20" s="1015">
        <f>'RH4'!L20</f>
        <v>1</v>
      </c>
      <c r="M20" s="1015">
        <f>'RH4'!M20</f>
        <v>1</v>
      </c>
      <c r="N20" s="1015">
        <f>'RH4'!N20</f>
        <v>1</v>
      </c>
      <c r="O20" s="1016">
        <f>'RH4'!O20*(1+'RH4'!AA20)</f>
        <v>12.1773618</v>
      </c>
      <c r="P20" s="1012">
        <f>O20*(P18)</f>
        <v>0.63931149450000002</v>
      </c>
      <c r="Q20" s="813">
        <f>IF(RG!$A$74=3,0,O20*Q18*1.4)</f>
        <v>0</v>
      </c>
      <c r="R20" s="813">
        <f>O20*(R18)</f>
        <v>0.3287887686</v>
      </c>
      <c r="S20" s="813">
        <f>IF(RG!$A$74=3,0,O20*S18)</f>
        <v>0</v>
      </c>
      <c r="T20" s="813">
        <f>IF(RG!$A$74=3,0,O20*T18*1.4)</f>
        <v>0</v>
      </c>
      <c r="U20" s="813">
        <f>O20*(U18)</f>
        <v>9.7418894400000001E-3</v>
      </c>
      <c r="V20" s="813">
        <f>O20*(V18)</f>
        <v>0.487094472</v>
      </c>
      <c r="W20" s="813">
        <f>O20*($W$18)</f>
        <v>0</v>
      </c>
      <c r="X20" s="813">
        <f>IF(RG!$A$78=6,SUM(O20:W20),SUM(O20:V20))</f>
        <v>13.642298424540002</v>
      </c>
      <c r="Y20" s="814">
        <f>'RH4'!Y20</f>
        <v>0</v>
      </c>
      <c r="Z20" s="814">
        <f>'RH4'!Z20</f>
        <v>35</v>
      </c>
      <c r="AA20" s="815">
        <f>'RH4'!AA20</f>
        <v>0.02</v>
      </c>
    </row>
    <row r="21" spans="1:27" s="43" customFormat="1" ht="15.5">
      <c r="A21" s="865">
        <f t="shared" ref="A21:A31" si="0">A20+1</f>
        <v>2</v>
      </c>
      <c r="B21" s="1021" t="str">
        <f>'RH4'!B21</f>
        <v>Poste MOD 2 - Actionnaire</v>
      </c>
      <c r="C21" s="1015">
        <f>'RH4'!C21</f>
        <v>1</v>
      </c>
      <c r="D21" s="1015">
        <f>'RH4'!D21</f>
        <v>1</v>
      </c>
      <c r="E21" s="1015">
        <f>'RH4'!E21</f>
        <v>1</v>
      </c>
      <c r="F21" s="1015">
        <f>'RH4'!F21</f>
        <v>1</v>
      </c>
      <c r="G21" s="1015">
        <f>'RH4'!G21</f>
        <v>1</v>
      </c>
      <c r="H21" s="1015">
        <f>'RH4'!H21</f>
        <v>1</v>
      </c>
      <c r="I21" s="1015">
        <f>'RH4'!I21</f>
        <v>1</v>
      </c>
      <c r="J21" s="1015">
        <f>'RH4'!J21</f>
        <v>1</v>
      </c>
      <c r="K21" s="1015">
        <f>'RH4'!K21</f>
        <v>1</v>
      </c>
      <c r="L21" s="1015">
        <f>'RH4'!L21</f>
        <v>1</v>
      </c>
      <c r="M21" s="1015">
        <f>'RH4'!M21</f>
        <v>1</v>
      </c>
      <c r="N21" s="1015">
        <f>'RH4'!N21</f>
        <v>1</v>
      </c>
      <c r="O21" s="1016">
        <f>'RH4'!O21*(1+'RH4'!AA21)</f>
        <v>12.1773618</v>
      </c>
      <c r="P21" s="1028">
        <f>O21*(P18)</f>
        <v>0.63931149450000002</v>
      </c>
      <c r="Q21" s="831">
        <f>IF(RG!$A$74=3,0,O21*Q18*1.4)</f>
        <v>0</v>
      </c>
      <c r="R21" s="831">
        <f>O21*(R18)</f>
        <v>0.3287887686</v>
      </c>
      <c r="S21" s="831">
        <f>IF(RG!$A$74=3,0,O21*S18)</f>
        <v>0</v>
      </c>
      <c r="T21" s="831">
        <f>IF(RG!$A$74=3,0,O21*T18*1.4)</f>
        <v>0</v>
      </c>
      <c r="U21" s="831">
        <f>O21*(U18)</f>
        <v>9.7418894400000001E-3</v>
      </c>
      <c r="V21" s="831">
        <f>O21*(V18)</f>
        <v>0.487094472</v>
      </c>
      <c r="W21" s="813">
        <f t="shared" ref="W21:W31" si="1">O21*($W$18)</f>
        <v>0</v>
      </c>
      <c r="X21" s="813">
        <f>IF(RG!$A$78=6,SUM(O21:W21),SUM(O21:V21))</f>
        <v>13.642298424540002</v>
      </c>
      <c r="Y21" s="814">
        <f>'RH4'!Y21</f>
        <v>0</v>
      </c>
      <c r="Z21" s="814">
        <f>'RH4'!Z21</f>
        <v>35</v>
      </c>
      <c r="AA21" s="815">
        <f>'RH4'!AA21</f>
        <v>0.02</v>
      </c>
    </row>
    <row r="22" spans="1:27" s="43" customFormat="1" ht="15.5">
      <c r="A22" s="865">
        <f t="shared" si="0"/>
        <v>3</v>
      </c>
      <c r="B22" s="1022" t="str">
        <f>'RH4'!B22</f>
        <v>Poste MOD 3</v>
      </c>
      <c r="C22" s="1017">
        <f>'RH4'!C22</f>
        <v>1</v>
      </c>
      <c r="D22" s="1017">
        <f>'RH4'!D22</f>
        <v>1</v>
      </c>
      <c r="E22" s="1017">
        <f>'RH4'!E22</f>
        <v>1</v>
      </c>
      <c r="F22" s="1017">
        <f>'RH4'!F22</f>
        <v>1</v>
      </c>
      <c r="G22" s="1017">
        <f>'RH4'!G22</f>
        <v>1</v>
      </c>
      <c r="H22" s="1017">
        <f>'RH4'!H22</f>
        <v>1</v>
      </c>
      <c r="I22" s="1017">
        <f>'RH4'!I22</f>
        <v>1</v>
      </c>
      <c r="J22" s="1017">
        <f>'RH4'!J22</f>
        <v>1</v>
      </c>
      <c r="K22" s="1017">
        <f>'RH4'!K22</f>
        <v>1</v>
      </c>
      <c r="L22" s="1017">
        <f>'RH4'!L22</f>
        <v>1</v>
      </c>
      <c r="M22" s="1017">
        <f>'RH4'!M22</f>
        <v>1</v>
      </c>
      <c r="N22" s="1017">
        <f>'RH4'!N22</f>
        <v>1</v>
      </c>
      <c r="O22" s="1018">
        <f>'RH4'!O22*(1+'RH4'!AA22)</f>
        <v>12.1773618</v>
      </c>
      <c r="P22" s="1013">
        <f>O22*(P18)</f>
        <v>0.63931149450000002</v>
      </c>
      <c r="Q22" s="833">
        <f>O22*(Q18)</f>
        <v>6.8193226080000002E-2</v>
      </c>
      <c r="R22" s="833">
        <f>O22*(R18)</f>
        <v>0.3287887686</v>
      </c>
      <c r="S22" s="833">
        <f>O22*(S18)</f>
        <v>1.3395097979999999</v>
      </c>
      <c r="T22" s="833">
        <f>O22*(T18)</f>
        <v>0.18753137172000001</v>
      </c>
      <c r="U22" s="833">
        <f>O22*(U18)</f>
        <v>9.7418894400000001E-3</v>
      </c>
      <c r="V22" s="833">
        <f>O22*(V18)</f>
        <v>0.487094472</v>
      </c>
      <c r="W22" s="833">
        <f t="shared" si="1"/>
        <v>0</v>
      </c>
      <c r="X22" s="833">
        <f>IF(RG!$A$78=6,SUM(O22:W22),SUM(O22:V22))</f>
        <v>15.237532820340002</v>
      </c>
      <c r="Y22" s="830">
        <f>'RH4'!Y22</f>
        <v>0</v>
      </c>
      <c r="Z22" s="499">
        <f>'RH4'!Z22</f>
        <v>35</v>
      </c>
      <c r="AA22" s="501">
        <f>'RH4'!AA22</f>
        <v>0.02</v>
      </c>
    </row>
    <row r="23" spans="1:27" s="43" customFormat="1" ht="15.5">
      <c r="A23" s="865">
        <f t="shared" si="0"/>
        <v>4</v>
      </c>
      <c r="B23" s="1022" t="str">
        <f>'RH4'!B23</f>
        <v>Poste MOD 4</v>
      </c>
      <c r="C23" s="1017">
        <f>'RH4'!C23</f>
        <v>1</v>
      </c>
      <c r="D23" s="1017">
        <f>'RH4'!D23</f>
        <v>1</v>
      </c>
      <c r="E23" s="1017">
        <f>'RH4'!E23</f>
        <v>1</v>
      </c>
      <c r="F23" s="1017">
        <f>'RH4'!F23</f>
        <v>1</v>
      </c>
      <c r="G23" s="1017">
        <f>'RH4'!G23</f>
        <v>1</v>
      </c>
      <c r="H23" s="1017">
        <f>'RH4'!H23</f>
        <v>1</v>
      </c>
      <c r="I23" s="1017">
        <f>'RH4'!I23</f>
        <v>1</v>
      </c>
      <c r="J23" s="1017">
        <f>'RH4'!J23</f>
        <v>1</v>
      </c>
      <c r="K23" s="1017">
        <f>'RH4'!K23</f>
        <v>1</v>
      </c>
      <c r="L23" s="1017">
        <f>'RH4'!L23</f>
        <v>1</v>
      </c>
      <c r="M23" s="1017">
        <f>'RH4'!M23</f>
        <v>1</v>
      </c>
      <c r="N23" s="1017">
        <f>'RH4'!N23</f>
        <v>1</v>
      </c>
      <c r="O23" s="1018">
        <f>'RH4'!O23*(1+'RH4'!AA23)</f>
        <v>12.1773618</v>
      </c>
      <c r="P23" s="1013">
        <f>O23*(P18)</f>
        <v>0.63931149450000002</v>
      </c>
      <c r="Q23" s="833">
        <f>O23*(Q18)</f>
        <v>6.8193226080000002E-2</v>
      </c>
      <c r="R23" s="833">
        <f>O23*(R18)</f>
        <v>0.3287887686</v>
      </c>
      <c r="S23" s="833">
        <f>O23*(S18)</f>
        <v>1.3395097979999999</v>
      </c>
      <c r="T23" s="833">
        <f>O23*(T18)</f>
        <v>0.18753137172000001</v>
      </c>
      <c r="U23" s="833">
        <f>O23*(U18)</f>
        <v>9.7418894400000001E-3</v>
      </c>
      <c r="V23" s="833">
        <f>O23*(V18)</f>
        <v>0.487094472</v>
      </c>
      <c r="W23" s="833">
        <f t="shared" si="1"/>
        <v>0</v>
      </c>
      <c r="X23" s="833">
        <f>IF(RG!$A$78=6,SUM(O23:W23),SUM(O23:V23))</f>
        <v>15.237532820340002</v>
      </c>
      <c r="Y23" s="830">
        <f>'RH4'!Y23</f>
        <v>0</v>
      </c>
      <c r="Z23" s="499">
        <f>'RH4'!Z23</f>
        <v>35</v>
      </c>
      <c r="AA23" s="501">
        <f>'RH4'!AA23</f>
        <v>0.02</v>
      </c>
    </row>
    <row r="24" spans="1:27" s="43" customFormat="1" ht="15.5">
      <c r="A24" s="865">
        <f t="shared" si="0"/>
        <v>5</v>
      </c>
      <c r="B24" s="1022" t="str">
        <f>'RH4'!B24</f>
        <v>Poste MOD 5</v>
      </c>
      <c r="C24" s="1017">
        <f>'RH4'!C24</f>
        <v>1</v>
      </c>
      <c r="D24" s="1017">
        <f>'RH4'!D24</f>
        <v>1</v>
      </c>
      <c r="E24" s="1017">
        <f>'RH4'!E24</f>
        <v>1</v>
      </c>
      <c r="F24" s="1017">
        <f>'RH4'!F24</f>
        <v>1</v>
      </c>
      <c r="G24" s="1017">
        <f>'RH4'!G24</f>
        <v>1</v>
      </c>
      <c r="H24" s="1017">
        <f>'RH4'!H24</f>
        <v>1</v>
      </c>
      <c r="I24" s="1017">
        <f>'RH4'!I24</f>
        <v>1</v>
      </c>
      <c r="J24" s="1017">
        <f>'RH4'!J24</f>
        <v>1</v>
      </c>
      <c r="K24" s="1017">
        <f>'RH4'!K24</f>
        <v>1</v>
      </c>
      <c r="L24" s="1017">
        <f>'RH4'!L24</f>
        <v>1</v>
      </c>
      <c r="M24" s="1017">
        <f>'RH4'!M24</f>
        <v>1</v>
      </c>
      <c r="N24" s="1017">
        <f>'RH4'!N24</f>
        <v>1</v>
      </c>
      <c r="O24" s="1018">
        <f>'RH4'!O24*(1+'RH4'!AA24)</f>
        <v>12.1773618</v>
      </c>
      <c r="P24" s="1013">
        <f>O24*(P18)</f>
        <v>0.63931149450000002</v>
      </c>
      <c r="Q24" s="833">
        <f>O24*(Q18)</f>
        <v>6.8193226080000002E-2</v>
      </c>
      <c r="R24" s="833">
        <f>O24*(R18)</f>
        <v>0.3287887686</v>
      </c>
      <c r="S24" s="833">
        <f>O24*(S18)</f>
        <v>1.3395097979999999</v>
      </c>
      <c r="T24" s="833">
        <f>O24*(T18)</f>
        <v>0.18753137172000001</v>
      </c>
      <c r="U24" s="833">
        <f>O24*(U18)</f>
        <v>9.7418894400000001E-3</v>
      </c>
      <c r="V24" s="833">
        <f>O24*(V18)</f>
        <v>0.487094472</v>
      </c>
      <c r="W24" s="833">
        <f t="shared" si="1"/>
        <v>0</v>
      </c>
      <c r="X24" s="833">
        <f>IF(RG!$A$78=6,SUM(O24:W24),SUM(O24:V24))</f>
        <v>15.237532820340002</v>
      </c>
      <c r="Y24" s="830">
        <f>'RH4'!Y24</f>
        <v>0</v>
      </c>
      <c r="Z24" s="499">
        <f>'RH4'!Z24</f>
        <v>35</v>
      </c>
      <c r="AA24" s="501">
        <f>'RH4'!AA24</f>
        <v>0.02</v>
      </c>
    </row>
    <row r="25" spans="1:27" s="43" customFormat="1" ht="15.5">
      <c r="A25" s="865">
        <f t="shared" si="0"/>
        <v>6</v>
      </c>
      <c r="B25" s="1022" t="str">
        <f>'RH4'!B25</f>
        <v>Poste MOD 6</v>
      </c>
      <c r="C25" s="1017">
        <f>'RH4'!C25</f>
        <v>1</v>
      </c>
      <c r="D25" s="1017">
        <f>'RH4'!D25</f>
        <v>1</v>
      </c>
      <c r="E25" s="1017">
        <f>'RH4'!E25</f>
        <v>1</v>
      </c>
      <c r="F25" s="1017">
        <f>'RH4'!F25</f>
        <v>1</v>
      </c>
      <c r="G25" s="1017">
        <f>'RH4'!G25</f>
        <v>1</v>
      </c>
      <c r="H25" s="1017">
        <f>'RH4'!H25</f>
        <v>1</v>
      </c>
      <c r="I25" s="1017">
        <f>'RH4'!I25</f>
        <v>1</v>
      </c>
      <c r="J25" s="1017">
        <f>'RH4'!J25</f>
        <v>1</v>
      </c>
      <c r="K25" s="1017">
        <f>'RH4'!K25</f>
        <v>1</v>
      </c>
      <c r="L25" s="1017">
        <f>'RH4'!L25</f>
        <v>1</v>
      </c>
      <c r="M25" s="1017">
        <f>'RH4'!M25</f>
        <v>1</v>
      </c>
      <c r="N25" s="1017">
        <f>'RH4'!N25</f>
        <v>1</v>
      </c>
      <c r="O25" s="1018">
        <f>'RH4'!O25*(1+'RH4'!AA25)</f>
        <v>12.1773618</v>
      </c>
      <c r="P25" s="1013">
        <f>O25*(P18)</f>
        <v>0.63931149450000002</v>
      </c>
      <c r="Q25" s="833">
        <f>O25*(Q18)</f>
        <v>6.8193226080000002E-2</v>
      </c>
      <c r="R25" s="833">
        <f>O25*(R18)</f>
        <v>0.3287887686</v>
      </c>
      <c r="S25" s="833">
        <f>O25*(S18)</f>
        <v>1.3395097979999999</v>
      </c>
      <c r="T25" s="833">
        <f>O25*(T18)</f>
        <v>0.18753137172000001</v>
      </c>
      <c r="U25" s="833">
        <f>O25*(U18)</f>
        <v>9.7418894400000001E-3</v>
      </c>
      <c r="V25" s="833">
        <f>O25*(V18)</f>
        <v>0.487094472</v>
      </c>
      <c r="W25" s="833">
        <f t="shared" si="1"/>
        <v>0</v>
      </c>
      <c r="X25" s="833">
        <f>IF(RG!$A$78=6,SUM(O25:W25),SUM(O25:V25))</f>
        <v>15.237532820340002</v>
      </c>
      <c r="Y25" s="830">
        <f>'RH4'!Y25</f>
        <v>0</v>
      </c>
      <c r="Z25" s="499">
        <f>'RH4'!Z25</f>
        <v>35</v>
      </c>
      <c r="AA25" s="501">
        <f>'RH4'!AA25</f>
        <v>0.02</v>
      </c>
    </row>
    <row r="26" spans="1:27" s="43" customFormat="1" ht="15.5">
      <c r="A26" s="865">
        <f t="shared" si="0"/>
        <v>7</v>
      </c>
      <c r="B26" s="1022" t="str">
        <f>'RH4'!B26</f>
        <v>Poste MOD 7</v>
      </c>
      <c r="C26" s="1017">
        <f>'RH4'!C26</f>
        <v>1</v>
      </c>
      <c r="D26" s="1017">
        <f>'RH4'!D26</f>
        <v>1</v>
      </c>
      <c r="E26" s="1017">
        <f>'RH4'!E26</f>
        <v>1</v>
      </c>
      <c r="F26" s="1017">
        <f>'RH4'!F26</f>
        <v>1</v>
      </c>
      <c r="G26" s="1017">
        <f>'RH4'!G26</f>
        <v>1</v>
      </c>
      <c r="H26" s="1017">
        <f>'RH4'!H26</f>
        <v>1</v>
      </c>
      <c r="I26" s="1017">
        <f>'RH4'!I26</f>
        <v>1</v>
      </c>
      <c r="J26" s="1017">
        <f>'RH4'!J26</f>
        <v>1</v>
      </c>
      <c r="K26" s="1017">
        <f>'RH4'!K26</f>
        <v>1</v>
      </c>
      <c r="L26" s="1017">
        <f>'RH4'!L26</f>
        <v>1</v>
      </c>
      <c r="M26" s="1017">
        <f>'RH4'!M26</f>
        <v>1</v>
      </c>
      <c r="N26" s="1017">
        <f>'RH4'!N26</f>
        <v>1</v>
      </c>
      <c r="O26" s="1018">
        <f>'RH4'!O26*(1+'RH4'!AA26)</f>
        <v>12.1773618</v>
      </c>
      <c r="P26" s="1013">
        <f>O26*(P18)</f>
        <v>0.63931149450000002</v>
      </c>
      <c r="Q26" s="833">
        <f>O26*(Q18)</f>
        <v>6.8193226080000002E-2</v>
      </c>
      <c r="R26" s="833">
        <f>O26*(R18)</f>
        <v>0.3287887686</v>
      </c>
      <c r="S26" s="833">
        <f>O26*(S18)</f>
        <v>1.3395097979999999</v>
      </c>
      <c r="T26" s="833">
        <f>O26*(T18)</f>
        <v>0.18753137172000001</v>
      </c>
      <c r="U26" s="833">
        <f>O26*(U18)</f>
        <v>9.7418894400000001E-3</v>
      </c>
      <c r="V26" s="833">
        <f>O26*(V18)</f>
        <v>0.487094472</v>
      </c>
      <c r="W26" s="833">
        <f t="shared" si="1"/>
        <v>0</v>
      </c>
      <c r="X26" s="833">
        <f>IF(RG!$A$78=6,SUM(O26:W26),SUM(O26:V26))</f>
        <v>15.237532820340002</v>
      </c>
      <c r="Y26" s="830">
        <f>'RH4'!Y26</f>
        <v>0</v>
      </c>
      <c r="Z26" s="499">
        <f>'RH4'!Z26</f>
        <v>35</v>
      </c>
      <c r="AA26" s="501">
        <f>'RH4'!AA26</f>
        <v>0.02</v>
      </c>
    </row>
    <row r="27" spans="1:27" s="43" customFormat="1" ht="15.5">
      <c r="A27" s="1009">
        <f t="shared" si="0"/>
        <v>8</v>
      </c>
      <c r="B27" s="1023" t="str">
        <f>'RH4'!B27</f>
        <v>Poste MOD 8</v>
      </c>
      <c r="C27" s="1019">
        <f>'RH4'!C27</f>
        <v>1</v>
      </c>
      <c r="D27" s="1019">
        <f>'RH4'!D27</f>
        <v>1</v>
      </c>
      <c r="E27" s="1019">
        <f>'RH4'!E27</f>
        <v>1</v>
      </c>
      <c r="F27" s="1019">
        <f>'RH4'!F27</f>
        <v>1</v>
      </c>
      <c r="G27" s="1019">
        <f>'RH4'!G27</f>
        <v>1</v>
      </c>
      <c r="H27" s="1019">
        <f>'RH4'!H27</f>
        <v>1</v>
      </c>
      <c r="I27" s="1019">
        <f>'RH4'!I27</f>
        <v>1</v>
      </c>
      <c r="J27" s="1019">
        <f>'RH4'!J27</f>
        <v>1</v>
      </c>
      <c r="K27" s="1019">
        <f>'RH4'!K27</f>
        <v>1</v>
      </c>
      <c r="L27" s="1019">
        <f>'RH4'!L27</f>
        <v>1</v>
      </c>
      <c r="M27" s="1019">
        <f>'RH4'!M27</f>
        <v>1</v>
      </c>
      <c r="N27" s="1019">
        <f>'RH4'!N27</f>
        <v>1</v>
      </c>
      <c r="O27" s="1020">
        <f>'RH4'!O27*(1+'RH4'!AA27)</f>
        <v>12.1773618</v>
      </c>
      <c r="P27" s="1014">
        <f>O27*(P18)</f>
        <v>0.63931149450000002</v>
      </c>
      <c r="Q27" s="1005">
        <f>O27*(Q18)</f>
        <v>6.8193226080000002E-2</v>
      </c>
      <c r="R27" s="1005">
        <f>O27*(R18)</f>
        <v>0.3287887686</v>
      </c>
      <c r="S27" s="1005">
        <f>O27*(S18)</f>
        <v>1.3395097979999999</v>
      </c>
      <c r="T27" s="1005">
        <f>O27*(T18)</f>
        <v>0.18753137172000001</v>
      </c>
      <c r="U27" s="1005">
        <f>O27*(U18)</f>
        <v>9.7418894400000001E-3</v>
      </c>
      <c r="V27" s="1005">
        <f>O27*(V18)</f>
        <v>0.487094472</v>
      </c>
      <c r="W27" s="1005">
        <f t="shared" si="1"/>
        <v>0</v>
      </c>
      <c r="X27" s="1005">
        <f>IF(RG!$A$78=6,SUM(O27:W27),SUM(O27:V27))</f>
        <v>15.237532820340002</v>
      </c>
      <c r="Y27" s="1006">
        <f>'RH4'!Y27</f>
        <v>0</v>
      </c>
      <c r="Z27" s="1007">
        <f>'RH4'!Z27</f>
        <v>35</v>
      </c>
      <c r="AA27" s="1008">
        <f>'RH4'!AA27</f>
        <v>0.02</v>
      </c>
    </row>
    <row r="28" spans="1:27" s="43" customFormat="1" ht="15.5">
      <c r="A28" s="866">
        <f t="shared" si="0"/>
        <v>9</v>
      </c>
      <c r="B28" s="1021" t="str">
        <f>'RH4'!B28</f>
        <v>Poste ADM 1 - Actionnaire</v>
      </c>
      <c r="C28" s="1015">
        <f>'RH4'!C28</f>
        <v>1</v>
      </c>
      <c r="D28" s="1015">
        <f>'RH4'!D28</f>
        <v>1</v>
      </c>
      <c r="E28" s="1015">
        <f>'RH4'!E28</f>
        <v>1</v>
      </c>
      <c r="F28" s="1015">
        <f>'RH4'!F28</f>
        <v>1</v>
      </c>
      <c r="G28" s="1015">
        <f>'RH4'!G28</f>
        <v>1</v>
      </c>
      <c r="H28" s="1015">
        <f>'RH4'!H28</f>
        <v>1</v>
      </c>
      <c r="I28" s="1015">
        <f>'RH4'!I28</f>
        <v>1</v>
      </c>
      <c r="J28" s="1015">
        <f>'RH4'!J28</f>
        <v>1</v>
      </c>
      <c r="K28" s="1015">
        <f>'RH4'!K28</f>
        <v>1</v>
      </c>
      <c r="L28" s="1015">
        <f>'RH4'!L28</f>
        <v>1</v>
      </c>
      <c r="M28" s="1015">
        <f>'RH4'!M28</f>
        <v>1</v>
      </c>
      <c r="N28" s="1015">
        <f>'RH4'!N28</f>
        <v>1</v>
      </c>
      <c r="O28" s="1016">
        <f>'RH4'!O28*(1+'RH4'!AA28)</f>
        <v>12.1773618</v>
      </c>
      <c r="P28" s="1029">
        <f>O28*(P18)</f>
        <v>0.63931149450000002</v>
      </c>
      <c r="Q28" s="832">
        <f>IF(RG!$A$74=3,0,O28*Q18*1.4)</f>
        <v>0</v>
      </c>
      <c r="R28" s="832">
        <f>O28*(R18)</f>
        <v>0.3287887686</v>
      </c>
      <c r="S28" s="832">
        <f>IF(RG!$A$74=3,0,O28*S18)</f>
        <v>0</v>
      </c>
      <c r="T28" s="832">
        <f>IF(RG!$A$74=3,0,O28*T18*1.4)</f>
        <v>0</v>
      </c>
      <c r="U28" s="832">
        <f>O28*(U18)</f>
        <v>9.7418894400000001E-3</v>
      </c>
      <c r="V28" s="832">
        <f>O28*(V18)</f>
        <v>0.487094472</v>
      </c>
      <c r="W28" s="813">
        <f t="shared" si="1"/>
        <v>0</v>
      </c>
      <c r="X28" s="813">
        <f>IF(RG!$A$78=6,SUM(O28:W28),SUM(O28:V28))</f>
        <v>13.642298424540002</v>
      </c>
      <c r="Y28" s="814">
        <f>'RH4'!Y28</f>
        <v>0</v>
      </c>
      <c r="Z28" s="814">
        <f>'RH4'!Z28</f>
        <v>35</v>
      </c>
      <c r="AA28" s="815">
        <f>'RH4'!AA28</f>
        <v>0.02</v>
      </c>
    </row>
    <row r="29" spans="1:27" s="43" customFormat="1" ht="15.5">
      <c r="A29" s="866">
        <f t="shared" si="0"/>
        <v>10</v>
      </c>
      <c r="B29" s="1021" t="str">
        <f>'RH4'!B29</f>
        <v>Poste ADM 2 - Actionnaire</v>
      </c>
      <c r="C29" s="1015">
        <f>'RH4'!C29</f>
        <v>1</v>
      </c>
      <c r="D29" s="1015">
        <f>'RH4'!D29</f>
        <v>1</v>
      </c>
      <c r="E29" s="1015">
        <f>'RH4'!E29</f>
        <v>1</v>
      </c>
      <c r="F29" s="1015">
        <f>'RH4'!F29</f>
        <v>1</v>
      </c>
      <c r="G29" s="1015">
        <f>'RH4'!G29</f>
        <v>1</v>
      </c>
      <c r="H29" s="1015">
        <f>'RH4'!H29</f>
        <v>1</v>
      </c>
      <c r="I29" s="1015">
        <f>'RH4'!I29</f>
        <v>1</v>
      </c>
      <c r="J29" s="1015">
        <f>'RH4'!J29</f>
        <v>1</v>
      </c>
      <c r="K29" s="1015">
        <f>'RH4'!K29</f>
        <v>1</v>
      </c>
      <c r="L29" s="1015">
        <f>'RH4'!L29</f>
        <v>1</v>
      </c>
      <c r="M29" s="1015">
        <f>'RH4'!M29</f>
        <v>1</v>
      </c>
      <c r="N29" s="1015">
        <f>'RH4'!N29</f>
        <v>1</v>
      </c>
      <c r="O29" s="1016">
        <f>'RH4'!O29*(1+'RH4'!AA29)</f>
        <v>12.1773618</v>
      </c>
      <c r="P29" s="1028">
        <f>O29*(P18)</f>
        <v>0.63931149450000002</v>
      </c>
      <c r="Q29" s="831">
        <f>IF(RG!$A$74=3,0,O29*Q18*1.4)</f>
        <v>0</v>
      </c>
      <c r="R29" s="831">
        <f>O29*(R18)</f>
        <v>0.3287887686</v>
      </c>
      <c r="S29" s="831">
        <f>IF(RG!$A$74=3,0,O29*S18)</f>
        <v>0</v>
      </c>
      <c r="T29" s="831">
        <f>IF(RG!$A$74=3,0,O29*T18*1.4)</f>
        <v>0</v>
      </c>
      <c r="U29" s="831">
        <f>O29*(U18)</f>
        <v>9.7418894400000001E-3</v>
      </c>
      <c r="V29" s="831">
        <f>O29*(V18)</f>
        <v>0.487094472</v>
      </c>
      <c r="W29" s="813">
        <f t="shared" si="1"/>
        <v>0</v>
      </c>
      <c r="X29" s="813">
        <f>IF(RG!$A$78=6,SUM(O29:W29),SUM(O29:V29))</f>
        <v>13.642298424540002</v>
      </c>
      <c r="Y29" s="814">
        <f>'RH4'!Y29</f>
        <v>0</v>
      </c>
      <c r="Z29" s="814">
        <f>'RH4'!Z29</f>
        <v>35</v>
      </c>
      <c r="AA29" s="815">
        <f>'RH4'!AA29</f>
        <v>0.02</v>
      </c>
    </row>
    <row r="30" spans="1:27" s="43" customFormat="1" ht="15.5">
      <c r="A30" s="866">
        <f t="shared" si="0"/>
        <v>11</v>
      </c>
      <c r="B30" s="1024" t="str">
        <f>'RH4'!B30</f>
        <v>Poste administratif 3</v>
      </c>
      <c r="C30" s="1017">
        <f>'RH4'!C30</f>
        <v>1</v>
      </c>
      <c r="D30" s="1017">
        <f>'RH4'!D30</f>
        <v>1</v>
      </c>
      <c r="E30" s="1017">
        <f>'RH4'!E30</f>
        <v>1</v>
      </c>
      <c r="F30" s="1017">
        <f>'RH4'!F30</f>
        <v>1</v>
      </c>
      <c r="G30" s="1017">
        <f>'RH4'!G30</f>
        <v>1</v>
      </c>
      <c r="H30" s="1017">
        <f>'RH4'!H30</f>
        <v>1</v>
      </c>
      <c r="I30" s="1017">
        <f>'RH4'!I30</f>
        <v>1</v>
      </c>
      <c r="J30" s="1017">
        <f>'RH4'!J30</f>
        <v>1</v>
      </c>
      <c r="K30" s="1017">
        <f>'RH4'!K30</f>
        <v>1</v>
      </c>
      <c r="L30" s="1017">
        <f>'RH4'!L30</f>
        <v>1</v>
      </c>
      <c r="M30" s="1017">
        <f>'RH4'!M30</f>
        <v>1</v>
      </c>
      <c r="N30" s="1017">
        <f>'RH4'!N30</f>
        <v>1</v>
      </c>
      <c r="O30" s="1018">
        <f>'RH4'!O30*(1+'RH4'!AA30)</f>
        <v>12.1773618</v>
      </c>
      <c r="P30" s="1013">
        <f>O30*(P18)</f>
        <v>0.63931149450000002</v>
      </c>
      <c r="Q30" s="833">
        <f>O30*(Q18)</f>
        <v>6.8193226080000002E-2</v>
      </c>
      <c r="R30" s="833">
        <f>O30*(R18)</f>
        <v>0.3287887686</v>
      </c>
      <c r="S30" s="833">
        <f>O30*(S18)</f>
        <v>1.3395097979999999</v>
      </c>
      <c r="T30" s="833">
        <f>O30*(T18)</f>
        <v>0.18753137172000001</v>
      </c>
      <c r="U30" s="833">
        <f>O30*(U18)</f>
        <v>9.7418894400000001E-3</v>
      </c>
      <c r="V30" s="833">
        <f>O30*(V18)</f>
        <v>0.487094472</v>
      </c>
      <c r="W30" s="833">
        <f t="shared" si="1"/>
        <v>0</v>
      </c>
      <c r="X30" s="833">
        <f>IF(RG!$A$78=6,SUM(O30:W30),SUM(O30:V30))</f>
        <v>15.237532820340002</v>
      </c>
      <c r="Y30" s="830">
        <f>'RH4'!Y30</f>
        <v>0</v>
      </c>
      <c r="Z30" s="499">
        <f>'RH4'!Z30</f>
        <v>35</v>
      </c>
      <c r="AA30" s="501">
        <f>'RH4'!AA30</f>
        <v>0.02</v>
      </c>
    </row>
    <row r="31" spans="1:27" s="43" customFormat="1" ht="15.5">
      <c r="A31" s="866">
        <f t="shared" si="0"/>
        <v>12</v>
      </c>
      <c r="B31" s="1024" t="str">
        <f>'RH4'!B31</f>
        <v>Poste administratif 4</v>
      </c>
      <c r="C31" s="1017">
        <f>'RH4'!C31</f>
        <v>1</v>
      </c>
      <c r="D31" s="1017">
        <f>'RH4'!D31</f>
        <v>1</v>
      </c>
      <c r="E31" s="1017">
        <f>'RH4'!E31</f>
        <v>1</v>
      </c>
      <c r="F31" s="1017">
        <f>'RH4'!F31</f>
        <v>1</v>
      </c>
      <c r="G31" s="1017">
        <f>'RH4'!G31</f>
        <v>1</v>
      </c>
      <c r="H31" s="1017">
        <f>'RH4'!H31</f>
        <v>1</v>
      </c>
      <c r="I31" s="1017">
        <f>'RH4'!I31</f>
        <v>1</v>
      </c>
      <c r="J31" s="1017">
        <f>'RH4'!J31</f>
        <v>1</v>
      </c>
      <c r="K31" s="1017">
        <f>'RH4'!K31</f>
        <v>1</v>
      </c>
      <c r="L31" s="1017">
        <f>'RH4'!L31</f>
        <v>1</v>
      </c>
      <c r="M31" s="1017">
        <f>'RH4'!M31</f>
        <v>1</v>
      </c>
      <c r="N31" s="1017">
        <f>'RH4'!N31</f>
        <v>1</v>
      </c>
      <c r="O31" s="1018">
        <f>'RH4'!O31*(1+'RH4'!AA31)</f>
        <v>21.648643200000002</v>
      </c>
      <c r="P31" s="1013">
        <f>O31*(P18)</f>
        <v>1.136553768</v>
      </c>
      <c r="Q31" s="833">
        <f>O31*(Q18)</f>
        <v>0.12123240192000001</v>
      </c>
      <c r="R31" s="833">
        <f>O31*(R18)</f>
        <v>0.58451336640000007</v>
      </c>
      <c r="S31" s="833">
        <f>O31*(S18)</f>
        <v>2.3813507520000003</v>
      </c>
      <c r="T31" s="833">
        <f>O31*(T18)</f>
        <v>0.33338910528000004</v>
      </c>
      <c r="U31" s="833">
        <f>O31*(U18)</f>
        <v>1.7318914560000002E-2</v>
      </c>
      <c r="V31" s="833">
        <f>O31*(V18)</f>
        <v>0.86594572800000014</v>
      </c>
      <c r="W31" s="833">
        <f t="shared" si="1"/>
        <v>0</v>
      </c>
      <c r="X31" s="833">
        <f>IF(RG!$A$78=6,SUM(O31:W31),SUM(O31:V31))</f>
        <v>27.088947236159999</v>
      </c>
      <c r="Y31" s="830">
        <f>'RH4'!Y31</f>
        <v>1</v>
      </c>
      <c r="Z31" s="499">
        <f>'RH4'!Z31</f>
        <v>40</v>
      </c>
      <c r="AA31" s="501">
        <f>'RH4'!AA31</f>
        <v>0.02</v>
      </c>
    </row>
    <row r="32" spans="1:27" s="43" customFormat="1" ht="15.5">
      <c r="A32" s="277"/>
      <c r="B32" s="279"/>
      <c r="C32" s="279"/>
      <c r="D32" s="279"/>
      <c r="E32" s="279"/>
      <c r="F32" s="279"/>
      <c r="G32" s="279"/>
      <c r="H32" s="279"/>
      <c r="I32" s="279"/>
      <c r="J32" s="279"/>
      <c r="K32" s="279"/>
      <c r="L32" s="279"/>
      <c r="M32" s="279"/>
      <c r="N32" s="279"/>
      <c r="O32" s="280"/>
      <c r="P32" s="279"/>
      <c r="Q32" s="279"/>
      <c r="R32" s="279"/>
      <c r="S32" s="279"/>
      <c r="T32" s="279"/>
      <c r="U32" s="279"/>
      <c r="V32" s="279"/>
      <c r="W32" s="279"/>
      <c r="X32" s="279"/>
      <c r="Y32" s="279"/>
      <c r="Z32" s="279"/>
      <c r="AA32" s="277"/>
    </row>
    <row r="33" spans="1:27" s="43" customFormat="1" ht="15.5">
      <c r="A33" s="277"/>
      <c r="B33" s="277"/>
      <c r="C33" s="277"/>
      <c r="D33" s="277"/>
      <c r="E33" s="277"/>
      <c r="F33" s="277"/>
      <c r="G33" s="277"/>
      <c r="H33" s="277"/>
      <c r="I33" s="277"/>
      <c r="J33" s="277"/>
      <c r="K33" s="277"/>
      <c r="L33" s="277"/>
      <c r="M33" s="277"/>
      <c r="N33" s="277"/>
      <c r="O33" s="281"/>
      <c r="P33" s="277"/>
      <c r="Q33" s="277"/>
      <c r="R33" s="277"/>
      <c r="S33" s="277"/>
      <c r="T33" s="277"/>
      <c r="U33" s="277"/>
      <c r="V33" s="277"/>
      <c r="W33" s="277"/>
      <c r="X33" s="277"/>
      <c r="Y33" s="277"/>
      <c r="Z33" s="277"/>
      <c r="AA33" s="277"/>
    </row>
    <row r="34" spans="1:27" s="43" customFormat="1" ht="15.5">
      <c r="A34" s="277"/>
      <c r="B34" s="277"/>
      <c r="C34" s="277"/>
      <c r="D34" s="277"/>
      <c r="E34" s="277"/>
      <c r="F34" s="277"/>
      <c r="G34" s="277"/>
      <c r="H34" s="277"/>
      <c r="I34" s="277"/>
      <c r="J34" s="277"/>
      <c r="K34" s="277"/>
      <c r="L34" s="277"/>
      <c r="M34" s="277"/>
      <c r="N34" s="277"/>
      <c r="O34" s="281"/>
      <c r="P34" s="277"/>
      <c r="Q34" s="277"/>
      <c r="R34" s="277"/>
      <c r="S34" s="277"/>
      <c r="T34" s="277"/>
      <c r="U34" s="277"/>
      <c r="V34" s="277"/>
      <c r="W34" s="277"/>
      <c r="X34" s="277"/>
      <c r="Y34" s="277"/>
      <c r="Z34" s="277"/>
      <c r="AA34" s="277"/>
    </row>
  </sheetData>
  <sheetProtection password="E242" sheet="1" objects="1" scenarios="1"/>
  <customSheetViews>
    <customSheetView guid="{30D0538C-360A-4CDF-8D89-584CED1967CC}" scale="80" showGridLines="0">
      <selection activeCell="H3" sqref="H3"/>
      <pageMargins left="0.7" right="0.7" top="0.75" bottom="0.75" header="0.3" footer="0.3"/>
    </customSheetView>
    <customSheetView guid="{4F3169C3-3348-49DE-A6DC-8AA4D2A9D7A1}" scale="80" showGridLines="0">
      <selection activeCell="H3" sqref="H3"/>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
    <pageSetUpPr fitToPage="1"/>
  </sheetPr>
  <dimension ref="A1:AB161"/>
  <sheetViews>
    <sheetView showGridLines="0" showOutlineSymbols="0" zoomScaleNormal="100" workbookViewId="0">
      <pane ySplit="15" topLeftCell="A136" activePane="bottomLeft" state="frozen"/>
      <selection activeCell="A10" sqref="A10"/>
      <selection pane="bottomLeft" activeCell="O154" sqref="O154"/>
    </sheetView>
  </sheetViews>
  <sheetFormatPr baseColWidth="10" defaultColWidth="11.453125" defaultRowHeight="10.5"/>
  <cols>
    <col min="1" max="1" width="27.08984375" style="116" customWidth="1"/>
    <col min="2" max="2" width="7.08984375" style="116" customWidth="1"/>
    <col min="3" max="3" width="10.08984375" style="117" customWidth="1"/>
    <col min="4" max="7" width="10.08984375" style="116" customWidth="1"/>
    <col min="8" max="8" width="10.08984375" style="117" customWidth="1"/>
    <col min="9" max="9" width="10.08984375" style="118" customWidth="1"/>
    <col min="10" max="10" width="10.08984375" style="119" customWidth="1"/>
    <col min="11" max="11" width="10.08984375" style="116" customWidth="1"/>
    <col min="12" max="13" width="10.08984375" style="119" customWidth="1"/>
    <col min="14" max="14" width="10.08984375" style="116" customWidth="1"/>
    <col min="15" max="16" width="10.08984375" style="119" customWidth="1"/>
    <col min="17" max="17" width="13.08984375" style="116" hidden="1" customWidth="1"/>
    <col min="18" max="19" width="10.453125" style="116" hidden="1" customWidth="1"/>
    <col min="20" max="21" width="9.6328125" style="116" customWidth="1"/>
    <col min="22" max="22" width="12.6328125" style="116" customWidth="1"/>
    <col min="23" max="24" width="7.6328125" style="116" customWidth="1"/>
    <col min="25" max="25" width="12.6328125" style="116" customWidth="1"/>
    <col min="26" max="27" width="7.6328125" style="116" customWidth="1"/>
    <col min="28" max="28" width="12.6328125" style="116" customWidth="1"/>
    <col min="29" max="30" width="7.6328125" style="116" customWidth="1"/>
    <col min="31" max="16384" width="11.453125" style="116"/>
  </cols>
  <sheetData>
    <row r="1" spans="1:16" customFormat="1" ht="12.5"/>
    <row r="2" spans="1:16" customFormat="1" ht="12.5"/>
    <row r="3" spans="1:16" customFormat="1" ht="12.5"/>
    <row r="4" spans="1:16" s="261" customFormat="1" ht="12.5"/>
    <row r="5" spans="1:16" s="261" customFormat="1" ht="12.5"/>
    <row r="6" spans="1:16" s="261" customFormat="1" ht="12.5"/>
    <row r="7" spans="1:16" s="261" customFormat="1" ht="12.5"/>
    <row r="8" spans="1:16" ht="33">
      <c r="A8" s="42" t="str">
        <f>RG!D17</f>
        <v>Jhon Wesly inc.</v>
      </c>
      <c r="B8" s="120"/>
    </row>
    <row r="9" spans="1:16" ht="17.5">
      <c r="A9" s="44"/>
      <c r="B9" s="44"/>
      <c r="E9" s="810"/>
    </row>
    <row r="10" spans="1:16" ht="15">
      <c r="A10" s="45" t="s">
        <v>470</v>
      </c>
      <c r="B10" s="45"/>
    </row>
    <row r="11" spans="1:16" ht="13">
      <c r="A11" s="46" t="s">
        <v>471</v>
      </c>
      <c r="B11" s="46"/>
    </row>
    <row r="12" spans="1:16" ht="13.5" thickBot="1">
      <c r="A12" s="46"/>
      <c r="B12" s="46"/>
      <c r="C12" s="783">
        <f>RG!D27</f>
        <v>45292</v>
      </c>
      <c r="D12" s="784">
        <f t="shared" ref="D12:O12" si="0">C12+31</f>
        <v>45323</v>
      </c>
      <c r="E12" s="784">
        <f t="shared" si="0"/>
        <v>45354</v>
      </c>
      <c r="F12" s="784">
        <f t="shared" si="0"/>
        <v>45385</v>
      </c>
      <c r="G12" s="784">
        <f t="shared" si="0"/>
        <v>45416</v>
      </c>
      <c r="H12" s="784">
        <f t="shared" si="0"/>
        <v>45447</v>
      </c>
      <c r="I12" s="784">
        <f t="shared" si="0"/>
        <v>45478</v>
      </c>
      <c r="J12" s="784">
        <f t="shared" si="0"/>
        <v>45509</v>
      </c>
      <c r="K12" s="784">
        <f t="shared" si="0"/>
        <v>45540</v>
      </c>
      <c r="L12" s="784">
        <f t="shared" si="0"/>
        <v>45571</v>
      </c>
      <c r="M12" s="784">
        <f t="shared" si="0"/>
        <v>45602</v>
      </c>
      <c r="N12" s="784">
        <f t="shared" si="0"/>
        <v>45633</v>
      </c>
      <c r="O12" s="785">
        <f t="shared" si="0"/>
        <v>45664</v>
      </c>
    </row>
    <row r="13" spans="1:16" ht="13.5" customHeight="1" thickBot="1">
      <c r="C13" s="73" t="s">
        <v>468</v>
      </c>
      <c r="D13" s="207">
        <f>RG!D27</f>
        <v>45292</v>
      </c>
      <c r="E13" s="207">
        <f>EDATE(D13,1)</f>
        <v>45323</v>
      </c>
      <c r="F13" s="207">
        <f t="shared" ref="F13:O13" si="1">EDATE(E13,1)</f>
        <v>45352</v>
      </c>
      <c r="G13" s="207">
        <f t="shared" si="1"/>
        <v>45383</v>
      </c>
      <c r="H13" s="207">
        <f t="shared" si="1"/>
        <v>45413</v>
      </c>
      <c r="I13" s="207">
        <f t="shared" si="1"/>
        <v>45444</v>
      </c>
      <c r="J13" s="207">
        <f t="shared" si="1"/>
        <v>45474</v>
      </c>
      <c r="K13" s="207">
        <f t="shared" si="1"/>
        <v>45505</v>
      </c>
      <c r="L13" s="207">
        <f t="shared" si="1"/>
        <v>45536</v>
      </c>
      <c r="M13" s="207">
        <f t="shared" si="1"/>
        <v>45566</v>
      </c>
      <c r="N13" s="207">
        <f t="shared" si="1"/>
        <v>45597</v>
      </c>
      <c r="O13" s="207">
        <f t="shared" si="1"/>
        <v>45627</v>
      </c>
      <c r="P13" s="208" t="s">
        <v>498</v>
      </c>
    </row>
    <row r="14" spans="1:16" ht="13.5" customHeight="1" thickBot="1">
      <c r="D14" s="117"/>
      <c r="E14" s="117"/>
      <c r="F14" s="117"/>
      <c r="G14" s="121"/>
      <c r="H14" s="121"/>
      <c r="I14" s="117"/>
      <c r="J14" s="121"/>
      <c r="K14" s="121"/>
      <c r="L14" s="117"/>
      <c r="M14" s="121"/>
      <c r="N14" s="121"/>
      <c r="O14" s="117"/>
      <c r="P14" s="117"/>
    </row>
    <row r="15" spans="1:16" ht="13.5" customHeight="1" thickBot="1">
      <c r="A15" s="48" t="s">
        <v>499</v>
      </c>
      <c r="B15" s="48"/>
      <c r="C15" s="209">
        <f>IF(RG!A117=1,0,'HISTO BILAN'!E16)</f>
        <v>0</v>
      </c>
      <c r="D15" s="122">
        <f t="shared" ref="D15:O15" si="2">C148</f>
        <v>3400</v>
      </c>
      <c r="E15" s="122">
        <f t="shared" si="2"/>
        <v>6803</v>
      </c>
      <c r="F15" s="122">
        <f t="shared" si="2"/>
        <v>5406</v>
      </c>
      <c r="G15" s="122">
        <f t="shared" si="2"/>
        <v>4153</v>
      </c>
      <c r="H15" s="122">
        <f t="shared" si="2"/>
        <v>3049</v>
      </c>
      <c r="I15" s="122">
        <f t="shared" si="2"/>
        <v>2089</v>
      </c>
      <c r="J15" s="122">
        <f t="shared" si="2"/>
        <v>1279</v>
      </c>
      <c r="K15" s="122">
        <f t="shared" si="2"/>
        <v>612</v>
      </c>
      <c r="L15" s="122">
        <f t="shared" si="2"/>
        <v>92</v>
      </c>
      <c r="M15" s="122">
        <f t="shared" si="2"/>
        <v>219</v>
      </c>
      <c r="N15" s="122">
        <f t="shared" si="2"/>
        <v>491</v>
      </c>
      <c r="O15" s="122">
        <f t="shared" si="2"/>
        <v>410</v>
      </c>
      <c r="P15" s="210">
        <f>C15+0.001</f>
        <v>1E-3</v>
      </c>
    </row>
    <row r="16" spans="1:16" ht="13.5" customHeight="1">
      <c r="A16" s="124"/>
      <c r="B16" s="124"/>
      <c r="C16" s="211"/>
      <c r="D16" s="212"/>
      <c r="E16" s="212"/>
      <c r="F16" s="212"/>
      <c r="G16" s="212"/>
      <c r="H16" s="212"/>
      <c r="I16" s="212"/>
      <c r="J16" s="212"/>
      <c r="K16" s="212"/>
      <c r="L16" s="212"/>
      <c r="M16" s="212"/>
      <c r="N16" s="212"/>
      <c r="O16" s="212"/>
      <c r="P16" s="213">
        <v>0.01</v>
      </c>
    </row>
    <row r="17" spans="1:18" ht="13.5" customHeight="1" thickBot="1">
      <c r="A17" s="127" t="s">
        <v>500</v>
      </c>
      <c r="B17" s="127"/>
      <c r="C17" s="211"/>
      <c r="D17" s="214"/>
      <c r="E17" s="214"/>
      <c r="F17" s="214"/>
      <c r="G17" s="214"/>
      <c r="H17" s="214"/>
      <c r="I17" s="214"/>
      <c r="J17" s="214"/>
      <c r="K17" s="214"/>
      <c r="L17" s="214"/>
      <c r="M17" s="214"/>
      <c r="N17" s="214"/>
      <c r="O17" s="214"/>
      <c r="P17" s="215">
        <v>0.01</v>
      </c>
    </row>
    <row r="18" spans="1:18" ht="13.5" customHeight="1" thickBot="1">
      <c r="A18" s="53" t="s">
        <v>469</v>
      </c>
      <c r="B18" s="53"/>
      <c r="C18" s="140">
        <v>0</v>
      </c>
      <c r="D18" s="140">
        <f>'V1'!G91</f>
        <v>3250</v>
      </c>
      <c r="E18" s="140">
        <f>'V1'!H91</f>
        <v>3400</v>
      </c>
      <c r="F18" s="140">
        <f>'V1'!I91</f>
        <v>3550</v>
      </c>
      <c r="G18" s="140">
        <f>'V1'!J91</f>
        <v>3700</v>
      </c>
      <c r="H18" s="140">
        <f>'V1'!K91</f>
        <v>3850</v>
      </c>
      <c r="I18" s="140">
        <f>'V1'!L91</f>
        <v>4000</v>
      </c>
      <c r="J18" s="140">
        <f>'V1'!M91</f>
        <v>4150</v>
      </c>
      <c r="K18" s="140">
        <f>'V1'!N91</f>
        <v>4300</v>
      </c>
      <c r="L18" s="140">
        <f>'V1'!O91</f>
        <v>4450</v>
      </c>
      <c r="M18" s="140">
        <f>'V1'!P91</f>
        <v>4600</v>
      </c>
      <c r="N18" s="140">
        <f>'V1'!Q91</f>
        <v>4750</v>
      </c>
      <c r="O18" s="141">
        <f>'V1'!R91</f>
        <v>4900</v>
      </c>
      <c r="P18" s="216">
        <f t="shared" ref="P18:P24" si="3">SUM(C18:O18)</f>
        <v>48900</v>
      </c>
    </row>
    <row r="19" spans="1:18" ht="13.5" customHeight="1" thickBot="1">
      <c r="A19" s="53" t="s">
        <v>346</v>
      </c>
      <c r="B19" s="53"/>
      <c r="C19" s="140">
        <v>0</v>
      </c>
      <c r="D19" s="133">
        <f>'AE1'!D16+'AE1'!D17+'AE1'!D18+'AE1'!D19+'AE1'!D20</f>
        <v>0</v>
      </c>
      <c r="E19" s="133">
        <f>'AE1'!E16+'AE1'!E17+'AE1'!E18+'AE1'!E19+'AE1'!E20</f>
        <v>0</v>
      </c>
      <c r="F19" s="133">
        <f>'AE1'!F16+'AE1'!F17+'AE1'!F18+'AE1'!F19+'AE1'!F20</f>
        <v>0</v>
      </c>
      <c r="G19" s="133">
        <f>'AE1'!G16+'AE1'!G17+'AE1'!G18+'AE1'!G19+'AE1'!G20</f>
        <v>0</v>
      </c>
      <c r="H19" s="133">
        <f>'AE1'!H16+'AE1'!H17+'AE1'!H18+'AE1'!H19+'AE1'!H20</f>
        <v>0</v>
      </c>
      <c r="I19" s="133">
        <f>'AE1'!I16+'AE1'!I17+'AE1'!I18+'AE1'!I19+'AE1'!I20</f>
        <v>0</v>
      </c>
      <c r="J19" s="133">
        <f>'AE1'!J16+'AE1'!J17+'AE1'!J18+'AE1'!J19+'AE1'!J20</f>
        <v>0</v>
      </c>
      <c r="K19" s="133">
        <f>'AE1'!K16+'AE1'!K17+'AE1'!K18+'AE1'!K19+'AE1'!K20</f>
        <v>0</v>
      </c>
      <c r="L19" s="133">
        <f>'AE1'!L16+'AE1'!L17+'AE1'!L18+'AE1'!L19+'AE1'!L20</f>
        <v>0</v>
      </c>
      <c r="M19" s="133">
        <f>'AE1'!M16+'AE1'!M17+'AE1'!M18+'AE1'!M19+'AE1'!M20</f>
        <v>0</v>
      </c>
      <c r="N19" s="133">
        <f>'AE1'!N16+'AE1'!N17+'AE1'!N18+'AE1'!N19+'AE1'!N20</f>
        <v>0</v>
      </c>
      <c r="O19" s="134">
        <f>'AE1'!O16+'AE1'!O17+'AE1'!O18+'AE1'!O19+'AE1'!O20</f>
        <v>0</v>
      </c>
      <c r="P19" s="216">
        <f t="shared" si="3"/>
        <v>0</v>
      </c>
    </row>
    <row r="20" spans="1:18" ht="13.5" customHeight="1" thickBot="1">
      <c r="A20" s="53" t="str">
        <f>IF(RG!A74=3,"Émission d'actions","Apports / mise de fonds/STA")</f>
        <v>Émission d'actions</v>
      </c>
      <c r="B20" s="53"/>
      <c r="C20" s="140">
        <f>CF!J17</f>
        <v>10000</v>
      </c>
      <c r="D20" s="135">
        <f>'AE1'!D25</f>
        <v>0</v>
      </c>
      <c r="E20" s="135">
        <f>'AE1'!E25</f>
        <v>0</v>
      </c>
      <c r="F20" s="135">
        <f>'AE1'!F25</f>
        <v>0</v>
      </c>
      <c r="G20" s="135">
        <f>'AE1'!G25</f>
        <v>0</v>
      </c>
      <c r="H20" s="135">
        <f>'AE1'!H25</f>
        <v>0</v>
      </c>
      <c r="I20" s="135">
        <f>'AE1'!I25</f>
        <v>0</v>
      </c>
      <c r="J20" s="135">
        <f>'AE1'!J25</f>
        <v>0</v>
      </c>
      <c r="K20" s="135">
        <f>'AE1'!K25</f>
        <v>0</v>
      </c>
      <c r="L20" s="135">
        <f>'AE1'!L25</f>
        <v>0</v>
      </c>
      <c r="M20" s="135">
        <f>'AE1'!M25</f>
        <v>0</v>
      </c>
      <c r="N20" s="135">
        <f>'AE1'!N25</f>
        <v>0</v>
      </c>
      <c r="O20" s="135">
        <f>'AE1'!O25</f>
        <v>0</v>
      </c>
      <c r="P20" s="216">
        <f t="shared" si="3"/>
        <v>10000</v>
      </c>
    </row>
    <row r="21" spans="1:18" ht="13.5" customHeight="1" thickBot="1">
      <c r="A21" s="51" t="s">
        <v>232</v>
      </c>
      <c r="B21" s="51"/>
      <c r="C21" s="653">
        <f>DG!F138</f>
        <v>20000</v>
      </c>
      <c r="D21" s="654"/>
      <c r="E21" s="654"/>
      <c r="F21" s="654">
        <f>DG!G138</f>
        <v>0</v>
      </c>
      <c r="G21" s="654"/>
      <c r="H21" s="654"/>
      <c r="I21" s="654">
        <f>DG!H138</f>
        <v>0</v>
      </c>
      <c r="J21" s="654"/>
      <c r="K21" s="654"/>
      <c r="L21" s="654">
        <f>DG!I138</f>
        <v>0</v>
      </c>
      <c r="M21" s="654"/>
      <c r="N21" s="654"/>
      <c r="O21" s="655">
        <f>DG!J138</f>
        <v>0</v>
      </c>
      <c r="P21" s="216">
        <f t="shared" si="3"/>
        <v>20000</v>
      </c>
    </row>
    <row r="22" spans="1:18" ht="13.5" customHeight="1" thickBot="1">
      <c r="A22" s="51" t="s">
        <v>585</v>
      </c>
      <c r="B22" s="51"/>
      <c r="C22" s="1080">
        <v>0</v>
      </c>
      <c r="D22" s="1081">
        <f>IF(RG!A117=1,0,'HISTO BILAN'!E17)</f>
        <v>0</v>
      </c>
      <c r="E22" s="1081">
        <v>0</v>
      </c>
      <c r="F22" s="1081">
        <v>0</v>
      </c>
      <c r="G22" s="1081">
        <v>0</v>
      </c>
      <c r="H22" s="1081">
        <v>0</v>
      </c>
      <c r="I22" s="1081">
        <v>0</v>
      </c>
      <c r="J22" s="1081">
        <v>0</v>
      </c>
      <c r="K22" s="1081">
        <v>0</v>
      </c>
      <c r="L22" s="1081">
        <v>0</v>
      </c>
      <c r="M22" s="1081">
        <v>0</v>
      </c>
      <c r="N22" s="1081">
        <v>0</v>
      </c>
      <c r="O22" s="1082">
        <v>0</v>
      </c>
      <c r="P22" s="216">
        <f t="shared" si="3"/>
        <v>0</v>
      </c>
    </row>
    <row r="23" spans="1:18" ht="13.5" customHeight="1" thickBot="1">
      <c r="A23" s="51" t="s">
        <v>133</v>
      </c>
      <c r="B23" s="51"/>
      <c r="C23" s="1079">
        <f>SUBV!C68</f>
        <v>0</v>
      </c>
      <c r="D23" s="1079">
        <f>'AE1'!D27</f>
        <v>0</v>
      </c>
      <c r="E23" s="1079">
        <f>'AE1'!E27</f>
        <v>0</v>
      </c>
      <c r="F23" s="1079">
        <f>'AE1'!F27</f>
        <v>0</v>
      </c>
      <c r="G23" s="1079">
        <f>'AE1'!G27</f>
        <v>0</v>
      </c>
      <c r="H23" s="1079">
        <f>'AE1'!H27</f>
        <v>0</v>
      </c>
      <c r="I23" s="1079">
        <f>'AE1'!I27</f>
        <v>0</v>
      </c>
      <c r="J23" s="1079">
        <f>'AE1'!J27</f>
        <v>0</v>
      </c>
      <c r="K23" s="1079">
        <f>'AE1'!K27</f>
        <v>0</v>
      </c>
      <c r="L23" s="1079">
        <f>'AE1'!L27</f>
        <v>0</v>
      </c>
      <c r="M23" s="1079">
        <f>'AE1'!M27</f>
        <v>0</v>
      </c>
      <c r="N23" s="1079">
        <f>'AE1'!N27</f>
        <v>0</v>
      </c>
      <c r="O23" s="1079">
        <f>'AE1'!O27</f>
        <v>0</v>
      </c>
      <c r="P23" s="216">
        <f t="shared" si="3"/>
        <v>0</v>
      </c>
    </row>
    <row r="24" spans="1:18" ht="13.5" customHeight="1" thickBot="1">
      <c r="A24" s="53" t="s">
        <v>343</v>
      </c>
      <c r="B24" s="53"/>
      <c r="C24" s="656">
        <f>SUBV!C29+SUBV!C42+SUBV!C55</f>
        <v>0</v>
      </c>
      <c r="D24" s="657">
        <f>'AE1'!D26</f>
        <v>0</v>
      </c>
      <c r="E24" s="657">
        <f>'AE1'!E26</f>
        <v>0</v>
      </c>
      <c r="F24" s="657">
        <f>'AE1'!F26</f>
        <v>0</v>
      </c>
      <c r="G24" s="657">
        <f>'AE1'!G26</f>
        <v>0</v>
      </c>
      <c r="H24" s="657">
        <f>'AE1'!H26</f>
        <v>0</v>
      </c>
      <c r="I24" s="657">
        <f>'AE1'!I26</f>
        <v>0</v>
      </c>
      <c r="J24" s="657">
        <f>'AE1'!J26</f>
        <v>0</v>
      </c>
      <c r="K24" s="657">
        <f>'AE1'!K26</f>
        <v>0</v>
      </c>
      <c r="L24" s="657">
        <f>'AE1'!L26</f>
        <v>0</v>
      </c>
      <c r="M24" s="657">
        <f>'AE1'!M26</f>
        <v>0</v>
      </c>
      <c r="N24" s="657">
        <f>'AE1'!N26</f>
        <v>0</v>
      </c>
      <c r="O24" s="658">
        <f>'AE1'!O26</f>
        <v>0</v>
      </c>
      <c r="P24" s="216">
        <f t="shared" si="3"/>
        <v>0</v>
      </c>
    </row>
    <row r="25" spans="1:18" ht="13.5" thickBot="1">
      <c r="A25" s="496"/>
      <c r="B25" s="65"/>
      <c r="D25" s="543"/>
      <c r="E25" s="543"/>
      <c r="F25" s="543"/>
      <c r="G25" s="543"/>
      <c r="H25" s="543"/>
      <c r="I25" s="543"/>
      <c r="J25" s="543"/>
      <c r="K25" s="543"/>
      <c r="L25" s="543"/>
      <c r="M25" s="543"/>
      <c r="N25" s="543"/>
      <c r="O25" s="543"/>
      <c r="P25" s="220">
        <v>0.01</v>
      </c>
    </row>
    <row r="26" spans="1:18" ht="13.5" customHeight="1" thickBot="1">
      <c r="A26" s="48" t="s">
        <v>719</v>
      </c>
      <c r="B26" s="48"/>
      <c r="C26" s="140">
        <f t="shared" ref="C26:P26" si="4">SUM(C18:C24)</f>
        <v>30000</v>
      </c>
      <c r="D26" s="140">
        <f t="shared" si="4"/>
        <v>3250</v>
      </c>
      <c r="E26" s="140">
        <f t="shared" si="4"/>
        <v>3400</v>
      </c>
      <c r="F26" s="140">
        <f t="shared" si="4"/>
        <v>3550</v>
      </c>
      <c r="G26" s="140">
        <f t="shared" si="4"/>
        <v>3700</v>
      </c>
      <c r="H26" s="140">
        <f t="shared" si="4"/>
        <v>3850</v>
      </c>
      <c r="I26" s="140">
        <f t="shared" si="4"/>
        <v>4000</v>
      </c>
      <c r="J26" s="140">
        <f t="shared" si="4"/>
        <v>4150</v>
      </c>
      <c r="K26" s="140">
        <f t="shared" si="4"/>
        <v>4300</v>
      </c>
      <c r="L26" s="140">
        <f t="shared" si="4"/>
        <v>4450</v>
      </c>
      <c r="M26" s="140">
        <f t="shared" si="4"/>
        <v>4600</v>
      </c>
      <c r="N26" s="140">
        <f t="shared" si="4"/>
        <v>4750</v>
      </c>
      <c r="O26" s="140">
        <f t="shared" si="4"/>
        <v>4900</v>
      </c>
      <c r="P26" s="217">
        <f t="shared" si="4"/>
        <v>78900</v>
      </c>
    </row>
    <row r="27" spans="1:18" ht="13.5" customHeight="1">
      <c r="A27" s="48"/>
      <c r="B27" s="48"/>
      <c r="C27" s="218"/>
      <c r="D27" s="218"/>
      <c r="E27" s="218"/>
      <c r="F27" s="218"/>
      <c r="G27" s="219"/>
      <c r="H27" s="219"/>
      <c r="I27" s="218"/>
      <c r="J27" s="219"/>
      <c r="K27" s="219"/>
      <c r="L27" s="218"/>
      <c r="M27" s="219"/>
      <c r="N27" s="219"/>
      <c r="O27" s="218"/>
      <c r="P27" s="220">
        <v>0.01</v>
      </c>
    </row>
    <row r="28" spans="1:18" ht="13.5" customHeight="1" thickBot="1">
      <c r="A28" s="48" t="s">
        <v>718</v>
      </c>
      <c r="B28" s="48"/>
      <c r="C28" s="218"/>
      <c r="D28" s="218"/>
      <c r="E28" s="218"/>
      <c r="F28" s="218"/>
      <c r="G28" s="219"/>
      <c r="H28" s="219"/>
      <c r="I28" s="218"/>
      <c r="J28" s="219"/>
      <c r="K28" s="219"/>
      <c r="L28" s="218"/>
      <c r="M28" s="219"/>
      <c r="N28" s="219"/>
      <c r="O28" s="218"/>
      <c r="P28" s="220">
        <v>0.01</v>
      </c>
    </row>
    <row r="29" spans="1:18" s="143" customFormat="1" ht="13.5" customHeight="1" thickBot="1">
      <c r="A29" s="918" t="s">
        <v>502</v>
      </c>
      <c r="B29" s="221"/>
      <c r="C29" s="140">
        <f>RG!J21-RG!J23-RG!J33</f>
        <v>0</v>
      </c>
      <c r="D29" s="140">
        <f>'A1'!E95</f>
        <v>0</v>
      </c>
      <c r="E29" s="140">
        <f>'A1'!F95+CF!J34</f>
        <v>0</v>
      </c>
      <c r="F29" s="140">
        <f>'A1'!G95</f>
        <v>0</v>
      </c>
      <c r="G29" s="140">
        <f>'A1'!H95</f>
        <v>0</v>
      </c>
      <c r="H29" s="140">
        <f>'A1'!I95</f>
        <v>0</v>
      </c>
      <c r="I29" s="140">
        <f>'A1'!J95</f>
        <v>0</v>
      </c>
      <c r="J29" s="140">
        <f>'A1'!K95</f>
        <v>0</v>
      </c>
      <c r="K29" s="140">
        <f>'A1'!L95</f>
        <v>0</v>
      </c>
      <c r="L29" s="140">
        <f>'A1'!M95</f>
        <v>0</v>
      </c>
      <c r="M29" s="140">
        <f>'A1'!N95</f>
        <v>0</v>
      </c>
      <c r="N29" s="140">
        <f>'A1'!O95</f>
        <v>0</v>
      </c>
      <c r="O29" s="140">
        <f>'A1'!P95</f>
        <v>0</v>
      </c>
      <c r="P29" s="216">
        <f>SUM(C29:O29)</f>
        <v>0</v>
      </c>
      <c r="Q29" s="142"/>
    </row>
    <row r="30" spans="1:18" s="143" customFormat="1" ht="13.5" customHeight="1" thickBot="1">
      <c r="A30" s="867" t="str">
        <f>TE!A128</f>
        <v>Salaires de production</v>
      </c>
      <c r="B30" s="48"/>
      <c r="C30" s="140">
        <v>0</v>
      </c>
      <c r="D30" s="144">
        <f>TE!C128+TE!C130</f>
        <v>0</v>
      </c>
      <c r="E30" s="144">
        <f>TE!D128+TE!D130</f>
        <v>0</v>
      </c>
      <c r="F30" s="144">
        <f>TE!E128+TE!E130</f>
        <v>0</v>
      </c>
      <c r="G30" s="144">
        <f>TE!F128+TE!F130</f>
        <v>0</v>
      </c>
      <c r="H30" s="144">
        <f>TE!G128+TE!G130</f>
        <v>0</v>
      </c>
      <c r="I30" s="144">
        <f>TE!H128+TE!H130</f>
        <v>0</v>
      </c>
      <c r="J30" s="144">
        <f>TE!I128+TE!I130</f>
        <v>0</v>
      </c>
      <c r="K30" s="144">
        <f>TE!J128+TE!J130</f>
        <v>0</v>
      </c>
      <c r="L30" s="144">
        <f>TE!K128+TE!K130</f>
        <v>0</v>
      </c>
      <c r="M30" s="144">
        <f>TE!L128+TE!L130</f>
        <v>0</v>
      </c>
      <c r="N30" s="144">
        <f>TE!M128+TE!M130</f>
        <v>0</v>
      </c>
      <c r="O30" s="144">
        <f>TE!N128+TE!N130</f>
        <v>0</v>
      </c>
      <c r="P30" s="217">
        <f t="shared" ref="P30:P58" si="5">SUM(C30:O30)</f>
        <v>0</v>
      </c>
    </row>
    <row r="31" spans="1:18" s="143" customFormat="1" ht="13.5" customHeight="1" thickBot="1">
      <c r="A31" s="867" t="str">
        <f>TE!A129</f>
        <v xml:space="preserve">   avantages</v>
      </c>
      <c r="B31" s="48"/>
      <c r="C31" s="140">
        <v>0</v>
      </c>
      <c r="D31" s="144">
        <f>IF(RG!A117=1,0,0+'HISTO BILAN'!E42)</f>
        <v>0</v>
      </c>
      <c r="E31" s="144">
        <f>TE!C129+TE!C131</f>
        <v>0</v>
      </c>
      <c r="F31" s="144">
        <f>TE!D129+TE!D131</f>
        <v>0</v>
      </c>
      <c r="G31" s="144">
        <f>TE!E129+TE!E131</f>
        <v>0</v>
      </c>
      <c r="H31" s="144">
        <f>TE!F129+TE!F131</f>
        <v>0</v>
      </c>
      <c r="I31" s="144">
        <f>TE!G129+TE!G131</f>
        <v>0</v>
      </c>
      <c r="J31" s="144">
        <f>TE!H129+TE!H131</f>
        <v>0</v>
      </c>
      <c r="K31" s="144">
        <f>TE!I129+TE!I131</f>
        <v>0</v>
      </c>
      <c r="L31" s="144">
        <f>TE!J129+TE!J131</f>
        <v>0</v>
      </c>
      <c r="M31" s="144">
        <f>TE!K129+TE!K131</f>
        <v>0</v>
      </c>
      <c r="N31" s="144">
        <f>TE!L129+TE!L131</f>
        <v>0</v>
      </c>
      <c r="O31" s="144">
        <f>TE!M129+TE!M131</f>
        <v>0</v>
      </c>
      <c r="P31" s="217">
        <f t="shared" si="5"/>
        <v>0</v>
      </c>
      <c r="R31" s="143">
        <f>27429-25143</f>
        <v>2286</v>
      </c>
    </row>
    <row r="32" spans="1:18" ht="13.5" customHeight="1" thickBot="1">
      <c r="A32" s="919" t="str">
        <f>IF(DG!$D$127=1," ",IF(DG!$D$127=2,DG!$B$28,IF(DG!$D$127=3,DG!$B$29,IF(DG!$D$127=4,DG!$B$30,IF(DG!$D$127=5,DG!$B$31,IF(DG!$D$127=6,DG!$B$32,IF(DG!$D$127=7,DG!$B$33)))))))</f>
        <v>Frais de variable 1</v>
      </c>
      <c r="B32" s="48"/>
      <c r="C32" s="140">
        <v>0</v>
      </c>
      <c r="D32" s="144">
        <f>'FD1'!C20+'FD1'!C31+'FD1'!C42+'FD1'!C53+'FD1'!C64+'FD1'!C75</f>
        <v>80</v>
      </c>
      <c r="E32" s="144">
        <f>'FD1'!D20+'FD1'!D31+'FD1'!D42+'FD1'!D53+'FD1'!D64+'FD1'!D75</f>
        <v>84</v>
      </c>
      <c r="F32" s="144">
        <f>'FD1'!E20+'FD1'!E31+'FD1'!E42+'FD1'!E53+'FD1'!E64+'FD1'!E75</f>
        <v>88</v>
      </c>
      <c r="G32" s="144">
        <f>'FD1'!F20+'FD1'!F31+'FD1'!F42+'FD1'!F53+'FD1'!F64+'FD1'!F75</f>
        <v>91</v>
      </c>
      <c r="H32" s="144">
        <f>'FD1'!G20+'FD1'!G31+'FD1'!G42+'FD1'!G53+'FD1'!G64+'FD1'!G75</f>
        <v>96</v>
      </c>
      <c r="I32" s="144">
        <f>'FD1'!H20+'FD1'!H31+'FD1'!H42+'FD1'!H53+'FD1'!H64+'FD1'!H75</f>
        <v>98</v>
      </c>
      <c r="J32" s="144">
        <f>'FD1'!I20+'FD1'!I31+'FD1'!I42+'FD1'!I53+'FD1'!I64+'FD1'!I75</f>
        <v>102</v>
      </c>
      <c r="K32" s="144">
        <f>'FD1'!J20+'FD1'!J31+'FD1'!J42+'FD1'!J53+'FD1'!J64+'FD1'!J75</f>
        <v>106</v>
      </c>
      <c r="L32" s="144">
        <f>'FD1'!K20+'FD1'!K31+'FD1'!K42+'FD1'!K53+'FD1'!K64+'FD1'!K75</f>
        <v>110</v>
      </c>
      <c r="M32" s="144">
        <f>'FD1'!L20+'FD1'!L31+'FD1'!L42+'FD1'!L53+'FD1'!L64+'FD1'!L75</f>
        <v>114</v>
      </c>
      <c r="N32" s="144">
        <f>'FD1'!M20+'FD1'!M31+'FD1'!M42+'FD1'!M53+'FD1'!M64+'FD1'!M75</f>
        <v>118</v>
      </c>
      <c r="O32" s="144">
        <f>'FD1'!N20+'FD1'!N31+'FD1'!N42+'FD1'!N53+'FD1'!N64+'FD1'!N75</f>
        <v>121</v>
      </c>
      <c r="P32" s="216">
        <f t="shared" si="5"/>
        <v>1208</v>
      </c>
    </row>
    <row r="33" spans="1:16" ht="13.5" customHeight="1" thickBot="1">
      <c r="A33" s="919" t="str">
        <f>IF(DG!$D$128=1," ",IF(DG!$D$128=2,DG!$B$28,IF(DG!$D$128=3,DG!$B$29,IF(DG!$D$128=4,DG!$B$30,IF(DG!$D$128=5,DG!$B$31,IF(DG!$D$128=6,DG!$B$32,IF(DG!$D$128=7,DG!$B$33)))))))</f>
        <v>Frais de variable 2</v>
      </c>
      <c r="B33" s="48"/>
      <c r="C33" s="140">
        <v>0</v>
      </c>
      <c r="D33" s="144">
        <f>'FD1'!C21+'FD1'!C32+'FD1'!C43+'FD1'!C54+'FD1'!C65+'FD1'!C76</f>
        <v>0</v>
      </c>
      <c r="E33" s="144">
        <f>'FD1'!D21+'FD1'!D32+'FD1'!D43+'FD1'!D54+'FD1'!D65+'FD1'!D76</f>
        <v>0</v>
      </c>
      <c r="F33" s="144">
        <f>'FD1'!E21+'FD1'!E32+'FD1'!E43+'FD1'!E54+'FD1'!E65+'FD1'!E76</f>
        <v>0</v>
      </c>
      <c r="G33" s="144">
        <f>'FD1'!F21+'FD1'!F32+'FD1'!F43+'FD1'!F54+'FD1'!F65+'FD1'!F76</f>
        <v>0</v>
      </c>
      <c r="H33" s="144">
        <f>'FD1'!G21+'FD1'!G32+'FD1'!G43+'FD1'!G54+'FD1'!G65+'FD1'!G76</f>
        <v>0</v>
      </c>
      <c r="I33" s="144">
        <f>'FD1'!H21+'FD1'!H32+'FD1'!H43+'FD1'!H54+'FD1'!H65+'FD1'!H76</f>
        <v>0</v>
      </c>
      <c r="J33" s="144">
        <f>'FD1'!I21+'FD1'!I32+'FD1'!I43+'FD1'!I54+'FD1'!I65+'FD1'!I76</f>
        <v>0</v>
      </c>
      <c r="K33" s="144">
        <f>'FD1'!J21+'FD1'!J32+'FD1'!J43+'FD1'!J54+'FD1'!J65+'FD1'!J76</f>
        <v>0</v>
      </c>
      <c r="L33" s="144">
        <f>'FD1'!K21+'FD1'!K32+'FD1'!K43+'FD1'!K54+'FD1'!K65+'FD1'!K76</f>
        <v>0</v>
      </c>
      <c r="M33" s="144">
        <f>'FD1'!L21+'FD1'!L32+'FD1'!L43+'FD1'!L54+'FD1'!L65+'FD1'!L76</f>
        <v>0</v>
      </c>
      <c r="N33" s="144">
        <f>'FD1'!M21+'FD1'!M32+'FD1'!M43+'FD1'!M54+'FD1'!M65+'FD1'!M76</f>
        <v>0</v>
      </c>
      <c r="O33" s="144">
        <f>'FD1'!N21+'FD1'!N32+'FD1'!N43+'FD1'!N54+'FD1'!N65+'FD1'!N76</f>
        <v>0</v>
      </c>
      <c r="P33" s="216">
        <f t="shared" si="5"/>
        <v>0</v>
      </c>
    </row>
    <row r="34" spans="1:16" ht="13.5" customHeight="1" thickBot="1">
      <c r="A34" s="919" t="str">
        <f>IF(DG!$D$129=1," ",IF(DG!$D$129=2,DG!$B$28,IF(DG!$D$129=3,DG!$B$29,IF(DG!$D$129=4,DG!$B$30,IF(DG!$D$129=5,DG!$B$31,IF(DG!$D$129=6,DG!$B$32,IF(DG!$D$129=7,DG!$B$33)))))))</f>
        <v>Frais de variable 3</v>
      </c>
      <c r="B34" s="48"/>
      <c r="C34" s="140">
        <v>0</v>
      </c>
      <c r="D34" s="144">
        <f>'FD1'!C22+'FD1'!C33+'FD1'!C44+'FD1'!C55+'FD1'!C66+'FD1'!C77</f>
        <v>0</v>
      </c>
      <c r="E34" s="144">
        <f>'FD1'!D22+'FD1'!D33+'FD1'!D44+'FD1'!D55+'FD1'!D66+'FD1'!D77</f>
        <v>0</v>
      </c>
      <c r="F34" s="144">
        <f>'FD1'!E22+'FD1'!E33+'FD1'!E44+'FD1'!E55+'FD1'!E66+'FD1'!E77</f>
        <v>0</v>
      </c>
      <c r="G34" s="144">
        <f>'FD1'!F22+'FD1'!F33+'FD1'!F44+'FD1'!F55+'FD1'!F66+'FD1'!F77</f>
        <v>0</v>
      </c>
      <c r="H34" s="144">
        <f>'FD1'!G22+'FD1'!G33+'FD1'!G44+'FD1'!G55+'FD1'!G66+'FD1'!G77</f>
        <v>0</v>
      </c>
      <c r="I34" s="144">
        <f>'FD1'!H22+'FD1'!H33+'FD1'!H44+'FD1'!H55+'FD1'!H66+'FD1'!H77</f>
        <v>0</v>
      </c>
      <c r="J34" s="144">
        <f>'FD1'!I22+'FD1'!I33+'FD1'!I44+'FD1'!I55+'FD1'!I66+'FD1'!I77</f>
        <v>0</v>
      </c>
      <c r="K34" s="144">
        <f>'FD1'!J22+'FD1'!J33+'FD1'!J44+'FD1'!J55+'FD1'!J66+'FD1'!J77</f>
        <v>0</v>
      </c>
      <c r="L34" s="144">
        <f>'FD1'!K22+'FD1'!K33+'FD1'!K44+'FD1'!K55+'FD1'!K66+'FD1'!K77</f>
        <v>0</v>
      </c>
      <c r="M34" s="144">
        <f>'FD1'!L22+'FD1'!L33+'FD1'!L44+'FD1'!L55+'FD1'!L66+'FD1'!L77</f>
        <v>0</v>
      </c>
      <c r="N34" s="144">
        <f>'FD1'!M22+'FD1'!M33+'FD1'!M44+'FD1'!M55+'FD1'!M66+'FD1'!M77</f>
        <v>0</v>
      </c>
      <c r="O34" s="144">
        <f>'FD1'!N22+'FD1'!N33+'FD1'!N44+'FD1'!N55+'FD1'!N66+'FD1'!N77</f>
        <v>0</v>
      </c>
      <c r="P34" s="216">
        <f t="shared" si="5"/>
        <v>0</v>
      </c>
    </row>
    <row r="35" spans="1:16" ht="13.5" customHeight="1" thickBot="1">
      <c r="A35" s="919" t="str">
        <f>IF(DG!$D$130=1," ",IF(DG!$D$130=2,DG!$B$28,IF(DG!$D$130=3,DG!$B$29,IF(DG!$D$130=4,DG!$B$30,IF(DG!$D$130=5,DG!$B$31,IF(DG!$D$130=6,DG!$B$32,IF(DG!$D$130=7,DG!$B$33)))))))</f>
        <v>Frais de variable 4</v>
      </c>
      <c r="B35" s="48"/>
      <c r="C35" s="140">
        <v>0</v>
      </c>
      <c r="D35" s="144">
        <f>'FD1'!C23+'FD1'!C34+'FD1'!C45+'FD1'!C56+'FD1'!C67+'FD1'!C78</f>
        <v>0</v>
      </c>
      <c r="E35" s="144">
        <f>'FD1'!D23+'FD1'!D34+'FD1'!D45+'FD1'!D56+'FD1'!D67+'FD1'!D78</f>
        <v>0</v>
      </c>
      <c r="F35" s="144">
        <f>'FD1'!E23+'FD1'!E34+'FD1'!E45+'FD1'!E56+'FD1'!E67+'FD1'!E78</f>
        <v>0</v>
      </c>
      <c r="G35" s="144">
        <f>'FD1'!F23+'FD1'!F34+'FD1'!F45+'FD1'!F56+'FD1'!F67+'FD1'!F78</f>
        <v>0</v>
      </c>
      <c r="H35" s="144">
        <f>'FD1'!G23+'FD1'!G34+'FD1'!G45+'FD1'!G56+'FD1'!G67+'FD1'!G78</f>
        <v>0</v>
      </c>
      <c r="I35" s="144">
        <f>'FD1'!H23+'FD1'!H34+'FD1'!H45+'FD1'!H56+'FD1'!H67+'FD1'!H78</f>
        <v>0</v>
      </c>
      <c r="J35" s="144">
        <f>'FD1'!I23+'FD1'!I34+'FD1'!I45+'FD1'!I56+'FD1'!I67+'FD1'!I78</f>
        <v>0</v>
      </c>
      <c r="K35" s="144">
        <f>'FD1'!J23+'FD1'!J34+'FD1'!J45+'FD1'!J56+'FD1'!J67+'FD1'!J78</f>
        <v>0</v>
      </c>
      <c r="L35" s="144">
        <f>'FD1'!K23+'FD1'!K34+'FD1'!K45+'FD1'!K56+'FD1'!K67+'FD1'!K78</f>
        <v>0</v>
      </c>
      <c r="M35" s="144">
        <f>'FD1'!L23+'FD1'!L34+'FD1'!L45+'FD1'!L56+'FD1'!L67+'FD1'!L78</f>
        <v>0</v>
      </c>
      <c r="N35" s="144">
        <f>'FD1'!M23+'FD1'!M34+'FD1'!M45+'FD1'!M56+'FD1'!M67+'FD1'!M78</f>
        <v>0</v>
      </c>
      <c r="O35" s="144">
        <f>'FD1'!N23+'FD1'!N34+'FD1'!N45+'FD1'!N56+'FD1'!N67+'FD1'!N78</f>
        <v>0</v>
      </c>
      <c r="P35" s="216">
        <f t="shared" si="5"/>
        <v>0</v>
      </c>
    </row>
    <row r="36" spans="1:16" ht="13.5" customHeight="1" thickBot="1">
      <c r="A36" s="919" t="str">
        <f>IF(DG!$D$131=1," ",IF(DG!$D$131=2,DG!$B$28,IF(DG!$D$131=3,DG!$B$29,IF(DG!$D$131=4,DG!$B$30,IF(DG!$D$131=5,DG!$B$31,IF(DG!$D$131=6,DG!$B$32,IF(DG!$D$131=7,DG!$B$33)))))))</f>
        <v>Frais de variable 5</v>
      </c>
      <c r="B36" s="479"/>
      <c r="C36" s="140">
        <v>0</v>
      </c>
      <c r="D36" s="144">
        <f>'FD1'!C24+'FD1'!C35+'FD1'!C46+'FD1'!C57+'FD1'!C68+'FD1'!C79</f>
        <v>0</v>
      </c>
      <c r="E36" s="144">
        <f>'FD1'!D24+'FD1'!D35+'FD1'!D46+'FD1'!D57+'FD1'!D68+'FD1'!D79</f>
        <v>0</v>
      </c>
      <c r="F36" s="144">
        <f>'FD1'!E24+'FD1'!E35+'FD1'!E46+'FD1'!E57+'FD1'!E68+'FD1'!E79</f>
        <v>0</v>
      </c>
      <c r="G36" s="144">
        <f>'FD1'!F24+'FD1'!F35+'FD1'!F46+'FD1'!F57+'FD1'!F68+'FD1'!F79</f>
        <v>0</v>
      </c>
      <c r="H36" s="144">
        <f>'FD1'!G24+'FD1'!G35+'FD1'!G46+'FD1'!G57+'FD1'!G68+'FD1'!G79</f>
        <v>0</v>
      </c>
      <c r="I36" s="144">
        <f>'FD1'!H24+'FD1'!H35+'FD1'!H46+'FD1'!H57+'FD1'!H68+'FD1'!H79</f>
        <v>0</v>
      </c>
      <c r="J36" s="144">
        <f>'FD1'!I24+'FD1'!I35+'FD1'!I46+'FD1'!I57+'FD1'!I68+'FD1'!I79</f>
        <v>0</v>
      </c>
      <c r="K36" s="144">
        <f>'FD1'!J24+'FD1'!J35+'FD1'!J46+'FD1'!J57+'FD1'!J68+'FD1'!J79</f>
        <v>0</v>
      </c>
      <c r="L36" s="144">
        <f>'FD1'!K24+'FD1'!K35+'FD1'!K46+'FD1'!K57+'FD1'!K68+'FD1'!K79</f>
        <v>0</v>
      </c>
      <c r="M36" s="144">
        <f>'FD1'!L24+'FD1'!L35+'FD1'!L46+'FD1'!L57+'FD1'!L68+'FD1'!L79</f>
        <v>0</v>
      </c>
      <c r="N36" s="144">
        <f>'FD1'!M24+'FD1'!M35+'FD1'!M46+'FD1'!M57+'FD1'!M68+'FD1'!M79</f>
        <v>0</v>
      </c>
      <c r="O36" s="144">
        <f>'FD1'!N24+'FD1'!N35+'FD1'!N46+'FD1'!N57+'FD1'!N68+'FD1'!N79</f>
        <v>0</v>
      </c>
      <c r="P36" s="216">
        <f>SUM(C36:O36)</f>
        <v>0</v>
      </c>
    </row>
    <row r="37" spans="1:16" ht="13.5" customHeight="1" thickBot="1">
      <c r="A37" s="919" t="str">
        <f>IF(DG!$D$132=1," ",IF(DG!$D$132=2,DG!$B$28,IF(DG!$D$132=3,DG!$B$29,IF(DG!$D$132=4,DG!$B$30,IF(DG!$D$132=5,DG!$B$31,IF(DG!$D$132=6,DG!$B$32,IF(DG!$D$132=7,DG!$B$33)))))))</f>
        <v>Frais de variable 6</v>
      </c>
      <c r="B37" s="479"/>
      <c r="C37" s="140">
        <v>0</v>
      </c>
      <c r="D37" s="144">
        <f>'FD1'!C25+'FD1'!C36+'FD1'!C47+'FD1'!C58+'FD1'!C69+'FD1'!C80</f>
        <v>0</v>
      </c>
      <c r="E37" s="144">
        <f>'FD1'!D25+'FD1'!D36+'FD1'!D47+'FD1'!D58+'FD1'!D69+'FD1'!D80</f>
        <v>0</v>
      </c>
      <c r="F37" s="144">
        <f>'FD1'!E25+'FD1'!E36+'FD1'!E47+'FD1'!E58+'FD1'!E69+'FD1'!E80</f>
        <v>0</v>
      </c>
      <c r="G37" s="144">
        <f>'FD1'!F25+'FD1'!F36+'FD1'!F47+'FD1'!F58+'FD1'!F69+'FD1'!F80</f>
        <v>0</v>
      </c>
      <c r="H37" s="144">
        <f>'FD1'!G25+'FD1'!G36+'FD1'!G47+'FD1'!G58+'FD1'!G69+'FD1'!G80</f>
        <v>0</v>
      </c>
      <c r="I37" s="144">
        <f>'FD1'!H25+'FD1'!H36+'FD1'!H47+'FD1'!H58+'FD1'!H69+'FD1'!H80</f>
        <v>0</v>
      </c>
      <c r="J37" s="144">
        <f>'FD1'!I25+'FD1'!I36+'FD1'!I47+'FD1'!I58+'FD1'!I69+'FD1'!I80</f>
        <v>0</v>
      </c>
      <c r="K37" s="144">
        <f>'FD1'!J25+'FD1'!J36+'FD1'!J47+'FD1'!J58+'FD1'!J69+'FD1'!J80</f>
        <v>0</v>
      </c>
      <c r="L37" s="144">
        <f>'FD1'!K25+'FD1'!K36+'FD1'!K47+'FD1'!K58+'FD1'!K69+'FD1'!K80</f>
        <v>0</v>
      </c>
      <c r="M37" s="144">
        <f>'FD1'!L25+'FD1'!L36+'FD1'!L47+'FD1'!L58+'FD1'!L69+'FD1'!L80</f>
        <v>0</v>
      </c>
      <c r="N37" s="144">
        <f>'FD1'!M25+'FD1'!M36+'FD1'!M47+'FD1'!M58+'FD1'!M69+'FD1'!M80</f>
        <v>0</v>
      </c>
      <c r="O37" s="144">
        <f>'FD1'!N25+'FD1'!N36+'FD1'!N47+'FD1'!N58+'FD1'!N69+'FD1'!N80</f>
        <v>0</v>
      </c>
      <c r="P37" s="216">
        <f>SUM(C37:O37)</f>
        <v>0</v>
      </c>
    </row>
    <row r="38" spans="1:16" ht="13.5" customHeight="1" thickBot="1">
      <c r="A38" s="78" t="s">
        <v>651</v>
      </c>
      <c r="B38" s="479"/>
      <c r="C38" s="211"/>
      <c r="D38" s="214"/>
      <c r="E38" s="214"/>
      <c r="F38" s="214"/>
      <c r="G38" s="214"/>
      <c r="H38" s="214"/>
      <c r="I38" s="214"/>
      <c r="J38" s="214"/>
      <c r="K38" s="214"/>
      <c r="L38" s="214"/>
      <c r="M38" s="214"/>
      <c r="N38" s="214"/>
      <c r="O38" s="214"/>
      <c r="P38" s="1088">
        <v>0.01</v>
      </c>
    </row>
    <row r="39" spans="1:16" ht="13.5" customHeight="1" thickBot="1">
      <c r="A39" s="43" t="str">
        <f>'FG1'!A14</f>
        <v>Loyer</v>
      </c>
      <c r="B39" s="43"/>
      <c r="C39" s="140">
        <f>IF(NE!$A$34='BC1'!A39,NE!$C$34,IF(NE!$A$35='BC1'!A39,NE!$C$35,IF(NE!$A$36='BC1'!A39,NE!$C$36,IF(NE!$A$37='BC1'!A39,NE!$C$37,IF(NE!$A$38='BC1'!A39,NE!$C$38,IF(NE!$A$39='BC1'!A39,NE!$C$39,IF(NE!$A$40='BC1'!A39,NE!$C$40,IF(NE!$A$41='BC1'!A39,NE!$C$41,IF(NE!$F$34='BC1'!A39,NE!$I$34,IF(NE!$F$35='BC1'!A39,NE!$I$35,IF(NE!$F$36='BC1'!A39,NE!$I$36,IF(NE!$F$37='BC1'!A39,NE!$I$37,IF(NE!$F$38='BC1'!A39,NE!$I$38,IF(NE!$F$39='BC1'!A39,NE!$I$39,IF(NE!$F$40='BC1'!A39,NE!$I$40,IF(NE!$F$41='BC1'!A39,NE!$I$41,0))))))))))))))))</f>
        <v>0</v>
      </c>
      <c r="D39" s="144">
        <f>'FG1'!C14</f>
        <v>0</v>
      </c>
      <c r="E39" s="144">
        <f>'FG1'!D14</f>
        <v>0</v>
      </c>
      <c r="F39" s="144">
        <f>'FG1'!E14</f>
        <v>0</v>
      </c>
      <c r="G39" s="144">
        <f>'FG1'!F14</f>
        <v>0</v>
      </c>
      <c r="H39" s="144">
        <f>'FG1'!G14</f>
        <v>0</v>
      </c>
      <c r="I39" s="144">
        <f>'FG1'!H14</f>
        <v>0</v>
      </c>
      <c r="J39" s="144">
        <f>'FG1'!I14</f>
        <v>0</v>
      </c>
      <c r="K39" s="144">
        <f>'FG1'!J14</f>
        <v>0</v>
      </c>
      <c r="L39" s="144">
        <f>'FG1'!K14</f>
        <v>0</v>
      </c>
      <c r="M39" s="144">
        <f>'FG1'!L14</f>
        <v>0</v>
      </c>
      <c r="N39" s="144">
        <f>'FG1'!M14</f>
        <v>0</v>
      </c>
      <c r="O39" s="144">
        <f>'FG1'!N14</f>
        <v>0</v>
      </c>
      <c r="P39" s="217">
        <f>SUM(C39:O39)</f>
        <v>0</v>
      </c>
    </row>
    <row r="40" spans="1:16" ht="13.5" customHeight="1" thickBot="1">
      <c r="A40" s="43" t="str">
        <f>'FG1'!A16</f>
        <v>Coût d'énergie</v>
      </c>
      <c r="B40" s="43"/>
      <c r="C40" s="140">
        <f>IF(NE!$A$34='BC1'!A40,NE!$C$34,IF(NE!$A$35='BC1'!A40,NE!$C$35,IF(NE!$A$36='BC1'!A40,NE!$C$36,IF(NE!$A$37='BC1'!A40,NE!$C$37,IF(NE!$A$38='BC1'!A40,NE!$C$38,IF(NE!$A$39='BC1'!A40,NE!$C$39,IF(NE!$A$40='BC1'!A40,NE!$C$40,IF(NE!$A$41='BC1'!A40,NE!$C$41,IF(NE!$F$34='BC1'!A40,NE!$I$34,IF(NE!$F$35='BC1'!A40,NE!$I$35,IF(NE!$F$36='BC1'!A40,NE!$I$36,IF(NE!$F$37='BC1'!A40,NE!$I$37,IF(NE!$F$38='BC1'!A40,NE!$I$38,IF(NE!$F$39='BC1'!A40,NE!$I$39,IF(NE!$F$40='BC1'!A40,NE!$I$40,IF(NE!$F$41='BC1'!A40,NE!$I$41,0))))))))))))))))</f>
        <v>0</v>
      </c>
      <c r="D40" s="144">
        <f>'FG1'!C16</f>
        <v>0</v>
      </c>
      <c r="E40" s="144">
        <f>'FG1'!D16</f>
        <v>0</v>
      </c>
      <c r="F40" s="144">
        <f>'FG1'!E16</f>
        <v>0</v>
      </c>
      <c r="G40" s="144">
        <f>'FG1'!F16</f>
        <v>0</v>
      </c>
      <c r="H40" s="144">
        <f>'FG1'!G16</f>
        <v>0</v>
      </c>
      <c r="I40" s="144">
        <f>'FG1'!H16</f>
        <v>0</v>
      </c>
      <c r="J40" s="144">
        <f>'FG1'!I16</f>
        <v>0</v>
      </c>
      <c r="K40" s="144">
        <f>'FG1'!J16</f>
        <v>0</v>
      </c>
      <c r="L40" s="144">
        <f>'FG1'!K16</f>
        <v>0</v>
      </c>
      <c r="M40" s="144">
        <f>'FG1'!L16</f>
        <v>0</v>
      </c>
      <c r="N40" s="144">
        <f>'FG1'!M16</f>
        <v>0</v>
      </c>
      <c r="O40" s="144">
        <f>'FG1'!N16</f>
        <v>0</v>
      </c>
      <c r="P40" s="217">
        <f>SUM(C40:O40)</f>
        <v>0</v>
      </c>
    </row>
    <row r="41" spans="1:16" ht="13.5" customHeight="1" thickBot="1">
      <c r="A41" s="43" t="str">
        <f>'FG1'!A18</f>
        <v>Entretien / réparation</v>
      </c>
      <c r="B41" s="43"/>
      <c r="C41" s="140">
        <f>IF(NE!$A$34='BC1'!A41,NE!$C$34,IF(NE!$A$35='BC1'!A41,NE!$C$35,IF(NE!$A$36='BC1'!A41,NE!$C$36,IF(NE!$A$37='BC1'!A41,NE!$C$37,IF(NE!$A$38='BC1'!A41,NE!$C$38,IF(NE!$A$39='BC1'!A41,NE!$C$39,IF(NE!$A$40='BC1'!A41,NE!$C$40,IF(NE!$A$41='BC1'!A41,NE!$C$41,IF(NE!$F$34='BC1'!A41,NE!$I$34,IF(NE!$F$35='BC1'!A41,NE!$I$35,IF(NE!$F$36='BC1'!A41,NE!$I$36,IF(NE!$F$37='BC1'!A41,NE!$I$37,IF(NE!$F$38='BC1'!A41,NE!$I$38,IF(NE!$F$39='BC1'!A41,NE!$I$39,IF(NE!$F$40='BC1'!A41,NE!$I$40,IF(NE!$F$41='BC1'!A41,NE!$I$41,0))))))))))))))))</f>
        <v>0</v>
      </c>
      <c r="D41" s="144">
        <f>'FG1'!C18</f>
        <v>0</v>
      </c>
      <c r="E41" s="144">
        <f>'FG1'!D18</f>
        <v>0</v>
      </c>
      <c r="F41" s="144">
        <f>'FG1'!E18</f>
        <v>0</v>
      </c>
      <c r="G41" s="144">
        <f>'FG1'!F18</f>
        <v>0</v>
      </c>
      <c r="H41" s="144">
        <f>'FG1'!G18</f>
        <v>0</v>
      </c>
      <c r="I41" s="144">
        <f>'FG1'!H18</f>
        <v>0</v>
      </c>
      <c r="J41" s="144">
        <f>'FG1'!I18</f>
        <v>0</v>
      </c>
      <c r="K41" s="144">
        <f>'FG1'!J18</f>
        <v>0</v>
      </c>
      <c r="L41" s="144">
        <f>'FG1'!K18</f>
        <v>0</v>
      </c>
      <c r="M41" s="144">
        <f>'FG1'!L18</f>
        <v>0</v>
      </c>
      <c r="N41" s="144">
        <f>'FG1'!M18</f>
        <v>0</v>
      </c>
      <c r="O41" s="144">
        <f>'FG1'!N18</f>
        <v>0</v>
      </c>
      <c r="P41" s="217">
        <f t="shared" si="5"/>
        <v>0</v>
      </c>
    </row>
    <row r="42" spans="1:16" ht="13.5" customHeight="1" thickBot="1">
      <c r="A42" s="43" t="str">
        <f>'FG1'!A20</f>
        <v>Services sanitaires</v>
      </c>
      <c r="B42" s="43"/>
      <c r="C42" s="140">
        <f>IF(NE!$A$34='BC1'!A42,NE!$C$34,IF(NE!$A$35='BC1'!A42,NE!$C$35,IF(NE!$A$36='BC1'!A42,NE!$C$36,IF(NE!$A$37='BC1'!A42,NE!$C$37,IF(NE!$A$38='BC1'!A42,NE!$C$38,IF(NE!$A$39='BC1'!A42,NE!$C$39,IF(NE!$A$40='BC1'!A42,NE!$C$40,IF(NE!$A$41='BC1'!A42,NE!$C$41,IF(NE!$F$34='BC1'!A42,NE!$I$34,IF(NE!$F$35='BC1'!A42,NE!$I$35,IF(NE!$F$36='BC1'!A42,NE!$I$36,IF(NE!$F$37='BC1'!A42,NE!$I$37,IF(NE!$F$38='BC1'!A42,NE!$I$38,IF(NE!$F$39='BC1'!A42,NE!$I$39,IF(NE!$F$40='BC1'!A42,NE!$I$40,IF(NE!$F$41='BC1'!A42,NE!$I$41,0))))))))))))))))</f>
        <v>0</v>
      </c>
      <c r="D42" s="144">
        <f>'FG1'!C20</f>
        <v>0</v>
      </c>
      <c r="E42" s="144">
        <f>'FG1'!D20</f>
        <v>0</v>
      </c>
      <c r="F42" s="144">
        <f>'FG1'!E20</f>
        <v>0</v>
      </c>
      <c r="G42" s="144">
        <f>'FG1'!F20</f>
        <v>0</v>
      </c>
      <c r="H42" s="144">
        <f>'FG1'!G20</f>
        <v>0</v>
      </c>
      <c r="I42" s="144">
        <f>'FG1'!H20</f>
        <v>0</v>
      </c>
      <c r="J42" s="144">
        <f>'FG1'!I20</f>
        <v>0</v>
      </c>
      <c r="K42" s="144">
        <f>'FG1'!J20</f>
        <v>0</v>
      </c>
      <c r="L42" s="144">
        <f>'FG1'!K20</f>
        <v>0</v>
      </c>
      <c r="M42" s="144">
        <f>'FG1'!L20</f>
        <v>0</v>
      </c>
      <c r="N42" s="144">
        <f>'FG1'!M20</f>
        <v>0</v>
      </c>
      <c r="O42" s="144">
        <f>'FG1'!N20</f>
        <v>0</v>
      </c>
      <c r="P42" s="217">
        <f t="shared" si="5"/>
        <v>0</v>
      </c>
    </row>
    <row r="43" spans="1:16" ht="13.5" customHeight="1" thickBot="1">
      <c r="A43" s="43" t="str">
        <f>'FG1'!A22</f>
        <v>Frais de déplacement</v>
      </c>
      <c r="B43" s="43"/>
      <c r="C43" s="140">
        <f>IF(NE!$A$34='BC1'!A43,NE!$C$34,IF(NE!$A$35='BC1'!A43,NE!$C$35,IF(NE!$A$36='BC1'!A43,NE!$C$36,IF(NE!$A$37='BC1'!A43,NE!$C$37,IF(NE!$A$38='BC1'!A43,NE!$C$38,IF(NE!$A$39='BC1'!A43,NE!$C$39,IF(NE!$A$40='BC1'!A43,NE!$C$40,IF(NE!$A$41='BC1'!A43,NE!$C$41,IF(NE!$F$34='BC1'!A43,NE!$I$34,IF(NE!$F$35='BC1'!A43,NE!$I$35,IF(NE!$F$36='BC1'!A43,NE!$I$36,IF(NE!$F$37='BC1'!A43,NE!$I$37,IF(NE!$F$38='BC1'!A43,NE!$I$38,IF(NE!$F$39='BC1'!A43,NE!$I$39,IF(NE!$F$40='BC1'!A43,NE!$I$40,IF(NE!$F$41='BC1'!A43,NE!$I$41,0))))))))))))))))</f>
        <v>0</v>
      </c>
      <c r="D43" s="144">
        <f>'FG1'!C22</f>
        <v>0</v>
      </c>
      <c r="E43" s="144">
        <f>'FG1'!D22</f>
        <v>0</v>
      </c>
      <c r="F43" s="144">
        <f>'FG1'!E22</f>
        <v>0</v>
      </c>
      <c r="G43" s="144">
        <f>'FG1'!F22</f>
        <v>0</v>
      </c>
      <c r="H43" s="144">
        <f>'FG1'!G22</f>
        <v>0</v>
      </c>
      <c r="I43" s="144">
        <f>'FG1'!H22</f>
        <v>0</v>
      </c>
      <c r="J43" s="144">
        <f>'FG1'!I22</f>
        <v>0</v>
      </c>
      <c r="K43" s="144">
        <f>'FG1'!J22</f>
        <v>0</v>
      </c>
      <c r="L43" s="144">
        <f>'FG1'!K22</f>
        <v>0</v>
      </c>
      <c r="M43" s="144">
        <f>'FG1'!L22</f>
        <v>0</v>
      </c>
      <c r="N43" s="144">
        <f>'FG1'!M22</f>
        <v>0</v>
      </c>
      <c r="O43" s="144">
        <f>'FG1'!N22</f>
        <v>0</v>
      </c>
      <c r="P43" s="217">
        <f>SUM(C43:O43)</f>
        <v>0</v>
      </c>
    </row>
    <row r="44" spans="1:16" ht="13.5" customHeight="1" thickBot="1">
      <c r="A44" s="43" t="str">
        <f>'FG1'!A24</f>
        <v>Immatriculation et permis</v>
      </c>
      <c r="B44" s="43"/>
      <c r="C44" s="140">
        <f>IF(NE!$A$34='BC1'!A44,NE!$C$34,IF(NE!$A$35='BC1'!A44,NE!$C$35,IF(NE!$A$36='BC1'!A44,NE!$C$36,IF(NE!$A$37='BC1'!A44,NE!$C$37,IF(NE!$A$38='BC1'!A44,NE!$C$38,IF(NE!$A$39='BC1'!A44,NE!$C$39,IF(NE!$A$40='BC1'!A44,NE!$C$40,IF(NE!$A$41='BC1'!A44,NE!$C$41,IF(NE!$F$34='BC1'!A44,NE!$I$34,IF(NE!$F$35='BC1'!A44,NE!$I$35,IF(NE!$F$36='BC1'!A44,NE!$I$36,IF(NE!$F$37='BC1'!A44,NE!$I$37,IF(NE!$F$38='BC1'!A44,NE!$I$38,IF(NE!$F$39='BC1'!A44,NE!$I$39,IF(NE!$F$40='BC1'!A44,NE!$I$40,IF(NE!$F$41='BC1'!A44,NE!$I$41,0))))))))))))))))</f>
        <v>1</v>
      </c>
      <c r="D44" s="144">
        <f>'FG1'!C24</f>
        <v>0</v>
      </c>
      <c r="E44" s="144">
        <f>'FG1'!D24</f>
        <v>0</v>
      </c>
      <c r="F44" s="144">
        <f>'FG1'!E24</f>
        <v>0</v>
      </c>
      <c r="G44" s="144">
        <f>'FG1'!F24</f>
        <v>0</v>
      </c>
      <c r="H44" s="144">
        <f>'FG1'!G24</f>
        <v>0</v>
      </c>
      <c r="I44" s="144">
        <f>'FG1'!H24</f>
        <v>0</v>
      </c>
      <c r="J44" s="144">
        <f>'FG1'!I24</f>
        <v>0</v>
      </c>
      <c r="K44" s="144">
        <f>'FG1'!J24</f>
        <v>0</v>
      </c>
      <c r="L44" s="144">
        <f>'FG1'!K24</f>
        <v>0</v>
      </c>
      <c r="M44" s="144">
        <f>'FG1'!L24</f>
        <v>0</v>
      </c>
      <c r="N44" s="144">
        <f>'FG1'!M24</f>
        <v>0</v>
      </c>
      <c r="O44" s="144">
        <f>'FG1'!N24</f>
        <v>0</v>
      </c>
      <c r="P44" s="217">
        <f t="shared" si="5"/>
        <v>1</v>
      </c>
    </row>
    <row r="45" spans="1:16" ht="13.5" customHeight="1" thickBot="1">
      <c r="A45" s="43" t="str">
        <f>'FG1'!A26</f>
        <v>Assurances</v>
      </c>
      <c r="B45" s="43"/>
      <c r="C45" s="140">
        <f>IF(NE!$A$34='BC1'!A45,NE!$C$34,IF(NE!$A$35='BC1'!A45,NE!$C$35,IF(NE!$A$36='BC1'!A45,NE!$C$36,IF(NE!$A$37='BC1'!A45,NE!$C$37,IF(NE!$A$38='BC1'!A45,NE!$C$38,IF(NE!$A$39='BC1'!A45,NE!$C$39,IF(NE!$A$40='BC1'!A45,NE!$C$40,IF(NE!$A$41='BC1'!A45,NE!$C$41,IF(NE!$F$34='BC1'!A45,NE!$I$34,IF(NE!$F$35='BC1'!A45,NE!$I$35,IF(NE!$F$36='BC1'!A45,NE!$I$36,IF(NE!$F$37='BC1'!A45,NE!$I$37,IF(NE!$F$38='BC1'!A45,NE!$I$38,IF(NE!$F$39='BC1'!A45,NE!$I$39,IF(NE!$F$40='BC1'!A45,NE!$I$40,IF(NE!$F$41='BC1'!A45,NE!$I$41,0))))))))))))))))</f>
        <v>1</v>
      </c>
      <c r="D45" s="144">
        <f>'FG1'!C26</f>
        <v>0</v>
      </c>
      <c r="E45" s="144">
        <f>'FG1'!D26</f>
        <v>0</v>
      </c>
      <c r="F45" s="144">
        <f>'FG1'!E26</f>
        <v>0</v>
      </c>
      <c r="G45" s="144">
        <f>'FG1'!F26</f>
        <v>0</v>
      </c>
      <c r="H45" s="144">
        <f>'FG1'!G26</f>
        <v>0</v>
      </c>
      <c r="I45" s="144">
        <f>'FG1'!H26</f>
        <v>0</v>
      </c>
      <c r="J45" s="144">
        <f>'FG1'!I26</f>
        <v>0</v>
      </c>
      <c r="K45" s="144">
        <f>'FG1'!J26</f>
        <v>0</v>
      </c>
      <c r="L45" s="144">
        <f>'FG1'!K26</f>
        <v>0</v>
      </c>
      <c r="M45" s="144">
        <f>'FG1'!L26</f>
        <v>0</v>
      </c>
      <c r="N45" s="144">
        <f>'FG1'!M26</f>
        <v>0</v>
      </c>
      <c r="O45" s="144">
        <f>'FG1'!N26</f>
        <v>0</v>
      </c>
      <c r="P45" s="217">
        <f t="shared" si="5"/>
        <v>1</v>
      </c>
    </row>
    <row r="46" spans="1:16" ht="13.5" customHeight="1" thickBot="1">
      <c r="A46" s="43" t="str">
        <f>'FG1'!A28</f>
        <v>Dépenses R&amp;D</v>
      </c>
      <c r="B46" s="43"/>
      <c r="C46" s="140">
        <f>IF(NE!$A$34='BC1'!A46,NE!$C$34,IF(NE!$A$35='BC1'!A46,NE!$C$35,IF(NE!$A$36='BC1'!A46,NE!$C$36,IF(NE!$A$37='BC1'!A46,NE!$C$37,IF(NE!$A$38='BC1'!A46,NE!$C$38,IF(NE!$A$39='BC1'!A46,NE!$C$39,IF(NE!$A$40='BC1'!A46,NE!$C$40,IF(NE!$A$41='BC1'!A46,NE!$C$41,IF(NE!$F$34='BC1'!A46,NE!$I$34,IF(NE!$F$35='BC1'!A46,NE!$I$35,IF(NE!$F$36='BC1'!A46,NE!$I$36,IF(NE!$F$37='BC1'!A46,NE!$I$37,IF(NE!$F$38='BC1'!A46,NE!$I$38,IF(NE!$F$39='BC1'!A46,NE!$I$39,IF(NE!$F$40='BC1'!A46,NE!$I$40,IF(NE!$F$41='BC1'!A46,NE!$I$41,0))))))))))))))))</f>
        <v>0</v>
      </c>
      <c r="D46" s="144">
        <f>'FG1'!C28</f>
        <v>0</v>
      </c>
      <c r="E46" s="144">
        <f>'FG1'!D28</f>
        <v>0</v>
      </c>
      <c r="F46" s="144">
        <f>'FG1'!E28</f>
        <v>0</v>
      </c>
      <c r="G46" s="144">
        <f>'FG1'!F28</f>
        <v>0</v>
      </c>
      <c r="H46" s="144">
        <f>'FG1'!G28</f>
        <v>0</v>
      </c>
      <c r="I46" s="144">
        <f>'FG1'!H28</f>
        <v>0</v>
      </c>
      <c r="J46" s="144">
        <f>'FG1'!I28</f>
        <v>0</v>
      </c>
      <c r="K46" s="144">
        <f>'FG1'!J28</f>
        <v>0</v>
      </c>
      <c r="L46" s="144">
        <f>'FG1'!K28</f>
        <v>0</v>
      </c>
      <c r="M46" s="144">
        <f>'FG1'!L28</f>
        <v>0</v>
      </c>
      <c r="N46" s="144">
        <f>'FG1'!M28</f>
        <v>0</v>
      </c>
      <c r="O46" s="144">
        <f>'FG1'!N28</f>
        <v>0</v>
      </c>
      <c r="P46" s="217">
        <f t="shared" si="5"/>
        <v>0</v>
      </c>
    </row>
    <row r="47" spans="1:16" ht="13.5" customHeight="1" thickBot="1">
      <c r="A47" s="43" t="str">
        <f>'FG1'!A30</f>
        <v>Autre frais d'exploitation 1</v>
      </c>
      <c r="B47" s="43"/>
      <c r="C47" s="140">
        <f>IF(NE!$A$34='BC1'!A47,NE!$C$34,IF(NE!$A$35='BC1'!A47,NE!$C$35,IF(NE!$A$36='BC1'!A47,NE!$C$36,IF(NE!$A$37='BC1'!A47,NE!$C$37,IF(NE!$A$38='BC1'!A47,NE!$C$38,IF(NE!$A$39='BC1'!A47,NE!$C$39,IF(NE!$A$40='BC1'!A47,NE!$C$40,IF(NE!$A$41='BC1'!A47,NE!$C$41,IF(NE!$F$34='BC1'!A47,NE!$I$34,IF(NE!$F$35='BC1'!A47,NE!$I$35,IF(NE!$F$36='BC1'!A47,NE!$I$36,IF(NE!$F$37='BC1'!A47,NE!$I$37,IF(NE!$F$38='BC1'!A47,NE!$I$38,IF(NE!$F$39='BC1'!A47,NE!$I$39,IF(NE!$F$40='BC1'!A47,NE!$I$40,IF(NE!$F$41='BC1'!A47,NE!$I$41,0))))))))))))))))</f>
        <v>0</v>
      </c>
      <c r="D47" s="144">
        <f>'FG1'!C30</f>
        <v>0</v>
      </c>
      <c r="E47" s="144">
        <f>'FG1'!D30</f>
        <v>0</v>
      </c>
      <c r="F47" s="144">
        <f>'FG1'!E30</f>
        <v>0</v>
      </c>
      <c r="G47" s="144">
        <f>'FG1'!F30</f>
        <v>0</v>
      </c>
      <c r="H47" s="144">
        <f>'FG1'!G30</f>
        <v>0</v>
      </c>
      <c r="I47" s="144">
        <f>'FG1'!H30</f>
        <v>0</v>
      </c>
      <c r="J47" s="144">
        <f>'FG1'!I30</f>
        <v>0</v>
      </c>
      <c r="K47" s="144">
        <f>'FG1'!J30</f>
        <v>0</v>
      </c>
      <c r="L47" s="144">
        <f>'FG1'!K30</f>
        <v>0</v>
      </c>
      <c r="M47" s="144">
        <f>'FG1'!L30</f>
        <v>0</v>
      </c>
      <c r="N47" s="144">
        <f>'FG1'!M30</f>
        <v>0</v>
      </c>
      <c r="O47" s="144">
        <f>'FG1'!N30</f>
        <v>0</v>
      </c>
      <c r="P47" s="217">
        <f t="shared" si="5"/>
        <v>0</v>
      </c>
    </row>
    <row r="48" spans="1:16" ht="13.5" customHeight="1" thickBot="1">
      <c r="A48" s="43" t="str">
        <f>'FG1'!A32</f>
        <v>Autre frais d'exploitation 2</v>
      </c>
      <c r="B48" s="43"/>
      <c r="C48" s="140">
        <f>IF(NE!$A$34='BC1'!A48,NE!$C$34,IF(NE!$A$35='BC1'!A48,NE!$C$35,IF(NE!$A$36='BC1'!A48,NE!$C$36,IF(NE!$A$37='BC1'!A48,NE!$C$37,IF(NE!$A$38='BC1'!A48,NE!$C$38,IF(NE!$A$39='BC1'!A48,NE!$C$39,IF(NE!$A$40='BC1'!A48,NE!$C$40,IF(NE!$A$41='BC1'!A48,NE!$C$41,IF(NE!$F$34='BC1'!A48,NE!$I$34,IF(NE!$F$35='BC1'!A48,NE!$I$35,IF(NE!$F$36='BC1'!A48,NE!$I$36,IF(NE!$F$37='BC1'!A48,NE!$I$37,IF(NE!$F$38='BC1'!A48,NE!$I$38,IF(NE!$F$39='BC1'!A48,NE!$I$39,IF(NE!$F$40='BC1'!A48,NE!$I$40,IF(NE!$F$41='BC1'!A48,NE!$I$41,0))))))))))))))))</f>
        <v>0</v>
      </c>
      <c r="D48" s="144">
        <f>'FG1'!C32</f>
        <v>0</v>
      </c>
      <c r="E48" s="144">
        <f>'FG1'!D32</f>
        <v>0</v>
      </c>
      <c r="F48" s="144">
        <f>'FG1'!E32</f>
        <v>0</v>
      </c>
      <c r="G48" s="144">
        <f>'FG1'!F32</f>
        <v>0</v>
      </c>
      <c r="H48" s="144">
        <f>'FG1'!G32</f>
        <v>0</v>
      </c>
      <c r="I48" s="144">
        <f>'FG1'!H32</f>
        <v>0</v>
      </c>
      <c r="J48" s="144">
        <f>'FG1'!I32</f>
        <v>0</v>
      </c>
      <c r="K48" s="144">
        <f>'FG1'!J32</f>
        <v>0</v>
      </c>
      <c r="L48" s="144">
        <f>'FG1'!K32</f>
        <v>0</v>
      </c>
      <c r="M48" s="144">
        <f>'FG1'!L32</f>
        <v>0</v>
      </c>
      <c r="N48" s="144">
        <f>'FG1'!M32</f>
        <v>0</v>
      </c>
      <c r="O48" s="144">
        <f>'FG1'!N32</f>
        <v>0</v>
      </c>
      <c r="P48" s="216">
        <f t="shared" si="5"/>
        <v>0</v>
      </c>
    </row>
    <row r="49" spans="1:17" ht="13.5" customHeight="1" thickBot="1">
      <c r="A49" s="43" t="str">
        <f>'FG1'!A34</f>
        <v>Autre frais d'exploitation 3</v>
      </c>
      <c r="B49" s="43"/>
      <c r="C49" s="140">
        <f>IF(NE!$A$34='BC1'!A49,NE!$C$34,IF(NE!$A$35='BC1'!A49,NE!$C$35,IF(NE!$A$36='BC1'!A49,NE!$C$36,IF(NE!$A$37='BC1'!A49,NE!$C$37,IF(NE!$A$38='BC1'!A49,NE!$C$38,IF(NE!$A$39='BC1'!A49,NE!$C$39,IF(NE!$A$40='BC1'!A49,NE!$C$40,IF(NE!$A$41='BC1'!A49,NE!$C$41,IF(NE!$F$34='BC1'!A49,NE!$I$34,IF(NE!$F$35='BC1'!A49,NE!$I$35,IF(NE!$F$36='BC1'!A49,NE!$I$36,IF(NE!$F$37='BC1'!A49,NE!$I$37,IF(NE!$F$38='BC1'!A49,NE!$I$38,IF(NE!$F$39='BC1'!A49,NE!$I$39,IF(NE!$F$40='BC1'!A49,NE!$I$40,IF(NE!$F$41='BC1'!A49,NE!$I$41,0))))))))))))))))</f>
        <v>0</v>
      </c>
      <c r="D49" s="144">
        <f>'FG1'!C34</f>
        <v>0</v>
      </c>
      <c r="E49" s="144">
        <f>'FG1'!D34</f>
        <v>0</v>
      </c>
      <c r="F49" s="144">
        <f>'FG1'!E34</f>
        <v>0</v>
      </c>
      <c r="G49" s="144">
        <f>'FG1'!F34</f>
        <v>0</v>
      </c>
      <c r="H49" s="144">
        <f>'FG1'!G34</f>
        <v>0</v>
      </c>
      <c r="I49" s="144">
        <f>'FG1'!H34</f>
        <v>0</v>
      </c>
      <c r="J49" s="144">
        <f>'FG1'!I34</f>
        <v>0</v>
      </c>
      <c r="K49" s="144">
        <f>'FG1'!J34</f>
        <v>0</v>
      </c>
      <c r="L49" s="144">
        <f>'FG1'!K34</f>
        <v>0</v>
      </c>
      <c r="M49" s="144">
        <f>'FG1'!L34</f>
        <v>0</v>
      </c>
      <c r="N49" s="144">
        <f>'FG1'!M34</f>
        <v>0</v>
      </c>
      <c r="O49" s="144">
        <f>'FG1'!N34</f>
        <v>0</v>
      </c>
      <c r="P49" s="216">
        <f t="shared" ref="P49:P54" si="6">SUM(C49:O49)</f>
        <v>0</v>
      </c>
    </row>
    <row r="50" spans="1:17" ht="13.5" customHeight="1" thickBot="1">
      <c r="A50" s="43" t="str">
        <f>'FG1'!A36</f>
        <v>Autre frais d'exploitation 4</v>
      </c>
      <c r="B50" s="43"/>
      <c r="C50" s="140">
        <f>IF(NE!$A$34='BC1'!A50,NE!$C$34,IF(NE!$A$35='BC1'!A50,NE!$C$35,IF(NE!$A$36='BC1'!A50,NE!$C$36,IF(NE!$A$37='BC1'!A50,NE!$C$37,IF(NE!$A$38='BC1'!A50,NE!$C$38,IF(NE!$A$39='BC1'!A50,NE!$C$39,IF(NE!$A$40='BC1'!A50,NE!$C$40,IF(NE!$A$41='BC1'!A50,NE!$C$41,IF(NE!$F$34='BC1'!A50,NE!$I$34,IF(NE!$F$35='BC1'!A50,NE!$I$35,IF(NE!$F$36='BC1'!A50,NE!$I$36,IF(NE!$F$37='BC1'!A50,NE!$I$37,IF(NE!$F$38='BC1'!A50,NE!$I$38,IF(NE!$F$39='BC1'!A50,NE!$I$39,IF(NE!$F$40='BC1'!A50,NE!$I$40,IF(NE!$F$41='BC1'!A50,NE!$I$41,0))))))))))))))))</f>
        <v>0</v>
      </c>
      <c r="D50" s="144">
        <f>'FG1'!C36</f>
        <v>0</v>
      </c>
      <c r="E50" s="144">
        <f>'FG1'!D36</f>
        <v>0</v>
      </c>
      <c r="F50" s="144">
        <f>'FG1'!E36</f>
        <v>0</v>
      </c>
      <c r="G50" s="144">
        <f>'FG1'!F36</f>
        <v>0</v>
      </c>
      <c r="H50" s="144">
        <f>'FG1'!G36</f>
        <v>0</v>
      </c>
      <c r="I50" s="144">
        <f>'FG1'!H36</f>
        <v>0</v>
      </c>
      <c r="J50" s="144">
        <f>'FG1'!I36</f>
        <v>0</v>
      </c>
      <c r="K50" s="144">
        <f>'FG1'!J36</f>
        <v>0</v>
      </c>
      <c r="L50" s="144">
        <f>'FG1'!K36</f>
        <v>0</v>
      </c>
      <c r="M50" s="144">
        <f>'FG1'!L36</f>
        <v>0</v>
      </c>
      <c r="N50" s="144">
        <f>'FG1'!M36</f>
        <v>0</v>
      </c>
      <c r="O50" s="144">
        <f>'FG1'!N36</f>
        <v>0</v>
      </c>
      <c r="P50" s="216">
        <f t="shared" si="6"/>
        <v>0</v>
      </c>
    </row>
    <row r="51" spans="1:17" ht="13.5" customHeight="1" thickBot="1">
      <c r="A51" s="43" t="str">
        <f>'FG1'!A38</f>
        <v>Autre frais d'exploitation 5</v>
      </c>
      <c r="B51" s="43"/>
      <c r="C51" s="140">
        <f>IF(NE!$A$34='BC1'!A51,NE!$C$34,IF(NE!$A$35='BC1'!A51,NE!$C$35,IF(NE!$A$36='BC1'!A51,NE!$C$36,IF(NE!$A$37='BC1'!A51,NE!$C$37,IF(NE!$A$38='BC1'!A51,NE!$C$38,IF(NE!$A$39='BC1'!A51,NE!$C$39,IF(NE!$A$40='BC1'!A51,NE!$C$40,IF(NE!$A$41='BC1'!A51,NE!$C$41,IF(NE!$F$34='BC1'!A51,NE!$I$34,IF(NE!$F$35='BC1'!A51,NE!$I$35,IF(NE!$F$36='BC1'!A51,NE!$I$36,IF(NE!$F$37='BC1'!A51,NE!$I$37,IF(NE!$F$38='BC1'!A51,NE!$I$38,IF(NE!$F$39='BC1'!A51,NE!$I$39,IF(NE!$F$40='BC1'!A51,NE!$I$40,IF(NE!$F$41='BC1'!A51,NE!$I$41,0))))))))))))))))</f>
        <v>0</v>
      </c>
      <c r="D51" s="144">
        <f>'FG1'!C38</f>
        <v>0</v>
      </c>
      <c r="E51" s="144">
        <f>'FG1'!D38</f>
        <v>0</v>
      </c>
      <c r="F51" s="144">
        <f>'FG1'!E38</f>
        <v>0</v>
      </c>
      <c r="G51" s="144">
        <f>'FG1'!F38</f>
        <v>0</v>
      </c>
      <c r="H51" s="144">
        <f>'FG1'!G38</f>
        <v>0</v>
      </c>
      <c r="I51" s="144">
        <f>'FG1'!H38</f>
        <v>0</v>
      </c>
      <c r="J51" s="144">
        <f>'FG1'!I38</f>
        <v>0</v>
      </c>
      <c r="K51" s="144">
        <f>'FG1'!J38</f>
        <v>0</v>
      </c>
      <c r="L51" s="144">
        <f>'FG1'!K38</f>
        <v>0</v>
      </c>
      <c r="M51" s="144">
        <f>'FG1'!L38</f>
        <v>0</v>
      </c>
      <c r="N51" s="144">
        <f>'FG1'!M38</f>
        <v>0</v>
      </c>
      <c r="O51" s="144">
        <f>'FG1'!N38</f>
        <v>0</v>
      </c>
      <c r="P51" s="216">
        <f t="shared" si="6"/>
        <v>0</v>
      </c>
    </row>
    <row r="52" spans="1:17" ht="13.5" customHeight="1" thickBot="1">
      <c r="A52" s="43" t="str">
        <f>'FG1'!A40</f>
        <v>Autre frais d'exploitation 6</v>
      </c>
      <c r="B52" s="43"/>
      <c r="C52" s="140">
        <f>IF(NE!$A$34='BC1'!A52,NE!$C$34,IF(NE!$A$35='BC1'!A52,NE!$C$35,IF(NE!$A$36='BC1'!A52,NE!$C$36,IF(NE!$A$37='BC1'!A52,NE!$C$37,IF(NE!$A$38='BC1'!A52,NE!$C$38,IF(NE!$A$39='BC1'!A52,NE!$C$39,IF(NE!$A$40='BC1'!A52,NE!$C$40,IF(NE!$A$41='BC1'!A52,NE!$C$41,IF(NE!$F$34='BC1'!A52,NE!$I$34,IF(NE!$F$35='BC1'!A52,NE!$I$35,IF(NE!$F$36='BC1'!A52,NE!$I$36,IF(NE!$F$37='BC1'!A52,NE!$I$37,IF(NE!$F$38='BC1'!A52,NE!$I$38,IF(NE!$F$39='BC1'!A52,NE!$I$39,IF(NE!$F$40='BC1'!A52,NE!$I$40,IF(NE!$F$41='BC1'!A52,NE!$I$41,0))))))))))))))))</f>
        <v>0</v>
      </c>
      <c r="D52" s="144">
        <f>'FG1'!C40</f>
        <v>0</v>
      </c>
      <c r="E52" s="144">
        <f>'FG1'!D40</f>
        <v>0</v>
      </c>
      <c r="F52" s="144">
        <f>'FG1'!E40</f>
        <v>0</v>
      </c>
      <c r="G52" s="144">
        <f>'FG1'!F40</f>
        <v>0</v>
      </c>
      <c r="H52" s="144">
        <f>'FG1'!G40</f>
        <v>0</v>
      </c>
      <c r="I52" s="144">
        <f>'FG1'!H40</f>
        <v>0</v>
      </c>
      <c r="J52" s="144">
        <f>'FG1'!I40</f>
        <v>0</v>
      </c>
      <c r="K52" s="144">
        <f>'FG1'!J40</f>
        <v>0</v>
      </c>
      <c r="L52" s="144">
        <f>'FG1'!K40</f>
        <v>0</v>
      </c>
      <c r="M52" s="144">
        <f>'FG1'!L40</f>
        <v>0</v>
      </c>
      <c r="N52" s="144">
        <f>'FG1'!M40</f>
        <v>0</v>
      </c>
      <c r="O52" s="144">
        <f>'FG1'!N40</f>
        <v>0</v>
      </c>
      <c r="P52" s="216">
        <f t="shared" si="6"/>
        <v>0</v>
      </c>
    </row>
    <row r="53" spans="1:17" ht="13.5" customHeight="1" thickBot="1">
      <c r="A53" s="43" t="str">
        <f>'FG1'!A42</f>
        <v>Autre frais d'exploitation 7</v>
      </c>
      <c r="B53" s="43"/>
      <c r="C53" s="140">
        <f>IF(NE!$A$34='BC1'!A53,NE!$C$34,IF(NE!$A$35='BC1'!A53,NE!$C$35,IF(NE!$A$36='BC1'!A53,NE!$C$36,IF(NE!$A$37='BC1'!A53,NE!$C$37,IF(NE!$A$38='BC1'!A53,NE!$C$38,IF(NE!$A$39='BC1'!A53,NE!$C$39,IF(NE!$A$40='BC1'!A53,NE!$C$40,IF(NE!$A$41='BC1'!A53,NE!$C$41,IF(NE!$F$34='BC1'!A53,NE!$I$34,IF(NE!$F$35='BC1'!A53,NE!$I$35,IF(NE!$F$36='BC1'!A53,NE!$I$36,IF(NE!$F$37='BC1'!A53,NE!$I$37,IF(NE!$F$38='BC1'!A53,NE!$I$38,IF(NE!$F$39='BC1'!A53,NE!$I$39,IF(NE!$F$40='BC1'!A53,NE!$I$40,IF(NE!$F$41='BC1'!A53,NE!$I$41,0))))))))))))))))</f>
        <v>0</v>
      </c>
      <c r="D53" s="144">
        <f>'FG1'!C42</f>
        <v>0</v>
      </c>
      <c r="E53" s="144">
        <f>'FG1'!D42</f>
        <v>0</v>
      </c>
      <c r="F53" s="144">
        <f>'FG1'!E42</f>
        <v>0</v>
      </c>
      <c r="G53" s="144">
        <f>'FG1'!F42</f>
        <v>0</v>
      </c>
      <c r="H53" s="144">
        <f>'FG1'!G42</f>
        <v>0</v>
      </c>
      <c r="I53" s="144">
        <f>'FG1'!H42</f>
        <v>0</v>
      </c>
      <c r="J53" s="144">
        <f>'FG1'!I42</f>
        <v>0</v>
      </c>
      <c r="K53" s="144">
        <f>'FG1'!J42</f>
        <v>0</v>
      </c>
      <c r="L53" s="144">
        <f>'FG1'!K42</f>
        <v>0</v>
      </c>
      <c r="M53" s="144">
        <f>'FG1'!L42</f>
        <v>0</v>
      </c>
      <c r="N53" s="144">
        <f>'FG1'!M42</f>
        <v>0</v>
      </c>
      <c r="O53" s="144">
        <f>'FG1'!N42</f>
        <v>0</v>
      </c>
      <c r="P53" s="216">
        <f t="shared" si="6"/>
        <v>0</v>
      </c>
    </row>
    <row r="54" spans="1:17" ht="13.5" customHeight="1" thickBot="1">
      <c r="A54" s="43" t="str">
        <f>'FG1'!A44</f>
        <v>Autre frais d'exploitation 8</v>
      </c>
      <c r="B54" s="43"/>
      <c r="C54" s="140">
        <f>IF(NE!$A$34='BC1'!A54,NE!$C$34,IF(NE!$A$35='BC1'!A54,NE!$C$35,IF(NE!$A$36='BC1'!A54,NE!$C$36,IF(NE!$A$37='BC1'!A54,NE!$C$37,IF(NE!$A$38='BC1'!A54,NE!$C$38,IF(NE!$A$39='BC1'!A54,NE!$C$39,IF(NE!$A$40='BC1'!A54,NE!$C$40,IF(NE!$A$41='BC1'!A54,NE!$C$41,IF(NE!$F$34='BC1'!A54,NE!$I$34,IF(NE!$F$35='BC1'!A54,NE!$I$35,IF(NE!$F$36='BC1'!A54,NE!$I$36,IF(NE!$F$37='BC1'!A54,NE!$I$37,IF(NE!$F$38='BC1'!A54,NE!$I$38,IF(NE!$F$39='BC1'!A54,NE!$I$39,IF(NE!$F$40='BC1'!A54,NE!$I$40,IF(NE!$F$41='BC1'!A54,NE!$I$41,0))))))))))))))))</f>
        <v>0</v>
      </c>
      <c r="D54" s="144">
        <f>'FG1'!C44</f>
        <v>0</v>
      </c>
      <c r="E54" s="144">
        <f>'FG1'!D44</f>
        <v>0</v>
      </c>
      <c r="F54" s="144">
        <f>'FG1'!E44</f>
        <v>0</v>
      </c>
      <c r="G54" s="144">
        <f>'FG1'!F44</f>
        <v>0</v>
      </c>
      <c r="H54" s="144">
        <f>'FG1'!G44</f>
        <v>0</v>
      </c>
      <c r="I54" s="144">
        <f>'FG1'!H44</f>
        <v>0</v>
      </c>
      <c r="J54" s="144">
        <f>'FG1'!I44</f>
        <v>0</v>
      </c>
      <c r="K54" s="144">
        <f>'FG1'!J44</f>
        <v>0</v>
      </c>
      <c r="L54" s="144">
        <f>'FG1'!K44</f>
        <v>0</v>
      </c>
      <c r="M54" s="144">
        <f>'FG1'!L44</f>
        <v>0</v>
      </c>
      <c r="N54" s="144">
        <f>'FG1'!M44</f>
        <v>0</v>
      </c>
      <c r="O54" s="144">
        <f>'FG1'!N44</f>
        <v>0</v>
      </c>
      <c r="P54" s="216">
        <f t="shared" si="6"/>
        <v>0</v>
      </c>
    </row>
    <row r="55" spans="1:17" ht="13.5" customHeight="1" thickBot="1">
      <c r="A55" s="78" t="s">
        <v>653</v>
      </c>
      <c r="B55" s="43"/>
      <c r="C55" s="211"/>
      <c r="D55" s="214"/>
      <c r="E55" s="214"/>
      <c r="F55" s="214"/>
      <c r="G55" s="214"/>
      <c r="H55" s="214"/>
      <c r="I55" s="214"/>
      <c r="J55" s="214"/>
      <c r="K55" s="214"/>
      <c r="L55" s="214"/>
      <c r="M55" s="214"/>
      <c r="N55" s="214"/>
      <c r="O55" s="214"/>
      <c r="P55" s="1088">
        <v>0.01</v>
      </c>
    </row>
    <row r="56" spans="1:17" ht="13.5" customHeight="1" thickBot="1">
      <c r="A56" s="43" t="str">
        <f>'FG1'!A47</f>
        <v>Frais de représentation</v>
      </c>
      <c r="B56" s="43"/>
      <c r="C56" s="140">
        <f>IF(NE!$A$34='BC1'!A56,NE!$C$34,IF(NE!$A$35='BC1'!A56,NE!$C$35,IF(NE!$A$36='BC1'!A56,NE!$C$36,IF(NE!$A$37='BC1'!A56,NE!$C$37,IF(NE!$A$38='BC1'!A56,NE!$C$38,IF(NE!$A$39='BC1'!A56,NE!$C$39,IF(NE!$A$40='BC1'!A56,NE!$C$40,IF(NE!$A$41='BC1'!A56,NE!$C$41,IF(NE!$F$34='BC1'!A56,NE!$I$34,IF(NE!$F$35='BC1'!A56,NE!$I$35,IF(NE!$F$36='BC1'!A56,NE!$I$36,IF(NE!$F$37='BC1'!A56,NE!$I$37,IF(NE!$F$38='BC1'!A56,NE!$I$38,IF(NE!$F$39='BC1'!A56,NE!$I$39,IF(NE!$F$40='BC1'!A56,NE!$I$40,IF(NE!$F$41='BC1'!A56,NE!$I$41,0))))))))))))))))</f>
        <v>0</v>
      </c>
      <c r="D56" s="144">
        <f>'FG1'!C47</f>
        <v>0</v>
      </c>
      <c r="E56" s="144">
        <f>'FG1'!D47</f>
        <v>0</v>
      </c>
      <c r="F56" s="144">
        <f>'FG1'!E47</f>
        <v>0</v>
      </c>
      <c r="G56" s="144">
        <f>'FG1'!F47</f>
        <v>0</v>
      </c>
      <c r="H56" s="144">
        <f>'FG1'!G47</f>
        <v>0</v>
      </c>
      <c r="I56" s="144">
        <f>'FG1'!H47</f>
        <v>0</v>
      </c>
      <c r="J56" s="144">
        <f>'FG1'!I47</f>
        <v>0</v>
      </c>
      <c r="K56" s="144">
        <f>'FG1'!J47</f>
        <v>0</v>
      </c>
      <c r="L56" s="144">
        <f>'FG1'!K47</f>
        <v>0</v>
      </c>
      <c r="M56" s="144">
        <f>'FG1'!L47</f>
        <v>0</v>
      </c>
      <c r="N56" s="144">
        <f>'FG1'!M47</f>
        <v>0</v>
      </c>
      <c r="O56" s="144">
        <f>'FG1'!N47</f>
        <v>0</v>
      </c>
      <c r="P56" s="217">
        <f t="shared" si="5"/>
        <v>0</v>
      </c>
    </row>
    <row r="57" spans="1:17" ht="13.5" customHeight="1" thickBot="1">
      <c r="A57" s="43" t="str">
        <f>'FG1'!A49</f>
        <v>Publicité</v>
      </c>
      <c r="B57" s="43"/>
      <c r="C57" s="140">
        <f>IF(NE!$A$34='BC1'!A57,NE!$C$34,IF(NE!$A$35='BC1'!A57,NE!$C$35,IF(NE!$A$36='BC1'!A57,NE!$C$36,IF(NE!$A$37='BC1'!A57,NE!$C$37,IF(NE!$A$38='BC1'!A57,NE!$C$38,IF(NE!$A$39='BC1'!A57,NE!$C$39,IF(NE!$A$40='BC1'!A57,NE!$C$40,IF(NE!$A$41='BC1'!A57,NE!$C$41,IF(NE!$F$34='BC1'!A57,NE!$I$34,IF(NE!$F$35='BC1'!A57,NE!$I$35,IF(NE!$F$36='BC1'!A57,NE!$I$36,IF(NE!$F$37='BC1'!A57,NE!$I$37,IF(NE!$F$38='BC1'!A57,NE!$I$38,IF(NE!$F$39='BC1'!A57,NE!$I$39,IF(NE!$F$40='BC1'!A57,NE!$I$40,IF(NE!$F$41='BC1'!A57,NE!$I$41,0))))))))))))))))</f>
        <v>1</v>
      </c>
      <c r="D57" s="144">
        <f>'FG1'!C49</f>
        <v>0</v>
      </c>
      <c r="E57" s="144">
        <f>'FG1'!D49</f>
        <v>0</v>
      </c>
      <c r="F57" s="144">
        <f>'FG1'!E49</f>
        <v>0</v>
      </c>
      <c r="G57" s="144">
        <f>'FG1'!F49</f>
        <v>0</v>
      </c>
      <c r="H57" s="144">
        <f>'FG1'!G49</f>
        <v>0</v>
      </c>
      <c r="I57" s="144">
        <f>'FG1'!H49</f>
        <v>0</v>
      </c>
      <c r="J57" s="144">
        <f>'FG1'!I49</f>
        <v>0</v>
      </c>
      <c r="K57" s="144">
        <f>'FG1'!J49</f>
        <v>0</v>
      </c>
      <c r="L57" s="144">
        <f>'FG1'!K49</f>
        <v>0</v>
      </c>
      <c r="M57" s="144">
        <f>'FG1'!L49</f>
        <v>0</v>
      </c>
      <c r="N57" s="144">
        <f>'FG1'!M49</f>
        <v>0</v>
      </c>
      <c r="O57" s="144">
        <f>'FG1'!N49</f>
        <v>0</v>
      </c>
      <c r="P57" s="217">
        <f t="shared" si="5"/>
        <v>1</v>
      </c>
      <c r="Q57" s="117"/>
    </row>
    <row r="58" spans="1:17" ht="13.5" customHeight="1" thickBot="1">
      <c r="A58" s="43" t="str">
        <f>'FG1'!A51</f>
        <v>Autres frais de vente 1</v>
      </c>
      <c r="B58" s="43"/>
      <c r="C58" s="140">
        <f>IF(NE!$A$34='BC1'!A58,NE!$C$34,IF(NE!$A$35='BC1'!A58,NE!$C$35,IF(NE!$A$36='BC1'!A58,NE!$C$36,IF(NE!$A$37='BC1'!A58,NE!$C$37,IF(NE!$A$38='BC1'!A58,NE!$C$38,IF(NE!$A$39='BC1'!A58,NE!$C$39,IF(NE!$A$40='BC1'!A58,NE!$C$40,IF(NE!$A$41='BC1'!A58,NE!$C$41,IF(NE!$F$34='BC1'!A58,NE!$I$34,IF(NE!$F$35='BC1'!A58,NE!$I$35,IF(NE!$F$36='BC1'!A58,NE!$I$36,IF(NE!$F$37='BC1'!A58,NE!$I$37,IF(NE!$F$38='BC1'!A58,NE!$I$38,IF(NE!$F$39='BC1'!A58,NE!$I$39,IF(NE!$F$40='BC1'!A58,NE!$I$40,IF(NE!$F$41='BC1'!A58,NE!$I$41,0))))))))))))))))</f>
        <v>0</v>
      </c>
      <c r="D58" s="144">
        <f>'FG1'!C51</f>
        <v>0</v>
      </c>
      <c r="E58" s="144">
        <f>'FG1'!D51</f>
        <v>0</v>
      </c>
      <c r="F58" s="144">
        <f>'FG1'!E51</f>
        <v>0</v>
      </c>
      <c r="G58" s="144">
        <f>'FG1'!F51</f>
        <v>0</v>
      </c>
      <c r="H58" s="144">
        <f>'FG1'!G51</f>
        <v>0</v>
      </c>
      <c r="I58" s="144">
        <f>'FG1'!H51</f>
        <v>0</v>
      </c>
      <c r="J58" s="144">
        <f>'FG1'!I51</f>
        <v>0</v>
      </c>
      <c r="K58" s="144">
        <f>'FG1'!J51</f>
        <v>0</v>
      </c>
      <c r="L58" s="144">
        <f>'FG1'!K51</f>
        <v>0</v>
      </c>
      <c r="M58" s="144">
        <f>'FG1'!L51</f>
        <v>0</v>
      </c>
      <c r="N58" s="144">
        <f>'FG1'!M51</f>
        <v>0</v>
      </c>
      <c r="O58" s="144">
        <f>'FG1'!N51</f>
        <v>0</v>
      </c>
      <c r="P58" s="216">
        <f t="shared" si="5"/>
        <v>0</v>
      </c>
    </row>
    <row r="59" spans="1:17" ht="13.5" customHeight="1" thickBot="1">
      <c r="A59" s="43" t="str">
        <f>'FG1'!A53</f>
        <v>Autres frais de vente 2</v>
      </c>
      <c r="B59" s="43"/>
      <c r="C59" s="140">
        <f>IF(NE!$A$34='BC1'!A59,NE!$C$34,IF(NE!$A$35='BC1'!A59,NE!$C$35,IF(NE!$A$36='BC1'!A59,NE!$C$36,IF(NE!$A$37='BC1'!A59,NE!$C$37,IF(NE!$A$38='BC1'!A59,NE!$C$38,IF(NE!$A$39='BC1'!A59,NE!$C$39,IF(NE!$A$40='BC1'!A59,NE!$C$40,IF(NE!$A$41='BC1'!A59,NE!$C$41,IF(NE!$F$34='BC1'!A59,NE!$I$34,IF(NE!$F$35='BC1'!A59,NE!$I$35,IF(NE!$F$36='BC1'!A59,NE!$I$36,IF(NE!$F$37='BC1'!A59,NE!$I$37,IF(NE!$F$38='BC1'!A59,NE!$I$38,IF(NE!$F$39='BC1'!A59,NE!$I$39,IF(NE!$F$40='BC1'!A59,NE!$I$40,IF(NE!$F$41='BC1'!A59,NE!$I$41,0))))))))))))))))</f>
        <v>0</v>
      </c>
      <c r="D59" s="144">
        <f>'FG1'!C53</f>
        <v>0</v>
      </c>
      <c r="E59" s="144">
        <f>'FG1'!D53</f>
        <v>0</v>
      </c>
      <c r="F59" s="144">
        <f>'FG1'!E53</f>
        <v>0</v>
      </c>
      <c r="G59" s="144">
        <f>'FG1'!F53</f>
        <v>0</v>
      </c>
      <c r="H59" s="144">
        <f>'FG1'!G53</f>
        <v>0</v>
      </c>
      <c r="I59" s="144">
        <f>'FG1'!H53</f>
        <v>0</v>
      </c>
      <c r="J59" s="144">
        <f>'FG1'!I53</f>
        <v>0</v>
      </c>
      <c r="K59" s="144">
        <f>'FG1'!J53</f>
        <v>0</v>
      </c>
      <c r="L59" s="144">
        <f>'FG1'!K53</f>
        <v>0</v>
      </c>
      <c r="M59" s="144">
        <f>'FG1'!L53</f>
        <v>0</v>
      </c>
      <c r="N59" s="144">
        <f>'FG1'!M53</f>
        <v>0</v>
      </c>
      <c r="O59" s="144">
        <f>'FG1'!N53</f>
        <v>0</v>
      </c>
      <c r="P59" s="216">
        <f>SUM(C59:O59)</f>
        <v>0</v>
      </c>
    </row>
    <row r="60" spans="1:17" ht="13.5" customHeight="1" thickBot="1">
      <c r="A60" s="43" t="str">
        <f>'FG1'!A55</f>
        <v>Autres frais de vente 3</v>
      </c>
      <c r="B60" s="43"/>
      <c r="C60" s="140">
        <f>IF(NE!$A$34='BC1'!A60,NE!$C$34,IF(NE!$A$35='BC1'!A60,NE!$C$35,IF(NE!$A$36='BC1'!A60,NE!$C$36,IF(NE!$A$37='BC1'!A60,NE!$C$37,IF(NE!$A$38='BC1'!A60,NE!$C$38,IF(NE!$A$39='BC1'!A60,NE!$C$39,IF(NE!$A$40='BC1'!A60,NE!$C$40,IF(NE!$A$41='BC1'!A60,NE!$C$41,IF(NE!$F$34='BC1'!A60,NE!$I$34,IF(NE!$F$35='BC1'!A60,NE!$I$35,IF(NE!$F$36='BC1'!A60,NE!$I$36,IF(NE!$F$37='BC1'!A60,NE!$I$37,IF(NE!$F$38='BC1'!A60,NE!$I$38,IF(NE!$F$39='BC1'!A60,NE!$I$39,IF(NE!$F$40='BC1'!A60,NE!$I$40,IF(NE!$F$41='BC1'!A60,NE!$I$41,0))))))))))))))))</f>
        <v>0</v>
      </c>
      <c r="D60" s="144">
        <f>'FG1'!C55</f>
        <v>0</v>
      </c>
      <c r="E60" s="144">
        <f>'FG1'!D55</f>
        <v>0</v>
      </c>
      <c r="F60" s="144">
        <f>'FG1'!E55</f>
        <v>0</v>
      </c>
      <c r="G60" s="144">
        <f>'FG1'!F55</f>
        <v>0</v>
      </c>
      <c r="H60" s="144">
        <f>'FG1'!G55</f>
        <v>0</v>
      </c>
      <c r="I60" s="144">
        <f>'FG1'!H55</f>
        <v>0</v>
      </c>
      <c r="J60" s="144">
        <f>'FG1'!I55</f>
        <v>0</v>
      </c>
      <c r="K60" s="144">
        <f>'FG1'!J55</f>
        <v>0</v>
      </c>
      <c r="L60" s="144">
        <f>'FG1'!K55</f>
        <v>0</v>
      </c>
      <c r="M60" s="144">
        <f>'FG1'!L55</f>
        <v>0</v>
      </c>
      <c r="N60" s="144">
        <f>'FG1'!M55</f>
        <v>0</v>
      </c>
      <c r="O60" s="144">
        <f>'FG1'!N55</f>
        <v>0</v>
      </c>
      <c r="P60" s="216">
        <f>SUM(C60:O60)</f>
        <v>0</v>
      </c>
    </row>
    <row r="61" spans="1:17" ht="13.5" customHeight="1" thickBot="1">
      <c r="A61" s="43" t="str">
        <f>'FG1'!A57</f>
        <v>Autres frais de vente 4</v>
      </c>
      <c r="B61" s="43"/>
      <c r="C61" s="140">
        <f>IF(NE!$A$34='BC1'!A61,NE!$C$34,IF(NE!$A$35='BC1'!A61,NE!$C$35,IF(NE!$A$36='BC1'!A61,NE!$C$36,IF(NE!$A$37='BC1'!A61,NE!$C$37,IF(NE!$A$38='BC1'!A61,NE!$C$38,IF(NE!$A$39='BC1'!A61,NE!$C$39,IF(NE!$A$40='BC1'!A61,NE!$C$40,IF(NE!$A$41='BC1'!A61,NE!$C$41,IF(NE!$F$34='BC1'!A61,NE!$I$34,IF(NE!$F$35='BC1'!A61,NE!$I$35,IF(NE!$F$36='BC1'!A61,NE!$I$36,IF(NE!$F$37='BC1'!A61,NE!$I$37,IF(NE!$F$38='BC1'!A61,NE!$I$38,IF(NE!$F$39='BC1'!A61,NE!$I$39,IF(NE!$F$40='BC1'!A61,NE!$I$40,IF(NE!$F$41='BC1'!A61,NE!$I$41,0))))))))))))))))</f>
        <v>0</v>
      </c>
      <c r="D61" s="144">
        <f>'FG1'!C57</f>
        <v>0</v>
      </c>
      <c r="E61" s="144">
        <f>'FG1'!D57</f>
        <v>0</v>
      </c>
      <c r="F61" s="144">
        <f>'FG1'!E57</f>
        <v>0</v>
      </c>
      <c r="G61" s="144">
        <f>'FG1'!F57</f>
        <v>0</v>
      </c>
      <c r="H61" s="144">
        <f>'FG1'!G57</f>
        <v>0</v>
      </c>
      <c r="I61" s="144">
        <f>'FG1'!H57</f>
        <v>0</v>
      </c>
      <c r="J61" s="144">
        <f>'FG1'!I57</f>
        <v>0</v>
      </c>
      <c r="K61" s="144">
        <f>'FG1'!J57</f>
        <v>0</v>
      </c>
      <c r="L61" s="144">
        <f>'FG1'!K57</f>
        <v>0</v>
      </c>
      <c r="M61" s="144">
        <f>'FG1'!L57</f>
        <v>0</v>
      </c>
      <c r="N61" s="144">
        <f>'FG1'!M57</f>
        <v>0</v>
      </c>
      <c r="O61" s="144">
        <f>'FG1'!N57</f>
        <v>0</v>
      </c>
      <c r="P61" s="216">
        <f>SUM(C61:O61)</f>
        <v>0</v>
      </c>
    </row>
    <row r="62" spans="1:17" ht="13.5" customHeight="1" thickBot="1">
      <c r="A62" s="43" t="str">
        <f>'FG1'!A59</f>
        <v>Autres frais de vente 5</v>
      </c>
      <c r="B62" s="43"/>
      <c r="C62" s="140">
        <f>IF(NE!$A$34='BC1'!A62,NE!$C$34,IF(NE!$A$35='BC1'!A62,NE!$C$35,IF(NE!$A$36='BC1'!A62,NE!$C$36,IF(NE!$A$37='BC1'!A62,NE!$C$37,IF(NE!$A$38='BC1'!A62,NE!$C$38,IF(NE!$A$39='BC1'!A62,NE!$C$39,IF(NE!$A$40='BC1'!A62,NE!$C$40,IF(NE!$A$41='BC1'!A62,NE!$C$41,IF(NE!$F$34='BC1'!A62,NE!$I$34,IF(NE!$F$35='BC1'!A62,NE!$I$35,IF(NE!$F$36='BC1'!A62,NE!$I$36,IF(NE!$F$37='BC1'!A62,NE!$I$37,IF(NE!$F$38='BC1'!A62,NE!$I$38,IF(NE!$F$39='BC1'!A62,NE!$I$39,IF(NE!$F$40='BC1'!A62,NE!$I$40,IF(NE!$F$41='BC1'!A62,NE!$I$41,0))))))))))))))))</f>
        <v>0</v>
      </c>
      <c r="D62" s="144">
        <f>'FG1'!C59</f>
        <v>0</v>
      </c>
      <c r="E62" s="144">
        <f>'FG1'!D59</f>
        <v>0</v>
      </c>
      <c r="F62" s="144">
        <f>'FG1'!E59</f>
        <v>0</v>
      </c>
      <c r="G62" s="144">
        <f>'FG1'!F59</f>
        <v>0</v>
      </c>
      <c r="H62" s="144">
        <f>'FG1'!G59</f>
        <v>0</v>
      </c>
      <c r="I62" s="144">
        <f>'FG1'!H59</f>
        <v>0</v>
      </c>
      <c r="J62" s="144">
        <f>'FG1'!I59</f>
        <v>0</v>
      </c>
      <c r="K62" s="144">
        <f>'FG1'!J59</f>
        <v>0</v>
      </c>
      <c r="L62" s="144">
        <f>'FG1'!K59</f>
        <v>0</v>
      </c>
      <c r="M62" s="144">
        <f>'FG1'!L59</f>
        <v>0</v>
      </c>
      <c r="N62" s="144">
        <f>'FG1'!M59</f>
        <v>0</v>
      </c>
      <c r="O62" s="144">
        <f>'FG1'!N59</f>
        <v>0</v>
      </c>
      <c r="P62" s="216">
        <f>SUM(C62:O62)</f>
        <v>0</v>
      </c>
    </row>
    <row r="63" spans="1:17" ht="13.5" customHeight="1" thickBot="1">
      <c r="A63" s="78" t="s">
        <v>652</v>
      </c>
      <c r="B63" s="43"/>
      <c r="C63" s="211"/>
      <c r="D63" s="214"/>
      <c r="E63" s="214"/>
      <c r="F63" s="214"/>
      <c r="G63" s="214"/>
      <c r="H63" s="214"/>
      <c r="I63" s="214"/>
      <c r="J63" s="214"/>
      <c r="K63" s="214"/>
      <c r="L63" s="214"/>
      <c r="M63" s="214"/>
      <c r="N63" s="214"/>
      <c r="O63" s="214"/>
      <c r="P63" s="1088">
        <v>0.01</v>
      </c>
    </row>
    <row r="64" spans="1:17" ht="13.5" customHeight="1" thickBot="1">
      <c r="A64" s="43" t="str">
        <f>TE!A132</f>
        <v>Salaires administratifs</v>
      </c>
      <c r="B64" s="43"/>
      <c r="C64" s="140">
        <v>0</v>
      </c>
      <c r="D64" s="144">
        <f>TE!C132+TE!C134</f>
        <v>3460</v>
      </c>
      <c r="E64" s="144">
        <f>TE!D132+TE!D134</f>
        <v>3460</v>
      </c>
      <c r="F64" s="144">
        <f>TE!E132+TE!E134</f>
        <v>3460</v>
      </c>
      <c r="G64" s="144">
        <f>TE!F132+TE!F134</f>
        <v>3460</v>
      </c>
      <c r="H64" s="144">
        <f>TE!G132+TE!G134</f>
        <v>3460</v>
      </c>
      <c r="I64" s="144">
        <f>TE!H132+TE!H134</f>
        <v>3460</v>
      </c>
      <c r="J64" s="144">
        <f>TE!I132+TE!I134</f>
        <v>3460</v>
      </c>
      <c r="K64" s="144">
        <f>TE!J132+TE!J134</f>
        <v>3460</v>
      </c>
      <c r="L64" s="144">
        <f>TE!K132+TE!K134</f>
        <v>3460</v>
      </c>
      <c r="M64" s="144">
        <f>TE!L132+TE!L134</f>
        <v>3460</v>
      </c>
      <c r="N64" s="144">
        <f>TE!M132+TE!M134</f>
        <v>3460</v>
      </c>
      <c r="O64" s="144">
        <f>TE!N132+TE!N134</f>
        <v>3460</v>
      </c>
      <c r="P64" s="217">
        <f t="shared" ref="P64:P71" si="7">SUM(C64:O64)</f>
        <v>41520</v>
      </c>
    </row>
    <row r="65" spans="1:17" ht="13.5" customHeight="1" thickBot="1">
      <c r="A65" s="43" t="str">
        <f>TE!A133</f>
        <v xml:space="preserve">   avantages</v>
      </c>
      <c r="B65" s="43"/>
      <c r="C65" s="140">
        <v>0</v>
      </c>
      <c r="D65" s="144">
        <v>0</v>
      </c>
      <c r="E65" s="144">
        <f>TE!C133+TE!C135</f>
        <v>898</v>
      </c>
      <c r="F65" s="144">
        <f>TE!D133+TE!D135</f>
        <v>898</v>
      </c>
      <c r="G65" s="144">
        <f>TE!E133+TE!E135</f>
        <v>898</v>
      </c>
      <c r="H65" s="144">
        <f>TE!F133+TE!F135</f>
        <v>898</v>
      </c>
      <c r="I65" s="144">
        <f>TE!G133+TE!G135</f>
        <v>898</v>
      </c>
      <c r="J65" s="144">
        <f>TE!H133+TE!H135</f>
        <v>898</v>
      </c>
      <c r="K65" s="144">
        <f>TE!I133+TE!I135</f>
        <v>898</v>
      </c>
      <c r="L65" s="144">
        <f>TE!J133+TE!J135</f>
        <v>898</v>
      </c>
      <c r="M65" s="144">
        <f>TE!K133+TE!K135</f>
        <v>898</v>
      </c>
      <c r="N65" s="144">
        <f>TE!L133+TE!L135</f>
        <v>898</v>
      </c>
      <c r="O65" s="144">
        <f>TE!M133+TE!M135</f>
        <v>898</v>
      </c>
      <c r="P65" s="217">
        <f t="shared" si="7"/>
        <v>9878</v>
      </c>
      <c r="Q65" s="117">
        <f>-P65+TE!R135</f>
        <v>898</v>
      </c>
    </row>
    <row r="66" spans="1:17" ht="13.5" customHeight="1" thickBot="1">
      <c r="A66" s="43" t="str">
        <f>'FG1'!A62</f>
        <v>Téléphonie et internet</v>
      </c>
      <c r="B66" s="43"/>
      <c r="C66" s="140">
        <f>IF(NE!$A$34='BC1'!A66,NE!$C$34,IF(NE!$A$35='BC1'!A66,NE!$C$35,IF(NE!$A$36='BC1'!A66,NE!$C$36,IF(NE!$A$37='BC1'!A66,NE!$C$37,IF(NE!$A$38='BC1'!A66,NE!$C$38,IF(NE!$A$39='BC1'!A66,NE!$C$39,IF(NE!$A$40='BC1'!A66,NE!$C$40,IF(NE!$A$41='BC1'!A66,NE!$C$41,IF(NE!$F$34='BC1'!A66,NE!$I$34,IF(NE!$F$35='BC1'!A66,NE!$I$35,IF(NE!$F$36='BC1'!A66,NE!$I$36,IF(NE!$F$37='BC1'!A66,NE!$I$37,IF(NE!$F$38='BC1'!A66,NE!$I$38,IF(NE!$F$39='BC1'!A66,NE!$I$39,IF(NE!$F$40='BC1'!A66,NE!$I$40,IF(NE!$F$41='BC1'!A66,NE!$I$41,0))))))))))))))))</f>
        <v>0</v>
      </c>
      <c r="D66" s="144">
        <f>'FG1'!C62</f>
        <v>0</v>
      </c>
      <c r="E66" s="144">
        <f>'FG1'!D62</f>
        <v>0</v>
      </c>
      <c r="F66" s="144">
        <f>'FG1'!E62</f>
        <v>0</v>
      </c>
      <c r="G66" s="144">
        <f>'FG1'!F62</f>
        <v>0</v>
      </c>
      <c r="H66" s="144">
        <f>'FG1'!G62</f>
        <v>0</v>
      </c>
      <c r="I66" s="144">
        <f>'FG1'!H62</f>
        <v>0</v>
      </c>
      <c r="J66" s="144">
        <f>'FG1'!I62</f>
        <v>0</v>
      </c>
      <c r="K66" s="144">
        <f>'FG1'!J62</f>
        <v>0</v>
      </c>
      <c r="L66" s="144">
        <f>'FG1'!K62</f>
        <v>0</v>
      </c>
      <c r="M66" s="144">
        <f>'FG1'!L62</f>
        <v>0</v>
      </c>
      <c r="N66" s="144">
        <f>'FG1'!M62</f>
        <v>0</v>
      </c>
      <c r="O66" s="144">
        <f>'FG1'!N62</f>
        <v>0</v>
      </c>
      <c r="P66" s="217">
        <f t="shared" si="7"/>
        <v>0</v>
      </c>
    </row>
    <row r="67" spans="1:17" ht="13.5" customHeight="1" thickBot="1">
      <c r="A67" s="43" t="str">
        <f>'FG1'!A64</f>
        <v>Honoraires professionnels</v>
      </c>
      <c r="B67" s="43"/>
      <c r="C67" s="140">
        <f>IF(NE!$A$34='BC1'!A67,NE!$C$34,IF(NE!$A$35='BC1'!A67,NE!$C$35,IF(NE!$A$36='BC1'!A67,NE!$C$36,IF(NE!$A$37='BC1'!A67,NE!$C$37,IF(NE!$A$38='BC1'!A67,NE!$C$38,IF(NE!$A$39='BC1'!A67,NE!$C$39,IF(NE!$A$40='BC1'!A67,NE!$C$40,IF(NE!$A$41='BC1'!A67,NE!$C$41,IF(NE!$F$34='BC1'!A67,NE!$I$34,IF(NE!$F$35='BC1'!A67,NE!$I$35,IF(NE!$F$36='BC1'!A67,NE!$I$36,IF(NE!$F$37='BC1'!A67,NE!$I$37,IF(NE!$F$38='BC1'!A67,NE!$I$38,IF(NE!$F$39='BC1'!A67,NE!$I$39,IF(NE!$F$40='BC1'!A67,NE!$I$40,IF(NE!$F$41='BC1'!A67,NE!$I$41,0))))))))))))))))</f>
        <v>1</v>
      </c>
      <c r="D67" s="144">
        <f>'FG1'!C64</f>
        <v>0</v>
      </c>
      <c r="E67" s="144">
        <f>'FG1'!D64</f>
        <v>0</v>
      </c>
      <c r="F67" s="144">
        <f>'FG1'!E64</f>
        <v>0</v>
      </c>
      <c r="G67" s="144">
        <f>'FG1'!F64</f>
        <v>0</v>
      </c>
      <c r="H67" s="144">
        <f>'FG1'!G64</f>
        <v>0</v>
      </c>
      <c r="I67" s="144">
        <f>'FG1'!H64</f>
        <v>0</v>
      </c>
      <c r="J67" s="144">
        <f>'FG1'!I64</f>
        <v>0</v>
      </c>
      <c r="K67" s="144">
        <f>'FG1'!J64</f>
        <v>0</v>
      </c>
      <c r="L67" s="144">
        <f>'FG1'!K64</f>
        <v>0</v>
      </c>
      <c r="M67" s="144">
        <f>'FG1'!L64</f>
        <v>0</v>
      </c>
      <c r="N67" s="144">
        <f>'FG1'!M64</f>
        <v>0</v>
      </c>
      <c r="O67" s="144">
        <f>'FG1'!N64</f>
        <v>0</v>
      </c>
      <c r="P67" s="217">
        <f t="shared" si="7"/>
        <v>1</v>
      </c>
      <c r="Q67" s="117"/>
    </row>
    <row r="68" spans="1:17" ht="13.5" customHeight="1" thickBot="1">
      <c r="A68" s="43" t="str">
        <f>'FG1'!A66</f>
        <v>Frais de bureau</v>
      </c>
      <c r="B68" s="43"/>
      <c r="C68" s="140">
        <f>IF(NE!$A$34='BC1'!A68,NE!$C$34,IF(NE!$A$35='BC1'!A68,NE!$C$35,IF(NE!$A$36='BC1'!A68,NE!$C$36,IF(NE!$A$37='BC1'!A68,NE!$C$37,IF(NE!$A$38='BC1'!A68,NE!$C$38,IF(NE!$A$39='BC1'!A68,NE!$C$39,IF(NE!$A$40='BC1'!A68,NE!$C$40,IF(NE!$A$41='BC1'!A68,NE!$C$41,IF(NE!$F$34='BC1'!A68,NE!$I$34,IF(NE!$F$35='BC1'!A68,NE!$I$35,IF(NE!$F$36='BC1'!A68,NE!$I$36,IF(NE!$F$37='BC1'!A68,NE!$I$37,IF(NE!$F$38='BC1'!A68,NE!$I$38,IF(NE!$F$39='BC1'!A68,NE!$I$39,IF(NE!$F$40='BC1'!A68,NE!$I$40,IF(NE!$F$41='BC1'!A68,NE!$I$41,0))))))))))))))))</f>
        <v>0</v>
      </c>
      <c r="D68" s="144">
        <f>'FG1'!C66</f>
        <v>0</v>
      </c>
      <c r="E68" s="144">
        <f>'FG1'!D66</f>
        <v>0</v>
      </c>
      <c r="F68" s="144">
        <f>'FG1'!E66</f>
        <v>0</v>
      </c>
      <c r="G68" s="144">
        <f>'FG1'!F66</f>
        <v>0</v>
      </c>
      <c r="H68" s="144">
        <f>'FG1'!G66</f>
        <v>0</v>
      </c>
      <c r="I68" s="144">
        <f>'FG1'!H66</f>
        <v>0</v>
      </c>
      <c r="J68" s="144">
        <f>'FG1'!I66</f>
        <v>0</v>
      </c>
      <c r="K68" s="144">
        <f>'FG1'!J66</f>
        <v>0</v>
      </c>
      <c r="L68" s="144">
        <f>'FG1'!K66</f>
        <v>0</v>
      </c>
      <c r="M68" s="144">
        <f>'FG1'!L66</f>
        <v>0</v>
      </c>
      <c r="N68" s="144">
        <f>'FG1'!M66</f>
        <v>0</v>
      </c>
      <c r="O68" s="144">
        <f>'FG1'!N66</f>
        <v>0</v>
      </c>
      <c r="P68" s="217">
        <f t="shared" si="7"/>
        <v>0</v>
      </c>
    </row>
    <row r="69" spans="1:17" ht="13.5" customHeight="1" thickBot="1">
      <c r="A69" s="43" t="str">
        <f>'FG1'!A68</f>
        <v>Mauvaises créances</v>
      </c>
      <c r="B69" s="43"/>
      <c r="C69" s="140">
        <f>IF(NE!$A$34='BC1'!A69,NE!$C$34,IF(NE!$A$35='BC1'!A69,NE!$C$35,IF(NE!$A$36='BC1'!A69,NE!$C$36,IF(NE!$A$37='BC1'!A69,NE!$C$37,IF(NE!$A$38='BC1'!A69,NE!$C$38,IF(NE!$A$39='BC1'!A69,NE!$C$39,IF(NE!$A$40='BC1'!A69,NE!$C$40,IF(NE!$A$41='BC1'!A69,NE!$C$41,IF(NE!$F$34='BC1'!A69,NE!$I$34,IF(NE!$F$35='BC1'!A69,NE!$I$35,IF(NE!$F$36='BC1'!A69,NE!$I$36,IF(NE!$F$37='BC1'!A69,NE!$I$37,IF(NE!$F$38='BC1'!A69,NE!$I$38,IF(NE!$F$39='BC1'!A69,NE!$I$39,IF(NE!$F$40='BC1'!A69,NE!$I$40,IF(NE!$F$41='BC1'!A69,NE!$I$41,0))))))))))))))))</f>
        <v>0</v>
      </c>
      <c r="D69" s="144">
        <f>'FG1'!C68</f>
        <v>0</v>
      </c>
      <c r="E69" s="144">
        <f>'FG1'!D68</f>
        <v>0</v>
      </c>
      <c r="F69" s="144">
        <f>'FG1'!E68</f>
        <v>0</v>
      </c>
      <c r="G69" s="144">
        <f>'FG1'!F68</f>
        <v>0</v>
      </c>
      <c r="H69" s="144">
        <f>'FG1'!G68</f>
        <v>0</v>
      </c>
      <c r="I69" s="144">
        <f>'FG1'!H68</f>
        <v>0</v>
      </c>
      <c r="J69" s="144">
        <f>'FG1'!I68</f>
        <v>0</v>
      </c>
      <c r="K69" s="144">
        <f>'FG1'!J68</f>
        <v>0</v>
      </c>
      <c r="L69" s="144">
        <f>'FG1'!K68</f>
        <v>0</v>
      </c>
      <c r="M69" s="144">
        <f>'FG1'!L68</f>
        <v>0</v>
      </c>
      <c r="N69" s="144">
        <f>'FG1'!M68</f>
        <v>0</v>
      </c>
      <c r="O69" s="144">
        <f>'FG1'!N68</f>
        <v>0</v>
      </c>
      <c r="P69" s="217">
        <f t="shared" si="7"/>
        <v>0</v>
      </c>
    </row>
    <row r="70" spans="1:17" ht="13.5" customHeight="1" thickBot="1">
      <c r="A70" s="43" t="str">
        <f>'FG1'!A70</f>
        <v>Fournitures de bureau</v>
      </c>
      <c r="B70" s="43"/>
      <c r="C70" s="140">
        <f>IF(NE!$A$34='BC1'!A70,NE!$C$34,IF(NE!$A$35='BC1'!A70,NE!$C$35,IF(NE!$A$36='BC1'!A70,NE!$C$36,IF(NE!$A$37='BC1'!A70,NE!$C$37,IF(NE!$A$38='BC1'!A70,NE!$C$38,IF(NE!$A$39='BC1'!A70,NE!$C$39,IF(NE!$A$40='BC1'!A70,NE!$C$40,IF(NE!$A$41='BC1'!A70,NE!$C$41,IF(NE!$F$34='BC1'!A70,NE!$I$34,IF(NE!$F$35='BC1'!A70,NE!$I$35,IF(NE!$F$36='BC1'!A70,NE!$I$36,IF(NE!$F$37='BC1'!A70,NE!$I$37,IF(NE!$F$38='BC1'!A70,NE!$I$38,IF(NE!$F$39='BC1'!A70,NE!$I$39,IF(NE!$F$40='BC1'!A70,NE!$I$40,IF(NE!$F$41='BC1'!A70,NE!$I$41,0))))))))))))))))</f>
        <v>1</v>
      </c>
      <c r="D70" s="144">
        <f>'FG1'!C70</f>
        <v>0</v>
      </c>
      <c r="E70" s="144">
        <f>'FG1'!D70</f>
        <v>0</v>
      </c>
      <c r="F70" s="144">
        <f>'FG1'!E70</f>
        <v>0</v>
      </c>
      <c r="G70" s="144">
        <f>'FG1'!F70</f>
        <v>0</v>
      </c>
      <c r="H70" s="144">
        <f>'FG1'!G70</f>
        <v>0</v>
      </c>
      <c r="I70" s="144">
        <f>'FG1'!H70</f>
        <v>0</v>
      </c>
      <c r="J70" s="144">
        <f>'FG1'!I70</f>
        <v>0</v>
      </c>
      <c r="K70" s="144">
        <f>'FG1'!J70</f>
        <v>0</v>
      </c>
      <c r="L70" s="144">
        <f>'FG1'!K70</f>
        <v>0</v>
      </c>
      <c r="M70" s="144">
        <f>'FG1'!L70</f>
        <v>0</v>
      </c>
      <c r="N70" s="144">
        <f>'FG1'!M70</f>
        <v>0</v>
      </c>
      <c r="O70" s="144">
        <f>'FG1'!N70</f>
        <v>0</v>
      </c>
      <c r="P70" s="217">
        <f t="shared" si="7"/>
        <v>1</v>
      </c>
    </row>
    <row r="71" spans="1:17" ht="13.5" customHeight="1" thickBot="1">
      <c r="A71" s="43" t="str">
        <f>'FG1'!A72</f>
        <v>Fais d'hébèrgement de site Web</v>
      </c>
      <c r="B71" s="43"/>
      <c r="C71" s="140">
        <f>IF(NE!$A$34='BC1'!A71,NE!$C$34,IF(NE!$A$35='BC1'!A71,NE!$C$35,IF(NE!$A$36='BC1'!A71,NE!$C$36,IF(NE!$A$37='BC1'!A71,NE!$C$37,IF(NE!$A$38='BC1'!A71,NE!$C$38,IF(NE!$A$39='BC1'!A71,NE!$C$39,IF(NE!$A$40='BC1'!A71,NE!$C$40,IF(NE!$A$41='BC1'!A71,NE!$C$41,IF(NE!$F$34='BC1'!A71,NE!$I$34,IF(NE!$F$35='BC1'!A71,NE!$I$35,IF(NE!$F$36='BC1'!A71,NE!$I$36,IF(NE!$F$37='BC1'!A71,NE!$I$37,IF(NE!$F$38='BC1'!A71,NE!$I$38,IF(NE!$F$39='BC1'!A71,NE!$I$39,IF(NE!$F$40='BC1'!A71,NE!$I$40,IF(NE!$F$41='BC1'!A71,NE!$I$41,0))))))))))))))))</f>
        <v>0</v>
      </c>
      <c r="D71" s="144">
        <f>'FG1'!C72</f>
        <v>0</v>
      </c>
      <c r="E71" s="144">
        <f>'FG1'!D72</f>
        <v>0</v>
      </c>
      <c r="F71" s="144">
        <f>'FG1'!E72</f>
        <v>0</v>
      </c>
      <c r="G71" s="144">
        <f>'FG1'!F72</f>
        <v>0</v>
      </c>
      <c r="H71" s="144">
        <f>'FG1'!G72</f>
        <v>0</v>
      </c>
      <c r="I71" s="144">
        <f>'FG1'!H72</f>
        <v>0</v>
      </c>
      <c r="J71" s="144">
        <f>'FG1'!I72</f>
        <v>0</v>
      </c>
      <c r="K71" s="144">
        <f>'FG1'!J72</f>
        <v>0</v>
      </c>
      <c r="L71" s="144">
        <f>'FG1'!K72</f>
        <v>0</v>
      </c>
      <c r="M71" s="144">
        <f>'FG1'!L72</f>
        <v>0</v>
      </c>
      <c r="N71" s="144">
        <f>'FG1'!M72</f>
        <v>0</v>
      </c>
      <c r="O71" s="144">
        <f>'FG1'!N72</f>
        <v>0</v>
      </c>
      <c r="P71" s="217">
        <f t="shared" si="7"/>
        <v>0</v>
      </c>
    </row>
    <row r="72" spans="1:17" ht="13.5" customHeight="1" thickBot="1">
      <c r="A72" s="43" t="str">
        <f>'FG1'!A74</f>
        <v>Autres frais d'administration 2</v>
      </c>
      <c r="B72" s="43"/>
      <c r="C72" s="140">
        <f>IF(NE!$A$34='BC1'!A72,NE!$C$34,IF(NE!$A$35='BC1'!A72,NE!$C$35,IF(NE!$A$36='BC1'!A72,NE!$C$36,IF(NE!$A$37='BC1'!A72,NE!$C$37,IF(NE!$A$38='BC1'!A72,NE!$C$38,IF(NE!$A$39='BC1'!A72,NE!$C$39,IF(NE!$A$40='BC1'!A72,NE!$C$40,IF(NE!$A$41='BC1'!A72,NE!$C$41,IF(NE!$F$34='BC1'!A72,NE!$I$34,IF(NE!$F$35='BC1'!A72,NE!$I$35,IF(NE!$F$36='BC1'!A72,NE!$I$36,IF(NE!$F$37='BC1'!A72,NE!$I$37,IF(NE!$F$38='BC1'!A72,NE!$I$38,IF(NE!$F$39='BC1'!A72,NE!$I$39,IF(NE!$F$40='BC1'!A72,NE!$I$40,IF(NE!$F$41='BC1'!A72,NE!$I$41,0))))))))))))))))</f>
        <v>0</v>
      </c>
      <c r="D72" s="144">
        <f>'FG1'!C74</f>
        <v>0</v>
      </c>
      <c r="E72" s="144">
        <f>'FG1'!D74</f>
        <v>0</v>
      </c>
      <c r="F72" s="144">
        <f>'FG1'!E74</f>
        <v>0</v>
      </c>
      <c r="G72" s="144">
        <f>'FG1'!F74</f>
        <v>0</v>
      </c>
      <c r="H72" s="144">
        <f>'FG1'!G74</f>
        <v>0</v>
      </c>
      <c r="I72" s="144">
        <f>'FG1'!H74</f>
        <v>0</v>
      </c>
      <c r="J72" s="144">
        <f>'FG1'!I74</f>
        <v>0</v>
      </c>
      <c r="K72" s="144">
        <f>'FG1'!J74</f>
        <v>0</v>
      </c>
      <c r="L72" s="144">
        <f>'FG1'!K74</f>
        <v>0</v>
      </c>
      <c r="M72" s="144">
        <f>'FG1'!L74</f>
        <v>0</v>
      </c>
      <c r="N72" s="144">
        <f>'FG1'!M74</f>
        <v>0</v>
      </c>
      <c r="O72" s="144">
        <f>'FG1'!N74</f>
        <v>0</v>
      </c>
      <c r="P72" s="217">
        <f>SUM(C72:O72)</f>
        <v>0</v>
      </c>
    </row>
    <row r="73" spans="1:17" ht="13.5" customHeight="1" thickBot="1">
      <c r="A73" s="43" t="str">
        <f>'FG1'!A76</f>
        <v>Autres frais d'administration 3</v>
      </c>
      <c r="B73" s="43"/>
      <c r="C73" s="140">
        <f>IF(NE!$A$34='BC1'!A73,NE!$C$34,IF(NE!$A$35='BC1'!A73,NE!$C$35,IF(NE!$A$36='BC1'!A73,NE!$C$36,IF(NE!$A$37='BC1'!A73,NE!$C$37,IF(NE!$A$38='BC1'!A73,NE!$C$38,IF(NE!$A$39='BC1'!A73,NE!$C$39,IF(NE!$A$40='BC1'!A73,NE!$C$40,IF(NE!$A$41='BC1'!A73,NE!$C$41,IF(NE!$F$34='BC1'!A73,NE!$I$34,IF(NE!$F$35='BC1'!A73,NE!$I$35,IF(NE!$F$36='BC1'!A73,NE!$I$36,IF(NE!$F$37='BC1'!A73,NE!$I$37,IF(NE!$F$38='BC1'!A73,NE!$I$38,IF(NE!$F$39='BC1'!A73,NE!$I$39,IF(NE!$F$40='BC1'!A73,NE!$I$40,IF(NE!$F$41='BC1'!A73,NE!$I$41,0))))))))))))))))</f>
        <v>0</v>
      </c>
      <c r="D73" s="144">
        <f>'FG1'!C76</f>
        <v>0</v>
      </c>
      <c r="E73" s="144">
        <f>'FG1'!D76</f>
        <v>0</v>
      </c>
      <c r="F73" s="144">
        <f>'FG1'!E76</f>
        <v>0</v>
      </c>
      <c r="G73" s="144">
        <f>'FG1'!F76</f>
        <v>0</v>
      </c>
      <c r="H73" s="144">
        <f>'FG1'!G76</f>
        <v>0</v>
      </c>
      <c r="I73" s="144">
        <f>'FG1'!H76</f>
        <v>0</v>
      </c>
      <c r="J73" s="144">
        <f>'FG1'!I76</f>
        <v>0</v>
      </c>
      <c r="K73" s="144">
        <f>'FG1'!J76</f>
        <v>0</v>
      </c>
      <c r="L73" s="144">
        <f>'FG1'!K76</f>
        <v>0</v>
      </c>
      <c r="M73" s="144">
        <f>'FG1'!L76</f>
        <v>0</v>
      </c>
      <c r="N73" s="144">
        <f>'FG1'!M76</f>
        <v>0</v>
      </c>
      <c r="O73" s="144">
        <f>'FG1'!N76</f>
        <v>0</v>
      </c>
      <c r="P73" s="217">
        <f>SUM(C73:O73)</f>
        <v>0</v>
      </c>
    </row>
    <row r="74" spans="1:17" ht="13.5" customHeight="1" thickBot="1">
      <c r="A74" s="43" t="str">
        <f>'FG1'!A78</f>
        <v>Autres frais d'administration 4</v>
      </c>
      <c r="B74" s="43"/>
      <c r="C74" s="140">
        <f>IF(NE!$A$34='BC1'!A74,NE!$C$34,IF(NE!$A$35='BC1'!A74,NE!$C$35,IF(NE!$A$36='BC1'!A74,NE!$C$36,IF(NE!$A$37='BC1'!A74,NE!$C$37,IF(NE!$A$38='BC1'!A74,NE!$C$38,IF(NE!$A$39='BC1'!A74,NE!$C$39,IF(NE!$A$40='BC1'!A74,NE!$C$40,IF(NE!$A$41='BC1'!A74,NE!$C$41,IF(NE!$F$34='BC1'!A74,NE!$I$34,IF(NE!$F$35='BC1'!A74,NE!$I$35,IF(NE!$F$36='BC1'!A74,NE!$I$36,IF(NE!$F$37='BC1'!A74,NE!$I$37,IF(NE!$F$38='BC1'!A74,NE!$I$38,IF(NE!$F$39='BC1'!A74,NE!$I$39,IF(NE!$F$40='BC1'!A74,NE!$I$40,IF(NE!$F$41='BC1'!A74,NE!$I$41,0))))))))))))))))</f>
        <v>0</v>
      </c>
      <c r="D74" s="144">
        <f>'FG1'!C78</f>
        <v>0</v>
      </c>
      <c r="E74" s="144">
        <f>'FG1'!D78</f>
        <v>0</v>
      </c>
      <c r="F74" s="144">
        <f>'FG1'!E78</f>
        <v>0</v>
      </c>
      <c r="G74" s="144">
        <f>'FG1'!F78</f>
        <v>0</v>
      </c>
      <c r="H74" s="144">
        <f>'FG1'!G78</f>
        <v>0</v>
      </c>
      <c r="I74" s="144">
        <f>'FG1'!H78</f>
        <v>0</v>
      </c>
      <c r="J74" s="144">
        <f>'FG1'!I78</f>
        <v>0</v>
      </c>
      <c r="K74" s="144">
        <f>'FG1'!J78</f>
        <v>0</v>
      </c>
      <c r="L74" s="144">
        <f>'FG1'!K78</f>
        <v>0</v>
      </c>
      <c r="M74" s="144">
        <f>'FG1'!L78</f>
        <v>0</v>
      </c>
      <c r="N74" s="144">
        <f>'FG1'!M78</f>
        <v>0</v>
      </c>
      <c r="O74" s="144">
        <f>'FG1'!N78</f>
        <v>0</v>
      </c>
      <c r="P74" s="217">
        <f>SUM(C74:O74)</f>
        <v>0</v>
      </c>
    </row>
    <row r="75" spans="1:17" ht="13.5" customHeight="1" thickBot="1">
      <c r="A75" s="43" t="str">
        <f>'FG1'!A80</f>
        <v>Autres frais d'administration 5</v>
      </c>
      <c r="B75" s="43"/>
      <c r="C75" s="140">
        <f>IF(NE!$A$34='BC1'!A75,NE!$C$34,IF(NE!$A$35='BC1'!A75,NE!$C$35,IF(NE!$A$36='BC1'!A75,NE!$C$36,IF(NE!$A$37='BC1'!A75,NE!$C$37,IF(NE!$A$38='BC1'!A75,NE!$C$38,IF(NE!$A$39='BC1'!A75,NE!$C$39,IF(NE!$A$40='BC1'!A75,NE!$C$40,IF(NE!$A$41='BC1'!A75,NE!$C$41,IF(NE!$F$34='BC1'!A75,NE!$I$34,IF(NE!$F$35='BC1'!A75,NE!$I$35,IF(NE!$F$36='BC1'!A75,NE!$I$36,IF(NE!$F$37='BC1'!A75,NE!$I$37,IF(NE!$F$38='BC1'!A75,NE!$I$38,IF(NE!$F$39='BC1'!A75,NE!$I$39,IF(NE!$F$40='BC1'!A75,NE!$I$40,IF(NE!$F$41='BC1'!A75,NE!$I$41,0))))))))))))))))</f>
        <v>0</v>
      </c>
      <c r="D75" s="144">
        <f>'FG1'!C80</f>
        <v>0</v>
      </c>
      <c r="E75" s="144">
        <f>'FG1'!D80</f>
        <v>0</v>
      </c>
      <c r="F75" s="144">
        <f>'FG1'!E80</f>
        <v>0</v>
      </c>
      <c r="G75" s="144">
        <f>'FG1'!F80</f>
        <v>0</v>
      </c>
      <c r="H75" s="144">
        <f>'FG1'!G80</f>
        <v>0</v>
      </c>
      <c r="I75" s="144">
        <f>'FG1'!H80</f>
        <v>0</v>
      </c>
      <c r="J75" s="144">
        <f>'FG1'!I80</f>
        <v>0</v>
      </c>
      <c r="K75" s="144">
        <f>'FG1'!J80</f>
        <v>0</v>
      </c>
      <c r="L75" s="144">
        <f>'FG1'!K80</f>
        <v>0</v>
      </c>
      <c r="M75" s="144">
        <f>'FG1'!L80</f>
        <v>0</v>
      </c>
      <c r="N75" s="144">
        <f>'FG1'!M80</f>
        <v>0</v>
      </c>
      <c r="O75" s="144">
        <f>'FG1'!N80</f>
        <v>0</v>
      </c>
      <c r="P75" s="217">
        <f>SUM(C75:O75)</f>
        <v>0</v>
      </c>
    </row>
    <row r="76" spans="1:17" ht="13.5" customHeight="1" thickBot="1">
      <c r="A76" s="43" t="str">
        <f>'FG1'!A82</f>
        <v>Autres frais d'administration 6</v>
      </c>
      <c r="B76" s="43"/>
      <c r="C76" s="140">
        <f>IF(NE!$A$34='BC1'!A76,NE!$C$34,IF(NE!$A$35='BC1'!A76,NE!$C$35,IF(NE!$A$36='BC1'!A76,NE!$C$36,IF(NE!$A$37='BC1'!A76,NE!$C$37,IF(NE!$A$38='BC1'!A76,NE!$C$38,IF(NE!$A$39='BC1'!A76,NE!$C$39,IF(NE!$A$40='BC1'!A76,NE!$C$40,IF(NE!$A$41='BC1'!A76,NE!$C$41,IF(NE!$F$34='BC1'!A76,NE!$I$34,IF(NE!$F$35='BC1'!A76,NE!$I$35,IF(NE!$F$36='BC1'!A76,NE!$I$36,IF(NE!$F$37='BC1'!A76,NE!$I$37,IF(NE!$F$38='BC1'!A76,NE!$I$38,IF(NE!$F$39='BC1'!A76,NE!$I$39,IF(NE!$F$40='BC1'!A76,NE!$I$40,IF(NE!$F$41='BC1'!A76,NE!$I$41,0))))))))))))))))</f>
        <v>0</v>
      </c>
      <c r="D76" s="144">
        <f>'FG1'!C82</f>
        <v>0</v>
      </c>
      <c r="E76" s="144">
        <f>'FG1'!D82</f>
        <v>0</v>
      </c>
      <c r="F76" s="144">
        <f>'FG1'!E82</f>
        <v>0</v>
      </c>
      <c r="G76" s="144">
        <f>'FG1'!F82</f>
        <v>0</v>
      </c>
      <c r="H76" s="144">
        <f>'FG1'!G82</f>
        <v>0</v>
      </c>
      <c r="I76" s="144">
        <f>'FG1'!H82</f>
        <v>0</v>
      </c>
      <c r="J76" s="144">
        <f>'FG1'!I82</f>
        <v>0</v>
      </c>
      <c r="K76" s="144">
        <f>'FG1'!J82</f>
        <v>0</v>
      </c>
      <c r="L76" s="144">
        <f>'FG1'!K82</f>
        <v>0</v>
      </c>
      <c r="M76" s="144">
        <f>'FG1'!L82</f>
        <v>0</v>
      </c>
      <c r="N76" s="144">
        <f>'FG1'!M82</f>
        <v>0</v>
      </c>
      <c r="O76" s="144">
        <f>'FG1'!N82</f>
        <v>0</v>
      </c>
      <c r="P76" s="217">
        <f>SUM(C76:O76)</f>
        <v>0</v>
      </c>
    </row>
    <row r="77" spans="1:17" ht="13.5" customHeight="1" thickBot="1">
      <c r="A77" s="78" t="str">
        <f>'FG1'!A84</f>
        <v>FRAIS FINANCIERS</v>
      </c>
      <c r="B77" s="43"/>
      <c r="C77" s="211"/>
      <c r="D77" s="214"/>
      <c r="E77" s="214"/>
      <c r="F77" s="214"/>
      <c r="G77" s="214"/>
      <c r="H77" s="214"/>
      <c r="I77" s="214"/>
      <c r="J77" s="214"/>
      <c r="K77" s="214"/>
      <c r="L77" s="214"/>
      <c r="M77" s="214"/>
      <c r="N77" s="214"/>
      <c r="O77" s="214"/>
      <c r="P77" s="1088">
        <v>0.01</v>
      </c>
    </row>
    <row r="78" spans="1:17" ht="13.5" customHeight="1" thickBot="1">
      <c r="A78" s="43" t="str">
        <f>'FG1'!A85</f>
        <v>Frais bancaires</v>
      </c>
      <c r="B78" s="43"/>
      <c r="C78" s="140">
        <f>IF(NE!$A$34='BC1'!A78,NE!$C$34,IF(NE!$A$35='BC1'!A78,NE!$C$35,IF(NE!$A$36='BC1'!A78,NE!$C$36,IF(NE!$A$37='BC1'!A78,NE!$C$37,IF(NE!$A$38='BC1'!A78,NE!$C$38,IF(NE!$A$39='BC1'!A78,NE!$C$39,IF(NE!$A$40='BC1'!A78,NE!$C$40,IF(NE!$A$41='BC1'!A78,NE!$C$41,IF(NE!$F$34='BC1'!A78,NE!$I$34,IF(NE!$F$35='BC1'!A78,NE!$I$35,IF(NE!$F$36='BC1'!A78,NE!$I$36,IF(NE!$F$37='BC1'!A78,NE!$I$37,IF(NE!$F$38='BC1'!A78,NE!$I$38,IF(NE!$F$39='BC1'!A78,NE!$I$39,IF(NE!$F$40='BC1'!A78,NE!$I$40,IF(NE!$F$41='BC1'!A78,NE!$I$41,0))))))))))))))))</f>
        <v>1</v>
      </c>
      <c r="D78" s="144">
        <f>'FG1'!C85</f>
        <v>0</v>
      </c>
      <c r="E78" s="144">
        <f>'FG1'!D85</f>
        <v>0</v>
      </c>
      <c r="F78" s="144">
        <f>'FG1'!E85</f>
        <v>0</v>
      </c>
      <c r="G78" s="144">
        <f>'FG1'!F85</f>
        <v>0</v>
      </c>
      <c r="H78" s="144">
        <f>'FG1'!G85</f>
        <v>0</v>
      </c>
      <c r="I78" s="144">
        <f>'FG1'!H85</f>
        <v>0</v>
      </c>
      <c r="J78" s="144">
        <f>'FG1'!I85</f>
        <v>0</v>
      </c>
      <c r="K78" s="144">
        <f>'FG1'!J85</f>
        <v>0</v>
      </c>
      <c r="L78" s="144">
        <f>'FG1'!K85</f>
        <v>0</v>
      </c>
      <c r="M78" s="144">
        <f>'FG1'!L85</f>
        <v>0</v>
      </c>
      <c r="N78" s="144">
        <f>'FG1'!M85</f>
        <v>0</v>
      </c>
      <c r="O78" s="144">
        <f>'FG1'!N85</f>
        <v>0</v>
      </c>
      <c r="P78" s="217">
        <f t="shared" ref="P78:P83" si="8">SUM(C78:O78)</f>
        <v>1</v>
      </c>
    </row>
    <row r="79" spans="1:17" ht="13.5" customHeight="1" thickBot="1">
      <c r="A79" s="43" t="str">
        <f>'FG1'!A87</f>
        <v>Frais de carte de crédit</v>
      </c>
      <c r="B79" s="43"/>
      <c r="C79" s="140">
        <v>0</v>
      </c>
      <c r="D79" s="144">
        <f>'FG1'!C87</f>
        <v>0</v>
      </c>
      <c r="E79" s="144">
        <f>'FG1'!D87</f>
        <v>0</v>
      </c>
      <c r="F79" s="144">
        <f>'FG1'!E87</f>
        <v>0</v>
      </c>
      <c r="G79" s="144">
        <f>'FG1'!F87</f>
        <v>0</v>
      </c>
      <c r="H79" s="144">
        <f>'FG1'!G87</f>
        <v>0</v>
      </c>
      <c r="I79" s="144">
        <f>'FG1'!H87</f>
        <v>0</v>
      </c>
      <c r="J79" s="144">
        <f>'FG1'!I87</f>
        <v>0</v>
      </c>
      <c r="K79" s="144">
        <f>'FG1'!J87</f>
        <v>0</v>
      </c>
      <c r="L79" s="144">
        <f>'FG1'!K87</f>
        <v>0</v>
      </c>
      <c r="M79" s="144">
        <f>'FG1'!L87</f>
        <v>0</v>
      </c>
      <c r="N79" s="144">
        <f>'FG1'!M87</f>
        <v>0</v>
      </c>
      <c r="O79" s="144">
        <f>'FG1'!N87</f>
        <v>0</v>
      </c>
      <c r="P79" s="217">
        <f t="shared" si="8"/>
        <v>0</v>
      </c>
    </row>
    <row r="80" spans="1:17" ht="13.5" customHeight="1" thickBot="1">
      <c r="A80" s="43" t="str">
        <f>'FG1'!A89</f>
        <v>Autres frais financiers 1</v>
      </c>
      <c r="B80" s="43"/>
      <c r="C80" s="140">
        <v>0</v>
      </c>
      <c r="D80" s="144">
        <f>'FG1'!C89</f>
        <v>0</v>
      </c>
      <c r="E80" s="144">
        <f>'FG1'!D89</f>
        <v>0</v>
      </c>
      <c r="F80" s="144">
        <f>'FG1'!E89</f>
        <v>0</v>
      </c>
      <c r="G80" s="144">
        <f>'FG1'!F89</f>
        <v>0</v>
      </c>
      <c r="H80" s="144">
        <f>'FG1'!G89</f>
        <v>0</v>
      </c>
      <c r="I80" s="144">
        <f>'FG1'!H89</f>
        <v>0</v>
      </c>
      <c r="J80" s="144">
        <f>'FG1'!I89</f>
        <v>0</v>
      </c>
      <c r="K80" s="144">
        <f>'FG1'!J89</f>
        <v>0</v>
      </c>
      <c r="L80" s="144">
        <f>'FG1'!K89</f>
        <v>0</v>
      </c>
      <c r="M80" s="144">
        <f>'FG1'!L89</f>
        <v>0</v>
      </c>
      <c r="N80" s="144">
        <f>'FG1'!M89</f>
        <v>0</v>
      </c>
      <c r="O80" s="144">
        <f>'FG1'!N89</f>
        <v>0</v>
      </c>
      <c r="P80" s="217">
        <f t="shared" si="8"/>
        <v>0</v>
      </c>
    </row>
    <row r="81" spans="1:18" ht="13.5" customHeight="1" thickBot="1">
      <c r="A81" s="43" t="str">
        <f>'FG1'!A91</f>
        <v>Autres frais financiers 2</v>
      </c>
      <c r="B81" s="43"/>
      <c r="C81" s="140">
        <v>0</v>
      </c>
      <c r="D81" s="144">
        <f>'FG1'!C91</f>
        <v>0</v>
      </c>
      <c r="E81" s="144">
        <f>'FG1'!D91</f>
        <v>0</v>
      </c>
      <c r="F81" s="144">
        <f>'FG1'!E91</f>
        <v>0</v>
      </c>
      <c r="G81" s="144">
        <f>'FG1'!F91</f>
        <v>0</v>
      </c>
      <c r="H81" s="144">
        <f>'FG1'!G91</f>
        <v>0</v>
      </c>
      <c r="I81" s="144">
        <f>'FG1'!H91</f>
        <v>0</v>
      </c>
      <c r="J81" s="144">
        <f>'FG1'!I91</f>
        <v>0</v>
      </c>
      <c r="K81" s="144">
        <f>'FG1'!J91</f>
        <v>0</v>
      </c>
      <c r="L81" s="144">
        <f>'FG1'!K91</f>
        <v>0</v>
      </c>
      <c r="M81" s="144">
        <f>'FG1'!L91</f>
        <v>0</v>
      </c>
      <c r="N81" s="144">
        <f>'FG1'!M91</f>
        <v>0</v>
      </c>
      <c r="O81" s="144">
        <f>'FG1'!N91</f>
        <v>0</v>
      </c>
      <c r="P81" s="217">
        <f t="shared" si="8"/>
        <v>0</v>
      </c>
    </row>
    <row r="82" spans="1:18" ht="13.5" customHeight="1" thickBot="1">
      <c r="A82" s="43" t="str">
        <f>'FG1'!A93</f>
        <v>Autres frais financiers 3</v>
      </c>
      <c r="B82" s="43"/>
      <c r="C82" s="140">
        <v>0</v>
      </c>
      <c r="D82" s="144">
        <f>'FG1'!C93</f>
        <v>0</v>
      </c>
      <c r="E82" s="144">
        <f>'FG1'!D93</f>
        <v>0</v>
      </c>
      <c r="F82" s="144">
        <f>'FG1'!E93</f>
        <v>0</v>
      </c>
      <c r="G82" s="144">
        <f>'FG1'!F93</f>
        <v>0</v>
      </c>
      <c r="H82" s="144">
        <f>'FG1'!G93</f>
        <v>0</v>
      </c>
      <c r="I82" s="144">
        <f>'FG1'!H93</f>
        <v>0</v>
      </c>
      <c r="J82" s="144">
        <f>'FG1'!I93</f>
        <v>0</v>
      </c>
      <c r="K82" s="144">
        <f>'FG1'!J93</f>
        <v>0</v>
      </c>
      <c r="L82" s="144">
        <f>'FG1'!K93</f>
        <v>0</v>
      </c>
      <c r="M82" s="144">
        <f>'FG1'!L93</f>
        <v>0</v>
      </c>
      <c r="N82" s="144">
        <f>'FG1'!M93</f>
        <v>0</v>
      </c>
      <c r="O82" s="144">
        <f>'FG1'!N93</f>
        <v>0</v>
      </c>
      <c r="P82" s="217">
        <f t="shared" si="8"/>
        <v>0</v>
      </c>
    </row>
    <row r="83" spans="1:18" ht="13.5" customHeight="1" thickBot="1">
      <c r="A83" s="43" t="str">
        <f>'FG1'!A95</f>
        <v>Autres frais financiers 4</v>
      </c>
      <c r="B83" s="43"/>
      <c r="C83" s="140">
        <v>0</v>
      </c>
      <c r="D83" s="144">
        <f>'FG1'!C95</f>
        <v>0</v>
      </c>
      <c r="E83" s="144">
        <f>'FG1'!D95</f>
        <v>0</v>
      </c>
      <c r="F83" s="144">
        <f>'FG1'!E95</f>
        <v>0</v>
      </c>
      <c r="G83" s="144">
        <f>'FG1'!F95</f>
        <v>0</v>
      </c>
      <c r="H83" s="144">
        <f>'FG1'!G95</f>
        <v>0</v>
      </c>
      <c r="I83" s="144">
        <f>'FG1'!H95</f>
        <v>0</v>
      </c>
      <c r="J83" s="144">
        <f>'FG1'!I95</f>
        <v>0</v>
      </c>
      <c r="K83" s="144">
        <f>'FG1'!J95</f>
        <v>0</v>
      </c>
      <c r="L83" s="144">
        <f>'FG1'!K95</f>
        <v>0</v>
      </c>
      <c r="M83" s="144">
        <f>'FG1'!L95</f>
        <v>0</v>
      </c>
      <c r="N83" s="144">
        <f>'FG1'!M95</f>
        <v>0</v>
      </c>
      <c r="O83" s="144">
        <f>'FG1'!N95</f>
        <v>0</v>
      </c>
      <c r="P83" s="217">
        <f t="shared" si="8"/>
        <v>0</v>
      </c>
    </row>
    <row r="84" spans="1:18" ht="13.5" customHeight="1">
      <c r="A84" s="43"/>
      <c r="B84" s="43"/>
      <c r="C84" s="211"/>
      <c r="D84" s="211"/>
      <c r="E84" s="211"/>
      <c r="F84" s="211"/>
      <c r="G84" s="211"/>
      <c r="H84" s="211"/>
      <c r="I84" s="211"/>
      <c r="J84" s="211"/>
      <c r="K84" s="211"/>
      <c r="L84" s="211"/>
      <c r="M84" s="211"/>
      <c r="N84" s="211"/>
      <c r="O84" s="211"/>
      <c r="P84" s="1089">
        <v>0.01</v>
      </c>
    </row>
    <row r="85" spans="1:18" ht="13.5" customHeight="1">
      <c r="A85" s="43"/>
      <c r="B85" s="43"/>
      <c r="C85" s="211"/>
      <c r="D85" s="211"/>
      <c r="E85" s="211"/>
      <c r="F85" s="211"/>
      <c r="G85" s="211"/>
      <c r="H85" s="211"/>
      <c r="I85" s="211"/>
      <c r="J85" s="211"/>
      <c r="K85" s="211"/>
      <c r="L85" s="211"/>
      <c r="M85" s="211"/>
      <c r="N85" s="211"/>
      <c r="O85" s="211"/>
      <c r="P85" s="1089">
        <v>0.01</v>
      </c>
    </row>
    <row r="86" spans="1:18" ht="11" thickBot="1">
      <c r="P86" s="870">
        <v>0</v>
      </c>
    </row>
    <row r="87" spans="1:18" ht="13.5" customHeight="1" thickBot="1">
      <c r="A87" s="48" t="s">
        <v>722</v>
      </c>
      <c r="B87" s="48"/>
      <c r="C87" s="140">
        <f>SUM(C88:C121)</f>
        <v>0</v>
      </c>
      <c r="D87" s="140">
        <f>SUM(D88:D121)</f>
        <v>376</v>
      </c>
      <c r="E87" s="140">
        <f t="shared" ref="E87:O87" si="9">SUM(E88:E121)</f>
        <v>377</v>
      </c>
      <c r="F87" s="140">
        <f t="shared" si="9"/>
        <v>378</v>
      </c>
      <c r="G87" s="140">
        <f t="shared" si="9"/>
        <v>378</v>
      </c>
      <c r="H87" s="140">
        <f t="shared" si="9"/>
        <v>377</v>
      </c>
      <c r="I87" s="140">
        <f t="shared" si="9"/>
        <v>377</v>
      </c>
      <c r="J87" s="140">
        <f t="shared" si="9"/>
        <v>378</v>
      </c>
      <c r="K87" s="140">
        <f t="shared" si="9"/>
        <v>378</v>
      </c>
      <c r="L87" s="140">
        <f t="shared" si="9"/>
        <v>377</v>
      </c>
      <c r="M87" s="140">
        <f t="shared" si="9"/>
        <v>377</v>
      </c>
      <c r="N87" s="140">
        <f t="shared" si="9"/>
        <v>378</v>
      </c>
      <c r="O87" s="140">
        <f t="shared" si="9"/>
        <v>378</v>
      </c>
      <c r="P87" s="217">
        <f>SUM(D87:O87)+0.01</f>
        <v>4529.01</v>
      </c>
      <c r="Q87" s="117">
        <f>P89+P92+P95+P98+P101+P104+P107+P110+P113+P116+P119+P121</f>
        <v>917.00009999999997</v>
      </c>
      <c r="R87" s="117">
        <f>P87-Q87</f>
        <v>3612.0099</v>
      </c>
    </row>
    <row r="88" spans="1:18" s="143" customFormat="1" ht="13.5" customHeight="1" thickBot="1">
      <c r="A88" s="43" t="str">
        <f>CF!F35</f>
        <v>Billet à payer</v>
      </c>
      <c r="B88" s="65" t="s">
        <v>505</v>
      </c>
      <c r="D88" s="656">
        <f>VLOOKUP(D$13,BP!$A$25:$K$265,9)</f>
        <v>0</v>
      </c>
      <c r="E88" s="656">
        <f>VLOOKUP(E$13,BP!$A$25:$K$265,9)</f>
        <v>0</v>
      </c>
      <c r="F88" s="656">
        <f>VLOOKUP(F$13,BP!$A$25:$K$265,9)</f>
        <v>0</v>
      </c>
      <c r="G88" s="656">
        <f>VLOOKUP(G$13,BP!$A$25:$K$265,9)</f>
        <v>0</v>
      </c>
      <c r="H88" s="656">
        <f>VLOOKUP(H$13,BP!$A$25:$K$265,9)</f>
        <v>0</v>
      </c>
      <c r="I88" s="656">
        <f>VLOOKUP(I$13,BP!$A$25:$K$265,9)</f>
        <v>0</v>
      </c>
      <c r="J88" s="656">
        <f>VLOOKUP(J$13,BP!$A$25:$K$265,9)</f>
        <v>0</v>
      </c>
      <c r="K88" s="656">
        <f>VLOOKUP(K$13,BP!$A$25:$K$265,9)</f>
        <v>0</v>
      </c>
      <c r="L88" s="656">
        <f>VLOOKUP(L$13,BP!$A$25:$K$265,9)</f>
        <v>0</v>
      </c>
      <c r="M88" s="656">
        <f>VLOOKUP(M$13,BP!$A$25:$K$265,9)</f>
        <v>0</v>
      </c>
      <c r="N88" s="656">
        <f>VLOOKUP(N$13,BP!$A$25:$K$265,9)</f>
        <v>0</v>
      </c>
      <c r="O88" s="656">
        <f>VLOOKUP(O$13,BP!$A$25:$K$265,9)</f>
        <v>0</v>
      </c>
      <c r="P88" s="796">
        <f>SUM(D88:O88)</f>
        <v>0</v>
      </c>
    </row>
    <row r="89" spans="1:18" ht="13.5" customHeight="1" thickBot="1">
      <c r="A89" s="65"/>
      <c r="B89" s="65" t="s">
        <v>506</v>
      </c>
      <c r="D89" s="140">
        <f>VLOOKUP(D$13,BP!$A$25:$K$265,10)</f>
        <v>0</v>
      </c>
      <c r="E89" s="140">
        <f>VLOOKUP(E$13,BP!$A$25:$K$265,10)</f>
        <v>0</v>
      </c>
      <c r="F89" s="140">
        <f>VLOOKUP(F$13,BP!$A$25:$K$265,10)</f>
        <v>0</v>
      </c>
      <c r="G89" s="140">
        <f>VLOOKUP(G$13,BP!$A$25:$K$265,10)</f>
        <v>0</v>
      </c>
      <c r="H89" s="140">
        <f>VLOOKUP(H$13,BP!$A$25:$K$265,10)</f>
        <v>0</v>
      </c>
      <c r="I89" s="140">
        <f>VLOOKUP(I$13,BP!$A$25:$K$265,10)</f>
        <v>0</v>
      </c>
      <c r="J89" s="140">
        <f>VLOOKUP(J$13,BP!$A$25:$K$265,10)</f>
        <v>0</v>
      </c>
      <c r="K89" s="140">
        <f>VLOOKUP(K$13,BP!$A$25:$K$265,10)</f>
        <v>0</v>
      </c>
      <c r="L89" s="140">
        <f>VLOOKUP(L$13,BP!$A$25:$K$265,10)</f>
        <v>0</v>
      </c>
      <c r="M89" s="140">
        <f>VLOOKUP(M$13,BP!$A$25:$K$265,10)</f>
        <v>0</v>
      </c>
      <c r="N89" s="140">
        <f>VLOOKUP(N$13,BP!$A$25:$K$265,10)</f>
        <v>0</v>
      </c>
      <c r="O89" s="140">
        <f>VLOOKUP(O$13,BP!$A$25:$K$265,10)</f>
        <v>0</v>
      </c>
      <c r="P89" s="217">
        <f>SUM(D89:O89)</f>
        <v>0</v>
      </c>
    </row>
    <row r="90" spans="1:18" ht="13.5" customHeight="1" thickBot="1">
      <c r="A90" s="43"/>
      <c r="B90" s="149"/>
      <c r="D90" s="211"/>
      <c r="E90" s="211"/>
      <c r="F90" s="211"/>
      <c r="G90" s="211"/>
      <c r="H90" s="211"/>
      <c r="I90" s="211"/>
      <c r="J90" s="211"/>
      <c r="K90" s="211"/>
      <c r="L90" s="211"/>
      <c r="M90" s="211"/>
      <c r="N90" s="211"/>
      <c r="O90" s="211"/>
      <c r="P90" s="220">
        <f>IF(P88+P89=0,0,0.001)</f>
        <v>0</v>
      </c>
    </row>
    <row r="91" spans="1:18" ht="13.5" customHeight="1" thickBot="1">
      <c r="A91" s="43" t="str">
        <f>CF!F36</f>
        <v>Emprunt à court terme 1</v>
      </c>
      <c r="B91" s="65" t="s">
        <v>505</v>
      </c>
      <c r="D91" s="140">
        <f>VLOOKUP(D$13,'ECT1'!$A$26:$O$265,14)</f>
        <v>0</v>
      </c>
      <c r="E91" s="140">
        <f>VLOOKUP(E$13,'ECT1'!$A$26:$O$265,14)</f>
        <v>0</v>
      </c>
      <c r="F91" s="140">
        <f>VLOOKUP(F$13,'ECT1'!$A$26:$O$265,14)</f>
        <v>0</v>
      </c>
      <c r="G91" s="140">
        <f>VLOOKUP(G$13,'ECT1'!$A$26:$O$265,14)</f>
        <v>0</v>
      </c>
      <c r="H91" s="140">
        <f>VLOOKUP(H$13,'ECT1'!$A$26:$O$265,14)</f>
        <v>0</v>
      </c>
      <c r="I91" s="140">
        <f>VLOOKUP(I$13,'ECT1'!$A$26:$O$265,14)</f>
        <v>0</v>
      </c>
      <c r="J91" s="140">
        <f>VLOOKUP(J$13,'ECT1'!$A$26:$O$265,14)</f>
        <v>0</v>
      </c>
      <c r="K91" s="140">
        <f>VLOOKUP(K$13,'ECT1'!$A$26:$O$265,14)</f>
        <v>0</v>
      </c>
      <c r="L91" s="140">
        <f>VLOOKUP(L$13,'ECT1'!$A$26:$O$265,14)</f>
        <v>0</v>
      </c>
      <c r="M91" s="140">
        <f>VLOOKUP(M$13,'ECT1'!$A$26:$O$265,14)</f>
        <v>0</v>
      </c>
      <c r="N91" s="140">
        <f>VLOOKUP(N$13,'ECT1'!$A$26:$O$265,14)</f>
        <v>0</v>
      </c>
      <c r="O91" s="140">
        <f>VLOOKUP(O$13,'ECT1'!$A$26:$O$265,14)</f>
        <v>0</v>
      </c>
      <c r="P91" s="217">
        <f>SUM(D91:O91)</f>
        <v>0</v>
      </c>
    </row>
    <row r="92" spans="1:18" ht="13.5" customHeight="1" thickBot="1">
      <c r="A92" s="65"/>
      <c r="B92" s="65" t="s">
        <v>506</v>
      </c>
      <c r="D92" s="140">
        <f>VLOOKUP(D$13,'ECT1'!$A$26:$O$265,15)</f>
        <v>0</v>
      </c>
      <c r="E92" s="140">
        <f>VLOOKUP(E$13,'ECT1'!$A$26:$O$265,15)</f>
        <v>0</v>
      </c>
      <c r="F92" s="140">
        <f>VLOOKUP(F$13,'ECT1'!$A$26:$O$265,15)</f>
        <v>0</v>
      </c>
      <c r="G92" s="140">
        <f>VLOOKUP(G$13,'ECT1'!$A$26:$O$265,15)</f>
        <v>0</v>
      </c>
      <c r="H92" s="140">
        <f>VLOOKUP(H$13,'ECT1'!$A$26:$O$265,15)</f>
        <v>0</v>
      </c>
      <c r="I92" s="140">
        <f>VLOOKUP(I$13,'ECT1'!$A$26:$O$265,15)</f>
        <v>0</v>
      </c>
      <c r="J92" s="140">
        <f>VLOOKUP(J$13,'ECT1'!$A$26:$O$265,15)</f>
        <v>0</v>
      </c>
      <c r="K92" s="140">
        <f>VLOOKUP(K$13,'ECT1'!$A$26:$O$265,15)</f>
        <v>0</v>
      </c>
      <c r="L92" s="140">
        <f>VLOOKUP(L$13,'ECT1'!$A$26:$O$265,15)</f>
        <v>0</v>
      </c>
      <c r="M92" s="140">
        <f>VLOOKUP(M$13,'ECT1'!$A$26:$O$265,15)</f>
        <v>0</v>
      </c>
      <c r="N92" s="140">
        <f>VLOOKUP(N$13,'ECT1'!$A$26:$O$265,15)</f>
        <v>0</v>
      </c>
      <c r="O92" s="140">
        <f>VLOOKUP(O$13,'ECT1'!$A$26:$O$265,15)</f>
        <v>0</v>
      </c>
      <c r="P92" s="217">
        <f>SUM(D92:O92)</f>
        <v>0</v>
      </c>
    </row>
    <row r="93" spans="1:18" ht="13.5" customHeight="1" thickBot="1">
      <c r="A93" s="43"/>
      <c r="B93" s="149"/>
      <c r="D93" s="211"/>
      <c r="E93" s="211"/>
      <c r="F93" s="211"/>
      <c r="G93" s="211"/>
      <c r="H93" s="211"/>
      <c r="I93" s="211"/>
      <c r="J93" s="211"/>
      <c r="K93" s="211"/>
      <c r="L93" s="211"/>
      <c r="M93" s="211"/>
      <c r="N93" s="211"/>
      <c r="O93" s="211"/>
      <c r="P93" s="220">
        <f>IF(P91+P92=0,0,0.001)</f>
        <v>0</v>
      </c>
    </row>
    <row r="94" spans="1:18" ht="13.5" customHeight="1" thickBot="1">
      <c r="A94" s="43" t="str">
        <f>CF!F37</f>
        <v>Emprunt à court terme 2</v>
      </c>
      <c r="B94" s="65" t="s">
        <v>505</v>
      </c>
      <c r="D94" s="140">
        <f>VLOOKUP(D$13,'ECT2'!$A$26:$O$265,14)</f>
        <v>0</v>
      </c>
      <c r="E94" s="140">
        <f>VLOOKUP(E$13,'ECT2'!$A$26:$O$265,14)</f>
        <v>0</v>
      </c>
      <c r="F94" s="140">
        <f>VLOOKUP(F$13,'ECT2'!$A$26:$O$265,14)</f>
        <v>0</v>
      </c>
      <c r="G94" s="140">
        <f>VLOOKUP(G$13,'ECT2'!$A$26:$O$265,14)</f>
        <v>0</v>
      </c>
      <c r="H94" s="140">
        <f>VLOOKUP(H$13,'ECT2'!$A$26:$O$265,14)</f>
        <v>0</v>
      </c>
      <c r="I94" s="140">
        <f>VLOOKUP(I$13,'ECT2'!$A$26:$O$265,14)</f>
        <v>0</v>
      </c>
      <c r="J94" s="140">
        <f>VLOOKUP(J$13,'ECT2'!$A$26:$O$265,14)</f>
        <v>0</v>
      </c>
      <c r="K94" s="140">
        <f>VLOOKUP(K$13,'ECT2'!$A$26:$O$265,14)</f>
        <v>0</v>
      </c>
      <c r="L94" s="140">
        <f>VLOOKUP(L$13,'ECT2'!$A$26:$O$265,14)</f>
        <v>0</v>
      </c>
      <c r="M94" s="140">
        <f>VLOOKUP(M$13,'ECT2'!$A$26:$O$265,14)</f>
        <v>0</v>
      </c>
      <c r="N94" s="140">
        <f>VLOOKUP(N$13,'ECT2'!$A$26:$O$265,14)</f>
        <v>0</v>
      </c>
      <c r="O94" s="140">
        <f>VLOOKUP(O$13,'ECT2'!$A$26:$O$265,14)</f>
        <v>0</v>
      </c>
      <c r="P94" s="217">
        <f>SUM(D94:O94)</f>
        <v>0</v>
      </c>
    </row>
    <row r="95" spans="1:18" ht="13.5" customHeight="1" thickBot="1">
      <c r="A95" s="65"/>
      <c r="B95" s="65" t="s">
        <v>506</v>
      </c>
      <c r="D95" s="140">
        <f>VLOOKUP(D$13,'ECT2'!$A$26:$O$265,15)</f>
        <v>0</v>
      </c>
      <c r="E95" s="140">
        <f>VLOOKUP(E$13,'ECT2'!$A$26:$O$265,15)</f>
        <v>0</v>
      </c>
      <c r="F95" s="140">
        <f>VLOOKUP(F$13,'ECT2'!$A$26:$O$265,15)</f>
        <v>0</v>
      </c>
      <c r="G95" s="140">
        <f>VLOOKUP(G$13,'ECT2'!$A$26:$O$265,15)</f>
        <v>0</v>
      </c>
      <c r="H95" s="140">
        <f>VLOOKUP(H$13,'ECT2'!$A$26:$O$265,15)</f>
        <v>0</v>
      </c>
      <c r="I95" s="140">
        <f>VLOOKUP(I$13,'ECT2'!$A$26:$O$265,15)</f>
        <v>0</v>
      </c>
      <c r="J95" s="140">
        <f>VLOOKUP(J$13,'ECT2'!$A$26:$O$265,15)</f>
        <v>0</v>
      </c>
      <c r="K95" s="140">
        <f>VLOOKUP(K$13,'ECT2'!$A$26:$O$265,15)</f>
        <v>0</v>
      </c>
      <c r="L95" s="140">
        <f>VLOOKUP(L$13,'ECT2'!$A$26:$O$265,15)</f>
        <v>0</v>
      </c>
      <c r="M95" s="140">
        <f>VLOOKUP(M$13,'ECT2'!$A$26:$O$265,15)</f>
        <v>0</v>
      </c>
      <c r="N95" s="140">
        <f>VLOOKUP(N$13,'ECT2'!$A$26:$O$265,15)</f>
        <v>0</v>
      </c>
      <c r="O95" s="140">
        <f>VLOOKUP(O$13,'ECT2'!$A$26:$O$265,15)</f>
        <v>0</v>
      </c>
      <c r="P95" s="217">
        <f>SUM(D95:O95)</f>
        <v>0</v>
      </c>
    </row>
    <row r="96" spans="1:18" ht="13.5" customHeight="1" thickBot="1">
      <c r="A96" s="43"/>
      <c r="B96" s="149"/>
      <c r="D96" s="211"/>
      <c r="E96" s="211"/>
      <c r="F96" s="211"/>
      <c r="G96" s="211"/>
      <c r="H96" s="211"/>
      <c r="I96" s="211"/>
      <c r="J96" s="211"/>
      <c r="K96" s="211"/>
      <c r="L96" s="211"/>
      <c r="M96" s="211"/>
      <c r="N96" s="211"/>
      <c r="O96" s="211"/>
      <c r="P96" s="220">
        <f>IF(P94+P95=0,0,0.001)</f>
        <v>0</v>
      </c>
    </row>
    <row r="97" spans="1:16" ht="13.5" customHeight="1" thickBot="1">
      <c r="A97" s="43" t="str">
        <f>CF!F40</f>
        <v>Emprunt hypothécaire</v>
      </c>
      <c r="B97" s="65" t="s">
        <v>505</v>
      </c>
      <c r="D97" s="140">
        <f>VLOOKUP(D$13,EH!$A$26:$O$265,14)</f>
        <v>0</v>
      </c>
      <c r="E97" s="140">
        <f>VLOOKUP(E$13,EH!$A$26:$O$265,14)</f>
        <v>0</v>
      </c>
      <c r="F97" s="140">
        <f>VLOOKUP(F$13,EH!$A$26:$O$265,14)</f>
        <v>0</v>
      </c>
      <c r="G97" s="140">
        <f>VLOOKUP(G$13,EH!$A$26:$O$265,14)</f>
        <v>0</v>
      </c>
      <c r="H97" s="140">
        <f>VLOOKUP(H$13,EH!$A$26:$O$265,14)</f>
        <v>0</v>
      </c>
      <c r="I97" s="140">
        <f>VLOOKUP(I$13,EH!$A$26:$O$265,14)</f>
        <v>0</v>
      </c>
      <c r="J97" s="140">
        <f>VLOOKUP(J$13,EH!$A$26:$O$265,14)</f>
        <v>0</v>
      </c>
      <c r="K97" s="140">
        <f>VLOOKUP(K$13,EH!$A$26:$O$265,14)</f>
        <v>0</v>
      </c>
      <c r="L97" s="140">
        <f>VLOOKUP(L$13,EH!$A$26:$O$265,14)</f>
        <v>0</v>
      </c>
      <c r="M97" s="140">
        <f>VLOOKUP(M$13,EH!$A$26:$O$265,14)</f>
        <v>0</v>
      </c>
      <c r="N97" s="140">
        <f>VLOOKUP(N$13,EH!$A$26:$O$265,14)</f>
        <v>0</v>
      </c>
      <c r="O97" s="140">
        <f>VLOOKUP(O$13,EH!$A$26:$O$265,14)</f>
        <v>0</v>
      </c>
      <c r="P97" s="217">
        <f>SUM(D97:O97)</f>
        <v>0</v>
      </c>
    </row>
    <row r="98" spans="1:16" ht="13.5" customHeight="1" thickBot="1">
      <c r="A98" s="65"/>
      <c r="B98" s="65" t="s">
        <v>506</v>
      </c>
      <c r="D98" s="140">
        <f>VLOOKUP(D$13,EH!$A$26:$O$265,15)</f>
        <v>0</v>
      </c>
      <c r="E98" s="140">
        <f>VLOOKUP(E$13,EH!$A$26:$O$265,15)</f>
        <v>0</v>
      </c>
      <c r="F98" s="140">
        <f>VLOOKUP(F$13,EH!$A$26:$O$265,15)</f>
        <v>0</v>
      </c>
      <c r="G98" s="140">
        <f>VLOOKUP(G$13,EH!$A$26:$O$265,15)</f>
        <v>0</v>
      </c>
      <c r="H98" s="140">
        <f>VLOOKUP(H$13,EH!$A$26:$O$265,15)</f>
        <v>0</v>
      </c>
      <c r="I98" s="140">
        <f>VLOOKUP(I$13,EH!$A$26:$O$265,15)</f>
        <v>0</v>
      </c>
      <c r="J98" s="140">
        <f>VLOOKUP(J$13,EH!$A$26:$O$265,15)</f>
        <v>0</v>
      </c>
      <c r="K98" s="140">
        <f>VLOOKUP(K$13,EH!$A$26:$O$265,15)</f>
        <v>0</v>
      </c>
      <c r="L98" s="140">
        <f>VLOOKUP(L$13,EH!$A$26:$O$265,15)</f>
        <v>0</v>
      </c>
      <c r="M98" s="140">
        <f>VLOOKUP(M$13,EH!$A$26:$O$265,15)</f>
        <v>0</v>
      </c>
      <c r="N98" s="140">
        <f>VLOOKUP(N$13,EH!$A$26:$O$265,15)</f>
        <v>0</v>
      </c>
      <c r="O98" s="140">
        <f>VLOOKUP(O$13,EH!$A$26:$O$265,15)</f>
        <v>0</v>
      </c>
      <c r="P98" s="217">
        <f>SUM(D98:O98)</f>
        <v>0</v>
      </c>
    </row>
    <row r="99" spans="1:16" ht="13.5" customHeight="1" thickBot="1">
      <c r="A99" s="43"/>
      <c r="B99" s="149"/>
      <c r="D99" s="211"/>
      <c r="E99" s="211"/>
      <c r="F99" s="211"/>
      <c r="G99" s="211"/>
      <c r="H99" s="211"/>
      <c r="I99" s="211"/>
      <c r="J99" s="211"/>
      <c r="K99" s="211"/>
      <c r="L99" s="211"/>
      <c r="M99" s="211"/>
      <c r="N99" s="211"/>
      <c r="O99" s="211"/>
      <c r="P99" s="220">
        <f>IF(P97+P98=0,0,0.001)</f>
        <v>0</v>
      </c>
    </row>
    <row r="100" spans="1:16" ht="13.5" customHeight="1" thickBot="1">
      <c r="A100" s="43" t="str">
        <f>CF!F41</f>
        <v>Emprunt bancaire - Logiciel &amp; Site Web</v>
      </c>
      <c r="B100" s="65" t="s">
        <v>505</v>
      </c>
      <c r="D100" s="140">
        <f>VLOOKUP(D$13,'ELT1'!$A$26:$O$265,14)</f>
        <v>294</v>
      </c>
      <c r="E100" s="140">
        <f>VLOOKUP(E$13,'ELT1'!$A$26:$O$265,14)</f>
        <v>295</v>
      </c>
      <c r="F100" s="140">
        <f>VLOOKUP(F$13,'ELT1'!$A$26:$O$265,14)</f>
        <v>297</v>
      </c>
      <c r="G100" s="140">
        <f>VLOOKUP(G$13,'ELT1'!$A$26:$O$265,14)</f>
        <v>298</v>
      </c>
      <c r="H100" s="140">
        <f>VLOOKUP(H$13,'ELT1'!$A$26:$O$265,14)</f>
        <v>299</v>
      </c>
      <c r="I100" s="140">
        <f>VLOOKUP(I$13,'ELT1'!$A$26:$O$265,14)</f>
        <v>300</v>
      </c>
      <c r="J100" s="140">
        <f>VLOOKUP(J$13,'ELT1'!$A$26:$O$265,14)</f>
        <v>302</v>
      </c>
      <c r="K100" s="140">
        <f>VLOOKUP(K$13,'ELT1'!$A$26:$O$265,14)</f>
        <v>303</v>
      </c>
      <c r="L100" s="140">
        <f>VLOOKUP(L$13,'ELT1'!$A$26:$O$265,14)</f>
        <v>304</v>
      </c>
      <c r="M100" s="140">
        <f>VLOOKUP(M$13,'ELT1'!$A$26:$O$265,14)</f>
        <v>305</v>
      </c>
      <c r="N100" s="140">
        <f>VLOOKUP(N$13,'ELT1'!$A$26:$O$265,14)</f>
        <v>307</v>
      </c>
      <c r="O100" s="140">
        <f>VLOOKUP(O$13,'ELT1'!$A$26:$O$265,14)</f>
        <v>308</v>
      </c>
      <c r="P100" s="217">
        <f>SUM(D100:O100)</f>
        <v>3612</v>
      </c>
    </row>
    <row r="101" spans="1:16" ht="13.5" customHeight="1" thickBot="1">
      <c r="A101" s="65"/>
      <c r="B101" s="65" t="s">
        <v>506</v>
      </c>
      <c r="D101" s="140">
        <f>VLOOKUP(D$13,'ELT1'!$A$26:$O$265,15)</f>
        <v>82</v>
      </c>
      <c r="E101" s="140">
        <f>VLOOKUP(E$13,'ELT1'!$A$26:$O$265,15)</f>
        <v>82</v>
      </c>
      <c r="F101" s="140">
        <f>VLOOKUP(F$13,'ELT1'!$A$26:$O$265,15)</f>
        <v>81</v>
      </c>
      <c r="G101" s="140">
        <f>VLOOKUP(G$13,'ELT1'!$A$26:$O$265,15)</f>
        <v>80</v>
      </c>
      <c r="H101" s="140">
        <f>VLOOKUP(H$13,'ELT1'!$A$26:$O$265,15)</f>
        <v>78</v>
      </c>
      <c r="I101" s="140">
        <f>VLOOKUP(I$13,'ELT1'!$A$26:$O$265,15)</f>
        <v>77</v>
      </c>
      <c r="J101" s="140">
        <f>VLOOKUP(J$13,'ELT1'!$A$26:$O$265,15)</f>
        <v>76</v>
      </c>
      <c r="K101" s="140">
        <f>VLOOKUP(K$13,'ELT1'!$A$26:$O$265,15)</f>
        <v>75</v>
      </c>
      <c r="L101" s="140">
        <f>VLOOKUP(L$13,'ELT1'!$A$26:$O$265,15)</f>
        <v>73</v>
      </c>
      <c r="M101" s="140">
        <f>VLOOKUP(M$13,'ELT1'!$A$26:$O$265,15)</f>
        <v>72</v>
      </c>
      <c r="N101" s="140">
        <f>VLOOKUP(N$13,'ELT1'!$A$26:$O$265,15)</f>
        <v>71</v>
      </c>
      <c r="O101" s="140">
        <f>VLOOKUP(O$13,'ELT1'!$A$26:$O$265,15)</f>
        <v>70</v>
      </c>
      <c r="P101" s="217">
        <f>SUM(D101:O101)</f>
        <v>917</v>
      </c>
    </row>
    <row r="102" spans="1:16" ht="13.5" customHeight="1" thickBot="1">
      <c r="A102" s="43"/>
      <c r="B102" s="149"/>
      <c r="D102" s="211"/>
      <c r="E102" s="211"/>
      <c r="F102" s="211"/>
      <c r="G102" s="211"/>
      <c r="H102" s="211"/>
      <c r="I102" s="211"/>
      <c r="J102" s="211"/>
      <c r="K102" s="211"/>
      <c r="L102" s="211"/>
      <c r="M102" s="211"/>
      <c r="N102" s="211"/>
      <c r="O102" s="211"/>
      <c r="P102" s="220">
        <f>IF(P100+P101=0,0,0.001)</f>
        <v>1E-3</v>
      </c>
    </row>
    <row r="103" spans="1:16" ht="13.5" customHeight="1" thickBot="1">
      <c r="A103" s="43" t="str">
        <f>CF!F42</f>
        <v>Emprunt à long terme 2</v>
      </c>
      <c r="B103" s="65" t="s">
        <v>505</v>
      </c>
      <c r="D103" s="140">
        <f>VLOOKUP(D$13,'ELT2'!$A$26:$O$265,14)</f>
        <v>0</v>
      </c>
      <c r="E103" s="140">
        <f>VLOOKUP(E$13,'ELT2'!$A$26:$O$265,14)</f>
        <v>0</v>
      </c>
      <c r="F103" s="140">
        <f>VLOOKUP(F$13,'ELT2'!$A$26:$O$265,14)</f>
        <v>0</v>
      </c>
      <c r="G103" s="140">
        <f>VLOOKUP(G$13,'ELT2'!$A$26:$O$265,14)</f>
        <v>0</v>
      </c>
      <c r="H103" s="140">
        <f>VLOOKUP(H$13,'ELT2'!$A$26:$O$265,14)</f>
        <v>0</v>
      </c>
      <c r="I103" s="140">
        <f>VLOOKUP(I$13,'ELT2'!$A$26:$O$265,14)</f>
        <v>0</v>
      </c>
      <c r="J103" s="140">
        <f>VLOOKUP(J$13,'ELT2'!$A$26:$O$265,14)</f>
        <v>0</v>
      </c>
      <c r="K103" s="140">
        <f>VLOOKUP(K$13,'ELT2'!$A$26:$O$265,14)</f>
        <v>0</v>
      </c>
      <c r="L103" s="140">
        <f>VLOOKUP(L$13,'ELT2'!$A$26:$O$265,14)</f>
        <v>0</v>
      </c>
      <c r="M103" s="140">
        <f>VLOOKUP(M$13,'ELT2'!$A$26:$O$265,14)</f>
        <v>0</v>
      </c>
      <c r="N103" s="140">
        <f>VLOOKUP(N$13,'ELT2'!$A$26:$O$265,14)</f>
        <v>0</v>
      </c>
      <c r="O103" s="140">
        <f>VLOOKUP(O$13,'ELT2'!$A$26:$O$265,14)</f>
        <v>0</v>
      </c>
      <c r="P103" s="217">
        <f>SUM(D103:O103)</f>
        <v>0</v>
      </c>
    </row>
    <row r="104" spans="1:16" ht="13.5" customHeight="1" thickBot="1">
      <c r="A104" s="65"/>
      <c r="B104" s="65" t="s">
        <v>506</v>
      </c>
      <c r="D104" s="140">
        <f>VLOOKUP(D$13,'ELT2'!$A$26:$O$265,15)</f>
        <v>0</v>
      </c>
      <c r="E104" s="140">
        <f>VLOOKUP(E$13,'ELT2'!$A$26:$O$265,15)</f>
        <v>0</v>
      </c>
      <c r="F104" s="140">
        <f>VLOOKUP(F$13,'ELT2'!$A$26:$O$265,15)</f>
        <v>0</v>
      </c>
      <c r="G104" s="140">
        <f>VLOOKUP(G$13,'ELT2'!$A$26:$O$265,15)</f>
        <v>0</v>
      </c>
      <c r="H104" s="140">
        <f>VLOOKUP(H$13,'ELT2'!$A$26:$O$265,15)</f>
        <v>0</v>
      </c>
      <c r="I104" s="140">
        <f>VLOOKUP(I$13,'ELT2'!$A$26:$O$265,15)</f>
        <v>0</v>
      </c>
      <c r="J104" s="140">
        <f>VLOOKUP(J$13,'ELT2'!$A$26:$O$265,15)</f>
        <v>0</v>
      </c>
      <c r="K104" s="140">
        <f>VLOOKUP(K$13,'ELT2'!$A$26:$O$265,15)</f>
        <v>0</v>
      </c>
      <c r="L104" s="140">
        <f>VLOOKUP(L$13,'ELT2'!$A$26:$O$265,15)</f>
        <v>0</v>
      </c>
      <c r="M104" s="140">
        <f>VLOOKUP(M$13,'ELT2'!$A$26:$O$265,15)</f>
        <v>0</v>
      </c>
      <c r="N104" s="140">
        <f>VLOOKUP(N$13,'ELT2'!$A$26:$O$265,15)</f>
        <v>0</v>
      </c>
      <c r="O104" s="140">
        <f>VLOOKUP(O$13,'ELT2'!$A$26:$O$265,15)</f>
        <v>0</v>
      </c>
      <c r="P104" s="217">
        <f>SUM(D104:O104)</f>
        <v>0</v>
      </c>
    </row>
    <row r="105" spans="1:16" ht="13.5" customHeight="1" thickBot="1">
      <c r="A105" s="43"/>
      <c r="B105" s="149"/>
      <c r="D105" s="211"/>
      <c r="E105" s="211"/>
      <c r="F105" s="211"/>
      <c r="G105" s="211"/>
      <c r="H105" s="211"/>
      <c r="I105" s="211"/>
      <c r="J105" s="211"/>
      <c r="K105" s="211"/>
      <c r="L105" s="211"/>
      <c r="M105" s="211"/>
      <c r="N105" s="211"/>
      <c r="O105" s="211"/>
      <c r="P105" s="220">
        <f>IF(P103+P104=0,0,0.001)</f>
        <v>0</v>
      </c>
    </row>
    <row r="106" spans="1:16" ht="13.5" customHeight="1" thickBot="1">
      <c r="A106" s="43" t="str">
        <f>CF!F43</f>
        <v>Emprunt à long terme 3</v>
      </c>
      <c r="B106" s="65" t="s">
        <v>505</v>
      </c>
      <c r="D106" s="140">
        <f>VLOOKUP(D$13,'ELT3'!$A$26:$O$265,14)</f>
        <v>0</v>
      </c>
      <c r="E106" s="140">
        <f>VLOOKUP(E$13,'ELT3'!$A$26:$O$265,14)</f>
        <v>0</v>
      </c>
      <c r="F106" s="140">
        <f>VLOOKUP(F$13,'ELT3'!$A$26:$O$265,14)</f>
        <v>0</v>
      </c>
      <c r="G106" s="140">
        <f>VLOOKUP(G$13,'ELT3'!$A$26:$O$265,14)</f>
        <v>0</v>
      </c>
      <c r="H106" s="140">
        <f>VLOOKUP(H$13,'ELT3'!$A$26:$O$265,14)</f>
        <v>0</v>
      </c>
      <c r="I106" s="140">
        <f>VLOOKUP(I$13,'ELT3'!$A$26:$O$265,14)</f>
        <v>0</v>
      </c>
      <c r="J106" s="140">
        <f>VLOOKUP(J$13,'ELT3'!$A$26:$O$265,14)</f>
        <v>0</v>
      </c>
      <c r="K106" s="140">
        <f>VLOOKUP(K$13,'ELT3'!$A$26:$O$265,14)</f>
        <v>0</v>
      </c>
      <c r="L106" s="140">
        <f>VLOOKUP(L$13,'ELT3'!$A$26:$O$265,14)</f>
        <v>0</v>
      </c>
      <c r="M106" s="140">
        <f>VLOOKUP(M$13,'ELT3'!$A$26:$O$265,14)</f>
        <v>0</v>
      </c>
      <c r="N106" s="140">
        <f>VLOOKUP(N$13,'ELT3'!$A$26:$O$265,14)</f>
        <v>0</v>
      </c>
      <c r="O106" s="140">
        <f>VLOOKUP(O$13,'ELT3'!$A$26:$O$265,14)</f>
        <v>0</v>
      </c>
      <c r="P106" s="217">
        <f>SUM(D106:O106)</f>
        <v>0</v>
      </c>
    </row>
    <row r="107" spans="1:16" ht="13.5" customHeight="1" thickBot="1">
      <c r="A107" s="65"/>
      <c r="B107" s="65" t="s">
        <v>506</v>
      </c>
      <c r="D107" s="140">
        <f>VLOOKUP(D$13,'ELT3'!$A$26:$O$265,15)</f>
        <v>0</v>
      </c>
      <c r="E107" s="140">
        <f>VLOOKUP(E$13,'ELT3'!$A$26:$O$265,15)</f>
        <v>0</v>
      </c>
      <c r="F107" s="140">
        <f>VLOOKUP(F$13,'ELT3'!$A$26:$O$265,15)</f>
        <v>0</v>
      </c>
      <c r="G107" s="140">
        <f>VLOOKUP(G$13,'ELT3'!$A$26:$O$265,15)</f>
        <v>0</v>
      </c>
      <c r="H107" s="140">
        <f>VLOOKUP(H$13,'ELT3'!$A$26:$O$265,15)</f>
        <v>0</v>
      </c>
      <c r="I107" s="140">
        <f>VLOOKUP(I$13,'ELT3'!$A$26:$O$265,15)</f>
        <v>0</v>
      </c>
      <c r="J107" s="140">
        <f>VLOOKUP(J$13,'ELT3'!$A$26:$O$265,15)</f>
        <v>0</v>
      </c>
      <c r="K107" s="140">
        <f>VLOOKUP(K$13,'ELT3'!$A$26:$O$265,15)</f>
        <v>0</v>
      </c>
      <c r="L107" s="140">
        <f>VLOOKUP(L$13,'ELT3'!$A$26:$O$265,15)</f>
        <v>0</v>
      </c>
      <c r="M107" s="140">
        <f>VLOOKUP(M$13,'ELT3'!$A$26:$O$265,15)</f>
        <v>0</v>
      </c>
      <c r="N107" s="140">
        <f>VLOOKUP(N$13,'ELT3'!$A$26:$O$265,15)</f>
        <v>0</v>
      </c>
      <c r="O107" s="140">
        <f>VLOOKUP(O$13,'ELT3'!$A$26:$O$265,15)</f>
        <v>0</v>
      </c>
      <c r="P107" s="217">
        <f>SUM(D107:O107)</f>
        <v>0</v>
      </c>
    </row>
    <row r="108" spans="1:16" ht="13.5" customHeight="1" thickBot="1">
      <c r="A108" s="43"/>
      <c r="B108" s="149"/>
      <c r="D108" s="211"/>
      <c r="E108" s="211"/>
      <c r="F108" s="211"/>
      <c r="G108" s="211"/>
      <c r="H108" s="211"/>
      <c r="I108" s="211"/>
      <c r="J108" s="211"/>
      <c r="K108" s="211"/>
      <c r="L108" s="211"/>
      <c r="M108" s="211"/>
      <c r="N108" s="211"/>
      <c r="O108" s="211"/>
      <c r="P108" s="220">
        <f>IF(P106+P107=0,0,0.001)</f>
        <v>0</v>
      </c>
    </row>
    <row r="109" spans="1:16" ht="13.5" customHeight="1" thickBot="1">
      <c r="A109" s="43" t="str">
        <f>CF!F44</f>
        <v>Emprunt à long terme 4</v>
      </c>
      <c r="B109" s="65" t="s">
        <v>505</v>
      </c>
      <c r="D109" s="140">
        <f>VLOOKUP(D$13,'ELT4'!$A$23:$O$73,14)</f>
        <v>0</v>
      </c>
      <c r="E109" s="140">
        <f>VLOOKUP(E$13,'ELT4'!$A$23:$O$73,14)</f>
        <v>0</v>
      </c>
      <c r="F109" s="140">
        <f>VLOOKUP(F$13,'ELT4'!$A$23:$O$73,14)</f>
        <v>0</v>
      </c>
      <c r="G109" s="140">
        <f>VLOOKUP(G$13,'ELT4'!$A$23:$O$73,14)</f>
        <v>0</v>
      </c>
      <c r="H109" s="140">
        <f>VLOOKUP(H$13,'ELT4'!$A$23:$O$73,14)</f>
        <v>0</v>
      </c>
      <c r="I109" s="140">
        <f>VLOOKUP(I$13,'ELT4'!$A$23:$O$73,14)</f>
        <v>0</v>
      </c>
      <c r="J109" s="140">
        <f>VLOOKUP(J$13,'ELT4'!$A$23:$O$73,14)</f>
        <v>0</v>
      </c>
      <c r="K109" s="140">
        <f>VLOOKUP(K$13,'ELT4'!$A$23:$O$73,14)</f>
        <v>0</v>
      </c>
      <c r="L109" s="140">
        <f>VLOOKUP(L$13,'ELT4'!$A$23:$O$73,14)</f>
        <v>0</v>
      </c>
      <c r="M109" s="140">
        <f>VLOOKUP(M$13,'ELT4'!$A$23:$O$73,14)</f>
        <v>0</v>
      </c>
      <c r="N109" s="140">
        <f>VLOOKUP(N$13,'ELT4'!$A$23:$O$73,14)</f>
        <v>0</v>
      </c>
      <c r="O109" s="140">
        <f>VLOOKUP(O$13,'ELT4'!$A$23:$O$73,14)</f>
        <v>0</v>
      </c>
      <c r="P109" s="217">
        <f>SUM(D109:O109)</f>
        <v>0</v>
      </c>
    </row>
    <row r="110" spans="1:16" ht="13.5" customHeight="1" thickBot="1">
      <c r="A110" s="65"/>
      <c r="B110" s="65" t="s">
        <v>506</v>
      </c>
      <c r="D110" s="140">
        <f>VLOOKUP(D$13,'ELT4'!$A$23:$O$73,15)</f>
        <v>0</v>
      </c>
      <c r="E110" s="140">
        <f>VLOOKUP(E$13,'ELT4'!$A$23:$O$73,15)</f>
        <v>0</v>
      </c>
      <c r="F110" s="140">
        <f>VLOOKUP(F$13,'ELT4'!$A$23:$O$73,15)</f>
        <v>0</v>
      </c>
      <c r="G110" s="140">
        <f>VLOOKUP(G$13,'ELT4'!$A$23:$O$73,15)</f>
        <v>0</v>
      </c>
      <c r="H110" s="140">
        <f>VLOOKUP(H$13,'ELT4'!$A$23:$O$73,15)</f>
        <v>0</v>
      </c>
      <c r="I110" s="140">
        <f>VLOOKUP(I$13,'ELT4'!$A$23:$O$73,15)</f>
        <v>0</v>
      </c>
      <c r="J110" s="140">
        <f>VLOOKUP(J$13,'ELT4'!$A$23:$O$73,15)</f>
        <v>0</v>
      </c>
      <c r="K110" s="140">
        <f>VLOOKUP(K$13,'ELT4'!$A$23:$O$73,15)</f>
        <v>0</v>
      </c>
      <c r="L110" s="140">
        <f>VLOOKUP(L$13,'ELT4'!$A$23:$O$73,15)</f>
        <v>0</v>
      </c>
      <c r="M110" s="140">
        <f>VLOOKUP(M$13,'ELT4'!$A$23:$O$73,15)</f>
        <v>0</v>
      </c>
      <c r="N110" s="140">
        <f>VLOOKUP(N$13,'ELT4'!$A$23:$O$73,15)</f>
        <v>0</v>
      </c>
      <c r="O110" s="140">
        <f>VLOOKUP(O$13,'ELT4'!$A$23:$O$73,15)</f>
        <v>0</v>
      </c>
      <c r="P110" s="217">
        <f>SUM(D110:O110)</f>
        <v>0</v>
      </c>
    </row>
    <row r="111" spans="1:16" ht="13.5" customHeight="1" thickBot="1">
      <c r="A111" s="43"/>
      <c r="B111" s="149"/>
      <c r="D111" s="211"/>
      <c r="E111" s="211"/>
      <c r="F111" s="211"/>
      <c r="G111" s="211"/>
      <c r="H111" s="211"/>
      <c r="I111" s="211"/>
      <c r="J111" s="211"/>
      <c r="K111" s="211"/>
      <c r="L111" s="211"/>
      <c r="M111" s="211"/>
      <c r="N111" s="211"/>
      <c r="O111" s="211"/>
      <c r="P111" s="220">
        <f>IF(P109+P110=0,0,0.001)</f>
        <v>0</v>
      </c>
    </row>
    <row r="112" spans="1:16" ht="13.5" customHeight="1" thickBot="1">
      <c r="A112" s="43" t="str">
        <f>CF!F45</f>
        <v>Emprunt à long terme 5</v>
      </c>
      <c r="B112" s="65" t="s">
        <v>505</v>
      </c>
      <c r="D112" s="140">
        <f>VLOOKUP(D$13,'ELT5'!$A$26:$O$265,14)</f>
        <v>0</v>
      </c>
      <c r="E112" s="140">
        <f>VLOOKUP(E$13,'ELT5'!$A$26:$O$265,14)</f>
        <v>0</v>
      </c>
      <c r="F112" s="140">
        <f>VLOOKUP(F$13,'ELT5'!$A$26:$O$265,14)</f>
        <v>0</v>
      </c>
      <c r="G112" s="140">
        <f>VLOOKUP(G$13,'ELT5'!$A$26:$O$265,14)</f>
        <v>0</v>
      </c>
      <c r="H112" s="140">
        <f>VLOOKUP(H$13,'ELT5'!$A$26:$O$265,14)</f>
        <v>0</v>
      </c>
      <c r="I112" s="140">
        <f>VLOOKUP(I$13,'ELT5'!$A$26:$O$265,14)</f>
        <v>0</v>
      </c>
      <c r="J112" s="140">
        <f>VLOOKUP(J$13,'ELT5'!$A$26:$O$265,14)</f>
        <v>0</v>
      </c>
      <c r="K112" s="140">
        <f>VLOOKUP(K$13,'ELT5'!$A$26:$O$265,14)</f>
        <v>0</v>
      </c>
      <c r="L112" s="140">
        <f>VLOOKUP(L$13,'ELT5'!$A$26:$O$265,14)</f>
        <v>0</v>
      </c>
      <c r="M112" s="140">
        <f>VLOOKUP(M$13,'ELT5'!$A$26:$O$265,14)</f>
        <v>0</v>
      </c>
      <c r="N112" s="140">
        <f>VLOOKUP(N$13,'ELT5'!$A$26:$O$265,14)</f>
        <v>0</v>
      </c>
      <c r="O112" s="140">
        <f>VLOOKUP(O$13,'ELT5'!$A$26:$O$265,14)</f>
        <v>0</v>
      </c>
      <c r="P112" s="217">
        <f>SUM(D112:O112)</f>
        <v>0</v>
      </c>
    </row>
    <row r="113" spans="1:16" ht="13.5" customHeight="1" thickBot="1">
      <c r="A113" s="65"/>
      <c r="B113" s="65" t="s">
        <v>506</v>
      </c>
      <c r="D113" s="140">
        <f>VLOOKUP(D$13,'ELT5'!$A$26:$O$265,15)</f>
        <v>0</v>
      </c>
      <c r="E113" s="140">
        <f>VLOOKUP(E$13,'ELT5'!$A$26:$O$265,15)</f>
        <v>0</v>
      </c>
      <c r="F113" s="140">
        <f>VLOOKUP(F$13,'ELT5'!$A$26:$O$265,15)</f>
        <v>0</v>
      </c>
      <c r="G113" s="140">
        <f>VLOOKUP(G$13,'ELT5'!$A$26:$O$265,15)</f>
        <v>0</v>
      </c>
      <c r="H113" s="140">
        <f>VLOOKUP(H$13,'ELT5'!$A$26:$O$265,15)</f>
        <v>0</v>
      </c>
      <c r="I113" s="140">
        <f>VLOOKUP(I$13,'ELT5'!$A$26:$O$265,15)</f>
        <v>0</v>
      </c>
      <c r="J113" s="140">
        <f>VLOOKUP(J$13,'ELT5'!$A$26:$O$265,15)</f>
        <v>0</v>
      </c>
      <c r="K113" s="140">
        <f>VLOOKUP(K$13,'ELT5'!$A$26:$O$265,15)</f>
        <v>0</v>
      </c>
      <c r="L113" s="140">
        <f>VLOOKUP(L$13,'ELT5'!$A$26:$O$265,15)</f>
        <v>0</v>
      </c>
      <c r="M113" s="140">
        <f>VLOOKUP(M$13,'ELT5'!$A$26:$O$265,15)</f>
        <v>0</v>
      </c>
      <c r="N113" s="140">
        <f>VLOOKUP(N$13,'ELT5'!$A$26:$O$265,15)</f>
        <v>0</v>
      </c>
      <c r="O113" s="140">
        <f>VLOOKUP(O$13,'ELT5'!$A$26:$O$265,15)</f>
        <v>0</v>
      </c>
      <c r="P113" s="217">
        <f>SUM(D113:O113)</f>
        <v>0</v>
      </c>
    </row>
    <row r="114" spans="1:16" ht="13.5" customHeight="1" thickBot="1">
      <c r="A114" s="43"/>
      <c r="B114" s="149"/>
      <c r="D114" s="211"/>
      <c r="E114" s="211"/>
      <c r="F114" s="211"/>
      <c r="G114" s="211"/>
      <c r="H114" s="211"/>
      <c r="I114" s="211"/>
      <c r="J114" s="211"/>
      <c r="K114" s="211"/>
      <c r="L114" s="211"/>
      <c r="M114" s="211"/>
      <c r="N114" s="211"/>
      <c r="O114" s="211"/>
      <c r="P114" s="220">
        <f>IF(P112+P113=0,0,0.001)</f>
        <v>0</v>
      </c>
    </row>
    <row r="115" spans="1:16" ht="13.5" customHeight="1" thickBot="1">
      <c r="A115" s="43" t="str">
        <f>CF!F46</f>
        <v>Emprunt à long terme 6</v>
      </c>
      <c r="B115" s="65" t="s">
        <v>505</v>
      </c>
      <c r="D115" s="140">
        <f>VLOOKUP(D$13,'ELT6'!$A$26:$O$265,14)</f>
        <v>0</v>
      </c>
      <c r="E115" s="140">
        <f>VLOOKUP(E$13,'ELT6'!$A$26:$O$265,14)</f>
        <v>0</v>
      </c>
      <c r="F115" s="140">
        <f>VLOOKUP(F$13,'ELT6'!$A$26:$O$265,14)</f>
        <v>0</v>
      </c>
      <c r="G115" s="140">
        <f>VLOOKUP(G$13,'ELT6'!$A$26:$O$265,14)</f>
        <v>0</v>
      </c>
      <c r="H115" s="140">
        <f>VLOOKUP(H$13,'ELT6'!$A$26:$O$265,14)</f>
        <v>0</v>
      </c>
      <c r="I115" s="140">
        <f>VLOOKUP(I$13,'ELT6'!$A$26:$O$265,14)</f>
        <v>0</v>
      </c>
      <c r="J115" s="140">
        <f>VLOOKUP(J$13,'ELT6'!$A$26:$O$265,14)</f>
        <v>0</v>
      </c>
      <c r="K115" s="140">
        <f>VLOOKUP(K$13,'ELT6'!$A$26:$O$265,14)</f>
        <v>0</v>
      </c>
      <c r="L115" s="140">
        <f>VLOOKUP(L$13,'ELT6'!$A$26:$O$265,14)</f>
        <v>0</v>
      </c>
      <c r="M115" s="140">
        <f>VLOOKUP(M$13,'ELT6'!$A$26:$O$265,14)</f>
        <v>0</v>
      </c>
      <c r="N115" s="140">
        <f>VLOOKUP(N$13,'ELT6'!$A$26:$O$265,14)</f>
        <v>0</v>
      </c>
      <c r="O115" s="140">
        <f>VLOOKUP(O$13,'ELT6'!$A$26:$O$265,14)</f>
        <v>0</v>
      </c>
      <c r="P115" s="217">
        <f>SUM(D115:O115)</f>
        <v>0</v>
      </c>
    </row>
    <row r="116" spans="1:16" ht="13.5" customHeight="1" thickBot="1">
      <c r="A116" s="65"/>
      <c r="B116" s="65" t="s">
        <v>506</v>
      </c>
      <c r="D116" s="140">
        <f>VLOOKUP(D$13,'ELT6'!$A$26:$O$265,15)</f>
        <v>0</v>
      </c>
      <c r="E116" s="140">
        <f>VLOOKUP(E$13,'ELT6'!$A$26:$O$265,15)</f>
        <v>0</v>
      </c>
      <c r="F116" s="140">
        <f>VLOOKUP(F$13,'ELT6'!$A$26:$O$265,15)</f>
        <v>0</v>
      </c>
      <c r="G116" s="140">
        <f>VLOOKUP(G$13,'ELT6'!$A$26:$O$265,15)</f>
        <v>0</v>
      </c>
      <c r="H116" s="140">
        <f>VLOOKUP(H$13,'ELT6'!$A$26:$O$265,15)</f>
        <v>0</v>
      </c>
      <c r="I116" s="140">
        <f>VLOOKUP(I$13,'ELT6'!$A$26:$O$265,15)</f>
        <v>0</v>
      </c>
      <c r="J116" s="140">
        <f>VLOOKUP(J$13,'ELT6'!$A$26:$O$265,15)</f>
        <v>0</v>
      </c>
      <c r="K116" s="140">
        <f>VLOOKUP(K$13,'ELT6'!$A$26:$O$265,15)</f>
        <v>0</v>
      </c>
      <c r="L116" s="140">
        <f>VLOOKUP(L$13,'ELT6'!$A$26:$O$265,15)</f>
        <v>0</v>
      </c>
      <c r="M116" s="140">
        <f>VLOOKUP(M$13,'ELT6'!$A$26:$O$265,15)</f>
        <v>0</v>
      </c>
      <c r="N116" s="140">
        <f>VLOOKUP(N$13,'ELT6'!$A$26:$O$265,15)</f>
        <v>0</v>
      </c>
      <c r="O116" s="140">
        <f>VLOOKUP(O$13,'ELT6'!$A$26:$O$265,15)</f>
        <v>0</v>
      </c>
      <c r="P116" s="217">
        <f>SUM(D116:O116)</f>
        <v>0</v>
      </c>
    </row>
    <row r="117" spans="1:16" ht="13.5" customHeight="1" thickBot="1">
      <c r="A117" s="43"/>
      <c r="B117" s="149"/>
      <c r="D117" s="211"/>
      <c r="E117" s="211"/>
      <c r="F117" s="211"/>
      <c r="G117" s="211"/>
      <c r="H117" s="211"/>
      <c r="I117" s="211"/>
      <c r="J117" s="211"/>
      <c r="K117" s="211"/>
      <c r="L117" s="211"/>
      <c r="M117" s="211"/>
      <c r="N117" s="211"/>
      <c r="O117" s="211"/>
      <c r="P117" s="220">
        <f>IF(P115+P116=0,0,0.001)</f>
        <v>0</v>
      </c>
    </row>
    <row r="118" spans="1:16" ht="13.5" customHeight="1" thickBot="1">
      <c r="A118" s="43" t="str">
        <f>CF!F47</f>
        <v>Emprunt à long terme 7</v>
      </c>
      <c r="B118" s="65" t="s">
        <v>505</v>
      </c>
      <c r="D118" s="140">
        <f>VLOOKUP(D$13,'ELT7'!$A$26:$O$265,14)</f>
        <v>0</v>
      </c>
      <c r="E118" s="140">
        <f>VLOOKUP(E$13,'ELT7'!$A$26:$O$265,14)</f>
        <v>0</v>
      </c>
      <c r="F118" s="140">
        <f>VLOOKUP(F$13,'ELT7'!$A$26:$O$265,14)</f>
        <v>0</v>
      </c>
      <c r="G118" s="140">
        <f>VLOOKUP(G$13,'ELT7'!$A$26:$O$265,14)</f>
        <v>0</v>
      </c>
      <c r="H118" s="140">
        <f>VLOOKUP(H$13,'ELT7'!$A$26:$O$265,14)</f>
        <v>0</v>
      </c>
      <c r="I118" s="140">
        <f>VLOOKUP(I$13,'ELT7'!$A$26:$O$265,14)</f>
        <v>0</v>
      </c>
      <c r="J118" s="140">
        <f>VLOOKUP(J$13,'ELT7'!$A$26:$O$265,14)</f>
        <v>0</v>
      </c>
      <c r="K118" s="140">
        <f>VLOOKUP(K$13,'ELT7'!$A$26:$O$265,14)</f>
        <v>0</v>
      </c>
      <c r="L118" s="140">
        <f>VLOOKUP(L$13,'ELT7'!$A$26:$O$265,14)</f>
        <v>0</v>
      </c>
      <c r="M118" s="140">
        <f>VLOOKUP(M$13,'ELT7'!$A$26:$O$265,14)</f>
        <v>0</v>
      </c>
      <c r="N118" s="140">
        <f>VLOOKUP(N$13,'ELT7'!$A$26:$O$265,14)</f>
        <v>0</v>
      </c>
      <c r="O118" s="140">
        <f>VLOOKUP(O$13,'ELT7'!$A$26:$O$265,14)</f>
        <v>0</v>
      </c>
      <c r="P118" s="217">
        <f>SUM(D118:O118)</f>
        <v>0</v>
      </c>
    </row>
    <row r="119" spans="1:16" ht="13.5" customHeight="1" thickBot="1">
      <c r="A119" s="65"/>
      <c r="B119" s="65" t="s">
        <v>506</v>
      </c>
      <c r="D119" s="140">
        <f>VLOOKUP(D$13,'ELT7'!$A$26:$O$265,15)</f>
        <v>0</v>
      </c>
      <c r="E119" s="140">
        <f>VLOOKUP(E$13,'ELT7'!$A$26:$O$265,15)</f>
        <v>0</v>
      </c>
      <c r="F119" s="140">
        <f>VLOOKUP(F$13,'ELT7'!$A$26:$O$265,15)</f>
        <v>0</v>
      </c>
      <c r="G119" s="140">
        <f>VLOOKUP(G$13,'ELT7'!$A$26:$O$265,15)</f>
        <v>0</v>
      </c>
      <c r="H119" s="140">
        <f>VLOOKUP(H$13,'ELT7'!$A$26:$O$265,15)</f>
        <v>0</v>
      </c>
      <c r="I119" s="140">
        <f>VLOOKUP(I$13,'ELT7'!$A$26:$O$265,15)</f>
        <v>0</v>
      </c>
      <c r="J119" s="140">
        <f>VLOOKUP(J$13,'ELT7'!$A$26:$O$265,15)</f>
        <v>0</v>
      </c>
      <c r="K119" s="140">
        <f>VLOOKUP(K$13,'ELT7'!$A$26:$O$265,15)</f>
        <v>0</v>
      </c>
      <c r="L119" s="140">
        <f>VLOOKUP(L$13,'ELT7'!$A$26:$O$265,15)</f>
        <v>0</v>
      </c>
      <c r="M119" s="140">
        <f>VLOOKUP(M$13,'ELT7'!$A$26:$O$265,15)</f>
        <v>0</v>
      </c>
      <c r="N119" s="140">
        <f>VLOOKUP(N$13,'ELT7'!$A$26:$O$265,15)</f>
        <v>0</v>
      </c>
      <c r="O119" s="140">
        <f>VLOOKUP(O$13,'ELT7'!$A$26:$O$265,15)</f>
        <v>0</v>
      </c>
      <c r="P119" s="217">
        <f>SUM(D119:O119)</f>
        <v>0</v>
      </c>
    </row>
    <row r="120" spans="1:16" ht="13.5" customHeight="1" thickBot="1">
      <c r="A120" s="65"/>
      <c r="B120" s="65"/>
      <c r="D120" s="211"/>
      <c r="E120" s="211"/>
      <c r="F120" s="211"/>
      <c r="G120" s="211"/>
      <c r="H120" s="211"/>
      <c r="I120" s="211"/>
      <c r="J120" s="211"/>
      <c r="K120" s="211"/>
      <c r="L120" s="211"/>
      <c r="M120" s="211"/>
      <c r="N120" s="211"/>
      <c r="O120" s="211"/>
      <c r="P120" s="220">
        <f>IF(P118+P119=0,0,0.001)</f>
        <v>0</v>
      </c>
    </row>
    <row r="121" spans="1:16" ht="13.5" customHeight="1" thickBot="1">
      <c r="A121" s="867" t="s">
        <v>337</v>
      </c>
      <c r="B121" s="48"/>
      <c r="C121" s="133">
        <v>0</v>
      </c>
      <c r="D121" s="133">
        <f>IF(C146&gt;0,C146*D135,0)</f>
        <v>0</v>
      </c>
      <c r="E121" s="133">
        <f t="shared" ref="E121:O121" si="10">IF(D146&gt;0,D146*E135,0)</f>
        <v>0</v>
      </c>
      <c r="F121" s="133">
        <f t="shared" si="10"/>
        <v>0</v>
      </c>
      <c r="G121" s="133">
        <f t="shared" si="10"/>
        <v>0</v>
      </c>
      <c r="H121" s="133">
        <f t="shared" si="10"/>
        <v>0</v>
      </c>
      <c r="I121" s="133">
        <f t="shared" si="10"/>
        <v>0</v>
      </c>
      <c r="J121" s="133">
        <f t="shared" si="10"/>
        <v>0</v>
      </c>
      <c r="K121" s="133">
        <f t="shared" si="10"/>
        <v>0</v>
      </c>
      <c r="L121" s="133">
        <f t="shared" si="10"/>
        <v>0</v>
      </c>
      <c r="M121" s="133">
        <f t="shared" si="10"/>
        <v>0</v>
      </c>
      <c r="N121" s="133">
        <f t="shared" si="10"/>
        <v>0</v>
      </c>
      <c r="O121" s="133">
        <f t="shared" si="10"/>
        <v>0</v>
      </c>
      <c r="P121" s="891">
        <f>SUM(C121:O121)+(0.0001)</f>
        <v>1E-4</v>
      </c>
    </row>
    <row r="122" spans="1:16" ht="13.5" customHeight="1">
      <c r="A122" s="65"/>
      <c r="B122" s="65"/>
      <c r="D122" s="211"/>
      <c r="E122" s="211"/>
      <c r="F122" s="211"/>
      <c r="G122" s="211"/>
      <c r="H122" s="211"/>
      <c r="I122" s="211"/>
      <c r="J122" s="211"/>
      <c r="K122" s="211"/>
      <c r="L122" s="211"/>
      <c r="M122" s="211"/>
      <c r="N122" s="211"/>
      <c r="O122" s="211"/>
      <c r="P122" s="220">
        <v>0</v>
      </c>
    </row>
    <row r="123" spans="1:16" ht="13.5" customHeight="1" thickBot="1">
      <c r="A123" s="43"/>
      <c r="B123" s="43"/>
      <c r="C123" s="211"/>
      <c r="D123" s="211"/>
      <c r="F123" s="211"/>
      <c r="G123" s="211"/>
      <c r="H123" s="211"/>
      <c r="I123" s="211"/>
      <c r="J123" s="211"/>
      <c r="K123" s="211"/>
      <c r="L123" s="211"/>
      <c r="M123" s="211"/>
      <c r="N123" s="211"/>
      <c r="O123" s="211"/>
      <c r="P123" s="220">
        <v>0.01</v>
      </c>
    </row>
    <row r="124" spans="1:16" ht="13.5" customHeight="1" thickBot="1">
      <c r="A124" s="868" t="s">
        <v>721</v>
      </c>
      <c r="B124" s="43"/>
      <c r="C124" s="133">
        <f>DG!D241+DG!P241+DG!AB241+DG!AN241+DG!AZ241+DG!BL241+DG!BX241+DG!CJ241+DG!CV241+DG!DH241+DG!DT241-CF!J19+RG!J33</f>
        <v>23000</v>
      </c>
      <c r="D124" s="133">
        <f>'FG1'!C102</f>
        <v>0</v>
      </c>
      <c r="E124" s="133">
        <f>'FG1'!D102</f>
        <v>0</v>
      </c>
      <c r="F124" s="133">
        <f>'FG1'!E102</f>
        <v>0</v>
      </c>
      <c r="G124" s="133">
        <f>'FG1'!F102</f>
        <v>0</v>
      </c>
      <c r="H124" s="133">
        <f>'FG1'!G102</f>
        <v>0</v>
      </c>
      <c r="I124" s="133">
        <f>'FG1'!H102</f>
        <v>0</v>
      </c>
      <c r="J124" s="133">
        <f>'FG1'!I102</f>
        <v>0</v>
      </c>
      <c r="K124" s="133">
        <f>'FG1'!J102</f>
        <v>0</v>
      </c>
      <c r="L124" s="133">
        <f>'FG1'!K102</f>
        <v>0</v>
      </c>
      <c r="M124" s="133">
        <f>'FG1'!L102</f>
        <v>0</v>
      </c>
      <c r="N124" s="133">
        <f>'FG1'!M102</f>
        <v>0</v>
      </c>
      <c r="O124" s="133">
        <f>'FG1'!N102</f>
        <v>0</v>
      </c>
      <c r="P124" s="136">
        <f>SUM(C124:O124)+(0.0001)</f>
        <v>23000.000100000001</v>
      </c>
    </row>
    <row r="125" spans="1:16" ht="13.5" customHeight="1" thickBot="1">
      <c r="A125" s="868"/>
      <c r="B125" s="43"/>
      <c r="C125" s="148"/>
      <c r="D125" s="148"/>
      <c r="E125" s="148"/>
      <c r="F125" s="148"/>
      <c r="G125" s="148"/>
      <c r="H125" s="148"/>
      <c r="I125" s="148"/>
      <c r="J125" s="148"/>
      <c r="K125" s="148"/>
      <c r="L125" s="148"/>
      <c r="M125" s="148"/>
      <c r="N125" s="148"/>
      <c r="O125" s="148"/>
      <c r="P125" s="1090">
        <v>0.01</v>
      </c>
    </row>
    <row r="126" spans="1:16" ht="13.5" customHeight="1" thickBot="1">
      <c r="A126" s="868" t="s">
        <v>349</v>
      </c>
      <c r="B126" s="43"/>
      <c r="C126" s="133">
        <f>DG!AR199</f>
        <v>0</v>
      </c>
      <c r="D126" s="133"/>
      <c r="E126" s="133"/>
      <c r="F126" s="133"/>
      <c r="G126" s="133"/>
      <c r="H126" s="133"/>
      <c r="I126" s="133"/>
      <c r="J126" s="133"/>
      <c r="K126" s="133"/>
      <c r="L126" s="133"/>
      <c r="M126" s="133"/>
      <c r="N126" s="133"/>
      <c r="O126" s="133"/>
      <c r="P126" s="217">
        <f>SUM(C126:O126)</f>
        <v>0</v>
      </c>
    </row>
    <row r="127" spans="1:16" ht="13.5" customHeight="1" thickBot="1">
      <c r="A127" s="43"/>
      <c r="B127" s="43"/>
      <c r="C127" s="211"/>
      <c r="D127" s="211"/>
      <c r="F127" s="211"/>
      <c r="G127" s="211"/>
      <c r="H127" s="211"/>
      <c r="I127" s="211"/>
      <c r="J127" s="211"/>
      <c r="K127" s="211"/>
      <c r="L127" s="211"/>
      <c r="M127" s="211"/>
      <c r="N127" s="211"/>
      <c r="O127" s="211"/>
      <c r="P127" s="220">
        <f>IF(P126=0,0,0.001)</f>
        <v>0</v>
      </c>
    </row>
    <row r="128" spans="1:16" ht="13.5" customHeight="1" thickBot="1">
      <c r="A128" s="48" t="str">
        <f>IF(RG!A74=3,"Dividendes versés","Prélèvements")</f>
        <v>Dividendes versés</v>
      </c>
      <c r="B128" s="48"/>
      <c r="C128" s="211"/>
      <c r="D128" s="140">
        <f>'FG1'!C104</f>
        <v>0</v>
      </c>
      <c r="E128" s="140">
        <f>'FG1'!D104</f>
        <v>0</v>
      </c>
      <c r="F128" s="140">
        <f>'FG1'!E104</f>
        <v>0</v>
      </c>
      <c r="G128" s="140">
        <f>'FG1'!F104</f>
        <v>0</v>
      </c>
      <c r="H128" s="140">
        <f>'FG1'!G104</f>
        <v>0</v>
      </c>
      <c r="I128" s="140">
        <f>'FG1'!H104</f>
        <v>0</v>
      </c>
      <c r="J128" s="140">
        <f>'FG1'!I104</f>
        <v>0</v>
      </c>
      <c r="K128" s="140">
        <f>'FG1'!J104</f>
        <v>0</v>
      </c>
      <c r="L128" s="140">
        <f>'FG1'!K104</f>
        <v>0</v>
      </c>
      <c r="M128" s="140">
        <f>'FG1'!L104</f>
        <v>0</v>
      </c>
      <c r="N128" s="140">
        <f>'FG1'!M104</f>
        <v>0</v>
      </c>
      <c r="O128" s="141">
        <f>'FG1'!N104</f>
        <v>0</v>
      </c>
      <c r="P128" s="217">
        <f>SUM(D128:O128)</f>
        <v>0</v>
      </c>
    </row>
    <row r="129" spans="1:16" ht="13.5" customHeight="1" thickBot="1">
      <c r="A129" s="43"/>
      <c r="B129" s="43"/>
      <c r="C129" s="211"/>
      <c r="D129" s="211"/>
      <c r="E129" s="211"/>
      <c r="F129" s="211"/>
      <c r="G129" s="211"/>
      <c r="H129" s="211"/>
      <c r="I129" s="211"/>
      <c r="J129" s="211"/>
      <c r="K129" s="211"/>
      <c r="L129" s="211"/>
      <c r="M129" s="211"/>
      <c r="N129" s="211"/>
      <c r="O129" s="211"/>
      <c r="P129" s="220">
        <f>IF(P128=0,0,0.001)</f>
        <v>0</v>
      </c>
    </row>
    <row r="130" spans="1:16" ht="13.5" thickBot="1">
      <c r="A130" s="48" t="s">
        <v>923</v>
      </c>
      <c r="B130" s="48"/>
      <c r="C130" s="211"/>
      <c r="D130" s="551">
        <v>0</v>
      </c>
      <c r="E130" s="896">
        <v>0</v>
      </c>
      <c r="F130" s="551">
        <v>0</v>
      </c>
      <c r="G130" s="551">
        <v>0</v>
      </c>
      <c r="H130" s="551">
        <v>0</v>
      </c>
      <c r="I130" s="551">
        <v>0</v>
      </c>
      <c r="J130" s="551">
        <v>0</v>
      </c>
      <c r="K130" s="551">
        <v>0</v>
      </c>
      <c r="L130" s="551">
        <v>0</v>
      </c>
      <c r="M130" s="551">
        <v>0</v>
      </c>
      <c r="N130" s="551">
        <v>0</v>
      </c>
      <c r="O130" s="551">
        <v>0</v>
      </c>
      <c r="P130" s="550">
        <f>SUM(D130:O130)</f>
        <v>0</v>
      </c>
    </row>
    <row r="131" spans="1:16" ht="13.5" customHeight="1">
      <c r="A131" s="43"/>
      <c r="B131" s="43"/>
      <c r="C131" s="211"/>
      <c r="D131" s="211"/>
      <c r="E131" s="211"/>
      <c r="F131" s="211"/>
      <c r="G131" s="211"/>
      <c r="H131" s="211"/>
      <c r="I131" s="211"/>
      <c r="J131" s="211"/>
      <c r="K131" s="211"/>
      <c r="L131" s="211"/>
      <c r="M131" s="211"/>
      <c r="N131" s="211"/>
      <c r="O131" s="211"/>
      <c r="P131" s="220">
        <f>IF(P130=0,0,0.001)</f>
        <v>0</v>
      </c>
    </row>
    <row r="132" spans="1:16" ht="13.5" customHeight="1">
      <c r="A132" s="48" t="s">
        <v>720</v>
      </c>
      <c r="B132" s="48"/>
      <c r="C132" s="133">
        <f>-SUM(C29:C130)</f>
        <v>-23006</v>
      </c>
      <c r="D132" s="133">
        <f t="shared" ref="D132:O132" si="11">-SUM(D29:D87)-D124-D126-D128-D130</f>
        <v>-3916</v>
      </c>
      <c r="E132" s="133">
        <f t="shared" si="11"/>
        <v>-4819</v>
      </c>
      <c r="F132" s="133">
        <f t="shared" si="11"/>
        <v>-4824</v>
      </c>
      <c r="G132" s="133">
        <f t="shared" si="11"/>
        <v>-4827</v>
      </c>
      <c r="H132" s="133">
        <f t="shared" si="11"/>
        <v>-4831</v>
      </c>
      <c r="I132" s="133">
        <f t="shared" si="11"/>
        <v>-4833</v>
      </c>
      <c r="J132" s="133">
        <f t="shared" si="11"/>
        <v>-4838</v>
      </c>
      <c r="K132" s="133">
        <f t="shared" si="11"/>
        <v>-4842</v>
      </c>
      <c r="L132" s="133">
        <f t="shared" si="11"/>
        <v>-4845</v>
      </c>
      <c r="M132" s="133">
        <f t="shared" si="11"/>
        <v>-4849</v>
      </c>
      <c r="N132" s="133">
        <f t="shared" si="11"/>
        <v>-4854</v>
      </c>
      <c r="O132" s="133">
        <f t="shared" si="11"/>
        <v>-4857</v>
      </c>
      <c r="P132" s="133">
        <f t="shared" ref="P132" si="12">-SUM(P29:P87)-P124-P126-P128-P130</f>
        <v>-80141.070100000012</v>
      </c>
    </row>
    <row r="133" spans="1:16" ht="13.5" customHeight="1" thickBot="1">
      <c r="A133" s="48"/>
      <c r="B133" s="48"/>
      <c r="C133" s="211"/>
      <c r="D133" s="211"/>
      <c r="E133" s="211"/>
      <c r="F133" s="211"/>
      <c r="G133" s="211"/>
      <c r="H133" s="211"/>
      <c r="I133" s="211"/>
      <c r="J133" s="211"/>
      <c r="K133" s="211"/>
      <c r="L133" s="211"/>
      <c r="M133" s="211"/>
      <c r="N133" s="211"/>
      <c r="O133" s="211"/>
      <c r="P133" s="220"/>
    </row>
    <row r="134" spans="1:16" ht="13.5" customHeight="1" thickBot="1">
      <c r="A134" s="48" t="s">
        <v>446</v>
      </c>
      <c r="B134" s="48"/>
      <c r="C134" s="133">
        <f t="shared" ref="C134:P134" si="13">+C26+C132</f>
        <v>6994</v>
      </c>
      <c r="D134" s="133">
        <f t="shared" si="13"/>
        <v>-666</v>
      </c>
      <c r="E134" s="133">
        <f t="shared" si="13"/>
        <v>-1419</v>
      </c>
      <c r="F134" s="133">
        <f t="shared" si="13"/>
        <v>-1274</v>
      </c>
      <c r="G134" s="133">
        <f t="shared" si="13"/>
        <v>-1127</v>
      </c>
      <c r="H134" s="133">
        <f t="shared" si="13"/>
        <v>-981</v>
      </c>
      <c r="I134" s="133">
        <f t="shared" si="13"/>
        <v>-833</v>
      </c>
      <c r="J134" s="133">
        <f t="shared" si="13"/>
        <v>-688</v>
      </c>
      <c r="K134" s="133">
        <f t="shared" si="13"/>
        <v>-542</v>
      </c>
      <c r="L134" s="133">
        <f t="shared" si="13"/>
        <v>-395</v>
      </c>
      <c r="M134" s="133">
        <f t="shared" si="13"/>
        <v>-249</v>
      </c>
      <c r="N134" s="133">
        <f t="shared" si="13"/>
        <v>-104</v>
      </c>
      <c r="O134" s="134">
        <f t="shared" si="13"/>
        <v>43</v>
      </c>
      <c r="P134" s="136">
        <f t="shared" si="13"/>
        <v>-1241.0701000000117</v>
      </c>
    </row>
    <row r="135" spans="1:16" ht="13.5" customHeight="1">
      <c r="A135" s="48"/>
      <c r="B135" s="48"/>
      <c r="C135" s="222">
        <f>IF(RG!$A$91&lt;16,DG!$D$27/12,DG!$D$28/12)</f>
        <v>0</v>
      </c>
      <c r="D135" s="222">
        <f>IF(RG!$A$91&lt;16,DG!$D$27/12,DG!$D$28/12)</f>
        <v>0</v>
      </c>
      <c r="E135" s="222">
        <f>IF(RG!$A$91&lt;16,DG!$D$27/12,DG!$D$28/12)</f>
        <v>0</v>
      </c>
      <c r="F135" s="222">
        <f>IF(RG!$A$91&lt;16,DG!$D$27/12,DG!$D$28/12)</f>
        <v>0</v>
      </c>
      <c r="G135" s="222">
        <f>IF(RG!$A$91&lt;16,DG!$D$27/12,DG!$D$28/12)</f>
        <v>0</v>
      </c>
      <c r="H135" s="222">
        <f>IF(RG!$A$91&lt;16,DG!$D$27/12,DG!$D$28/12)</f>
        <v>0</v>
      </c>
      <c r="I135" s="222">
        <f>IF(RG!$A$91&lt;16,DG!$D$27/12,DG!$D$28/12)</f>
        <v>0</v>
      </c>
      <c r="J135" s="222">
        <f>IF(RG!$A$91&lt;16,DG!$D$27/12,DG!$D$28/12)</f>
        <v>0</v>
      </c>
      <c r="K135" s="222">
        <f>IF(RG!$A$91&lt;16,DG!$D$27/12,DG!$D$28/12)</f>
        <v>0</v>
      </c>
      <c r="L135" s="222">
        <f>IF(RG!$A$91&lt;16,DG!$D$27/12,DG!$D$28/12)</f>
        <v>0</v>
      </c>
      <c r="M135" s="222">
        <f>IF(RG!$A$91&lt;16,DG!$D$27/12,DG!$D$28/12)</f>
        <v>0</v>
      </c>
      <c r="N135" s="222">
        <f>IF(RG!$A$91&lt;16,DG!$D$27/12,DG!$D$28/12)</f>
        <v>0</v>
      </c>
      <c r="O135" s="222">
        <f>IF(RG!$A$91&lt;16,DG!$D$27/12,DG!$D$28/12)</f>
        <v>0</v>
      </c>
      <c r="P135" s="426">
        <f>SUM(C135:O135)+0.0001</f>
        <v>1E-4</v>
      </c>
    </row>
    <row r="136" spans="1:16" ht="13.5" customHeight="1" thickBot="1">
      <c r="A136" s="78" t="s">
        <v>200</v>
      </c>
      <c r="B136" s="43"/>
      <c r="C136" s="211"/>
      <c r="D136" s="211"/>
      <c r="E136" s="211"/>
      <c r="F136" s="211"/>
      <c r="G136" s="211"/>
      <c r="H136" s="211"/>
      <c r="I136" s="211"/>
      <c r="J136" s="211"/>
      <c r="K136" s="211"/>
      <c r="L136" s="211"/>
      <c r="M136" s="211"/>
      <c r="N136" s="211"/>
      <c r="O136" s="211"/>
      <c r="P136" s="1089">
        <f>IF(RG!$A$82=2,0.0001,0)</f>
        <v>0</v>
      </c>
    </row>
    <row r="137" spans="1:16" ht="13.5" thickBot="1">
      <c r="A137" s="162" t="s">
        <v>188</v>
      </c>
      <c r="B137" s="65"/>
      <c r="C137" s="552">
        <v>0</v>
      </c>
      <c r="D137" s="642">
        <f>IF(RG!$A$82=2,0,INT(('V1'!G93+'AE1'!D21)*0.14975))</f>
        <v>486</v>
      </c>
      <c r="E137" s="642">
        <f>IF(RG!$A$82=2,0,INT(('V1'!H93+'AE1'!E21)*0.14975))</f>
        <v>509</v>
      </c>
      <c r="F137" s="642">
        <f>IF(RG!$A$82=2,0,INT(('V1'!I93+'AE1'!F21)*0.14975))</f>
        <v>531</v>
      </c>
      <c r="G137" s="642">
        <f>IF(RG!$A$82=2,0,INT(('V1'!J93+'AE1'!G21)*0.14975))</f>
        <v>554</v>
      </c>
      <c r="H137" s="642">
        <f>IF(RG!$A$82=2,0,INT(('V1'!K93+'AE1'!H21)*0.14975))</f>
        <v>576</v>
      </c>
      <c r="I137" s="642">
        <f>IF(RG!$A$82=2,0,INT(('V1'!L93+'AE1'!I21)*0.14975))</f>
        <v>599</v>
      </c>
      <c r="J137" s="642">
        <f>IF(RG!$A$82=2,0,INT(('V1'!M93+'AE1'!J21)*0.14975))</f>
        <v>621</v>
      </c>
      <c r="K137" s="642">
        <f>IF(RG!$A$82=2,0,INT(('V1'!N93+'AE1'!K21)*0.14975))</f>
        <v>643</v>
      </c>
      <c r="L137" s="642">
        <f>IF(RG!$A$82=2,0,INT(('V1'!O93+'AE1'!L21)*0.14975))</f>
        <v>666</v>
      </c>
      <c r="M137" s="642">
        <f>IF(RG!$A$82=2,0,INT(('V1'!P93+'AE1'!M21)*0.14975))</f>
        <v>688</v>
      </c>
      <c r="N137" s="642">
        <f>IF(RG!$A$82=2,0,INT(('V1'!Q93+'AE1'!N21)*0.14975))</f>
        <v>711</v>
      </c>
      <c r="O137" s="642">
        <f>IF(RG!$A$82=2,0,INT(('V1'!R93+'AE1'!O21)*0.14975))</f>
        <v>733</v>
      </c>
      <c r="P137" s="216">
        <f>SUM(C137:O137)</f>
        <v>7317</v>
      </c>
    </row>
    <row r="138" spans="1:16" ht="13.5" customHeight="1" thickBot="1">
      <c r="A138" s="162" t="s">
        <v>189</v>
      </c>
      <c r="B138" s="43"/>
      <c r="C138" s="551">
        <f>IF(RG!$A$82=2,0,INT(CF!D21))</f>
        <v>3594</v>
      </c>
      <c r="D138" s="551">
        <f>IF(RG!$A$82=2,0,INT((SUM(D32:D62)+SUM(D66:D76)+D124+'A1'!E94)*0.14975))</f>
        <v>11</v>
      </c>
      <c r="E138" s="551">
        <f>IF(RG!$A$82=2,0,INT((SUM(E32:E62)+SUM(E66:E76)+E124+'A1'!F94)*0.14975))</f>
        <v>12</v>
      </c>
      <c r="F138" s="551">
        <f>IF(RG!$A$82=2,0,INT((SUM(F32:F62)+SUM(F66:F76)+F124+'A1'!G94)*0.14975))</f>
        <v>13</v>
      </c>
      <c r="G138" s="551">
        <f>IF(RG!$A$82=2,0,INT((SUM(G32:G62)+SUM(G66:G76)+G124+'A1'!H94)*0.14975))</f>
        <v>13</v>
      </c>
      <c r="H138" s="551">
        <f>IF(RG!$A$82=2,0,INT((SUM(H32:H62)+SUM(H66:H76)+H124+'A1'!I94)*0.14975))</f>
        <v>14</v>
      </c>
      <c r="I138" s="551">
        <f>IF(RG!$A$82=2,0,INT((SUM(I32:I62)+SUM(I66:I76)+I124+'A1'!J94)*0.14975))</f>
        <v>14</v>
      </c>
      <c r="J138" s="551">
        <f>IF(RG!$A$82=2,0,INT((SUM(J32:J62)+SUM(J66:J76)+J124+'A1'!K94)*0.14975))</f>
        <v>15</v>
      </c>
      <c r="K138" s="551">
        <f>IF(RG!$A$82=2,0,INT((SUM(K32:K62)+SUM(K66:K76)+K124+'A1'!L94)*0.14975))</f>
        <v>15</v>
      </c>
      <c r="L138" s="551">
        <f>IF(RG!$A$82=2,0,INT((SUM(L32:L62)+SUM(L66:L76)+L124+'A1'!M94)*0.14975))</f>
        <v>16</v>
      </c>
      <c r="M138" s="551">
        <f>IF(RG!$A$82=2,0,INT((SUM(M32:M62)+SUM(M66:M76)+M124+'A1'!N94)*0.14975))</f>
        <v>17</v>
      </c>
      <c r="N138" s="551">
        <f>IF(RG!$A$82=2,0,INT((SUM(N32:N62)+SUM(N66:N76)+N124+'A1'!O94)*0.14975))</f>
        <v>17</v>
      </c>
      <c r="O138" s="551">
        <f>IF(RG!$A$82=2,0,INT((SUM(O32:O62)+SUM(O66:O76)+O124+'A1'!P94)*0.14975))</f>
        <v>18</v>
      </c>
      <c r="P138" s="217">
        <f>SUM(C138:O138)</f>
        <v>3769</v>
      </c>
    </row>
    <row r="139" spans="1:16" s="546" customFormat="1" ht="13.5" customHeight="1" thickBot="1">
      <c r="A139" s="544" t="s">
        <v>201</v>
      </c>
      <c r="B139" s="545"/>
      <c r="C139" s="552">
        <v>0</v>
      </c>
      <c r="D139" s="648">
        <f>C137-C138</f>
        <v>-3594</v>
      </c>
      <c r="E139" s="648">
        <f>D137-D138</f>
        <v>475</v>
      </c>
      <c r="F139" s="648">
        <f t="shared" ref="F139:O139" si="14">E137-E138</f>
        <v>497</v>
      </c>
      <c r="G139" s="648">
        <f t="shared" si="14"/>
        <v>518</v>
      </c>
      <c r="H139" s="648">
        <f t="shared" si="14"/>
        <v>541</v>
      </c>
      <c r="I139" s="648">
        <f t="shared" si="14"/>
        <v>562</v>
      </c>
      <c r="J139" s="648">
        <f t="shared" si="14"/>
        <v>585</v>
      </c>
      <c r="K139" s="648">
        <f t="shared" si="14"/>
        <v>606</v>
      </c>
      <c r="L139" s="648">
        <f t="shared" si="14"/>
        <v>628</v>
      </c>
      <c r="M139" s="648">
        <f t="shared" si="14"/>
        <v>650</v>
      </c>
      <c r="N139" s="648">
        <f t="shared" si="14"/>
        <v>671</v>
      </c>
      <c r="O139" s="649">
        <f t="shared" si="14"/>
        <v>694</v>
      </c>
      <c r="P139" s="136">
        <f>SUM(C139:O139)</f>
        <v>2833</v>
      </c>
    </row>
    <row r="140" spans="1:16" s="546" customFormat="1" ht="13.5" customHeight="1" thickBot="1">
      <c r="A140" s="544"/>
      <c r="B140" s="545"/>
      <c r="C140" s="148"/>
      <c r="D140" s="138"/>
      <c r="E140" s="138"/>
      <c r="F140" s="138"/>
      <c r="G140" s="138"/>
      <c r="H140" s="138"/>
      <c r="I140" s="138"/>
      <c r="J140" s="138"/>
      <c r="K140" s="138"/>
      <c r="L140" s="138"/>
      <c r="M140" s="138"/>
      <c r="N140" s="138"/>
      <c r="O140" s="138"/>
      <c r="P140" s="1089">
        <f>IF(RG!$A$82=2,0.0001,0)</f>
        <v>0</v>
      </c>
    </row>
    <row r="141" spans="1:16" s="143" customFormat="1" ht="13.5" customHeight="1" thickBot="1">
      <c r="A141" s="43" t="s">
        <v>447</v>
      </c>
      <c r="B141" s="43"/>
      <c r="C141" s="133">
        <f t="shared" ref="C141:P141" si="15">C15+C134+C137-C138-C139</f>
        <v>3400</v>
      </c>
      <c r="D141" s="133">
        <f t="shared" si="15"/>
        <v>6803</v>
      </c>
      <c r="E141" s="133">
        <f t="shared" si="15"/>
        <v>5406</v>
      </c>
      <c r="F141" s="133">
        <f t="shared" si="15"/>
        <v>4153</v>
      </c>
      <c r="G141" s="133">
        <f t="shared" si="15"/>
        <v>3049</v>
      </c>
      <c r="H141" s="133">
        <f t="shared" si="15"/>
        <v>2089</v>
      </c>
      <c r="I141" s="133">
        <f t="shared" si="15"/>
        <v>1279</v>
      </c>
      <c r="J141" s="133">
        <f t="shared" si="15"/>
        <v>612</v>
      </c>
      <c r="K141" s="133">
        <f t="shared" si="15"/>
        <v>92</v>
      </c>
      <c r="L141" s="133">
        <f t="shared" si="15"/>
        <v>-281</v>
      </c>
      <c r="M141" s="133">
        <f t="shared" si="15"/>
        <v>-9</v>
      </c>
      <c r="N141" s="133">
        <f t="shared" si="15"/>
        <v>410</v>
      </c>
      <c r="O141" s="134">
        <f t="shared" si="15"/>
        <v>474</v>
      </c>
      <c r="P141" s="136">
        <f t="shared" si="15"/>
        <v>-526.06910000001153</v>
      </c>
    </row>
    <row r="142" spans="1:16" s="546" customFormat="1" ht="13.5" customHeight="1" thickBot="1">
      <c r="A142" s="544"/>
      <c r="B142" s="545"/>
      <c r="C142" s="148"/>
      <c r="D142" s="138"/>
      <c r="E142" s="138"/>
      <c r="F142" s="138"/>
      <c r="G142" s="138"/>
      <c r="H142" s="138"/>
      <c r="I142" s="138"/>
      <c r="J142" s="138"/>
      <c r="K142" s="138"/>
      <c r="L142" s="138"/>
      <c r="M142" s="138"/>
      <c r="N142" s="138"/>
      <c r="O142" s="138"/>
      <c r="P142" s="1090">
        <f>IF(P143+P144+P145+P146=0,0,0.001)</f>
        <v>1E-3</v>
      </c>
    </row>
    <row r="143" spans="1:16" s="143" customFormat="1" ht="13.5" customHeight="1" thickBot="1">
      <c r="A143" s="43" t="s">
        <v>279</v>
      </c>
      <c r="B143" s="43"/>
      <c r="C143" s="133">
        <f>'HISTO BILAN'!E41</f>
        <v>0</v>
      </c>
      <c r="D143" s="133">
        <f t="shared" ref="D143:O143" si="16">C143+C144+C145</f>
        <v>0</v>
      </c>
      <c r="E143" s="133">
        <f t="shared" si="16"/>
        <v>0</v>
      </c>
      <c r="F143" s="133">
        <f t="shared" si="16"/>
        <v>0</v>
      </c>
      <c r="G143" s="133">
        <f t="shared" si="16"/>
        <v>0</v>
      </c>
      <c r="H143" s="133">
        <f t="shared" si="16"/>
        <v>0</v>
      </c>
      <c r="I143" s="133">
        <f t="shared" si="16"/>
        <v>0</v>
      </c>
      <c r="J143" s="133">
        <f t="shared" si="16"/>
        <v>0</v>
      </c>
      <c r="K143" s="133">
        <f t="shared" si="16"/>
        <v>0</v>
      </c>
      <c r="L143" s="133">
        <f t="shared" si="16"/>
        <v>0</v>
      </c>
      <c r="M143" s="133">
        <f t="shared" si="16"/>
        <v>500</v>
      </c>
      <c r="N143" s="133">
        <f t="shared" si="16"/>
        <v>1000</v>
      </c>
      <c r="O143" s="133">
        <f t="shared" si="16"/>
        <v>1000</v>
      </c>
      <c r="P143" s="217">
        <f>C143</f>
        <v>0</v>
      </c>
    </row>
    <row r="144" spans="1:16" s="143" customFormat="1" ht="13.5" customHeight="1" thickBot="1">
      <c r="A144" s="43" t="s">
        <v>280</v>
      </c>
      <c r="B144" s="43"/>
      <c r="C144" s="133">
        <f>IF(RG!$A$90=1,DG!C93,IF(RG!$A$90=2,DG!C98,DG!C103))</f>
        <v>0</v>
      </c>
      <c r="D144" s="133">
        <f>IF(RG!$A$90=1,DG!D93,IF(RG!$A$90=2,DG!D98,DG!D103))</f>
        <v>0</v>
      </c>
      <c r="E144" s="133">
        <f>IF(RG!$A$90=1,DG!E93,IF(RG!$A$90=2,DG!E98,DG!E103))</f>
        <v>0</v>
      </c>
      <c r="F144" s="133">
        <f>IF(RG!$A$90=1,DG!F93,IF(RG!$A$90=2,DG!F98,DG!F103))</f>
        <v>0</v>
      </c>
      <c r="G144" s="133">
        <f>IF(RG!$A$90=1,DG!G93,IF(RG!$A$90=2,DG!G98,DG!G103))</f>
        <v>0</v>
      </c>
      <c r="H144" s="133">
        <f>IF(RG!$A$90=1,DG!H93,IF(RG!$A$90=2,DG!H98,DG!H103))</f>
        <v>0</v>
      </c>
      <c r="I144" s="133">
        <f>IF(RG!$A$90=1,DG!I93,IF(RG!$A$90=2,DG!I98,DG!I103))</f>
        <v>0</v>
      </c>
      <c r="J144" s="133">
        <f>IF(RG!$A$90=1,DG!J93,IF(RG!$A$90=2,DG!J98,DG!J103))</f>
        <v>0</v>
      </c>
      <c r="K144" s="133">
        <f>IF(RG!$A$90=1,DG!K93,IF(RG!$A$90=2,DG!K98,DG!K103))</f>
        <v>0</v>
      </c>
      <c r="L144" s="133">
        <f>IF(RG!$A$90=1,DG!L93,IF(RG!$A$90=2,DG!L98,DG!L103))</f>
        <v>500</v>
      </c>
      <c r="M144" s="133">
        <f>IF(RG!$A$90=1,DG!M93,IF(RG!$A$90=2,DG!M98,DG!M103))</f>
        <v>500</v>
      </c>
      <c r="N144" s="133">
        <f>IF(RG!$A$90=1,DG!N93,IF(RG!$A$90=2,DG!N98,DG!N103))</f>
        <v>0</v>
      </c>
      <c r="O144" s="133">
        <f>IF(RG!$A$90=1,DG!O93,IF(RG!$A$90=2,DG!O98,DG!O103))</f>
        <v>0</v>
      </c>
      <c r="P144" s="217">
        <f>SUM(C144:O144)</f>
        <v>1000</v>
      </c>
    </row>
    <row r="145" spans="1:28" s="143" customFormat="1" ht="13.5" customHeight="1" thickBot="1">
      <c r="A145" s="43" t="s">
        <v>227</v>
      </c>
      <c r="B145" s="43"/>
      <c r="C145" s="133">
        <f>IF(RG!$A$90=1,DG!C95,IF(RG!$A$90=2,DG!C100,DG!C105))</f>
        <v>0</v>
      </c>
      <c r="D145" s="133">
        <f>IF(RG!$A$90=1,DG!D95,IF(RG!$A$90=2,DG!D100,DG!D105))</f>
        <v>0</v>
      </c>
      <c r="E145" s="133">
        <f>IF(RG!$A$90=1,DG!E95,IF(RG!$A$90=2,DG!E100,DG!E105))</f>
        <v>0</v>
      </c>
      <c r="F145" s="133">
        <f>IF(RG!$A$90=1,DG!F95,IF(RG!$A$90=2,DG!F100,DG!F105))</f>
        <v>0</v>
      </c>
      <c r="G145" s="133">
        <f>IF(RG!$A$90=1,DG!G95,IF(RG!$A$90=2,DG!G100,DG!G105))</f>
        <v>0</v>
      </c>
      <c r="H145" s="133">
        <f>IF(RG!$A$90=1,DG!H95,IF(RG!$A$90=2,DG!H100,DG!H105))</f>
        <v>0</v>
      </c>
      <c r="I145" s="133">
        <f>IF(RG!$A$90=1,DG!I95,IF(RG!$A$90=2,DG!I100,DG!I105))</f>
        <v>0</v>
      </c>
      <c r="J145" s="133">
        <f>IF(RG!$A$90=1,DG!J95,IF(RG!$A$90=2,DG!J100,DG!J105))</f>
        <v>0</v>
      </c>
      <c r="K145" s="133">
        <f>IF(RG!$A$90=1,DG!K95,IF(RG!$A$90=2,DG!K100,DG!K105))</f>
        <v>0</v>
      </c>
      <c r="L145" s="133">
        <f>IF(RG!$A$90=1,DG!L95,IF(RG!$A$90=2,DG!L100,DG!L105))</f>
        <v>0</v>
      </c>
      <c r="M145" s="133">
        <f>IF(RG!$A$90=1,DG!M95,IF(RG!$A$90=2,DG!M100,DG!M105))</f>
        <v>0</v>
      </c>
      <c r="N145" s="133">
        <f>IF(RG!$A$90=1,DG!N95,IF(RG!$A$90=2,DG!N100,DG!N105))</f>
        <v>0</v>
      </c>
      <c r="O145" s="133">
        <f>IF(RG!$A$90=1,DG!O95,IF(RG!$A$90=2,DG!O100,DG!O105))</f>
        <v>0</v>
      </c>
      <c r="P145" s="136">
        <f>SUM(D145:O145)</f>
        <v>0</v>
      </c>
    </row>
    <row r="146" spans="1:28" s="143" customFormat="1" ht="13.5" customHeight="1" thickBot="1">
      <c r="A146" s="43" t="s">
        <v>723</v>
      </c>
      <c r="B146" s="43"/>
      <c r="C146" s="133">
        <f>C143+C144+C145</f>
        <v>0</v>
      </c>
      <c r="D146" s="133">
        <f t="shared" ref="D146:O146" si="17">D143+D144+D145</f>
        <v>0</v>
      </c>
      <c r="E146" s="133">
        <f t="shared" si="17"/>
        <v>0</v>
      </c>
      <c r="F146" s="133">
        <f t="shared" si="17"/>
        <v>0</v>
      </c>
      <c r="G146" s="133">
        <f t="shared" si="17"/>
        <v>0</v>
      </c>
      <c r="H146" s="133">
        <f t="shared" si="17"/>
        <v>0</v>
      </c>
      <c r="I146" s="133">
        <f t="shared" si="17"/>
        <v>0</v>
      </c>
      <c r="J146" s="133">
        <f t="shared" si="17"/>
        <v>0</v>
      </c>
      <c r="K146" s="133">
        <f t="shared" si="17"/>
        <v>0</v>
      </c>
      <c r="L146" s="133">
        <f t="shared" si="17"/>
        <v>500</v>
      </c>
      <c r="M146" s="133">
        <f t="shared" si="17"/>
        <v>1000</v>
      </c>
      <c r="N146" s="133">
        <f t="shared" si="17"/>
        <v>1000</v>
      </c>
      <c r="O146" s="133">
        <f t="shared" si="17"/>
        <v>1000</v>
      </c>
      <c r="P146" s="217">
        <f>P143+P144+P145</f>
        <v>1000</v>
      </c>
    </row>
    <row r="147" spans="1:28" ht="13.5" customHeight="1">
      <c r="A147" s="48"/>
      <c r="B147" s="48"/>
      <c r="C147" s="222"/>
      <c r="D147" s="222"/>
      <c r="E147" s="222"/>
      <c r="F147" s="222"/>
      <c r="G147" s="222"/>
      <c r="H147" s="222"/>
      <c r="I147" s="222"/>
      <c r="J147" s="222"/>
      <c r="K147" s="222"/>
      <c r="L147" s="222"/>
      <c r="M147" s="222"/>
      <c r="N147" s="222"/>
      <c r="O147" s="222"/>
      <c r="P147" s="426">
        <v>1E-3</v>
      </c>
    </row>
    <row r="148" spans="1:28" ht="13.5" customHeight="1">
      <c r="A148" s="48" t="s">
        <v>591</v>
      </c>
      <c r="B148" s="48"/>
      <c r="C148" s="133">
        <f t="shared" ref="C148:O148" si="18">C141+C144+C145</f>
        <v>3400</v>
      </c>
      <c r="D148" s="133">
        <f t="shared" si="18"/>
        <v>6803</v>
      </c>
      <c r="E148" s="133">
        <f t="shared" si="18"/>
        <v>5406</v>
      </c>
      <c r="F148" s="133">
        <f t="shared" si="18"/>
        <v>4153</v>
      </c>
      <c r="G148" s="133">
        <f t="shared" si="18"/>
        <v>3049</v>
      </c>
      <c r="H148" s="133">
        <f t="shared" si="18"/>
        <v>2089</v>
      </c>
      <c r="I148" s="133">
        <f t="shared" si="18"/>
        <v>1279</v>
      </c>
      <c r="J148" s="133">
        <f t="shared" si="18"/>
        <v>612</v>
      </c>
      <c r="K148" s="133">
        <f t="shared" si="18"/>
        <v>92</v>
      </c>
      <c r="L148" s="133">
        <f t="shared" si="18"/>
        <v>219</v>
      </c>
      <c r="M148" s="133">
        <f t="shared" si="18"/>
        <v>491</v>
      </c>
      <c r="N148" s="133">
        <f t="shared" si="18"/>
        <v>410</v>
      </c>
      <c r="O148" s="133">
        <f t="shared" si="18"/>
        <v>474</v>
      </c>
      <c r="P148" s="133">
        <f>P141+P144+P145</f>
        <v>473.93089999998847</v>
      </c>
      <c r="Q148" s="890"/>
      <c r="R148" s="137"/>
    </row>
    <row r="149" spans="1:28" s="143" customFormat="1" ht="13.5" customHeight="1">
      <c r="A149" s="116"/>
      <c r="B149" s="116"/>
      <c r="C149" s="117"/>
      <c r="D149" s="117"/>
      <c r="E149" s="117"/>
      <c r="F149" s="117"/>
      <c r="G149" s="117"/>
      <c r="H149" s="117"/>
      <c r="I149" s="117"/>
      <c r="J149" s="117"/>
      <c r="K149" s="117"/>
      <c r="L149" s="117"/>
      <c r="M149" s="117"/>
      <c r="N149" s="117"/>
      <c r="O149" s="117"/>
      <c r="P149" s="220"/>
      <c r="Q149" s="116"/>
      <c r="R149" s="116"/>
      <c r="S149" s="116"/>
      <c r="T149" s="116"/>
      <c r="U149" s="116"/>
      <c r="V149" s="116"/>
      <c r="W149" s="116"/>
      <c r="X149" s="116"/>
      <c r="Y149" s="116"/>
      <c r="Z149" s="116"/>
      <c r="AA149" s="116"/>
      <c r="AB149" s="116"/>
    </row>
    <row r="150" spans="1:28" s="143" customFormat="1" ht="13.5" customHeight="1">
      <c r="A150" s="116"/>
      <c r="B150" s="116"/>
      <c r="C150" s="117"/>
      <c r="D150" s="116"/>
      <c r="E150" s="116"/>
      <c r="F150" s="116"/>
      <c r="G150" s="116"/>
      <c r="H150" s="117"/>
      <c r="I150" s="118"/>
      <c r="J150" s="119"/>
      <c r="K150" s="116"/>
      <c r="L150" s="119"/>
      <c r="M150" s="119"/>
      <c r="N150" s="116"/>
      <c r="O150" s="119"/>
      <c r="P150" s="119"/>
      <c r="Q150" s="116"/>
      <c r="R150" s="116"/>
      <c r="S150" s="116"/>
      <c r="T150" s="116"/>
      <c r="U150" s="116"/>
      <c r="V150" s="116"/>
      <c r="W150" s="116"/>
      <c r="X150" s="116"/>
      <c r="Y150" s="116"/>
      <c r="Z150" s="116"/>
      <c r="AA150" s="116"/>
      <c r="AB150" s="116"/>
    </row>
    <row r="151" spans="1:28" s="143" customFormat="1" ht="13.5" customHeight="1">
      <c r="A151" s="116"/>
      <c r="B151" s="116"/>
      <c r="C151" s="117"/>
      <c r="D151" s="116"/>
      <c r="E151" s="116"/>
      <c r="F151" s="116"/>
      <c r="G151" s="116"/>
      <c r="H151" s="117"/>
      <c r="I151" s="118"/>
      <c r="J151" s="119"/>
      <c r="K151" s="116"/>
      <c r="L151" s="119"/>
      <c r="M151" s="119"/>
      <c r="N151" s="116"/>
      <c r="O151" s="152"/>
      <c r="P151" s="119"/>
      <c r="Q151" s="116"/>
      <c r="R151" s="117"/>
      <c r="S151" s="116"/>
      <c r="T151" s="116"/>
      <c r="U151" s="116"/>
      <c r="V151" s="116"/>
      <c r="W151" s="116"/>
      <c r="X151" s="116"/>
      <c r="Y151" s="116"/>
      <c r="Z151" s="116"/>
      <c r="AA151" s="116"/>
      <c r="AB151" s="116"/>
    </row>
    <row r="152" spans="1:28" hidden="1">
      <c r="A152" s="153">
        <v>1</v>
      </c>
      <c r="M152" s="224"/>
      <c r="O152" s="154"/>
    </row>
    <row r="153" spans="1:28">
      <c r="L153" s="152"/>
      <c r="M153" s="116"/>
      <c r="O153" s="155"/>
      <c r="P153" s="156"/>
    </row>
    <row r="154" spans="1:28">
      <c r="J154" s="152"/>
      <c r="O154" s="478"/>
    </row>
    <row r="159" spans="1:28" ht="12" customHeight="1"/>
    <row r="161" spans="15:15">
      <c r="O161" s="157"/>
    </row>
  </sheetData>
  <sheetProtection password="E242" sheet="1" objects="1" scenarios="1"/>
  <autoFilter ref="A15:P148" xr:uid="{00000000-0009-0000-0000-000037000000}"/>
  <customSheetViews>
    <customSheetView guid="{30D0538C-360A-4CDF-8D89-584CED1967CC}"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1"/>
      <headerFooter alignWithMargins="0">
        <oddHeader>&amp;RPRF - 3</oddHeader>
      </headerFooter>
      <autoFilter ref="A13:P132" xr:uid="{9BFE57C6-E001-4909-BCC6-CA1142E61ADE}"/>
    </customSheetView>
    <customSheetView guid="{4F3169C3-3348-49DE-A6DC-8AA4D2A9D7A1}"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2"/>
      <headerFooter alignWithMargins="0">
        <oddHeader>&amp;RPRF - 3</oddHeader>
      </headerFooter>
      <autoFilter ref="A13:P132" xr:uid="{73D55435-0BE7-464E-9DF0-A1AECE95F192}"/>
    </customSheetView>
  </customSheetViews>
  <phoneticPr fontId="0" type="noConversion"/>
  <pageMargins left="0.23622047244094491" right="0.27559055118110237" top="0.55118110236220474" bottom="0.51181102362204722" header="0.51181102362204722" footer="0.51181102362204722"/>
  <pageSetup scale="53" fitToHeight="2" orientation="landscape" r:id="rId3"/>
  <headerFooter alignWithMargins="0">
    <oddHeader>&amp;RPRF - 3</oddHeader>
  </headerFooter>
  <rowBreaks count="1" manualBreakCount="1">
    <brk id="83" max="16383" man="1"/>
  </rowBreaks>
  <drawing r:id="rId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7">
    <pageSetUpPr fitToPage="1"/>
  </sheetPr>
  <dimension ref="A1:AA157"/>
  <sheetViews>
    <sheetView showGridLines="0" showOutlineSymbols="0" zoomScaleNormal="125" workbookViewId="0">
      <pane ySplit="15" topLeftCell="A127" activePane="bottomLeft" state="frozen"/>
      <selection activeCell="A10" sqref="A10"/>
      <selection pane="bottomLeft" activeCell="N149" sqref="N149"/>
    </sheetView>
  </sheetViews>
  <sheetFormatPr baseColWidth="10" defaultColWidth="11.453125" defaultRowHeight="10.5"/>
  <cols>
    <col min="1" max="1" width="27.08984375" style="116" customWidth="1"/>
    <col min="2" max="2" width="7.36328125" style="116" customWidth="1"/>
    <col min="3" max="6" width="11.453125" style="116"/>
    <col min="7" max="7" width="11.453125" style="117"/>
    <col min="8" max="8" width="11.453125" style="118"/>
    <col min="9" max="9" width="11.453125" style="119"/>
    <col min="10" max="10" width="11.453125" style="116"/>
    <col min="11" max="12" width="11.453125" style="119"/>
    <col min="13" max="13" width="11.453125" style="116"/>
    <col min="14" max="15" width="11.453125" style="119"/>
    <col min="16" max="16" width="13.08984375" style="116" hidden="1" customWidth="1"/>
    <col min="17" max="18" width="10.453125" style="116" hidden="1" customWidth="1"/>
    <col min="19" max="20" width="9.6328125" style="116" customWidth="1"/>
    <col min="21" max="21" width="12.6328125" style="116" customWidth="1"/>
    <col min="22" max="23" width="7.6328125" style="116" customWidth="1"/>
    <col min="24" max="24" width="12.6328125" style="116" customWidth="1"/>
    <col min="25" max="26" width="7.6328125" style="116" customWidth="1"/>
    <col min="27" max="27" width="12.6328125" style="116" customWidth="1"/>
    <col min="28" max="29" width="7.6328125" style="116" customWidth="1"/>
    <col min="30" max="16384" width="11.453125" style="116"/>
  </cols>
  <sheetData>
    <row r="1" spans="1:15" customFormat="1" ht="12.5"/>
    <row r="2" spans="1:15" customFormat="1" ht="12.5"/>
    <row r="3" spans="1:15" customFormat="1" ht="12.5"/>
    <row r="4" spans="1:15" s="261" customFormat="1" ht="12.5"/>
    <row r="5" spans="1:15" s="261" customFormat="1" ht="12.5"/>
    <row r="6" spans="1:15" s="261" customFormat="1" ht="12.5"/>
    <row r="7" spans="1:15" s="261" customFormat="1" ht="12.5"/>
    <row r="8" spans="1:15" ht="33">
      <c r="A8" s="42" t="str">
        <f>RG!D17</f>
        <v>Jhon Wesly inc.</v>
      </c>
      <c r="B8" s="120"/>
    </row>
    <row r="9" spans="1:15" ht="13">
      <c r="A9" s="44"/>
      <c r="B9" s="44"/>
    </row>
    <row r="10" spans="1:15" ht="15">
      <c r="A10" s="59" t="s">
        <v>470</v>
      </c>
      <c r="B10" s="59"/>
      <c r="D10" s="45"/>
    </row>
    <row r="11" spans="1:15" ht="13">
      <c r="A11" s="46" t="s">
        <v>472</v>
      </c>
      <c r="B11" s="46"/>
    </row>
    <row r="12" spans="1:15" ht="13.5" thickBot="1">
      <c r="A12" s="46"/>
      <c r="B12" s="46"/>
      <c r="C12" s="783">
        <f>C13+31</f>
        <v>45689</v>
      </c>
      <c r="D12" s="783">
        <f t="shared" ref="D12:N12" si="0">D13+31</f>
        <v>45720</v>
      </c>
      <c r="E12" s="783">
        <f t="shared" si="0"/>
        <v>45748</v>
      </c>
      <c r="F12" s="783">
        <f t="shared" si="0"/>
        <v>45779</v>
      </c>
      <c r="G12" s="783">
        <f t="shared" si="0"/>
        <v>45809</v>
      </c>
      <c r="H12" s="783">
        <f t="shared" si="0"/>
        <v>45840</v>
      </c>
      <c r="I12" s="783">
        <f t="shared" si="0"/>
        <v>45870</v>
      </c>
      <c r="J12" s="783">
        <f t="shared" si="0"/>
        <v>45901</v>
      </c>
      <c r="K12" s="783">
        <f t="shared" si="0"/>
        <v>45932</v>
      </c>
      <c r="L12" s="783">
        <f t="shared" si="0"/>
        <v>45962</v>
      </c>
      <c r="M12" s="783">
        <f t="shared" si="0"/>
        <v>45993</v>
      </c>
      <c r="N12" s="783">
        <f t="shared" si="0"/>
        <v>46023</v>
      </c>
    </row>
    <row r="13" spans="1:15" ht="13.5" customHeight="1" thickBot="1">
      <c r="C13" s="207">
        <f>EDATE('BC1'!O13,1)</f>
        <v>45658</v>
      </c>
      <c r="D13" s="207">
        <f>EDATE(C13,1)</f>
        <v>45689</v>
      </c>
      <c r="E13" s="207">
        <f t="shared" ref="E13:N13" si="1">EDATE(D13,1)</f>
        <v>45717</v>
      </c>
      <c r="F13" s="207">
        <f t="shared" si="1"/>
        <v>45748</v>
      </c>
      <c r="G13" s="207">
        <f t="shared" si="1"/>
        <v>45778</v>
      </c>
      <c r="H13" s="207">
        <f t="shared" si="1"/>
        <v>45809</v>
      </c>
      <c r="I13" s="207">
        <f t="shared" si="1"/>
        <v>45839</v>
      </c>
      <c r="J13" s="207">
        <f t="shared" si="1"/>
        <v>45870</v>
      </c>
      <c r="K13" s="207">
        <f t="shared" si="1"/>
        <v>45901</v>
      </c>
      <c r="L13" s="207">
        <f t="shared" si="1"/>
        <v>45931</v>
      </c>
      <c r="M13" s="207">
        <f t="shared" si="1"/>
        <v>45962</v>
      </c>
      <c r="N13" s="207">
        <f t="shared" si="1"/>
        <v>45992</v>
      </c>
      <c r="O13" s="75" t="s">
        <v>498</v>
      </c>
    </row>
    <row r="14" spans="1:15" ht="13.5" customHeight="1" thickBot="1">
      <c r="C14" s="117"/>
      <c r="D14" s="117"/>
      <c r="E14" s="117"/>
      <c r="F14" s="121"/>
      <c r="G14" s="121"/>
      <c r="H14" s="117"/>
      <c r="I14" s="121"/>
      <c r="J14" s="121"/>
      <c r="K14" s="117"/>
      <c r="L14" s="121"/>
      <c r="M14" s="121"/>
      <c r="N14" s="117"/>
      <c r="O14" s="117"/>
    </row>
    <row r="15" spans="1:15" ht="13.5" customHeight="1" thickBot="1">
      <c r="A15" s="48" t="s">
        <v>499</v>
      </c>
      <c r="B15" s="48"/>
      <c r="C15" s="122">
        <f>'BC1'!O148</f>
        <v>474</v>
      </c>
      <c r="D15" s="122">
        <f t="shared" ref="D15:N15" si="2">C144</f>
        <v>282.30000000000018</v>
      </c>
      <c r="E15" s="122">
        <f t="shared" si="2"/>
        <v>464.10000000000036</v>
      </c>
      <c r="F15" s="122">
        <f t="shared" si="2"/>
        <v>300.40000000000055</v>
      </c>
      <c r="G15" s="122">
        <f t="shared" si="2"/>
        <v>289.20000000000073</v>
      </c>
      <c r="H15" s="122">
        <f t="shared" si="2"/>
        <v>433.50000000000091</v>
      </c>
      <c r="I15" s="122">
        <f t="shared" si="2"/>
        <v>229.30000000000109</v>
      </c>
      <c r="J15" s="122">
        <f t="shared" si="2"/>
        <v>179.60000000000127</v>
      </c>
      <c r="K15" s="122">
        <f t="shared" si="2"/>
        <v>284.40000000000146</v>
      </c>
      <c r="L15" s="122">
        <f t="shared" si="2"/>
        <v>40.700000000001637</v>
      </c>
      <c r="M15" s="122">
        <f t="shared" si="2"/>
        <v>452.50000000000182</v>
      </c>
      <c r="N15" s="122">
        <f t="shared" si="2"/>
        <v>15.800000000002001</v>
      </c>
      <c r="O15" s="123">
        <f>C15</f>
        <v>474</v>
      </c>
    </row>
    <row r="16" spans="1:15" ht="13.5" customHeight="1">
      <c r="A16" s="124"/>
      <c r="B16" s="124"/>
      <c r="C16" s="125"/>
      <c r="D16" s="125"/>
      <c r="E16" s="125"/>
      <c r="F16" s="125"/>
      <c r="G16" s="125"/>
      <c r="H16" s="125"/>
      <c r="I16" s="125"/>
      <c r="J16" s="125"/>
      <c r="K16" s="125"/>
      <c r="L16" s="125"/>
      <c r="M16" s="125"/>
      <c r="N16" s="125"/>
      <c r="O16" s="126">
        <v>1E-3</v>
      </c>
    </row>
    <row r="17" spans="1:16" ht="13.5" customHeight="1" thickBot="1">
      <c r="A17" s="127" t="s">
        <v>500</v>
      </c>
      <c r="B17" s="127"/>
      <c r="C17" s="128"/>
      <c r="D17" s="128"/>
      <c r="E17" s="128"/>
      <c r="F17" s="128"/>
      <c r="G17" s="128"/>
      <c r="H17" s="128"/>
      <c r="I17" s="128"/>
      <c r="J17" s="128"/>
      <c r="K17" s="128"/>
      <c r="L17" s="128"/>
      <c r="M17" s="128"/>
      <c r="N17" s="128"/>
      <c r="O17" s="129">
        <v>1E-3</v>
      </c>
    </row>
    <row r="18" spans="1:16" ht="13.5" customHeight="1" thickBot="1">
      <c r="A18" s="53" t="str">
        <f>'BC1'!A18</f>
        <v>RECETTES</v>
      </c>
      <c r="B18" s="53"/>
      <c r="C18" s="130">
        <f>'V2'!F97</f>
        <v>3412.5</v>
      </c>
      <c r="D18" s="130">
        <f>'V2'!G97</f>
        <v>3570</v>
      </c>
      <c r="E18" s="130">
        <f>'V2'!H97</f>
        <v>3727.5</v>
      </c>
      <c r="F18" s="130">
        <f>'V2'!I97</f>
        <v>3885</v>
      </c>
      <c r="G18" s="130">
        <f>'V2'!J97</f>
        <v>4042.5</v>
      </c>
      <c r="H18" s="130">
        <f>'V2'!K97</f>
        <v>4200</v>
      </c>
      <c r="I18" s="130">
        <f>'V2'!L97</f>
        <v>4357.5</v>
      </c>
      <c r="J18" s="130">
        <f>'V2'!M97</f>
        <v>4515</v>
      </c>
      <c r="K18" s="130">
        <f>'V2'!N97</f>
        <v>4672.5</v>
      </c>
      <c r="L18" s="130">
        <f>'V2'!O97</f>
        <v>4830</v>
      </c>
      <c r="M18" s="130">
        <f>'V2'!P97</f>
        <v>4987.5</v>
      </c>
      <c r="N18" s="131">
        <f>'V2'!Q97</f>
        <v>5145</v>
      </c>
      <c r="O18" s="132">
        <f t="shared" ref="O18:O23" si="3">SUM(C18:N18)</f>
        <v>51345</v>
      </c>
    </row>
    <row r="19" spans="1:16" ht="13.5" customHeight="1" thickBot="1">
      <c r="A19" s="53" t="str">
        <f>'BC1'!A19</f>
        <v>Autres revenus</v>
      </c>
      <c r="B19" s="53"/>
      <c r="C19" s="133">
        <f>'AE2'!D21</f>
        <v>0</v>
      </c>
      <c r="D19" s="133">
        <f>'AE2'!E21</f>
        <v>0</v>
      </c>
      <c r="E19" s="133">
        <f>'AE2'!F21</f>
        <v>0</v>
      </c>
      <c r="F19" s="133">
        <f>'AE2'!G21</f>
        <v>0</v>
      </c>
      <c r="G19" s="133">
        <f>'AE2'!H21</f>
        <v>0</v>
      </c>
      <c r="H19" s="133">
        <f>'AE2'!I21</f>
        <v>0</v>
      </c>
      <c r="I19" s="133">
        <f>'AE2'!J21</f>
        <v>0</v>
      </c>
      <c r="J19" s="133">
        <f>'AE2'!K21</f>
        <v>0</v>
      </c>
      <c r="K19" s="133">
        <f>'AE2'!L21</f>
        <v>0</v>
      </c>
      <c r="L19" s="133">
        <f>'AE2'!M21</f>
        <v>0</v>
      </c>
      <c r="M19" s="133">
        <f>'AE2'!N21</f>
        <v>0</v>
      </c>
      <c r="N19" s="133">
        <f>'AE2'!O21</f>
        <v>0</v>
      </c>
      <c r="O19" s="132">
        <f t="shared" si="3"/>
        <v>0</v>
      </c>
    </row>
    <row r="20" spans="1:16" ht="13.5" customHeight="1" thickBot="1">
      <c r="A20" s="53" t="str">
        <f>IF(RG!A74=3,"Émission d'actions","Apports")</f>
        <v>Émission d'actions</v>
      </c>
      <c r="B20" s="53"/>
      <c r="C20" s="135">
        <f>'AE2'!D25</f>
        <v>0</v>
      </c>
      <c r="D20" s="135">
        <f>'AE2'!E25</f>
        <v>0</v>
      </c>
      <c r="E20" s="135">
        <f>'AE2'!F25</f>
        <v>0</v>
      </c>
      <c r="F20" s="135">
        <f>'AE2'!G25</f>
        <v>0</v>
      </c>
      <c r="G20" s="135">
        <f>'AE2'!H25</f>
        <v>0</v>
      </c>
      <c r="H20" s="135">
        <f>'AE2'!I25</f>
        <v>0</v>
      </c>
      <c r="I20" s="135">
        <f>'AE2'!J25</f>
        <v>0</v>
      </c>
      <c r="J20" s="135">
        <f>'AE2'!K25</f>
        <v>0</v>
      </c>
      <c r="K20" s="135">
        <f>'AE2'!L25</f>
        <v>0</v>
      </c>
      <c r="L20" s="135">
        <f>'AE2'!M25</f>
        <v>0</v>
      </c>
      <c r="M20" s="135">
        <f>'AE2'!N25</f>
        <v>0</v>
      </c>
      <c r="N20" s="135">
        <f>'AE2'!O25</f>
        <v>0</v>
      </c>
      <c r="O20" s="132">
        <f t="shared" si="3"/>
        <v>0</v>
      </c>
    </row>
    <row r="21" spans="1:16" ht="13.5" customHeight="1" thickBot="1">
      <c r="A21" s="53" t="str">
        <f>'BC1'!A21</f>
        <v>Emprunts</v>
      </c>
      <c r="B21" s="53"/>
      <c r="C21" s="133">
        <f>'AE2'!D24</f>
        <v>0</v>
      </c>
      <c r="D21" s="133">
        <f>'AE2'!E24</f>
        <v>0</v>
      </c>
      <c r="E21" s="133">
        <f>'AE2'!F24</f>
        <v>0</v>
      </c>
      <c r="F21" s="133">
        <f>'AE2'!G24</f>
        <v>0</v>
      </c>
      <c r="G21" s="133">
        <f>'AE2'!H24</f>
        <v>0</v>
      </c>
      <c r="H21" s="133">
        <f>'AE2'!I24</f>
        <v>0</v>
      </c>
      <c r="I21" s="133">
        <f>'AE2'!J24</f>
        <v>0</v>
      </c>
      <c r="J21" s="133">
        <f>'AE2'!K24</f>
        <v>0</v>
      </c>
      <c r="K21" s="133">
        <f>'AE2'!L24</f>
        <v>0</v>
      </c>
      <c r="L21" s="133">
        <f>'AE2'!M24</f>
        <v>0</v>
      </c>
      <c r="M21" s="133">
        <f>'AE2'!N24</f>
        <v>0</v>
      </c>
      <c r="N21" s="133">
        <f>'AE2'!O24</f>
        <v>0</v>
      </c>
      <c r="O21" s="132">
        <f t="shared" si="3"/>
        <v>0</v>
      </c>
    </row>
    <row r="22" spans="1:16" ht="13.5" customHeight="1" thickBot="1">
      <c r="A22" s="53" t="str">
        <f>'BC1'!A22</f>
        <v>Comptes à recevoir</v>
      </c>
      <c r="B22" s="53"/>
      <c r="C22" s="133"/>
      <c r="D22" s="133"/>
      <c r="E22" s="133"/>
      <c r="F22" s="133"/>
      <c r="G22" s="133"/>
      <c r="H22" s="133"/>
      <c r="I22" s="133"/>
      <c r="J22" s="133"/>
      <c r="K22" s="133"/>
      <c r="L22" s="133"/>
      <c r="M22" s="133"/>
      <c r="N22" s="134"/>
      <c r="O22" s="132">
        <f t="shared" si="3"/>
        <v>0</v>
      </c>
    </row>
    <row r="23" spans="1:16" ht="13.5" customHeight="1" thickBot="1">
      <c r="A23" s="53" t="str">
        <f>'BC1'!A24</f>
        <v>Subventions</v>
      </c>
      <c r="B23" s="53"/>
      <c r="C23" s="133">
        <f>'AE2'!D26</f>
        <v>0</v>
      </c>
      <c r="D23" s="133">
        <f>'AE2'!E26</f>
        <v>0</v>
      </c>
      <c r="E23" s="133">
        <f>'AE2'!F26</f>
        <v>0</v>
      </c>
      <c r="F23" s="133">
        <f>'AE2'!G26</f>
        <v>0</v>
      </c>
      <c r="G23" s="133">
        <f>'AE2'!H26</f>
        <v>0</v>
      </c>
      <c r="H23" s="133">
        <f>'AE2'!I26</f>
        <v>0</v>
      </c>
      <c r="I23" s="133">
        <f>'AE2'!J26</f>
        <v>0</v>
      </c>
      <c r="J23" s="133">
        <f>'AE2'!K26</f>
        <v>0</v>
      </c>
      <c r="K23" s="133">
        <f>'AE2'!L26</f>
        <v>0</v>
      </c>
      <c r="L23" s="133">
        <f>'AE2'!M26</f>
        <v>0</v>
      </c>
      <c r="M23" s="133">
        <f>'AE2'!N26</f>
        <v>0</v>
      </c>
      <c r="N23" s="133">
        <f>'AE2'!O26</f>
        <v>0</v>
      </c>
      <c r="O23" s="132">
        <f t="shared" si="3"/>
        <v>0</v>
      </c>
    </row>
    <row r="24" spans="1:16" ht="13.5" thickBot="1">
      <c r="A24" s="43"/>
      <c r="B24" s="43"/>
      <c r="O24" s="158">
        <v>1E-3</v>
      </c>
    </row>
    <row r="25" spans="1:16" ht="13.5" customHeight="1" thickBot="1">
      <c r="A25" s="48" t="s">
        <v>501</v>
      </c>
      <c r="B25" s="48"/>
      <c r="C25" s="133">
        <f t="shared" ref="C25:O25" si="4">SUM(C18:C23)</f>
        <v>3412.5</v>
      </c>
      <c r="D25" s="133">
        <f t="shared" si="4"/>
        <v>3570</v>
      </c>
      <c r="E25" s="133">
        <f t="shared" si="4"/>
        <v>3727.5</v>
      </c>
      <c r="F25" s="133">
        <f t="shared" si="4"/>
        <v>3885</v>
      </c>
      <c r="G25" s="133">
        <f t="shared" si="4"/>
        <v>4042.5</v>
      </c>
      <c r="H25" s="133">
        <f t="shared" si="4"/>
        <v>4200</v>
      </c>
      <c r="I25" s="133">
        <f t="shared" si="4"/>
        <v>4357.5</v>
      </c>
      <c r="J25" s="133">
        <f t="shared" si="4"/>
        <v>4515</v>
      </c>
      <c r="K25" s="133">
        <f t="shared" si="4"/>
        <v>4672.5</v>
      </c>
      <c r="L25" s="133">
        <f t="shared" si="4"/>
        <v>4830</v>
      </c>
      <c r="M25" s="133">
        <f t="shared" si="4"/>
        <v>4987.5</v>
      </c>
      <c r="N25" s="134">
        <f t="shared" si="4"/>
        <v>5145</v>
      </c>
      <c r="O25" s="136">
        <f t="shared" si="4"/>
        <v>51345</v>
      </c>
      <c r="P25" s="137"/>
    </row>
    <row r="26" spans="1:16" ht="13.5" customHeight="1">
      <c r="A26" s="48"/>
      <c r="B26" s="48"/>
      <c r="C26" s="138"/>
      <c r="D26" s="138"/>
      <c r="E26" s="138"/>
      <c r="F26" s="139"/>
      <c r="G26" s="139"/>
      <c r="H26" s="138"/>
      <c r="I26" s="139"/>
      <c r="J26" s="139"/>
      <c r="K26" s="138"/>
      <c r="L26" s="139"/>
      <c r="M26" s="139"/>
      <c r="N26" s="138"/>
      <c r="O26" s="159">
        <v>1E-3</v>
      </c>
    </row>
    <row r="27" spans="1:16" ht="13.5" customHeight="1" thickBot="1">
      <c r="A27" s="48" t="str">
        <f>'BC1'!A28</f>
        <v>DÉBOURSÉS</v>
      </c>
      <c r="B27" s="48"/>
      <c r="C27" s="138"/>
      <c r="D27" s="138"/>
      <c r="E27" s="138"/>
      <c r="F27" s="139"/>
      <c r="G27" s="139"/>
      <c r="H27" s="138"/>
      <c r="I27" s="139"/>
      <c r="J27" s="139"/>
      <c r="K27" s="138"/>
      <c r="L27" s="139"/>
      <c r="M27" s="139"/>
      <c r="N27" s="138"/>
      <c r="O27" s="126">
        <v>1E-3</v>
      </c>
    </row>
    <row r="28" spans="1:16" s="143" customFormat="1" ht="13.5" customHeight="1" thickBot="1">
      <c r="A28" s="867" t="str">
        <f>'BC1'!A29</f>
        <v xml:space="preserve">Achats </v>
      </c>
      <c r="B28" s="48"/>
      <c r="C28" s="140">
        <f>'A2'!E95</f>
        <v>0</v>
      </c>
      <c r="D28" s="140">
        <f>'A2'!F95</f>
        <v>0</v>
      </c>
      <c r="E28" s="140">
        <f>'A2'!G95</f>
        <v>0</v>
      </c>
      <c r="F28" s="140">
        <f>'A2'!H95</f>
        <v>0</v>
      </c>
      <c r="G28" s="140">
        <f>'A2'!I95</f>
        <v>0</v>
      </c>
      <c r="H28" s="140">
        <f>'A2'!J95</f>
        <v>0</v>
      </c>
      <c r="I28" s="140">
        <f>'A2'!K95</f>
        <v>0</v>
      </c>
      <c r="J28" s="140">
        <f>'A2'!L95</f>
        <v>0</v>
      </c>
      <c r="K28" s="140">
        <f>'A2'!M95</f>
        <v>0</v>
      </c>
      <c r="L28" s="140">
        <f>'A2'!N95</f>
        <v>0</v>
      </c>
      <c r="M28" s="140">
        <f>'A2'!O95</f>
        <v>0</v>
      </c>
      <c r="N28" s="140">
        <f>'A2'!P95</f>
        <v>0</v>
      </c>
      <c r="O28" s="132">
        <f t="shared" ref="O28:O36" si="5">SUM(C28:N28)</f>
        <v>0</v>
      </c>
      <c r="P28" s="142"/>
    </row>
    <row r="29" spans="1:16" s="143" customFormat="1" ht="13.5" customHeight="1" thickBot="1">
      <c r="A29" s="867" t="str">
        <f>'BC1'!A30</f>
        <v>Salaires de production</v>
      </c>
      <c r="B29" s="48"/>
      <c r="C29" s="144">
        <f>TE!C140+TE!C142</f>
        <v>0</v>
      </c>
      <c r="D29" s="144">
        <f>TE!D140+TE!D142</f>
        <v>0</v>
      </c>
      <c r="E29" s="144">
        <f>TE!E140+TE!E142</f>
        <v>0</v>
      </c>
      <c r="F29" s="144">
        <f>TE!F140+TE!F142</f>
        <v>0</v>
      </c>
      <c r="G29" s="144">
        <f>TE!G140+TE!G142</f>
        <v>0</v>
      </c>
      <c r="H29" s="144">
        <f>TE!H140+TE!H142</f>
        <v>0</v>
      </c>
      <c r="I29" s="144">
        <f>TE!I140+TE!I142</f>
        <v>0</v>
      </c>
      <c r="J29" s="144">
        <f>TE!J140+TE!J142</f>
        <v>0</v>
      </c>
      <c r="K29" s="144">
        <f>TE!K140+TE!K142</f>
        <v>0</v>
      </c>
      <c r="L29" s="144">
        <f>TE!L140+TE!L142</f>
        <v>0</v>
      </c>
      <c r="M29" s="144">
        <f>TE!M140+TE!M142</f>
        <v>0</v>
      </c>
      <c r="N29" s="144">
        <f>TE!N140+TE!N142</f>
        <v>0</v>
      </c>
      <c r="O29" s="136">
        <f t="shared" si="5"/>
        <v>0</v>
      </c>
      <c r="P29" s="145"/>
    </row>
    <row r="30" spans="1:16" s="143" customFormat="1" ht="13.5" customHeight="1" thickBot="1">
      <c r="A30" s="867" t="str">
        <f>'BC1'!A31</f>
        <v xml:space="preserve">   avantages</v>
      </c>
      <c r="B30" s="48"/>
      <c r="C30" s="146">
        <f>TE!N129+TE!N131</f>
        <v>0</v>
      </c>
      <c r="D30" s="146">
        <f>TE!C141+TE!C143</f>
        <v>0</v>
      </c>
      <c r="E30" s="146">
        <f>TE!D141+TE!D143</f>
        <v>0</v>
      </c>
      <c r="F30" s="146">
        <f>TE!E141+TE!E143</f>
        <v>0</v>
      </c>
      <c r="G30" s="146">
        <f>TE!F141+TE!F143</f>
        <v>0</v>
      </c>
      <c r="H30" s="146">
        <f>TE!G141+TE!G143</f>
        <v>0</v>
      </c>
      <c r="I30" s="146">
        <f>TE!H141+TE!H143</f>
        <v>0</v>
      </c>
      <c r="J30" s="146">
        <f>TE!I141+TE!I143</f>
        <v>0</v>
      </c>
      <c r="K30" s="146">
        <f>TE!J141+TE!J143</f>
        <v>0</v>
      </c>
      <c r="L30" s="146">
        <f>TE!K141+TE!K143</f>
        <v>0</v>
      </c>
      <c r="M30" s="146">
        <f>TE!L141+TE!L143</f>
        <v>0</v>
      </c>
      <c r="N30" s="146">
        <f>TE!M141+TE!M143</f>
        <v>0</v>
      </c>
      <c r="O30" s="147">
        <f t="shared" si="5"/>
        <v>0</v>
      </c>
    </row>
    <row r="31" spans="1:16" ht="13.5" customHeight="1" thickBot="1">
      <c r="A31" s="867" t="str">
        <f>'BC1'!A32</f>
        <v>Frais de variable 1</v>
      </c>
      <c r="B31" s="48"/>
      <c r="C31" s="144">
        <f>'FD2'!C18+'FD2'!C29+'FD2'!C40+'FD2'!C51+'FD2'!C62+'FD2'!C73</f>
        <v>84</v>
      </c>
      <c r="D31" s="144">
        <f>'FD2'!D18+'FD2'!D29+'FD2'!D40+'FD2'!D51+'FD2'!D62+'FD2'!D73</f>
        <v>88</v>
      </c>
      <c r="E31" s="144">
        <f>'FD2'!E18+'FD2'!E29+'FD2'!E40+'FD2'!E51+'FD2'!E62+'FD2'!E73</f>
        <v>92</v>
      </c>
      <c r="F31" s="144">
        <f>'FD2'!F18+'FD2'!F29+'FD2'!F40+'FD2'!F51+'FD2'!F62+'FD2'!F73</f>
        <v>96</v>
      </c>
      <c r="G31" s="144">
        <f>'FD2'!G18+'FD2'!G29+'FD2'!G40+'FD2'!G51+'FD2'!G62+'FD2'!G73</f>
        <v>100</v>
      </c>
      <c r="H31" s="144">
        <f>'FD2'!H18+'FD2'!H29+'FD2'!H40+'FD2'!H51+'FD2'!H62+'FD2'!H73</f>
        <v>103</v>
      </c>
      <c r="I31" s="144">
        <f>'FD2'!I18+'FD2'!I29+'FD2'!I40+'FD2'!I51+'FD2'!I62+'FD2'!I73</f>
        <v>108</v>
      </c>
      <c r="J31" s="144">
        <f>'FD2'!J18+'FD2'!J29+'FD2'!J40+'FD2'!J51+'FD2'!J62+'FD2'!J73</f>
        <v>112</v>
      </c>
      <c r="K31" s="144">
        <f>'FD2'!K18+'FD2'!K29+'FD2'!K40+'FD2'!K51+'FD2'!K62+'FD2'!K73</f>
        <v>115</v>
      </c>
      <c r="L31" s="144">
        <f>'FD2'!L18+'FD2'!L29+'FD2'!L40+'FD2'!L51+'FD2'!L62+'FD2'!L73</f>
        <v>120</v>
      </c>
      <c r="M31" s="144">
        <f>'FD2'!M18+'FD2'!M29+'FD2'!M40+'FD2'!M51+'FD2'!M62+'FD2'!M73</f>
        <v>124</v>
      </c>
      <c r="N31" s="144">
        <f>'FD2'!N18+'FD2'!N29+'FD2'!N40+'FD2'!N51+'FD2'!N62+'FD2'!N73</f>
        <v>127</v>
      </c>
      <c r="O31" s="132">
        <f t="shared" si="5"/>
        <v>1269</v>
      </c>
    </row>
    <row r="32" spans="1:16" ht="13.5" customHeight="1" thickBot="1">
      <c r="A32" s="867" t="str">
        <f>'BC1'!A33</f>
        <v>Frais de variable 2</v>
      </c>
      <c r="B32" s="48"/>
      <c r="C32" s="144">
        <f>'FD2'!C19+'FD2'!C30+'FD2'!C41+'FD2'!C52+'FD2'!C63+'FD2'!C74</f>
        <v>0</v>
      </c>
      <c r="D32" s="144">
        <f>'FD2'!D19+'FD2'!D30+'FD2'!D41+'FD2'!D52+'FD2'!D63+'FD2'!D74</f>
        <v>0</v>
      </c>
      <c r="E32" s="144">
        <f>'FD2'!E19+'FD2'!E30+'FD2'!E41+'FD2'!E52+'FD2'!E63+'FD2'!E74</f>
        <v>0</v>
      </c>
      <c r="F32" s="144">
        <f>'FD2'!F19+'FD2'!F30+'FD2'!F41+'FD2'!F52+'FD2'!F63+'FD2'!F74</f>
        <v>0</v>
      </c>
      <c r="G32" s="144">
        <f>'FD2'!G19+'FD2'!G30+'FD2'!G41+'FD2'!G52+'FD2'!G63+'FD2'!G74</f>
        <v>0</v>
      </c>
      <c r="H32" s="144">
        <f>'FD2'!H19+'FD2'!H30+'FD2'!H41+'FD2'!H52+'FD2'!H63+'FD2'!H74</f>
        <v>0</v>
      </c>
      <c r="I32" s="144">
        <f>'FD2'!I19+'FD2'!I30+'FD2'!I41+'FD2'!I52+'FD2'!I63+'FD2'!I74</f>
        <v>0</v>
      </c>
      <c r="J32" s="144">
        <f>'FD2'!J19+'FD2'!J30+'FD2'!J41+'FD2'!J52+'FD2'!J63+'FD2'!J74</f>
        <v>0</v>
      </c>
      <c r="K32" s="144">
        <f>'FD2'!K19+'FD2'!K30+'FD2'!K41+'FD2'!K52+'FD2'!K63+'FD2'!K74</f>
        <v>0</v>
      </c>
      <c r="L32" s="144">
        <f>'FD2'!L19+'FD2'!L30+'FD2'!L41+'FD2'!L52+'FD2'!L63+'FD2'!L74</f>
        <v>0</v>
      </c>
      <c r="M32" s="144">
        <f>'FD2'!M19+'FD2'!M30+'FD2'!M41+'FD2'!M52+'FD2'!M63+'FD2'!M74</f>
        <v>0</v>
      </c>
      <c r="N32" s="144">
        <f>'FD2'!N19+'FD2'!N30+'FD2'!N41+'FD2'!N52+'FD2'!N63+'FD2'!N74</f>
        <v>0</v>
      </c>
      <c r="O32" s="132">
        <f t="shared" si="5"/>
        <v>0</v>
      </c>
    </row>
    <row r="33" spans="1:15" ht="13.5" customHeight="1" thickBot="1">
      <c r="A33" s="867" t="str">
        <f>'BC1'!A34</f>
        <v>Frais de variable 3</v>
      </c>
      <c r="B33" s="48"/>
      <c r="C33" s="144">
        <f>'FD2'!C20+'FD2'!C31+'FD2'!C42+'FD2'!C53+'FD2'!C64+'FD2'!C75</f>
        <v>0</v>
      </c>
      <c r="D33" s="144">
        <f>'FD2'!D20+'FD2'!D31+'FD2'!D42+'FD2'!D53+'FD2'!D64+'FD2'!D75</f>
        <v>0</v>
      </c>
      <c r="E33" s="144">
        <f>'FD2'!E20+'FD2'!E31+'FD2'!E42+'FD2'!E53+'FD2'!E64+'FD2'!E75</f>
        <v>0</v>
      </c>
      <c r="F33" s="144">
        <f>'FD2'!F20+'FD2'!F31+'FD2'!F42+'FD2'!F53+'FD2'!F64+'FD2'!F75</f>
        <v>0</v>
      </c>
      <c r="G33" s="144">
        <f>'FD2'!G20+'FD2'!G31+'FD2'!G42+'FD2'!G53+'FD2'!G64+'FD2'!G75</f>
        <v>0</v>
      </c>
      <c r="H33" s="144">
        <f>'FD2'!H20+'FD2'!H31+'FD2'!H42+'FD2'!H53+'FD2'!H64+'FD2'!H75</f>
        <v>0</v>
      </c>
      <c r="I33" s="144">
        <f>'FD2'!I20+'FD2'!I31+'FD2'!I42+'FD2'!I53+'FD2'!I64+'FD2'!I75</f>
        <v>0</v>
      </c>
      <c r="J33" s="144">
        <f>'FD2'!J20+'FD2'!J31+'FD2'!J42+'FD2'!J53+'FD2'!J64+'FD2'!J75</f>
        <v>0</v>
      </c>
      <c r="K33" s="144">
        <f>'FD2'!K20+'FD2'!K31+'FD2'!K42+'FD2'!K53+'FD2'!K64+'FD2'!K75</f>
        <v>0</v>
      </c>
      <c r="L33" s="144">
        <f>'FD2'!L20+'FD2'!L31+'FD2'!L42+'FD2'!L53+'FD2'!L64+'FD2'!L75</f>
        <v>0</v>
      </c>
      <c r="M33" s="144">
        <f>'FD2'!M20+'FD2'!M31+'FD2'!M42+'FD2'!M53+'FD2'!M64+'FD2'!M75</f>
        <v>0</v>
      </c>
      <c r="N33" s="144">
        <f>'FD2'!N20+'FD2'!N31+'FD2'!N42+'FD2'!N53+'FD2'!N64+'FD2'!N75</f>
        <v>0</v>
      </c>
      <c r="O33" s="132">
        <f t="shared" si="5"/>
        <v>0</v>
      </c>
    </row>
    <row r="34" spans="1:15" ht="13.5" customHeight="1" thickBot="1">
      <c r="A34" s="867" t="str">
        <f>'BC1'!A35</f>
        <v>Frais de variable 4</v>
      </c>
      <c r="B34" s="48"/>
      <c r="C34" s="144">
        <f>'FD2'!C21+'FD2'!C32+'FD2'!C43+'FD2'!C54+'FD2'!C65+'FD2'!C76</f>
        <v>0</v>
      </c>
      <c r="D34" s="144">
        <f>'FD2'!D21+'FD2'!D32+'FD2'!D43+'FD2'!D54+'FD2'!D65+'FD2'!D76</f>
        <v>0</v>
      </c>
      <c r="E34" s="144">
        <f>'FD2'!E21+'FD2'!E32+'FD2'!E43+'FD2'!E54+'FD2'!E65+'FD2'!E76</f>
        <v>0</v>
      </c>
      <c r="F34" s="144">
        <f>'FD2'!F21+'FD2'!F32+'FD2'!F43+'FD2'!F54+'FD2'!F65+'FD2'!F76</f>
        <v>0</v>
      </c>
      <c r="G34" s="144">
        <f>'FD2'!G21+'FD2'!G32+'FD2'!G43+'FD2'!G54+'FD2'!G65+'FD2'!G76</f>
        <v>0</v>
      </c>
      <c r="H34" s="144">
        <f>'FD2'!H21+'FD2'!H32+'FD2'!H43+'FD2'!H54+'FD2'!H65+'FD2'!H76</f>
        <v>0</v>
      </c>
      <c r="I34" s="144">
        <f>'FD2'!I21+'FD2'!I32+'FD2'!I43+'FD2'!I54+'FD2'!I65+'FD2'!I76</f>
        <v>0</v>
      </c>
      <c r="J34" s="144">
        <f>'FD2'!J21+'FD2'!J32+'FD2'!J43+'FD2'!J54+'FD2'!J65+'FD2'!J76</f>
        <v>0</v>
      </c>
      <c r="K34" s="144">
        <f>'FD2'!K21+'FD2'!K32+'FD2'!K43+'FD2'!K54+'FD2'!K65+'FD2'!K76</f>
        <v>0</v>
      </c>
      <c r="L34" s="144">
        <f>'FD2'!L21+'FD2'!L32+'FD2'!L43+'FD2'!L54+'FD2'!L65+'FD2'!L76</f>
        <v>0</v>
      </c>
      <c r="M34" s="144">
        <f>'FD2'!M21+'FD2'!M32+'FD2'!M43+'FD2'!M54+'FD2'!M65+'FD2'!M76</f>
        <v>0</v>
      </c>
      <c r="N34" s="144">
        <f>'FD2'!N21+'FD2'!N32+'FD2'!N43+'FD2'!N54+'FD2'!N65+'FD2'!N76</f>
        <v>0</v>
      </c>
      <c r="O34" s="132">
        <f t="shared" si="5"/>
        <v>0</v>
      </c>
    </row>
    <row r="35" spans="1:15" ht="13.5" customHeight="1" thickBot="1">
      <c r="A35" s="867" t="str">
        <f>'BC1'!A36</f>
        <v>Frais de variable 5</v>
      </c>
      <c r="B35" s="48"/>
      <c r="C35" s="144">
        <f>'FD2'!C22+'FD2'!C33+'FD2'!C44+'FD2'!C55+'FD2'!C66+'FD2'!C77</f>
        <v>0</v>
      </c>
      <c r="D35" s="144">
        <f>'FD2'!D22+'FD2'!D33+'FD2'!D44+'FD2'!D55+'FD2'!D66+'FD2'!D77</f>
        <v>0</v>
      </c>
      <c r="E35" s="144">
        <f>'FD2'!E22+'FD2'!E33+'FD2'!E44+'FD2'!E55+'FD2'!E66+'FD2'!E77</f>
        <v>0</v>
      </c>
      <c r="F35" s="144">
        <f>'FD2'!F22+'FD2'!F33+'FD2'!F44+'FD2'!F55+'FD2'!F66+'FD2'!F77</f>
        <v>0</v>
      </c>
      <c r="G35" s="144">
        <f>'FD2'!G22+'FD2'!G33+'FD2'!G44+'FD2'!G55+'FD2'!G66+'FD2'!G77</f>
        <v>0</v>
      </c>
      <c r="H35" s="144">
        <f>'FD2'!H22+'FD2'!H33+'FD2'!H44+'FD2'!H55+'FD2'!H66+'FD2'!H77</f>
        <v>0</v>
      </c>
      <c r="I35" s="144">
        <f>'FD2'!I22+'FD2'!I33+'FD2'!I44+'FD2'!I55+'FD2'!I66+'FD2'!I77</f>
        <v>0</v>
      </c>
      <c r="J35" s="144">
        <f>'FD2'!J22+'FD2'!J33+'FD2'!J44+'FD2'!J55+'FD2'!J66+'FD2'!J77</f>
        <v>0</v>
      </c>
      <c r="K35" s="144">
        <f>'FD2'!K22+'FD2'!K33+'FD2'!K44+'FD2'!K55+'FD2'!K66+'FD2'!K77</f>
        <v>0</v>
      </c>
      <c r="L35" s="144">
        <f>'FD2'!L22+'FD2'!L33+'FD2'!L44+'FD2'!L55+'FD2'!L66+'FD2'!L77</f>
        <v>0</v>
      </c>
      <c r="M35" s="144">
        <f>'FD2'!M22+'FD2'!M33+'FD2'!M44+'FD2'!M55+'FD2'!M66+'FD2'!M77</f>
        <v>0</v>
      </c>
      <c r="N35" s="144">
        <f>'FD2'!N22+'FD2'!N33+'FD2'!N44+'FD2'!N55+'FD2'!N66+'FD2'!N77</f>
        <v>0</v>
      </c>
      <c r="O35" s="132">
        <f t="shared" si="5"/>
        <v>0</v>
      </c>
    </row>
    <row r="36" spans="1:15" ht="13.5" customHeight="1" thickBot="1">
      <c r="A36" s="867" t="str">
        <f>'BC1'!A37</f>
        <v>Frais de variable 6</v>
      </c>
      <c r="B36" s="48"/>
      <c r="C36" s="144">
        <f>'FD2'!C23+'FD2'!C34+'FD2'!C45+'FD2'!C56+'FD2'!C67+'FD2'!C78</f>
        <v>0</v>
      </c>
      <c r="D36" s="144">
        <f>'FD2'!D23+'FD2'!D34+'FD2'!D45+'FD2'!D56+'FD2'!D67+'FD2'!D78</f>
        <v>0</v>
      </c>
      <c r="E36" s="144">
        <f>'FD2'!E23+'FD2'!E34+'FD2'!E45+'FD2'!E56+'FD2'!E67+'FD2'!E78</f>
        <v>0</v>
      </c>
      <c r="F36" s="144">
        <f>'FD2'!F23+'FD2'!F34+'FD2'!F45+'FD2'!F56+'FD2'!F67+'FD2'!F78</f>
        <v>0</v>
      </c>
      <c r="G36" s="144">
        <f>'FD2'!G23+'FD2'!G34+'FD2'!G45+'FD2'!G56+'FD2'!G67+'FD2'!G78</f>
        <v>0</v>
      </c>
      <c r="H36" s="144">
        <f>'FD2'!H23+'FD2'!H34+'FD2'!H45+'FD2'!H56+'FD2'!H67+'FD2'!H78</f>
        <v>0</v>
      </c>
      <c r="I36" s="144">
        <f>'FD2'!I23+'FD2'!I34+'FD2'!I45+'FD2'!I56+'FD2'!I67+'FD2'!I78</f>
        <v>0</v>
      </c>
      <c r="J36" s="144">
        <f>'FD2'!J23+'FD2'!J34+'FD2'!J45+'FD2'!J56+'FD2'!J67+'FD2'!J78</f>
        <v>0</v>
      </c>
      <c r="K36" s="144">
        <f>'FD2'!K23+'FD2'!K34+'FD2'!K45+'FD2'!K56+'FD2'!K67+'FD2'!K78</f>
        <v>0</v>
      </c>
      <c r="L36" s="144">
        <f>'FD2'!L23+'FD2'!L34+'FD2'!L45+'FD2'!L56+'FD2'!L67+'FD2'!L78</f>
        <v>0</v>
      </c>
      <c r="M36" s="144">
        <f>'FD2'!M23+'FD2'!M34+'FD2'!M45+'FD2'!M56+'FD2'!M67+'FD2'!M78</f>
        <v>0</v>
      </c>
      <c r="N36" s="144">
        <f>'FD2'!N23+'FD2'!N34+'FD2'!N45+'FD2'!N56+'FD2'!N67+'FD2'!N78</f>
        <v>0</v>
      </c>
      <c r="O36" s="132">
        <f t="shared" si="5"/>
        <v>0</v>
      </c>
    </row>
    <row r="37" spans="1:15" ht="13.5" customHeight="1" thickBot="1">
      <c r="A37" s="48" t="str">
        <f>'BC1'!A38</f>
        <v>FRAIS D'EXPLOITATION</v>
      </c>
      <c r="B37" s="43"/>
      <c r="C37" s="214"/>
      <c r="D37" s="214"/>
      <c r="E37" s="214"/>
      <c r="F37" s="214"/>
      <c r="G37" s="214"/>
      <c r="H37" s="214"/>
      <c r="I37" s="214"/>
      <c r="J37" s="214"/>
      <c r="K37" s="214"/>
      <c r="L37" s="214"/>
      <c r="M37" s="214"/>
      <c r="N37" s="214"/>
      <c r="O37" s="1088">
        <v>1E-4</v>
      </c>
    </row>
    <row r="38" spans="1:15" ht="13.5" customHeight="1" thickBot="1">
      <c r="A38" s="867" t="str">
        <f>'BC1'!A39</f>
        <v>Loyer</v>
      </c>
      <c r="B38" s="43"/>
      <c r="C38" s="144">
        <f>'FG2'!C14</f>
        <v>0</v>
      </c>
      <c r="D38" s="144">
        <f>'FG2'!D14</f>
        <v>0</v>
      </c>
      <c r="E38" s="144">
        <f>'FG2'!E14</f>
        <v>0</v>
      </c>
      <c r="F38" s="144">
        <f>'FG2'!F14</f>
        <v>0</v>
      </c>
      <c r="G38" s="144">
        <f>'FG2'!G14</f>
        <v>0</v>
      </c>
      <c r="H38" s="144">
        <f>'FG2'!H14</f>
        <v>0</v>
      </c>
      <c r="I38" s="144">
        <f>'FG2'!I14</f>
        <v>0</v>
      </c>
      <c r="J38" s="144">
        <f>'FG2'!J14</f>
        <v>0</v>
      </c>
      <c r="K38" s="144">
        <f>'FG2'!K14</f>
        <v>0</v>
      </c>
      <c r="L38" s="144">
        <f>'FG2'!L14</f>
        <v>0</v>
      </c>
      <c r="M38" s="144">
        <f>'FG2'!M14</f>
        <v>0</v>
      </c>
      <c r="N38" s="144">
        <f>'FG2'!N14</f>
        <v>0</v>
      </c>
      <c r="O38" s="217">
        <f>SUM(C38:N38)</f>
        <v>0</v>
      </c>
    </row>
    <row r="39" spans="1:15" ht="13.5" customHeight="1" thickBot="1">
      <c r="A39" s="867" t="str">
        <f>'BC1'!A40</f>
        <v>Coût d'énergie</v>
      </c>
      <c r="B39" s="43"/>
      <c r="C39" s="144">
        <f>'FG2'!C16</f>
        <v>0</v>
      </c>
      <c r="D39" s="144">
        <f>'FG2'!D16</f>
        <v>0</v>
      </c>
      <c r="E39" s="144">
        <f>'FG2'!E16</f>
        <v>0</v>
      </c>
      <c r="F39" s="144">
        <f>'FG2'!F16</f>
        <v>0</v>
      </c>
      <c r="G39" s="144">
        <f>'FG2'!G16</f>
        <v>0</v>
      </c>
      <c r="H39" s="144">
        <f>'FG2'!H16</f>
        <v>0</v>
      </c>
      <c r="I39" s="144">
        <f>'FG2'!I16</f>
        <v>0</v>
      </c>
      <c r="J39" s="144">
        <f>'FG2'!J16</f>
        <v>0</v>
      </c>
      <c r="K39" s="144">
        <f>'FG2'!K16</f>
        <v>0</v>
      </c>
      <c r="L39" s="144">
        <f>'FG2'!L16</f>
        <v>0</v>
      </c>
      <c r="M39" s="144">
        <f>'FG2'!M16</f>
        <v>0</v>
      </c>
      <c r="N39" s="144">
        <f>'FG2'!N16</f>
        <v>0</v>
      </c>
      <c r="O39" s="217">
        <f t="shared" ref="O39:O78" si="6">SUM(C39:N39)</f>
        <v>0</v>
      </c>
    </row>
    <row r="40" spans="1:15" ht="13.5" customHeight="1" thickBot="1">
      <c r="A40" s="867" t="str">
        <f>'BC1'!A41</f>
        <v>Entretien / réparation</v>
      </c>
      <c r="B40" s="43"/>
      <c r="C40" s="144">
        <f>'FG2'!C18</f>
        <v>0</v>
      </c>
      <c r="D40" s="144">
        <f>'FG2'!D18</f>
        <v>0</v>
      </c>
      <c r="E40" s="144">
        <f>'FG2'!E18</f>
        <v>0</v>
      </c>
      <c r="F40" s="144">
        <f>'FG2'!F18</f>
        <v>0</v>
      </c>
      <c r="G40" s="144">
        <f>'FG2'!G18</f>
        <v>0</v>
      </c>
      <c r="H40" s="144">
        <f>'FG2'!H18</f>
        <v>0</v>
      </c>
      <c r="I40" s="144">
        <f>'FG2'!I18</f>
        <v>0</v>
      </c>
      <c r="J40" s="144">
        <f>'FG2'!J18</f>
        <v>0</v>
      </c>
      <c r="K40" s="144">
        <f>'FG2'!K18</f>
        <v>0</v>
      </c>
      <c r="L40" s="144">
        <f>'FG2'!L18</f>
        <v>0</v>
      </c>
      <c r="M40" s="144">
        <f>'FG2'!M18</f>
        <v>0</v>
      </c>
      <c r="N40" s="144">
        <f>'FG2'!N18</f>
        <v>0</v>
      </c>
      <c r="O40" s="217">
        <f t="shared" si="6"/>
        <v>0</v>
      </c>
    </row>
    <row r="41" spans="1:15" ht="13.5" customHeight="1" thickBot="1">
      <c r="A41" s="867" t="str">
        <f>'BC1'!A42</f>
        <v>Services sanitaires</v>
      </c>
      <c r="B41" s="43"/>
      <c r="C41" s="144">
        <f>'FG2'!C20</f>
        <v>0</v>
      </c>
      <c r="D41" s="144">
        <f>'FG2'!D20</f>
        <v>0</v>
      </c>
      <c r="E41" s="144">
        <f>'FG2'!E20</f>
        <v>0</v>
      </c>
      <c r="F41" s="144">
        <f>'FG2'!F20</f>
        <v>0</v>
      </c>
      <c r="G41" s="144">
        <f>'FG2'!G20</f>
        <v>0</v>
      </c>
      <c r="H41" s="144">
        <f>'FG2'!H20</f>
        <v>0</v>
      </c>
      <c r="I41" s="144">
        <f>'FG2'!I20</f>
        <v>0</v>
      </c>
      <c r="J41" s="144">
        <f>'FG2'!J20</f>
        <v>0</v>
      </c>
      <c r="K41" s="144">
        <f>'FG2'!K20</f>
        <v>0</v>
      </c>
      <c r="L41" s="144">
        <f>'FG2'!L20</f>
        <v>0</v>
      </c>
      <c r="M41" s="144">
        <f>'FG2'!M20</f>
        <v>0</v>
      </c>
      <c r="N41" s="144">
        <f>'FG2'!N20</f>
        <v>0</v>
      </c>
      <c r="O41" s="217">
        <f t="shared" si="6"/>
        <v>0</v>
      </c>
    </row>
    <row r="42" spans="1:15" ht="13.5" customHeight="1" thickBot="1">
      <c r="A42" s="867" t="str">
        <f>'BC1'!A43</f>
        <v>Frais de déplacement</v>
      </c>
      <c r="B42" s="43"/>
      <c r="C42" s="144">
        <f>'FG2'!C22</f>
        <v>0</v>
      </c>
      <c r="D42" s="144">
        <f>'FG2'!D22</f>
        <v>0</v>
      </c>
      <c r="E42" s="144">
        <f>'FG2'!E22</f>
        <v>0</v>
      </c>
      <c r="F42" s="144">
        <f>'FG2'!F22</f>
        <v>0</v>
      </c>
      <c r="G42" s="144">
        <f>'FG2'!G22</f>
        <v>0</v>
      </c>
      <c r="H42" s="144">
        <f>'FG2'!H22</f>
        <v>0</v>
      </c>
      <c r="I42" s="144">
        <f>'FG2'!I22</f>
        <v>0</v>
      </c>
      <c r="J42" s="144">
        <f>'FG2'!J22</f>
        <v>0</v>
      </c>
      <c r="K42" s="144">
        <f>'FG2'!K22</f>
        <v>0</v>
      </c>
      <c r="L42" s="144">
        <f>'FG2'!L22</f>
        <v>0</v>
      </c>
      <c r="M42" s="144">
        <f>'FG2'!M22</f>
        <v>0</v>
      </c>
      <c r="N42" s="144">
        <f>'FG2'!N22</f>
        <v>0</v>
      </c>
      <c r="O42" s="217">
        <f t="shared" si="6"/>
        <v>0</v>
      </c>
    </row>
    <row r="43" spans="1:15" ht="13.5" customHeight="1" thickBot="1">
      <c r="A43" s="867" t="str">
        <f>'BC1'!A44</f>
        <v>Immatriculation et permis</v>
      </c>
      <c r="B43" s="43"/>
      <c r="C43" s="144">
        <f>'FG2'!C24</f>
        <v>0</v>
      </c>
      <c r="D43" s="144">
        <f>'FG2'!D24</f>
        <v>0</v>
      </c>
      <c r="E43" s="144">
        <f>'FG2'!E24</f>
        <v>0</v>
      </c>
      <c r="F43" s="144">
        <f>'FG2'!F24</f>
        <v>0</v>
      </c>
      <c r="G43" s="144">
        <f>'FG2'!G24</f>
        <v>0</v>
      </c>
      <c r="H43" s="144">
        <f>'FG2'!H24</f>
        <v>0</v>
      </c>
      <c r="I43" s="144">
        <f>'FG2'!I24</f>
        <v>0</v>
      </c>
      <c r="J43" s="144">
        <f>'FG2'!J24</f>
        <v>0</v>
      </c>
      <c r="K43" s="144">
        <f>'FG2'!K24</f>
        <v>0</v>
      </c>
      <c r="L43" s="144">
        <f>'FG2'!L24</f>
        <v>0</v>
      </c>
      <c r="M43" s="144">
        <f>'FG2'!M24</f>
        <v>0</v>
      </c>
      <c r="N43" s="144">
        <f>'FG2'!N24</f>
        <v>0</v>
      </c>
      <c r="O43" s="217">
        <f t="shared" si="6"/>
        <v>0</v>
      </c>
    </row>
    <row r="44" spans="1:15" ht="13.5" customHeight="1" thickBot="1">
      <c r="A44" s="867" t="str">
        <f>'BC1'!A45</f>
        <v>Assurances</v>
      </c>
      <c r="B44" s="43"/>
      <c r="C44" s="144">
        <f>'FG2'!C26</f>
        <v>0</v>
      </c>
      <c r="D44" s="144">
        <f>'FG2'!D26</f>
        <v>0</v>
      </c>
      <c r="E44" s="144">
        <f>'FG2'!E26</f>
        <v>0</v>
      </c>
      <c r="F44" s="144">
        <f>'FG2'!F26</f>
        <v>0</v>
      </c>
      <c r="G44" s="144">
        <f>'FG2'!G26</f>
        <v>0</v>
      </c>
      <c r="H44" s="144">
        <f>'FG2'!H26</f>
        <v>0</v>
      </c>
      <c r="I44" s="144">
        <f>'FG2'!I26</f>
        <v>0</v>
      </c>
      <c r="J44" s="144">
        <f>'FG2'!J26</f>
        <v>0</v>
      </c>
      <c r="K44" s="144">
        <f>'FG2'!K26</f>
        <v>0</v>
      </c>
      <c r="L44" s="144">
        <f>'FG2'!L26</f>
        <v>0</v>
      </c>
      <c r="M44" s="144">
        <f>'FG2'!M26</f>
        <v>0</v>
      </c>
      <c r="N44" s="144">
        <f>'FG2'!N26</f>
        <v>0</v>
      </c>
      <c r="O44" s="217">
        <f t="shared" si="6"/>
        <v>0</v>
      </c>
    </row>
    <row r="45" spans="1:15" ht="13.5" customHeight="1" thickBot="1">
      <c r="A45" s="867" t="str">
        <f>'BC1'!A46</f>
        <v>Dépenses R&amp;D</v>
      </c>
      <c r="B45" s="43"/>
      <c r="C45" s="144">
        <f>'FG2'!C28</f>
        <v>0</v>
      </c>
      <c r="D45" s="144">
        <f>'FG2'!D28</f>
        <v>0</v>
      </c>
      <c r="E45" s="144">
        <f>'FG2'!E28</f>
        <v>0</v>
      </c>
      <c r="F45" s="144">
        <f>'FG2'!F28</f>
        <v>0</v>
      </c>
      <c r="G45" s="144">
        <f>'FG2'!G28</f>
        <v>0</v>
      </c>
      <c r="H45" s="144">
        <f>'FG2'!H28</f>
        <v>0</v>
      </c>
      <c r="I45" s="144">
        <f>'FG2'!I28</f>
        <v>0</v>
      </c>
      <c r="J45" s="144">
        <f>'FG2'!J28</f>
        <v>0</v>
      </c>
      <c r="K45" s="144">
        <f>'FG2'!K28</f>
        <v>0</v>
      </c>
      <c r="L45" s="144">
        <f>'FG2'!L28</f>
        <v>0</v>
      </c>
      <c r="M45" s="144">
        <f>'FG2'!M28</f>
        <v>0</v>
      </c>
      <c r="N45" s="144">
        <f>'FG2'!N28</f>
        <v>0</v>
      </c>
      <c r="O45" s="217">
        <f t="shared" si="6"/>
        <v>0</v>
      </c>
    </row>
    <row r="46" spans="1:15" ht="13.5" customHeight="1" thickBot="1">
      <c r="A46" s="867" t="str">
        <f>'BC1'!A47</f>
        <v>Autre frais d'exploitation 1</v>
      </c>
      <c r="B46" s="43"/>
      <c r="C46" s="144">
        <f>'FG2'!C30</f>
        <v>0</v>
      </c>
      <c r="D46" s="144">
        <f>'FG2'!D30</f>
        <v>0</v>
      </c>
      <c r="E46" s="144">
        <f>'FG2'!E30</f>
        <v>0</v>
      </c>
      <c r="F46" s="144">
        <f>'FG2'!F30</f>
        <v>0</v>
      </c>
      <c r="G46" s="144">
        <f>'FG2'!G30</f>
        <v>0</v>
      </c>
      <c r="H46" s="144">
        <f>'FG2'!H30</f>
        <v>0</v>
      </c>
      <c r="I46" s="144">
        <f>'FG2'!I30</f>
        <v>0</v>
      </c>
      <c r="J46" s="144">
        <f>'FG2'!J30</f>
        <v>0</v>
      </c>
      <c r="K46" s="144">
        <f>'FG2'!K30</f>
        <v>0</v>
      </c>
      <c r="L46" s="144">
        <f>'FG2'!L30</f>
        <v>0</v>
      </c>
      <c r="M46" s="144">
        <f>'FG2'!M30</f>
        <v>0</v>
      </c>
      <c r="N46" s="144">
        <f>'FG2'!N30</f>
        <v>0</v>
      </c>
      <c r="O46" s="217">
        <f t="shared" si="6"/>
        <v>0</v>
      </c>
    </row>
    <row r="47" spans="1:15" ht="13.5" customHeight="1" thickBot="1">
      <c r="A47" s="867" t="str">
        <f>'BC1'!A48</f>
        <v>Autre frais d'exploitation 2</v>
      </c>
      <c r="B47" s="43"/>
      <c r="C47" s="144">
        <f>'FG2'!C32</f>
        <v>0</v>
      </c>
      <c r="D47" s="144">
        <f>'FG2'!D32</f>
        <v>0</v>
      </c>
      <c r="E47" s="144">
        <f>'FG2'!E32</f>
        <v>0</v>
      </c>
      <c r="F47" s="144">
        <f>'FG2'!F32</f>
        <v>0</v>
      </c>
      <c r="G47" s="144">
        <f>'FG2'!G32</f>
        <v>0</v>
      </c>
      <c r="H47" s="144">
        <f>'FG2'!H32</f>
        <v>0</v>
      </c>
      <c r="I47" s="144">
        <f>'FG2'!I32</f>
        <v>0</v>
      </c>
      <c r="J47" s="144">
        <f>'FG2'!J32</f>
        <v>0</v>
      </c>
      <c r="K47" s="144">
        <f>'FG2'!K32</f>
        <v>0</v>
      </c>
      <c r="L47" s="144">
        <f>'FG2'!L32</f>
        <v>0</v>
      </c>
      <c r="M47" s="144">
        <f>'FG2'!M32</f>
        <v>0</v>
      </c>
      <c r="N47" s="144">
        <f>'FG2'!N32</f>
        <v>0</v>
      </c>
      <c r="O47" s="217">
        <f t="shared" si="6"/>
        <v>0</v>
      </c>
    </row>
    <row r="48" spans="1:15" ht="13.5" customHeight="1" thickBot="1">
      <c r="A48" s="867" t="str">
        <f>'BC1'!A49</f>
        <v>Autre frais d'exploitation 3</v>
      </c>
      <c r="B48" s="43"/>
      <c r="C48" s="144">
        <f>'FG2'!C34</f>
        <v>0</v>
      </c>
      <c r="D48" s="144">
        <f>'FG2'!D34</f>
        <v>0</v>
      </c>
      <c r="E48" s="144">
        <f>'FG2'!E34</f>
        <v>0</v>
      </c>
      <c r="F48" s="144">
        <f>'FG2'!F34</f>
        <v>0</v>
      </c>
      <c r="G48" s="144">
        <f>'FG2'!G34</f>
        <v>0</v>
      </c>
      <c r="H48" s="144">
        <f>'FG2'!H34</f>
        <v>0</v>
      </c>
      <c r="I48" s="144">
        <f>'FG2'!I34</f>
        <v>0</v>
      </c>
      <c r="J48" s="144">
        <f>'FG2'!J34</f>
        <v>0</v>
      </c>
      <c r="K48" s="144">
        <f>'FG2'!K34</f>
        <v>0</v>
      </c>
      <c r="L48" s="144">
        <f>'FG2'!L34</f>
        <v>0</v>
      </c>
      <c r="M48" s="144">
        <f>'FG2'!M34</f>
        <v>0</v>
      </c>
      <c r="N48" s="144">
        <f>'FG2'!N34</f>
        <v>0</v>
      </c>
      <c r="O48" s="217">
        <f t="shared" si="6"/>
        <v>0</v>
      </c>
    </row>
    <row r="49" spans="1:16" ht="13.5" customHeight="1" thickBot="1">
      <c r="A49" s="867" t="str">
        <f>'BC1'!A50</f>
        <v>Autre frais d'exploitation 4</v>
      </c>
      <c r="B49" s="43"/>
      <c r="C49" s="144">
        <f>'FG2'!C36</f>
        <v>0</v>
      </c>
      <c r="D49" s="144">
        <f>'FG2'!D36</f>
        <v>0</v>
      </c>
      <c r="E49" s="144">
        <f>'FG2'!E36</f>
        <v>0</v>
      </c>
      <c r="F49" s="144">
        <f>'FG2'!F36</f>
        <v>0</v>
      </c>
      <c r="G49" s="144">
        <f>'FG2'!G36</f>
        <v>0</v>
      </c>
      <c r="H49" s="144">
        <f>'FG2'!H36</f>
        <v>0</v>
      </c>
      <c r="I49" s="144">
        <f>'FG2'!I36</f>
        <v>0</v>
      </c>
      <c r="J49" s="144">
        <f>'FG2'!J36</f>
        <v>0</v>
      </c>
      <c r="K49" s="144">
        <f>'FG2'!K36</f>
        <v>0</v>
      </c>
      <c r="L49" s="144">
        <f>'FG2'!L36</f>
        <v>0</v>
      </c>
      <c r="M49" s="144">
        <f>'FG2'!M36</f>
        <v>0</v>
      </c>
      <c r="N49" s="144">
        <f>'FG2'!N36</f>
        <v>0</v>
      </c>
      <c r="O49" s="217">
        <f t="shared" si="6"/>
        <v>0</v>
      </c>
    </row>
    <row r="50" spans="1:16" ht="13.5" customHeight="1" thickBot="1">
      <c r="A50" s="867" t="str">
        <f>'BC1'!A51</f>
        <v>Autre frais d'exploitation 5</v>
      </c>
      <c r="B50" s="43"/>
      <c r="C50" s="144">
        <f>'FG2'!C38</f>
        <v>0</v>
      </c>
      <c r="D50" s="144">
        <f>'FG2'!D38</f>
        <v>0</v>
      </c>
      <c r="E50" s="144">
        <f>'FG2'!E38</f>
        <v>0</v>
      </c>
      <c r="F50" s="144">
        <f>'FG2'!F38</f>
        <v>0</v>
      </c>
      <c r="G50" s="144">
        <f>'FG2'!G38</f>
        <v>0</v>
      </c>
      <c r="H50" s="144">
        <f>'FG2'!H38</f>
        <v>0</v>
      </c>
      <c r="I50" s="144">
        <f>'FG2'!I38</f>
        <v>0</v>
      </c>
      <c r="J50" s="144">
        <f>'FG2'!J38</f>
        <v>0</v>
      </c>
      <c r="K50" s="144">
        <f>'FG2'!K38</f>
        <v>0</v>
      </c>
      <c r="L50" s="144">
        <f>'FG2'!L38</f>
        <v>0</v>
      </c>
      <c r="M50" s="144">
        <f>'FG2'!M38</f>
        <v>0</v>
      </c>
      <c r="N50" s="144">
        <f>'FG2'!N38</f>
        <v>0</v>
      </c>
      <c r="O50" s="217">
        <f t="shared" si="6"/>
        <v>0</v>
      </c>
    </row>
    <row r="51" spans="1:16" ht="13.5" customHeight="1" thickBot="1">
      <c r="A51" s="867" t="str">
        <f>'BC1'!A52</f>
        <v>Autre frais d'exploitation 6</v>
      </c>
      <c r="B51" s="43"/>
      <c r="C51" s="144">
        <f>'FG2'!C40</f>
        <v>0</v>
      </c>
      <c r="D51" s="144">
        <f>'FG2'!D40</f>
        <v>0</v>
      </c>
      <c r="E51" s="144">
        <f>'FG2'!E40</f>
        <v>0</v>
      </c>
      <c r="F51" s="144">
        <f>'FG2'!F40</f>
        <v>0</v>
      </c>
      <c r="G51" s="144">
        <f>'FG2'!G40</f>
        <v>0</v>
      </c>
      <c r="H51" s="144">
        <f>'FG2'!H40</f>
        <v>0</v>
      </c>
      <c r="I51" s="144">
        <f>'FG2'!I40</f>
        <v>0</v>
      </c>
      <c r="J51" s="144">
        <f>'FG2'!J40</f>
        <v>0</v>
      </c>
      <c r="K51" s="144">
        <f>'FG2'!K40</f>
        <v>0</v>
      </c>
      <c r="L51" s="144">
        <f>'FG2'!L40</f>
        <v>0</v>
      </c>
      <c r="M51" s="144">
        <f>'FG2'!M40</f>
        <v>0</v>
      </c>
      <c r="N51" s="144">
        <f>'FG2'!N40</f>
        <v>0</v>
      </c>
      <c r="O51" s="217">
        <f t="shared" si="6"/>
        <v>0</v>
      </c>
    </row>
    <row r="52" spans="1:16" ht="13.5" customHeight="1" thickBot="1">
      <c r="A52" s="867" t="str">
        <f>'BC1'!A53</f>
        <v>Autre frais d'exploitation 7</v>
      </c>
      <c r="B52" s="43"/>
      <c r="C52" s="144">
        <f>'FG2'!C42</f>
        <v>0</v>
      </c>
      <c r="D52" s="144">
        <f>'FG2'!D42</f>
        <v>0</v>
      </c>
      <c r="E52" s="144">
        <f>'FG2'!E42</f>
        <v>0</v>
      </c>
      <c r="F52" s="144">
        <f>'FG2'!F42</f>
        <v>0</v>
      </c>
      <c r="G52" s="144">
        <f>'FG2'!G42</f>
        <v>0</v>
      </c>
      <c r="H52" s="144">
        <f>'FG2'!H42</f>
        <v>0</v>
      </c>
      <c r="I52" s="144">
        <f>'FG2'!I42</f>
        <v>0</v>
      </c>
      <c r="J52" s="144">
        <f>'FG2'!J42</f>
        <v>0</v>
      </c>
      <c r="K52" s="144">
        <f>'FG2'!K42</f>
        <v>0</v>
      </c>
      <c r="L52" s="144">
        <f>'FG2'!L42</f>
        <v>0</v>
      </c>
      <c r="M52" s="144">
        <f>'FG2'!M42</f>
        <v>0</v>
      </c>
      <c r="N52" s="144">
        <f>'FG2'!N42</f>
        <v>0</v>
      </c>
      <c r="O52" s="217">
        <f t="shared" si="6"/>
        <v>0</v>
      </c>
    </row>
    <row r="53" spans="1:16" ht="13.5" customHeight="1" thickBot="1">
      <c r="A53" s="867" t="str">
        <f>'BC1'!A54</f>
        <v>Autre frais d'exploitation 8</v>
      </c>
      <c r="B53" s="43"/>
      <c r="C53" s="144">
        <f>'FG2'!C44</f>
        <v>0</v>
      </c>
      <c r="D53" s="144">
        <f>'FG2'!D44</f>
        <v>0</v>
      </c>
      <c r="E53" s="144">
        <f>'FG2'!E44</f>
        <v>0</v>
      </c>
      <c r="F53" s="144">
        <f>'FG2'!F44</f>
        <v>0</v>
      </c>
      <c r="G53" s="144">
        <f>'FG2'!G44</f>
        <v>0</v>
      </c>
      <c r="H53" s="144">
        <f>'FG2'!H44</f>
        <v>0</v>
      </c>
      <c r="I53" s="144">
        <f>'FG2'!I44</f>
        <v>0</v>
      </c>
      <c r="J53" s="144">
        <f>'FG2'!J44</f>
        <v>0</v>
      </c>
      <c r="K53" s="144">
        <f>'FG2'!K44</f>
        <v>0</v>
      </c>
      <c r="L53" s="144">
        <f>'FG2'!L44</f>
        <v>0</v>
      </c>
      <c r="M53" s="144">
        <f>'FG2'!M44</f>
        <v>0</v>
      </c>
      <c r="N53" s="144">
        <f>'FG2'!N44</f>
        <v>0</v>
      </c>
      <c r="O53" s="217">
        <f t="shared" si="6"/>
        <v>0</v>
      </c>
    </row>
    <row r="54" spans="1:16" ht="13.5" customHeight="1" thickBot="1">
      <c r="A54" s="48" t="str">
        <f>'BC1'!A55</f>
        <v>FRAIS DE VENTE</v>
      </c>
      <c r="B54" s="43"/>
      <c r="C54" s="214"/>
      <c r="D54" s="214"/>
      <c r="E54" s="214"/>
      <c r="F54" s="214"/>
      <c r="G54" s="214"/>
      <c r="H54" s="214"/>
      <c r="I54" s="214"/>
      <c r="J54" s="214"/>
      <c r="K54" s="214"/>
      <c r="L54" s="214"/>
      <c r="M54" s="214"/>
      <c r="N54" s="214"/>
      <c r="O54" s="1088">
        <v>1E-3</v>
      </c>
      <c r="P54" s="117"/>
    </row>
    <row r="55" spans="1:16" ht="13.5" customHeight="1" thickBot="1">
      <c r="A55" s="867" t="str">
        <f>'BC1'!A56</f>
        <v>Frais de représentation</v>
      </c>
      <c r="B55" s="43"/>
      <c r="C55" s="144">
        <f>'FG2'!C47</f>
        <v>0</v>
      </c>
      <c r="D55" s="144">
        <f>'FG2'!D47</f>
        <v>0</v>
      </c>
      <c r="E55" s="144">
        <f>'FG2'!E47</f>
        <v>0</v>
      </c>
      <c r="F55" s="144">
        <f>'FG2'!F47</f>
        <v>0</v>
      </c>
      <c r="G55" s="144">
        <f>'FG2'!G47</f>
        <v>0</v>
      </c>
      <c r="H55" s="144">
        <f>'FG2'!H47</f>
        <v>0</v>
      </c>
      <c r="I55" s="144">
        <f>'FG2'!I47</f>
        <v>0</v>
      </c>
      <c r="J55" s="144">
        <f>'FG2'!J47</f>
        <v>0</v>
      </c>
      <c r="K55" s="144">
        <f>'FG2'!K47</f>
        <v>0</v>
      </c>
      <c r="L55" s="144">
        <f>'FG2'!L47</f>
        <v>0</v>
      </c>
      <c r="M55" s="144">
        <f>'FG2'!M47</f>
        <v>0</v>
      </c>
      <c r="N55" s="144">
        <f>'FG2'!N47</f>
        <v>0</v>
      </c>
      <c r="O55" s="217">
        <f t="shared" si="6"/>
        <v>0</v>
      </c>
      <c r="P55" s="117"/>
    </row>
    <row r="56" spans="1:16" ht="13.5" customHeight="1" thickBot="1">
      <c r="A56" s="867" t="str">
        <f>'BC1'!A57</f>
        <v>Publicité</v>
      </c>
      <c r="B56" s="43"/>
      <c r="C56" s="144">
        <f>'FG2'!C49</f>
        <v>0</v>
      </c>
      <c r="D56" s="144">
        <f>'FG2'!D49</f>
        <v>0</v>
      </c>
      <c r="E56" s="144">
        <f>'FG2'!E49</f>
        <v>0</v>
      </c>
      <c r="F56" s="144">
        <f>'FG2'!F49</f>
        <v>0</v>
      </c>
      <c r="G56" s="144">
        <f>'FG2'!G49</f>
        <v>0</v>
      </c>
      <c r="H56" s="144">
        <f>'FG2'!H49</f>
        <v>0</v>
      </c>
      <c r="I56" s="144">
        <f>'FG2'!I49</f>
        <v>0</v>
      </c>
      <c r="J56" s="144">
        <f>'FG2'!J49</f>
        <v>0</v>
      </c>
      <c r="K56" s="144">
        <f>'FG2'!K49</f>
        <v>0</v>
      </c>
      <c r="L56" s="144">
        <f>'FG2'!L49</f>
        <v>0</v>
      </c>
      <c r="M56" s="144">
        <f>'FG2'!M49</f>
        <v>0</v>
      </c>
      <c r="N56" s="144">
        <f>'FG2'!N49</f>
        <v>0</v>
      </c>
      <c r="O56" s="217">
        <f t="shared" si="6"/>
        <v>0</v>
      </c>
      <c r="P56" s="117"/>
    </row>
    <row r="57" spans="1:16" ht="13.5" customHeight="1" thickBot="1">
      <c r="A57" s="867" t="str">
        <f>'BC1'!A58</f>
        <v>Autres frais de vente 1</v>
      </c>
      <c r="B57" s="43"/>
      <c r="C57" s="144">
        <f>'FG2'!C51</f>
        <v>0</v>
      </c>
      <c r="D57" s="144">
        <f>'FG2'!D51</f>
        <v>0</v>
      </c>
      <c r="E57" s="144">
        <f>'FG2'!E51</f>
        <v>0</v>
      </c>
      <c r="F57" s="144">
        <f>'FG2'!F51</f>
        <v>0</v>
      </c>
      <c r="G57" s="144">
        <f>'FG2'!G51</f>
        <v>0</v>
      </c>
      <c r="H57" s="144">
        <f>'FG2'!H51</f>
        <v>0</v>
      </c>
      <c r="I57" s="144">
        <f>'FG2'!I51</f>
        <v>0</v>
      </c>
      <c r="J57" s="144">
        <f>'FG2'!J51</f>
        <v>0</v>
      </c>
      <c r="K57" s="144">
        <f>'FG2'!K51</f>
        <v>0</v>
      </c>
      <c r="L57" s="144">
        <f>'FG2'!L51</f>
        <v>0</v>
      </c>
      <c r="M57" s="144">
        <f>'FG2'!M51</f>
        <v>0</v>
      </c>
      <c r="N57" s="144">
        <f>'FG2'!N51</f>
        <v>0</v>
      </c>
      <c r="O57" s="217">
        <f t="shared" si="6"/>
        <v>0</v>
      </c>
      <c r="P57" s="117"/>
    </row>
    <row r="58" spans="1:16" ht="13.5" customHeight="1" thickBot="1">
      <c r="A58" s="867" t="str">
        <f>'BC1'!A59</f>
        <v>Autres frais de vente 2</v>
      </c>
      <c r="B58" s="43"/>
      <c r="C58" s="144">
        <f>'FG2'!C53</f>
        <v>0</v>
      </c>
      <c r="D58" s="144">
        <f>'FG2'!D53</f>
        <v>0</v>
      </c>
      <c r="E58" s="144">
        <f>'FG2'!E53</f>
        <v>0</v>
      </c>
      <c r="F58" s="144">
        <f>'FG2'!F53</f>
        <v>0</v>
      </c>
      <c r="G58" s="144">
        <f>'FG2'!G53</f>
        <v>0</v>
      </c>
      <c r="H58" s="144">
        <f>'FG2'!H53</f>
        <v>0</v>
      </c>
      <c r="I58" s="144">
        <f>'FG2'!I53</f>
        <v>0</v>
      </c>
      <c r="J58" s="144">
        <f>'FG2'!J53</f>
        <v>0</v>
      </c>
      <c r="K58" s="144">
        <f>'FG2'!K53</f>
        <v>0</v>
      </c>
      <c r="L58" s="144">
        <f>'FG2'!L53</f>
        <v>0</v>
      </c>
      <c r="M58" s="144">
        <f>'FG2'!M53</f>
        <v>0</v>
      </c>
      <c r="N58" s="144">
        <f>'FG2'!N53</f>
        <v>0</v>
      </c>
      <c r="O58" s="217">
        <f>SUM(C58:N58)</f>
        <v>0</v>
      </c>
      <c r="P58" s="117"/>
    </row>
    <row r="59" spans="1:16" ht="13.5" customHeight="1" thickBot="1">
      <c r="A59" s="867" t="str">
        <f>'BC1'!A60</f>
        <v>Autres frais de vente 3</v>
      </c>
      <c r="B59" s="43"/>
      <c r="C59" s="144">
        <f>'FG2'!C55</f>
        <v>0</v>
      </c>
      <c r="D59" s="144">
        <f>'FG2'!D55</f>
        <v>0</v>
      </c>
      <c r="E59" s="144">
        <f>'FG2'!E55</f>
        <v>0</v>
      </c>
      <c r="F59" s="144">
        <f>'FG2'!F55</f>
        <v>0</v>
      </c>
      <c r="G59" s="144">
        <f>'FG2'!G55</f>
        <v>0</v>
      </c>
      <c r="H59" s="144">
        <f>'FG2'!H55</f>
        <v>0</v>
      </c>
      <c r="I59" s="144">
        <f>'FG2'!I55</f>
        <v>0</v>
      </c>
      <c r="J59" s="144">
        <f>'FG2'!J55</f>
        <v>0</v>
      </c>
      <c r="K59" s="144">
        <f>'FG2'!K55</f>
        <v>0</v>
      </c>
      <c r="L59" s="144">
        <f>'FG2'!L55</f>
        <v>0</v>
      </c>
      <c r="M59" s="144">
        <f>'FG2'!M55</f>
        <v>0</v>
      </c>
      <c r="N59" s="144">
        <f>'FG2'!N55</f>
        <v>0</v>
      </c>
      <c r="O59" s="217">
        <f>SUM(C59:N59)</f>
        <v>0</v>
      </c>
      <c r="P59" s="117"/>
    </row>
    <row r="60" spans="1:16" ht="13.5" customHeight="1" thickBot="1">
      <c r="A60" s="867" t="str">
        <f>'BC1'!A61</f>
        <v>Autres frais de vente 4</v>
      </c>
      <c r="B60" s="43"/>
      <c r="C60" s="144">
        <f>'FG2'!C57</f>
        <v>0</v>
      </c>
      <c r="D60" s="144">
        <f>'FG2'!D57</f>
        <v>0</v>
      </c>
      <c r="E60" s="144">
        <f>'FG2'!E57</f>
        <v>0</v>
      </c>
      <c r="F60" s="144">
        <f>'FG2'!F57</f>
        <v>0</v>
      </c>
      <c r="G60" s="144">
        <f>'FG2'!G57</f>
        <v>0</v>
      </c>
      <c r="H60" s="144">
        <f>'FG2'!H57</f>
        <v>0</v>
      </c>
      <c r="I60" s="144">
        <f>'FG2'!I57</f>
        <v>0</v>
      </c>
      <c r="J60" s="144">
        <f>'FG2'!J57</f>
        <v>0</v>
      </c>
      <c r="K60" s="144">
        <f>'FG2'!K57</f>
        <v>0</v>
      </c>
      <c r="L60" s="144">
        <f>'FG2'!L57</f>
        <v>0</v>
      </c>
      <c r="M60" s="144">
        <f>'FG2'!M57</f>
        <v>0</v>
      </c>
      <c r="N60" s="144">
        <f>'FG2'!N57</f>
        <v>0</v>
      </c>
      <c r="O60" s="217">
        <f>SUM(C60:N60)</f>
        <v>0</v>
      </c>
      <c r="P60" s="117"/>
    </row>
    <row r="61" spans="1:16" ht="13.5" customHeight="1" thickBot="1">
      <c r="A61" s="867" t="str">
        <f>'BC1'!A62</f>
        <v>Autres frais de vente 5</v>
      </c>
      <c r="B61" s="43"/>
      <c r="C61" s="144">
        <f>'FG2'!C59</f>
        <v>0</v>
      </c>
      <c r="D61" s="144">
        <f>'FG2'!D59</f>
        <v>0</v>
      </c>
      <c r="E61" s="144">
        <f>'FG2'!E59</f>
        <v>0</v>
      </c>
      <c r="F61" s="144">
        <f>'FG2'!F59</f>
        <v>0</v>
      </c>
      <c r="G61" s="144">
        <f>'FG2'!G59</f>
        <v>0</v>
      </c>
      <c r="H61" s="144">
        <f>'FG2'!H59</f>
        <v>0</v>
      </c>
      <c r="I61" s="144">
        <f>'FG2'!I59</f>
        <v>0</v>
      </c>
      <c r="J61" s="144">
        <f>'FG2'!J59</f>
        <v>0</v>
      </c>
      <c r="K61" s="144">
        <f>'FG2'!K59</f>
        <v>0</v>
      </c>
      <c r="L61" s="144">
        <f>'FG2'!L59</f>
        <v>0</v>
      </c>
      <c r="M61" s="144">
        <f>'FG2'!M59</f>
        <v>0</v>
      </c>
      <c r="N61" s="144">
        <f>'FG2'!N59</f>
        <v>0</v>
      </c>
      <c r="O61" s="217">
        <f>SUM(C61:N61)</f>
        <v>0</v>
      </c>
      <c r="P61" s="117"/>
    </row>
    <row r="62" spans="1:16" ht="13.5" customHeight="1" thickBot="1">
      <c r="A62" s="48" t="str">
        <f>'BC1'!A63</f>
        <v>FRAIS D'ADMINISTRATION</v>
      </c>
      <c r="B62" s="43"/>
      <c r="C62" s="214"/>
      <c r="D62" s="214"/>
      <c r="E62" s="214"/>
      <c r="F62" s="214"/>
      <c r="G62" s="214"/>
      <c r="H62" s="214"/>
      <c r="I62" s="214"/>
      <c r="J62" s="214"/>
      <c r="K62" s="214"/>
      <c r="L62" s="214"/>
      <c r="M62" s="214"/>
      <c r="N62" s="214"/>
      <c r="O62" s="1088">
        <v>1E-3</v>
      </c>
      <c r="P62" s="117"/>
    </row>
    <row r="63" spans="1:16" ht="13.5" customHeight="1" thickBot="1">
      <c r="A63" s="867" t="str">
        <f>'BC1'!A64</f>
        <v>Salaires administratifs</v>
      </c>
      <c r="B63" s="43"/>
      <c r="C63" s="144">
        <f>TE!C144+TE!C146</f>
        <v>3529.2</v>
      </c>
      <c r="D63" s="144">
        <f>TE!D144+TE!D146</f>
        <v>3529.2</v>
      </c>
      <c r="E63" s="144">
        <f>TE!E144+TE!E146</f>
        <v>3529.2</v>
      </c>
      <c r="F63" s="144">
        <f>TE!F144+TE!F146</f>
        <v>3529.2</v>
      </c>
      <c r="G63" s="144">
        <f>TE!G144+TE!G146</f>
        <v>3529.2</v>
      </c>
      <c r="H63" s="144">
        <f>TE!H144+TE!H146</f>
        <v>3529.2</v>
      </c>
      <c r="I63" s="144">
        <f>TE!I144+TE!I146</f>
        <v>3529.2</v>
      </c>
      <c r="J63" s="144">
        <f>TE!J144+TE!J146</f>
        <v>3529.2</v>
      </c>
      <c r="K63" s="144">
        <f>TE!K144+TE!K146</f>
        <v>3529.2</v>
      </c>
      <c r="L63" s="144">
        <f>TE!L144+TE!L146</f>
        <v>3529.2</v>
      </c>
      <c r="M63" s="144">
        <f>TE!M144+TE!M146</f>
        <v>3529.2</v>
      </c>
      <c r="N63" s="144">
        <f>TE!N144+TE!N146</f>
        <v>3529.2</v>
      </c>
      <c r="O63" s="217">
        <f t="shared" si="6"/>
        <v>42350.399999999994</v>
      </c>
      <c r="P63" s="117"/>
    </row>
    <row r="64" spans="1:16" ht="13.5" customHeight="1" thickBot="1">
      <c r="A64" s="867" t="str">
        <f>'BC1'!A65</f>
        <v xml:space="preserve">   avantages</v>
      </c>
      <c r="B64" s="43"/>
      <c r="C64" s="144">
        <f>TE!N133+TE!N135</f>
        <v>898</v>
      </c>
      <c r="D64" s="144">
        <f>TE!C145+TE!C147</f>
        <v>916</v>
      </c>
      <c r="E64" s="144">
        <f>TE!D145+TE!D147</f>
        <v>916</v>
      </c>
      <c r="F64" s="144">
        <f>TE!E145+TE!E147</f>
        <v>916</v>
      </c>
      <c r="G64" s="144">
        <f>TE!F145+TE!F147</f>
        <v>916</v>
      </c>
      <c r="H64" s="144">
        <f>TE!G145+TE!G147</f>
        <v>916</v>
      </c>
      <c r="I64" s="144">
        <f>TE!H145+TE!H147</f>
        <v>916</v>
      </c>
      <c r="J64" s="144">
        <f>TE!I145+TE!I147</f>
        <v>916</v>
      </c>
      <c r="K64" s="144">
        <f>TE!J145+TE!J147</f>
        <v>916</v>
      </c>
      <c r="L64" s="144">
        <f>TE!K145+TE!K147</f>
        <v>916</v>
      </c>
      <c r="M64" s="144">
        <f>TE!L145+TE!L147</f>
        <v>916</v>
      </c>
      <c r="N64" s="144">
        <f>TE!M145+TE!M147</f>
        <v>916</v>
      </c>
      <c r="O64" s="217">
        <f t="shared" si="6"/>
        <v>10974</v>
      </c>
    </row>
    <row r="65" spans="1:16" ht="13.5" customHeight="1" thickBot="1">
      <c r="A65" s="867" t="str">
        <f>'BC1'!A66</f>
        <v>Téléphonie et internet</v>
      </c>
      <c r="B65" s="43"/>
      <c r="C65" s="144">
        <f>'FG2'!C62</f>
        <v>0</v>
      </c>
      <c r="D65" s="144">
        <f>'FG2'!D62</f>
        <v>0</v>
      </c>
      <c r="E65" s="144">
        <f>'FG2'!E62</f>
        <v>0</v>
      </c>
      <c r="F65" s="144">
        <f>'FG2'!F62</f>
        <v>0</v>
      </c>
      <c r="G65" s="144">
        <f>'FG2'!G62</f>
        <v>0</v>
      </c>
      <c r="H65" s="144">
        <f>'FG2'!H62</f>
        <v>0</v>
      </c>
      <c r="I65" s="144">
        <f>'FG2'!I62</f>
        <v>0</v>
      </c>
      <c r="J65" s="144">
        <f>'FG2'!J62</f>
        <v>0</v>
      </c>
      <c r="K65" s="144">
        <f>'FG2'!K62</f>
        <v>0</v>
      </c>
      <c r="L65" s="144">
        <f>'FG2'!L62</f>
        <v>0</v>
      </c>
      <c r="M65" s="144">
        <f>'FG2'!M62</f>
        <v>0</v>
      </c>
      <c r="N65" s="144">
        <f>'FG2'!N62</f>
        <v>0</v>
      </c>
      <c r="O65" s="217">
        <f t="shared" si="6"/>
        <v>0</v>
      </c>
    </row>
    <row r="66" spans="1:16" ht="13.5" customHeight="1" thickBot="1">
      <c r="A66" s="867" t="str">
        <f>'BC1'!A67</f>
        <v>Honoraires professionnels</v>
      </c>
      <c r="B66" s="43"/>
      <c r="C66" s="144">
        <f>'FG2'!C64</f>
        <v>0</v>
      </c>
      <c r="D66" s="144">
        <f>'FG2'!D64</f>
        <v>0</v>
      </c>
      <c r="E66" s="144">
        <f>'FG2'!E64</f>
        <v>0</v>
      </c>
      <c r="F66" s="144">
        <f>'FG2'!F64</f>
        <v>0</v>
      </c>
      <c r="G66" s="144">
        <f>'FG2'!G64</f>
        <v>0</v>
      </c>
      <c r="H66" s="144">
        <f>'FG2'!H64</f>
        <v>0</v>
      </c>
      <c r="I66" s="144">
        <f>'FG2'!I64</f>
        <v>0</v>
      </c>
      <c r="J66" s="144">
        <f>'FG2'!J64</f>
        <v>0</v>
      </c>
      <c r="K66" s="144">
        <f>'FG2'!K64</f>
        <v>0</v>
      </c>
      <c r="L66" s="144">
        <f>'FG2'!L64</f>
        <v>0</v>
      </c>
      <c r="M66" s="144">
        <f>'FG2'!M64</f>
        <v>0</v>
      </c>
      <c r="N66" s="144">
        <f>'FG2'!N64</f>
        <v>0</v>
      </c>
      <c r="O66" s="217">
        <f t="shared" si="6"/>
        <v>0</v>
      </c>
    </row>
    <row r="67" spans="1:16" ht="13.5" customHeight="1" thickBot="1">
      <c r="A67" s="867" t="str">
        <f>'BC1'!A68</f>
        <v>Frais de bureau</v>
      </c>
      <c r="B67" s="43"/>
      <c r="C67" s="144">
        <f>'FG2'!C66</f>
        <v>0</v>
      </c>
      <c r="D67" s="144">
        <f>'FG2'!D66</f>
        <v>0</v>
      </c>
      <c r="E67" s="144">
        <f>'FG2'!E66</f>
        <v>0</v>
      </c>
      <c r="F67" s="144">
        <f>'FG2'!F66</f>
        <v>0</v>
      </c>
      <c r="G67" s="144">
        <f>'FG2'!G66</f>
        <v>0</v>
      </c>
      <c r="H67" s="144">
        <f>'FG2'!H66</f>
        <v>0</v>
      </c>
      <c r="I67" s="144">
        <f>'FG2'!I66</f>
        <v>0</v>
      </c>
      <c r="J67" s="144">
        <f>'FG2'!J66</f>
        <v>0</v>
      </c>
      <c r="K67" s="144">
        <f>'FG2'!K66</f>
        <v>0</v>
      </c>
      <c r="L67" s="144">
        <f>'FG2'!L66</f>
        <v>0</v>
      </c>
      <c r="M67" s="144">
        <f>'FG2'!M66</f>
        <v>0</v>
      </c>
      <c r="N67" s="144">
        <f>'FG2'!N66</f>
        <v>0</v>
      </c>
      <c r="O67" s="217">
        <f t="shared" si="6"/>
        <v>0</v>
      </c>
    </row>
    <row r="68" spans="1:16" ht="13.5" customHeight="1" thickBot="1">
      <c r="A68" s="867" t="str">
        <f>'BC1'!A69</f>
        <v>Mauvaises créances</v>
      </c>
      <c r="B68" s="43"/>
      <c r="C68" s="144">
        <f>'FG2'!C68</f>
        <v>0</v>
      </c>
      <c r="D68" s="144">
        <f>'FG2'!D68</f>
        <v>0</v>
      </c>
      <c r="E68" s="144">
        <f>'FG2'!E68</f>
        <v>0</v>
      </c>
      <c r="F68" s="144">
        <f>'FG2'!F68</f>
        <v>0</v>
      </c>
      <c r="G68" s="144">
        <f>'FG2'!G68</f>
        <v>0</v>
      </c>
      <c r="H68" s="144">
        <f>'FG2'!H68</f>
        <v>0</v>
      </c>
      <c r="I68" s="144">
        <f>'FG2'!I68</f>
        <v>0</v>
      </c>
      <c r="J68" s="144">
        <f>'FG2'!J68</f>
        <v>0</v>
      </c>
      <c r="K68" s="144">
        <f>'FG2'!K68</f>
        <v>0</v>
      </c>
      <c r="L68" s="144">
        <f>'FG2'!L68</f>
        <v>0</v>
      </c>
      <c r="M68" s="144">
        <f>'FG2'!M68</f>
        <v>0</v>
      </c>
      <c r="N68" s="144">
        <f>'FG2'!N68</f>
        <v>0</v>
      </c>
      <c r="O68" s="217">
        <f t="shared" si="6"/>
        <v>0</v>
      </c>
    </row>
    <row r="69" spans="1:16" ht="13.5" customHeight="1" thickBot="1">
      <c r="A69" s="867" t="str">
        <f>'BC1'!A70</f>
        <v>Fournitures de bureau</v>
      </c>
      <c r="B69" s="43"/>
      <c r="C69" s="144">
        <f>'FG2'!C70</f>
        <v>0</v>
      </c>
      <c r="D69" s="144">
        <f>'FG2'!D70</f>
        <v>0</v>
      </c>
      <c r="E69" s="144">
        <f>'FG2'!E70</f>
        <v>0</v>
      </c>
      <c r="F69" s="144">
        <f>'FG2'!F70</f>
        <v>0</v>
      </c>
      <c r="G69" s="144">
        <f>'FG2'!G70</f>
        <v>0</v>
      </c>
      <c r="H69" s="144">
        <f>'FG2'!H70</f>
        <v>0</v>
      </c>
      <c r="I69" s="144">
        <f>'FG2'!I70</f>
        <v>0</v>
      </c>
      <c r="J69" s="144">
        <f>'FG2'!J70</f>
        <v>0</v>
      </c>
      <c r="K69" s="144">
        <f>'FG2'!K70</f>
        <v>0</v>
      </c>
      <c r="L69" s="144">
        <f>'FG2'!L70</f>
        <v>0</v>
      </c>
      <c r="M69" s="144">
        <f>'FG2'!M70</f>
        <v>0</v>
      </c>
      <c r="N69" s="144">
        <f>'FG2'!N70</f>
        <v>0</v>
      </c>
      <c r="O69" s="217">
        <f t="shared" si="6"/>
        <v>0</v>
      </c>
    </row>
    <row r="70" spans="1:16" ht="13.5" customHeight="1" thickBot="1">
      <c r="A70" s="867" t="str">
        <f>'BC1'!A71</f>
        <v>Fais d'hébèrgement de site Web</v>
      </c>
      <c r="B70" s="43"/>
      <c r="C70" s="144">
        <f>'FG2'!C72</f>
        <v>0</v>
      </c>
      <c r="D70" s="144">
        <f>'FG2'!D72</f>
        <v>0</v>
      </c>
      <c r="E70" s="144">
        <f>'FG2'!E72</f>
        <v>0</v>
      </c>
      <c r="F70" s="144">
        <f>'FG2'!F72</f>
        <v>0</v>
      </c>
      <c r="G70" s="144">
        <f>'FG2'!G72</f>
        <v>0</v>
      </c>
      <c r="H70" s="144">
        <f>'FG2'!H72</f>
        <v>0</v>
      </c>
      <c r="I70" s="144">
        <f>'FG2'!I72</f>
        <v>0</v>
      </c>
      <c r="J70" s="144">
        <f>'FG2'!J72</f>
        <v>0</v>
      </c>
      <c r="K70" s="144">
        <f>'FG2'!K72</f>
        <v>0</v>
      </c>
      <c r="L70" s="144">
        <f>'FG2'!L72</f>
        <v>0</v>
      </c>
      <c r="M70" s="144">
        <f>'FG2'!M72</f>
        <v>0</v>
      </c>
      <c r="N70" s="144">
        <f>'FG2'!N72</f>
        <v>0</v>
      </c>
      <c r="O70" s="217">
        <f t="shared" si="6"/>
        <v>0</v>
      </c>
      <c r="P70" s="137"/>
    </row>
    <row r="71" spans="1:16" ht="13.5" customHeight="1" thickBot="1">
      <c r="A71" s="867" t="str">
        <f>'BC1'!A72</f>
        <v>Autres frais d'administration 2</v>
      </c>
      <c r="B71" s="43"/>
      <c r="C71" s="144">
        <f>'FG2'!C74</f>
        <v>0</v>
      </c>
      <c r="D71" s="144">
        <f>'FG2'!D74</f>
        <v>0</v>
      </c>
      <c r="E71" s="144">
        <f>'FG2'!E74</f>
        <v>0</v>
      </c>
      <c r="F71" s="144">
        <f>'FG2'!F74</f>
        <v>0</v>
      </c>
      <c r="G71" s="144">
        <f>'FG2'!G74</f>
        <v>0</v>
      </c>
      <c r="H71" s="144">
        <f>'FG2'!H74</f>
        <v>0</v>
      </c>
      <c r="I71" s="144">
        <f>'FG2'!I74</f>
        <v>0</v>
      </c>
      <c r="J71" s="144">
        <f>'FG2'!J74</f>
        <v>0</v>
      </c>
      <c r="K71" s="144">
        <f>'FG2'!K74</f>
        <v>0</v>
      </c>
      <c r="L71" s="144">
        <f>'FG2'!L74</f>
        <v>0</v>
      </c>
      <c r="M71" s="144">
        <f>'FG2'!M74</f>
        <v>0</v>
      </c>
      <c r="N71" s="144">
        <f>'FG2'!N74</f>
        <v>0</v>
      </c>
      <c r="O71" s="217">
        <f>SUM(C71:N71)</f>
        <v>0</v>
      </c>
      <c r="P71" s="137"/>
    </row>
    <row r="72" spans="1:16" ht="13.5" customHeight="1" thickBot="1">
      <c r="A72" s="867" t="str">
        <f>'BC1'!A73</f>
        <v>Autres frais d'administration 3</v>
      </c>
      <c r="B72" s="43"/>
      <c r="C72" s="144">
        <f>'FG2'!C76</f>
        <v>0</v>
      </c>
      <c r="D72" s="144">
        <f>'FG2'!D76</f>
        <v>0</v>
      </c>
      <c r="E72" s="144">
        <f>'FG2'!E76</f>
        <v>0</v>
      </c>
      <c r="F72" s="144">
        <f>'FG2'!F76</f>
        <v>0</v>
      </c>
      <c r="G72" s="144">
        <f>'FG2'!G76</f>
        <v>0</v>
      </c>
      <c r="H72" s="144">
        <f>'FG2'!H76</f>
        <v>0</v>
      </c>
      <c r="I72" s="144">
        <f>'FG2'!I76</f>
        <v>0</v>
      </c>
      <c r="J72" s="144">
        <f>'FG2'!J76</f>
        <v>0</v>
      </c>
      <c r="K72" s="144">
        <f>'FG2'!K76</f>
        <v>0</v>
      </c>
      <c r="L72" s="144">
        <f>'FG2'!L76</f>
        <v>0</v>
      </c>
      <c r="M72" s="144">
        <f>'FG2'!M76</f>
        <v>0</v>
      </c>
      <c r="N72" s="144">
        <f>'FG2'!N76</f>
        <v>0</v>
      </c>
      <c r="O72" s="217">
        <f>SUM(C72:N72)</f>
        <v>0</v>
      </c>
      <c r="P72" s="137"/>
    </row>
    <row r="73" spans="1:16" ht="13.5" customHeight="1" thickBot="1">
      <c r="A73" s="867" t="str">
        <f>'BC1'!A74</f>
        <v>Autres frais d'administration 4</v>
      </c>
      <c r="B73" s="43"/>
      <c r="C73" s="144">
        <f>'FG2'!C78</f>
        <v>0</v>
      </c>
      <c r="D73" s="144">
        <f>'FG2'!D78</f>
        <v>0</v>
      </c>
      <c r="E73" s="144">
        <f>'FG2'!E78</f>
        <v>0</v>
      </c>
      <c r="F73" s="144">
        <f>'FG2'!F78</f>
        <v>0</v>
      </c>
      <c r="G73" s="144">
        <f>'FG2'!G78</f>
        <v>0</v>
      </c>
      <c r="H73" s="144">
        <f>'FG2'!H78</f>
        <v>0</v>
      </c>
      <c r="I73" s="144">
        <f>'FG2'!I78</f>
        <v>0</v>
      </c>
      <c r="J73" s="144">
        <f>'FG2'!J78</f>
        <v>0</v>
      </c>
      <c r="K73" s="144">
        <f>'FG2'!K78</f>
        <v>0</v>
      </c>
      <c r="L73" s="144">
        <f>'FG2'!L78</f>
        <v>0</v>
      </c>
      <c r="M73" s="144">
        <f>'FG2'!M78</f>
        <v>0</v>
      </c>
      <c r="N73" s="144">
        <f>'FG2'!N78</f>
        <v>0</v>
      </c>
      <c r="O73" s="217">
        <f>SUM(C73:N73)</f>
        <v>0</v>
      </c>
      <c r="P73" s="137"/>
    </row>
    <row r="74" spans="1:16" ht="13.5" customHeight="1" thickBot="1">
      <c r="A74" s="867" t="str">
        <f>'BC1'!A75</f>
        <v>Autres frais d'administration 5</v>
      </c>
      <c r="B74" s="43"/>
      <c r="C74" s="144">
        <f>'FG2'!C80</f>
        <v>0</v>
      </c>
      <c r="D74" s="144">
        <f>'FG2'!D80</f>
        <v>0</v>
      </c>
      <c r="E74" s="144">
        <f>'FG2'!E80</f>
        <v>0</v>
      </c>
      <c r="F74" s="144">
        <f>'FG2'!F80</f>
        <v>0</v>
      </c>
      <c r="G74" s="144">
        <f>'FG2'!G80</f>
        <v>0</v>
      </c>
      <c r="H74" s="144">
        <f>'FG2'!H80</f>
        <v>0</v>
      </c>
      <c r="I74" s="144">
        <f>'FG2'!I80</f>
        <v>0</v>
      </c>
      <c r="J74" s="144">
        <f>'FG2'!J80</f>
        <v>0</v>
      </c>
      <c r="K74" s="144">
        <f>'FG2'!K80</f>
        <v>0</v>
      </c>
      <c r="L74" s="144">
        <f>'FG2'!L80</f>
        <v>0</v>
      </c>
      <c r="M74" s="144">
        <f>'FG2'!M80</f>
        <v>0</v>
      </c>
      <c r="N74" s="144">
        <f>'FG2'!N80</f>
        <v>0</v>
      </c>
      <c r="O74" s="217">
        <f>SUM(C74:N74)</f>
        <v>0</v>
      </c>
      <c r="P74" s="137"/>
    </row>
    <row r="75" spans="1:16" ht="13.5" customHeight="1" thickBot="1">
      <c r="A75" s="867" t="str">
        <f>'BC1'!A76</f>
        <v>Autres frais d'administration 6</v>
      </c>
      <c r="B75" s="43"/>
      <c r="C75" s="144">
        <f>'FG2'!C82</f>
        <v>0</v>
      </c>
      <c r="D75" s="144">
        <f>'FG2'!D82</f>
        <v>0</v>
      </c>
      <c r="E75" s="144">
        <f>'FG2'!E82</f>
        <v>0</v>
      </c>
      <c r="F75" s="144">
        <f>'FG2'!F82</f>
        <v>0</v>
      </c>
      <c r="G75" s="144">
        <f>'FG2'!G82</f>
        <v>0</v>
      </c>
      <c r="H75" s="144">
        <f>'FG2'!H82</f>
        <v>0</v>
      </c>
      <c r="I75" s="144">
        <f>'FG2'!I82</f>
        <v>0</v>
      </c>
      <c r="J75" s="144">
        <f>'FG2'!J82</f>
        <v>0</v>
      </c>
      <c r="K75" s="144">
        <f>'FG2'!K82</f>
        <v>0</v>
      </c>
      <c r="L75" s="144">
        <f>'FG2'!L82</f>
        <v>0</v>
      </c>
      <c r="M75" s="144">
        <f>'FG2'!M82</f>
        <v>0</v>
      </c>
      <c r="N75" s="144">
        <f>'FG2'!N82</f>
        <v>0</v>
      </c>
      <c r="O75" s="217">
        <f>SUM(C75:N75)</f>
        <v>0</v>
      </c>
      <c r="P75" s="137"/>
    </row>
    <row r="76" spans="1:16" ht="13.5" customHeight="1" thickBot="1">
      <c r="A76" s="868" t="str">
        <f>'BC1'!A77</f>
        <v>FRAIS FINANCIERS</v>
      </c>
      <c r="B76" s="43"/>
      <c r="C76" s="214"/>
      <c r="D76" s="214"/>
      <c r="E76" s="214"/>
      <c r="F76" s="214"/>
      <c r="G76" s="214"/>
      <c r="H76" s="214"/>
      <c r="I76" s="214"/>
      <c r="J76" s="214"/>
      <c r="K76" s="214"/>
      <c r="L76" s="214"/>
      <c r="M76" s="214"/>
      <c r="N76" s="214"/>
      <c r="O76" s="1088">
        <v>1E-3</v>
      </c>
      <c r="P76" s="137"/>
    </row>
    <row r="77" spans="1:16" ht="13.5" customHeight="1" thickBot="1">
      <c r="A77" s="867" t="str">
        <f>'BC1'!A78</f>
        <v>Frais bancaires</v>
      </c>
      <c r="B77" s="43"/>
      <c r="C77" s="144">
        <f>'FG2'!C85</f>
        <v>0</v>
      </c>
      <c r="D77" s="144">
        <f>'FG2'!D85</f>
        <v>0</v>
      </c>
      <c r="E77" s="144">
        <f>'FG2'!E85</f>
        <v>0</v>
      </c>
      <c r="F77" s="144">
        <f>'FG2'!F85</f>
        <v>0</v>
      </c>
      <c r="G77" s="144">
        <f>'FG2'!G85</f>
        <v>0</v>
      </c>
      <c r="H77" s="144">
        <f>'FG2'!H85</f>
        <v>0</v>
      </c>
      <c r="I77" s="144">
        <f>'FG2'!I85</f>
        <v>0</v>
      </c>
      <c r="J77" s="144">
        <f>'FG2'!J85</f>
        <v>0</v>
      </c>
      <c r="K77" s="144">
        <f>'FG2'!K85</f>
        <v>0</v>
      </c>
      <c r="L77" s="144">
        <f>'FG2'!L85</f>
        <v>0</v>
      </c>
      <c r="M77" s="144">
        <f>'FG2'!M85</f>
        <v>0</v>
      </c>
      <c r="N77" s="144">
        <f>'FG2'!N85</f>
        <v>0</v>
      </c>
      <c r="O77" s="217">
        <f t="shared" si="6"/>
        <v>0</v>
      </c>
      <c r="P77" s="137"/>
    </row>
    <row r="78" spans="1:16" ht="13.5" customHeight="1" thickBot="1">
      <c r="A78" s="867" t="str">
        <f>'BC1'!A79</f>
        <v>Frais de carte de crédit</v>
      </c>
      <c r="B78" s="43"/>
      <c r="C78" s="144">
        <f>'FG2'!C87</f>
        <v>0</v>
      </c>
      <c r="D78" s="144">
        <f>'FG2'!D87</f>
        <v>0</v>
      </c>
      <c r="E78" s="144">
        <f>'FG2'!E87</f>
        <v>0</v>
      </c>
      <c r="F78" s="144">
        <f>'FG2'!F87</f>
        <v>0</v>
      </c>
      <c r="G78" s="144">
        <f>'FG2'!G87</f>
        <v>0</v>
      </c>
      <c r="H78" s="144">
        <f>'FG2'!H87</f>
        <v>0</v>
      </c>
      <c r="I78" s="144">
        <f>'FG2'!I87</f>
        <v>0</v>
      </c>
      <c r="J78" s="144">
        <f>'FG2'!J87</f>
        <v>0</v>
      </c>
      <c r="K78" s="144">
        <f>'FG2'!K87</f>
        <v>0</v>
      </c>
      <c r="L78" s="144">
        <f>'FG2'!L87</f>
        <v>0</v>
      </c>
      <c r="M78" s="144">
        <f>'FG2'!M87</f>
        <v>0</v>
      </c>
      <c r="N78" s="144">
        <f>'FG2'!N87</f>
        <v>0</v>
      </c>
      <c r="O78" s="217">
        <f t="shared" si="6"/>
        <v>0</v>
      </c>
      <c r="P78" s="137"/>
    </row>
    <row r="79" spans="1:16" ht="13.5" customHeight="1" thickBot="1">
      <c r="A79" s="867" t="str">
        <f>'BC1'!A80</f>
        <v>Autres frais financiers 1</v>
      </c>
      <c r="B79" s="43"/>
      <c r="C79" s="144">
        <f>'FG2'!C89</f>
        <v>0</v>
      </c>
      <c r="D79" s="144">
        <f>'FG2'!D89</f>
        <v>0</v>
      </c>
      <c r="E79" s="144">
        <f>'FG2'!E89</f>
        <v>0</v>
      </c>
      <c r="F79" s="144">
        <f>'FG2'!F89</f>
        <v>0</v>
      </c>
      <c r="G79" s="144">
        <f>'FG2'!G89</f>
        <v>0</v>
      </c>
      <c r="H79" s="144">
        <f>'FG2'!H89</f>
        <v>0</v>
      </c>
      <c r="I79" s="144">
        <f>'FG2'!I89</f>
        <v>0</v>
      </c>
      <c r="J79" s="144">
        <f>'FG2'!J89</f>
        <v>0</v>
      </c>
      <c r="K79" s="144">
        <f>'FG2'!K89</f>
        <v>0</v>
      </c>
      <c r="L79" s="144">
        <f>'FG2'!L89</f>
        <v>0</v>
      </c>
      <c r="M79" s="144">
        <f>'FG2'!M89</f>
        <v>0</v>
      </c>
      <c r="N79" s="144">
        <f>'FG2'!N89</f>
        <v>0</v>
      </c>
      <c r="O79" s="217">
        <f>SUM(C79:N79)</f>
        <v>0</v>
      </c>
      <c r="P79" s="137"/>
    </row>
    <row r="80" spans="1:16" ht="13.5" customHeight="1" thickBot="1">
      <c r="A80" s="867" t="str">
        <f>'BC1'!A81</f>
        <v>Autres frais financiers 2</v>
      </c>
      <c r="B80" s="43"/>
      <c r="C80" s="144">
        <f>'FG2'!C91</f>
        <v>0</v>
      </c>
      <c r="D80" s="144">
        <f>'FG2'!D91</f>
        <v>0</v>
      </c>
      <c r="E80" s="144">
        <f>'FG2'!E91</f>
        <v>0</v>
      </c>
      <c r="F80" s="144">
        <f>'FG2'!F91</f>
        <v>0</v>
      </c>
      <c r="G80" s="144">
        <f>'FG2'!G91</f>
        <v>0</v>
      </c>
      <c r="H80" s="144">
        <f>'FG2'!H91</f>
        <v>0</v>
      </c>
      <c r="I80" s="144">
        <f>'FG2'!I91</f>
        <v>0</v>
      </c>
      <c r="J80" s="144">
        <f>'FG2'!J91</f>
        <v>0</v>
      </c>
      <c r="K80" s="144">
        <f>'FG2'!K91</f>
        <v>0</v>
      </c>
      <c r="L80" s="144">
        <f>'FG2'!L91</f>
        <v>0</v>
      </c>
      <c r="M80" s="144">
        <f>'FG2'!M91</f>
        <v>0</v>
      </c>
      <c r="N80" s="144">
        <f>'FG2'!N91</f>
        <v>0</v>
      </c>
      <c r="O80" s="217">
        <f>SUM(C80:N80)</f>
        <v>0</v>
      </c>
      <c r="P80" s="137"/>
    </row>
    <row r="81" spans="1:16" ht="13.5" customHeight="1" thickBot="1">
      <c r="A81" s="867" t="str">
        <f>'BC1'!A82</f>
        <v>Autres frais financiers 3</v>
      </c>
      <c r="B81" s="43"/>
      <c r="C81" s="144">
        <f>'FG2'!C93</f>
        <v>0</v>
      </c>
      <c r="D81" s="144">
        <f>'FG2'!D93</f>
        <v>0</v>
      </c>
      <c r="E81" s="144">
        <f>'FG2'!E93</f>
        <v>0</v>
      </c>
      <c r="F81" s="144">
        <f>'FG2'!F93</f>
        <v>0</v>
      </c>
      <c r="G81" s="144">
        <f>'FG2'!G93</f>
        <v>0</v>
      </c>
      <c r="H81" s="144">
        <f>'FG2'!H93</f>
        <v>0</v>
      </c>
      <c r="I81" s="144">
        <f>'FG2'!I93</f>
        <v>0</v>
      </c>
      <c r="J81" s="144">
        <f>'FG2'!J93</f>
        <v>0</v>
      </c>
      <c r="K81" s="144">
        <f>'FG2'!K93</f>
        <v>0</v>
      </c>
      <c r="L81" s="144">
        <f>'FG2'!L93</f>
        <v>0</v>
      </c>
      <c r="M81" s="144">
        <f>'FG2'!M93</f>
        <v>0</v>
      </c>
      <c r="N81" s="144">
        <f>'FG2'!N93</f>
        <v>0</v>
      </c>
      <c r="O81" s="217">
        <f>SUM(C81:N81)</f>
        <v>0</v>
      </c>
      <c r="P81" s="137"/>
    </row>
    <row r="82" spans="1:16" ht="13.5" customHeight="1" thickBot="1">
      <c r="A82" s="867" t="str">
        <f>'BC1'!A83</f>
        <v>Autres frais financiers 4</v>
      </c>
      <c r="B82" s="43"/>
      <c r="C82" s="144">
        <f>'FG2'!C95</f>
        <v>0</v>
      </c>
      <c r="D82" s="144">
        <f>'FG2'!D95</f>
        <v>0</v>
      </c>
      <c r="E82" s="144">
        <f>'FG2'!E95</f>
        <v>0</v>
      </c>
      <c r="F82" s="144">
        <f>'FG2'!F95</f>
        <v>0</v>
      </c>
      <c r="G82" s="144">
        <f>'FG2'!G95</f>
        <v>0</v>
      </c>
      <c r="H82" s="144">
        <f>'FG2'!H95</f>
        <v>0</v>
      </c>
      <c r="I82" s="144">
        <f>'FG2'!I95</f>
        <v>0</v>
      </c>
      <c r="J82" s="144">
        <f>'FG2'!J95</f>
        <v>0</v>
      </c>
      <c r="K82" s="144">
        <f>'FG2'!K95</f>
        <v>0</v>
      </c>
      <c r="L82" s="144">
        <f>'FG2'!L95</f>
        <v>0</v>
      </c>
      <c r="M82" s="144">
        <f>'FG2'!M95</f>
        <v>0</v>
      </c>
      <c r="N82" s="144">
        <f>'FG2'!N95</f>
        <v>0</v>
      </c>
      <c r="O82" s="217">
        <f>SUM(C82:N82)</f>
        <v>0</v>
      </c>
      <c r="P82" s="137"/>
    </row>
    <row r="83" spans="1:16" ht="13.5" customHeight="1">
      <c r="A83" s="867"/>
      <c r="B83" s="43"/>
      <c r="C83" s="214"/>
      <c r="D83" s="214"/>
      <c r="E83" s="214"/>
      <c r="F83" s="214"/>
      <c r="G83" s="214"/>
      <c r="H83" s="214"/>
      <c r="I83" s="214"/>
      <c r="J83" s="214"/>
      <c r="K83" s="214"/>
      <c r="L83" s="214"/>
      <c r="M83" s="214"/>
      <c r="N83" s="214"/>
      <c r="O83" s="1090">
        <v>1E-3</v>
      </c>
      <c r="P83" s="137"/>
    </row>
    <row r="84" spans="1:16" ht="13.5" customHeight="1" thickBot="1">
      <c r="A84" s="867"/>
      <c r="B84" s="43"/>
      <c r="C84" s="214"/>
      <c r="D84" s="214"/>
      <c r="E84" s="214"/>
      <c r="F84" s="214"/>
      <c r="G84" s="214"/>
      <c r="H84" s="214"/>
      <c r="I84" s="214"/>
      <c r="J84" s="214"/>
      <c r="K84" s="214"/>
      <c r="L84" s="214"/>
      <c r="M84" s="214"/>
      <c r="N84" s="214"/>
      <c r="O84" s="1090">
        <v>1E-3</v>
      </c>
    </row>
    <row r="85" spans="1:16" ht="13.5" customHeight="1" thickBot="1">
      <c r="A85" s="48" t="s">
        <v>722</v>
      </c>
      <c r="B85" s="48"/>
      <c r="C85" s="140">
        <f>SUM(C86:C119)</f>
        <v>377</v>
      </c>
      <c r="D85" s="140">
        <f t="shared" ref="D85:N85" si="7">SUM(D86:D119)</f>
        <v>377</v>
      </c>
      <c r="E85" s="140">
        <f t="shared" si="7"/>
        <v>378</v>
      </c>
      <c r="F85" s="140">
        <f t="shared" si="7"/>
        <v>377</v>
      </c>
      <c r="G85" s="140">
        <f t="shared" si="7"/>
        <v>377</v>
      </c>
      <c r="H85" s="140">
        <f t="shared" si="7"/>
        <v>378</v>
      </c>
      <c r="I85" s="140">
        <f t="shared" si="7"/>
        <v>377</v>
      </c>
      <c r="J85" s="140">
        <f t="shared" si="7"/>
        <v>377</v>
      </c>
      <c r="K85" s="140">
        <f t="shared" si="7"/>
        <v>378</v>
      </c>
      <c r="L85" s="140">
        <f t="shared" si="7"/>
        <v>377</v>
      </c>
      <c r="M85" s="140">
        <f t="shared" si="7"/>
        <v>377</v>
      </c>
      <c r="N85" s="140">
        <f t="shared" si="7"/>
        <v>378</v>
      </c>
      <c r="O85" s="217">
        <f>SUM(C85:N85)+0.01</f>
        <v>4528.01</v>
      </c>
      <c r="P85" s="117">
        <f>O87+O90+O93+O96+O99+O102+O105+O108+O111+O114+O117+O119</f>
        <v>732.00009999999997</v>
      </c>
    </row>
    <row r="86" spans="1:16" s="143" customFormat="1" ht="13.5" customHeight="1" thickBot="1">
      <c r="A86" s="43" t="str">
        <f>CF!F35</f>
        <v>Billet à payer</v>
      </c>
      <c r="B86" s="65" t="s">
        <v>505</v>
      </c>
      <c r="C86" s="140">
        <f>VLOOKUP(C$13,BP!$A$25:$K$265,9)</f>
        <v>0</v>
      </c>
      <c r="D86" s="140">
        <f>VLOOKUP(D$13,BP!$A$25:$K$265,9)</f>
        <v>0</v>
      </c>
      <c r="E86" s="140">
        <f>VLOOKUP(E$13,BP!$A$25:$K$265,9)</f>
        <v>0</v>
      </c>
      <c r="F86" s="140">
        <f>VLOOKUP(F$13,BP!$A$25:$K$265,9)</f>
        <v>0</v>
      </c>
      <c r="G86" s="140">
        <f>VLOOKUP(G$13,BP!$A$25:$K$265,9)</f>
        <v>0</v>
      </c>
      <c r="H86" s="140">
        <f>VLOOKUP(H$13,BP!$A$25:$K$265,9)</f>
        <v>0</v>
      </c>
      <c r="I86" s="140">
        <f>VLOOKUP(I$13,BP!$A$25:$K$265,9)</f>
        <v>0</v>
      </c>
      <c r="J86" s="140">
        <f>VLOOKUP(J$13,BP!$A$25:$K$265,9)</f>
        <v>0</v>
      </c>
      <c r="K86" s="140">
        <f>VLOOKUP(K$13,BP!$A$25:$K$265,9)</f>
        <v>0</v>
      </c>
      <c r="L86" s="140">
        <f>VLOOKUP(L$13,BP!$A$25:$K$265,9)</f>
        <v>0</v>
      </c>
      <c r="M86" s="140">
        <f>VLOOKUP(M$13,BP!$A$25:$K$265,9)</f>
        <v>0</v>
      </c>
      <c r="N86" s="140">
        <f>VLOOKUP(N$13,BP!$A$25:$K$265,9)</f>
        <v>0</v>
      </c>
      <c r="O86" s="217">
        <f>SUM(C86:N86)</f>
        <v>0</v>
      </c>
    </row>
    <row r="87" spans="1:16" ht="13.5" customHeight="1" thickBot="1">
      <c r="A87" s="65"/>
      <c r="B87" s="65" t="s">
        <v>506</v>
      </c>
      <c r="C87" s="140">
        <f>VLOOKUP(C$13,BP!$A$25:$K$265,10)</f>
        <v>0</v>
      </c>
      <c r="D87" s="140">
        <f>VLOOKUP(D$13,BP!$A$25:$K$265,10)</f>
        <v>0</v>
      </c>
      <c r="E87" s="140">
        <f>VLOOKUP(E$13,BP!$A$25:$K$265,10)</f>
        <v>0</v>
      </c>
      <c r="F87" s="140">
        <f>VLOOKUP(F$13,BP!$A$25:$K$265,10)</f>
        <v>0</v>
      </c>
      <c r="G87" s="140">
        <f>VLOOKUP(G$13,BP!$A$25:$K$265,10)</f>
        <v>0</v>
      </c>
      <c r="H87" s="140">
        <f>VLOOKUP(H$13,BP!$A$25:$K$265,10)</f>
        <v>0</v>
      </c>
      <c r="I87" s="140">
        <f>VLOOKUP(I$13,BP!$A$25:$K$265,10)</f>
        <v>0</v>
      </c>
      <c r="J87" s="140">
        <f>VLOOKUP(J$13,BP!$A$25:$K$265,10)</f>
        <v>0</v>
      </c>
      <c r="K87" s="140">
        <f>VLOOKUP(K$13,BP!$A$25:$K$265,10)</f>
        <v>0</v>
      </c>
      <c r="L87" s="140">
        <f>VLOOKUP(L$13,BP!$A$25:$K$265,10)</f>
        <v>0</v>
      </c>
      <c r="M87" s="140">
        <f>VLOOKUP(M$13,BP!$A$25:$K$265,10)</f>
        <v>0</v>
      </c>
      <c r="N87" s="140">
        <f>VLOOKUP(N$13,BP!$A$25:$K$265,10)</f>
        <v>0</v>
      </c>
      <c r="O87" s="217">
        <f>SUM(C87:N87)</f>
        <v>0</v>
      </c>
    </row>
    <row r="88" spans="1:16" ht="13.5" customHeight="1" thickBot="1">
      <c r="A88" s="43"/>
      <c r="B88" s="149"/>
      <c r="C88" s="211"/>
      <c r="D88" s="211"/>
      <c r="E88" s="211"/>
      <c r="F88" s="211"/>
      <c r="G88" s="211"/>
      <c r="H88" s="211"/>
      <c r="I88" s="211"/>
      <c r="J88" s="211"/>
      <c r="K88" s="211"/>
      <c r="L88" s="211"/>
      <c r="M88" s="211"/>
      <c r="N88" s="211"/>
      <c r="O88" s="159">
        <f>IF(O86+O87=0,0,0.001)</f>
        <v>0</v>
      </c>
    </row>
    <row r="89" spans="1:16" ht="13.5" customHeight="1" thickBot="1">
      <c r="A89" s="43" t="str">
        <f>CF!F36</f>
        <v>Emprunt à court terme 1</v>
      </c>
      <c r="B89" s="65" t="s">
        <v>505</v>
      </c>
      <c r="C89" s="140">
        <f>VLOOKUP(C$13,'ECT1'!$A$26:$O$265,14)</f>
        <v>0</v>
      </c>
      <c r="D89" s="140">
        <f>VLOOKUP(D$13,'ECT1'!$A$26:$O$265,14)</f>
        <v>0</v>
      </c>
      <c r="E89" s="140">
        <f>VLOOKUP(E$13,'ECT1'!$A$26:$O$265,14)</f>
        <v>0</v>
      </c>
      <c r="F89" s="140">
        <f>VLOOKUP(F$13,'ECT1'!$A$26:$O$265,14)</f>
        <v>0</v>
      </c>
      <c r="G89" s="140">
        <f>VLOOKUP(G$13,'ECT1'!$A$26:$O$265,14)</f>
        <v>0</v>
      </c>
      <c r="H89" s="140">
        <f>VLOOKUP(H$13,'ECT1'!$A$26:$O$265,14)</f>
        <v>0</v>
      </c>
      <c r="I89" s="140">
        <f>VLOOKUP(I$13,'ECT1'!$A$26:$O$265,14)</f>
        <v>0</v>
      </c>
      <c r="J89" s="140">
        <f>VLOOKUP(J$13,'ECT1'!$A$26:$O$265,14)</f>
        <v>0</v>
      </c>
      <c r="K89" s="140">
        <f>VLOOKUP(K$13,'ECT1'!$A$26:$O$265,14)</f>
        <v>0</v>
      </c>
      <c r="L89" s="140">
        <f>VLOOKUP(L$13,'ECT1'!$A$26:$O$265,14)</f>
        <v>0</v>
      </c>
      <c r="M89" s="140">
        <f>VLOOKUP(M$13,'ECT1'!$A$26:$O$265,14)</f>
        <v>0</v>
      </c>
      <c r="N89" s="140">
        <f>VLOOKUP(N$13,'ECT1'!$A$26:$O$265,14)</f>
        <v>0</v>
      </c>
      <c r="O89" s="217">
        <f>SUM(C89:N89)</f>
        <v>0</v>
      </c>
    </row>
    <row r="90" spans="1:16" ht="13.5" customHeight="1" thickBot="1">
      <c r="A90" s="65"/>
      <c r="B90" s="65" t="s">
        <v>506</v>
      </c>
      <c r="C90" s="140">
        <f>VLOOKUP(C$13,'ECT1'!$A$26:$O$265,15)</f>
        <v>0</v>
      </c>
      <c r="D90" s="140">
        <f>VLOOKUP(D$13,'ECT1'!$A$26:$O$265,15)</f>
        <v>0</v>
      </c>
      <c r="E90" s="140">
        <f>VLOOKUP(E$13,'ECT1'!$A$26:$O$265,15)</f>
        <v>0</v>
      </c>
      <c r="F90" s="140">
        <f>VLOOKUP(F$13,'ECT1'!$A$26:$O$265,15)</f>
        <v>0</v>
      </c>
      <c r="G90" s="140">
        <f>VLOOKUP(G$13,'ECT1'!$A$26:$O$265,15)</f>
        <v>0</v>
      </c>
      <c r="H90" s="140">
        <f>VLOOKUP(H$13,'ECT1'!$A$26:$O$265,15)</f>
        <v>0</v>
      </c>
      <c r="I90" s="140">
        <f>VLOOKUP(I$13,'ECT1'!$A$26:$O$265,15)</f>
        <v>0</v>
      </c>
      <c r="J90" s="140">
        <f>VLOOKUP(J$13,'ECT1'!$A$26:$O$265,15)</f>
        <v>0</v>
      </c>
      <c r="K90" s="140">
        <f>VLOOKUP(K$13,'ECT1'!$A$26:$O$265,15)</f>
        <v>0</v>
      </c>
      <c r="L90" s="140">
        <f>VLOOKUP(L$13,'ECT1'!$A$26:$O$265,15)</f>
        <v>0</v>
      </c>
      <c r="M90" s="140">
        <f>VLOOKUP(M$13,'ECT1'!$A$26:$O$265,15)</f>
        <v>0</v>
      </c>
      <c r="N90" s="140">
        <f>VLOOKUP(N$13,'ECT1'!$A$26:$O$265,15)</f>
        <v>0</v>
      </c>
      <c r="O90" s="217">
        <f>SUM(C90:N90)</f>
        <v>0</v>
      </c>
    </row>
    <row r="91" spans="1:16" ht="13.5" customHeight="1" thickBot="1">
      <c r="A91" s="43"/>
      <c r="B91" s="149"/>
      <c r="C91" s="211"/>
      <c r="D91" s="211"/>
      <c r="E91" s="211"/>
      <c r="F91" s="211"/>
      <c r="G91" s="211"/>
      <c r="H91" s="211"/>
      <c r="I91" s="211"/>
      <c r="J91" s="211"/>
      <c r="K91" s="211"/>
      <c r="L91" s="211"/>
      <c r="M91" s="211"/>
      <c r="N91" s="211"/>
      <c r="O91" s="159">
        <f>IF(O89+O90=0,0,0.001)</f>
        <v>0</v>
      </c>
    </row>
    <row r="92" spans="1:16" ht="13.5" customHeight="1" thickBot="1">
      <c r="A92" s="43" t="str">
        <f>CF!F37</f>
        <v>Emprunt à court terme 2</v>
      </c>
      <c r="B92" s="65" t="s">
        <v>505</v>
      </c>
      <c r="C92" s="140">
        <f>VLOOKUP(C$13,'ECT2'!$A$26:$O$265,14)</f>
        <v>0</v>
      </c>
      <c r="D92" s="140">
        <f>VLOOKUP(D$13,'ECT2'!$A$26:$O$265,14)</f>
        <v>0</v>
      </c>
      <c r="E92" s="140">
        <f>VLOOKUP(E$13,'ECT2'!$A$26:$O$265,14)</f>
        <v>0</v>
      </c>
      <c r="F92" s="140">
        <f>VLOOKUP(F$13,'ECT2'!$A$26:$O$265,14)</f>
        <v>0</v>
      </c>
      <c r="G92" s="140">
        <f>VLOOKUP(G$13,'ECT2'!$A$26:$O$265,14)</f>
        <v>0</v>
      </c>
      <c r="H92" s="140">
        <f>VLOOKUP(H$13,'ECT2'!$A$26:$O$265,14)</f>
        <v>0</v>
      </c>
      <c r="I92" s="140">
        <f>VLOOKUP(I$13,'ECT2'!$A$26:$O$265,14)</f>
        <v>0</v>
      </c>
      <c r="J92" s="140">
        <f>VLOOKUP(J$13,'ECT2'!$A$26:$O$265,14)</f>
        <v>0</v>
      </c>
      <c r="K92" s="140">
        <f>VLOOKUP(K$13,'ECT2'!$A$26:$O$265,14)</f>
        <v>0</v>
      </c>
      <c r="L92" s="140">
        <f>VLOOKUP(L$13,'ECT2'!$A$26:$O$265,14)</f>
        <v>0</v>
      </c>
      <c r="M92" s="140">
        <f>VLOOKUP(M$13,'ECT2'!$A$26:$O$265,14)</f>
        <v>0</v>
      </c>
      <c r="N92" s="140">
        <f>VLOOKUP(N$13,'ECT2'!$A$26:$O$265,14)</f>
        <v>0</v>
      </c>
      <c r="O92" s="217">
        <f>SUM(C92:N92)</f>
        <v>0</v>
      </c>
    </row>
    <row r="93" spans="1:16" ht="13.5" customHeight="1" thickBot="1">
      <c r="A93" s="65"/>
      <c r="B93" s="65" t="s">
        <v>506</v>
      </c>
      <c r="C93" s="140">
        <f>VLOOKUP(C$13,'ECT2'!$A$26:$O$265,15)</f>
        <v>0</v>
      </c>
      <c r="D93" s="140">
        <f>VLOOKUP(D$13,'ECT2'!$A$26:$O$265,15)</f>
        <v>0</v>
      </c>
      <c r="E93" s="140">
        <f>VLOOKUP(E$13,'ECT2'!$A$26:$O$265,15)</f>
        <v>0</v>
      </c>
      <c r="F93" s="140">
        <f>VLOOKUP(F$13,'ECT2'!$A$26:$O$265,15)</f>
        <v>0</v>
      </c>
      <c r="G93" s="140">
        <f>VLOOKUP(G$13,'ECT2'!$A$26:$O$265,15)</f>
        <v>0</v>
      </c>
      <c r="H93" s="140">
        <f>VLOOKUP(H$13,'ECT2'!$A$26:$O$265,15)</f>
        <v>0</v>
      </c>
      <c r="I93" s="140">
        <f>VLOOKUP(I$13,'ECT2'!$A$26:$O$265,15)</f>
        <v>0</v>
      </c>
      <c r="J93" s="140">
        <f>VLOOKUP(J$13,'ECT2'!$A$26:$O$265,15)</f>
        <v>0</v>
      </c>
      <c r="K93" s="140">
        <f>VLOOKUP(K$13,'ECT2'!$A$26:$O$265,15)</f>
        <v>0</v>
      </c>
      <c r="L93" s="140">
        <f>VLOOKUP(L$13,'ECT2'!$A$26:$O$265,15)</f>
        <v>0</v>
      </c>
      <c r="M93" s="140">
        <f>VLOOKUP(M$13,'ECT2'!$A$26:$O$265,15)</f>
        <v>0</v>
      </c>
      <c r="N93" s="140">
        <f>VLOOKUP(N$13,'ECT2'!$A$26:$O$265,15)</f>
        <v>0</v>
      </c>
      <c r="O93" s="217">
        <f>SUM(C93:N93)</f>
        <v>0</v>
      </c>
    </row>
    <row r="94" spans="1:16" ht="13.5" customHeight="1" thickBot="1">
      <c r="A94" s="43"/>
      <c r="B94" s="149"/>
      <c r="C94" s="211"/>
      <c r="D94" s="211"/>
      <c r="E94" s="211"/>
      <c r="F94" s="211"/>
      <c r="G94" s="211"/>
      <c r="H94" s="211"/>
      <c r="I94" s="211"/>
      <c r="J94" s="211"/>
      <c r="K94" s="211"/>
      <c r="L94" s="211"/>
      <c r="M94" s="211"/>
      <c r="N94" s="211"/>
      <c r="O94" s="159">
        <f>IF(O92+O93=0,0,0.001)</f>
        <v>0</v>
      </c>
    </row>
    <row r="95" spans="1:16" ht="13.5" customHeight="1" thickBot="1">
      <c r="A95" s="43" t="str">
        <f>CF!F40</f>
        <v>Emprunt hypothécaire</v>
      </c>
      <c r="B95" s="65" t="s">
        <v>505</v>
      </c>
      <c r="C95" s="140">
        <f>VLOOKUP(C$13,EH!$A$26:$O$265,14)</f>
        <v>0</v>
      </c>
      <c r="D95" s="140">
        <f>VLOOKUP(D$13,EH!$A$26:$O$265,14)</f>
        <v>0</v>
      </c>
      <c r="E95" s="140">
        <f>VLOOKUP(E$13,EH!$A$26:$O$265,14)</f>
        <v>0</v>
      </c>
      <c r="F95" s="140">
        <f>VLOOKUP(F$13,EH!$A$26:$O$265,14)</f>
        <v>0</v>
      </c>
      <c r="G95" s="140">
        <f>VLOOKUP(G$13,EH!$A$26:$O$265,14)</f>
        <v>0</v>
      </c>
      <c r="H95" s="140">
        <f>VLOOKUP(H$13,EH!$A$26:$O$265,14)</f>
        <v>0</v>
      </c>
      <c r="I95" s="140">
        <f>VLOOKUP(I$13,EH!$A$26:$O$265,14)</f>
        <v>0</v>
      </c>
      <c r="J95" s="140">
        <f>VLOOKUP(J$13,EH!$A$26:$O$265,14)</f>
        <v>0</v>
      </c>
      <c r="K95" s="140">
        <f>VLOOKUP(K$13,EH!$A$26:$O$265,14)</f>
        <v>0</v>
      </c>
      <c r="L95" s="140">
        <f>VLOOKUP(L$13,EH!$A$26:$O$265,14)</f>
        <v>0</v>
      </c>
      <c r="M95" s="140">
        <f>VLOOKUP(M$13,EH!$A$26:$O$265,14)</f>
        <v>0</v>
      </c>
      <c r="N95" s="140">
        <f>VLOOKUP(N$13,EH!$A$26:$O$265,14)</f>
        <v>0</v>
      </c>
      <c r="O95" s="217">
        <f>SUM(C95:N95)</f>
        <v>0</v>
      </c>
    </row>
    <row r="96" spans="1:16" ht="13.5" customHeight="1" thickBot="1">
      <c r="A96" s="65"/>
      <c r="B96" s="65" t="s">
        <v>506</v>
      </c>
      <c r="C96" s="140">
        <f>VLOOKUP(C$13,EH!$A$26:$O$265,15)</f>
        <v>0</v>
      </c>
      <c r="D96" s="140">
        <f>VLOOKUP(D$13,EH!$A$26:$O$265,15)</f>
        <v>0</v>
      </c>
      <c r="E96" s="140">
        <f>VLOOKUP(E$13,EH!$A$26:$O$265,15)</f>
        <v>0</v>
      </c>
      <c r="F96" s="140">
        <f>VLOOKUP(F$13,EH!$A$26:$O$265,15)</f>
        <v>0</v>
      </c>
      <c r="G96" s="140">
        <f>VLOOKUP(G$13,EH!$A$26:$O$265,15)</f>
        <v>0</v>
      </c>
      <c r="H96" s="140">
        <f>VLOOKUP(H$13,EH!$A$26:$O$265,15)</f>
        <v>0</v>
      </c>
      <c r="I96" s="140">
        <f>VLOOKUP(I$13,EH!$A$26:$O$265,15)</f>
        <v>0</v>
      </c>
      <c r="J96" s="140">
        <f>VLOOKUP(J$13,EH!$A$26:$O$265,15)</f>
        <v>0</v>
      </c>
      <c r="K96" s="140">
        <f>VLOOKUP(K$13,EH!$A$26:$O$265,15)</f>
        <v>0</v>
      </c>
      <c r="L96" s="140">
        <f>VLOOKUP(L$13,EH!$A$26:$O$265,15)</f>
        <v>0</v>
      </c>
      <c r="M96" s="140">
        <f>VLOOKUP(M$13,EH!$A$26:$O$265,15)</f>
        <v>0</v>
      </c>
      <c r="N96" s="140">
        <f>VLOOKUP(N$13,EH!$A$26:$O$265,15)</f>
        <v>0</v>
      </c>
      <c r="O96" s="217">
        <f>SUM(C96:N96)</f>
        <v>0</v>
      </c>
    </row>
    <row r="97" spans="1:15" ht="13.5" customHeight="1" thickBot="1">
      <c r="A97" s="43"/>
      <c r="B97" s="149"/>
      <c r="C97" s="211"/>
      <c r="D97" s="211"/>
      <c r="E97" s="211"/>
      <c r="F97" s="211"/>
      <c r="G97" s="211"/>
      <c r="H97" s="211"/>
      <c r="I97" s="211"/>
      <c r="J97" s="211"/>
      <c r="K97" s="211"/>
      <c r="L97" s="211"/>
      <c r="M97" s="211"/>
      <c r="N97" s="211"/>
      <c r="O97" s="159">
        <f>IF(O95+O96=0,0,0.001)</f>
        <v>0</v>
      </c>
    </row>
    <row r="98" spans="1:15" ht="13.5" customHeight="1" thickBot="1">
      <c r="A98" s="43" t="str">
        <f>CF!F41</f>
        <v>Emprunt bancaire - Logiciel &amp; Site Web</v>
      </c>
      <c r="B98" s="65" t="s">
        <v>505</v>
      </c>
      <c r="C98" s="140">
        <f>VLOOKUP(C$13,'ELT1'!$A$26:$O$265,14)</f>
        <v>309</v>
      </c>
      <c r="D98" s="140">
        <f>VLOOKUP(D$13,'ELT1'!$A$26:$O$265,14)</f>
        <v>310</v>
      </c>
      <c r="E98" s="140">
        <f>VLOOKUP(E$13,'ELT1'!$A$26:$O$265,14)</f>
        <v>312</v>
      </c>
      <c r="F98" s="140">
        <f>VLOOKUP(F$13,'ELT1'!$A$26:$O$265,14)</f>
        <v>313</v>
      </c>
      <c r="G98" s="140">
        <f>VLOOKUP(G$13,'ELT1'!$A$26:$O$265,14)</f>
        <v>314</v>
      </c>
      <c r="H98" s="140">
        <f>VLOOKUP(H$13,'ELT1'!$A$26:$O$265,14)</f>
        <v>316</v>
      </c>
      <c r="I98" s="140">
        <f>VLOOKUP(I$13,'ELT1'!$A$26:$O$265,14)</f>
        <v>317</v>
      </c>
      <c r="J98" s="140">
        <f>VLOOKUP(J$13,'ELT1'!$A$26:$O$265,14)</f>
        <v>318</v>
      </c>
      <c r="K98" s="140">
        <f>VLOOKUP(K$13,'ELT1'!$A$26:$O$265,14)</f>
        <v>320</v>
      </c>
      <c r="L98" s="140">
        <f>VLOOKUP(L$13,'ELT1'!$A$26:$O$265,14)</f>
        <v>321</v>
      </c>
      <c r="M98" s="140">
        <f>VLOOKUP(M$13,'ELT1'!$A$26:$O$265,14)</f>
        <v>322</v>
      </c>
      <c r="N98" s="140">
        <f>VLOOKUP(N$13,'ELT1'!$A$26:$O$265,14)</f>
        <v>324</v>
      </c>
      <c r="O98" s="217">
        <f>SUM(C98:N98)</f>
        <v>3796</v>
      </c>
    </row>
    <row r="99" spans="1:15" ht="13.5" customHeight="1" thickBot="1">
      <c r="A99" s="65"/>
      <c r="B99" s="65" t="s">
        <v>506</v>
      </c>
      <c r="C99" s="140">
        <f>VLOOKUP(C$13,'ELT1'!$A$26:$O$265,15)</f>
        <v>68</v>
      </c>
      <c r="D99" s="140">
        <f>VLOOKUP(D$13,'ELT1'!$A$26:$O$265,15)</f>
        <v>67</v>
      </c>
      <c r="E99" s="140">
        <f>VLOOKUP(E$13,'ELT1'!$A$26:$O$265,15)</f>
        <v>66</v>
      </c>
      <c r="F99" s="140">
        <f>VLOOKUP(F$13,'ELT1'!$A$26:$O$265,15)</f>
        <v>64</v>
      </c>
      <c r="G99" s="140">
        <f>VLOOKUP(G$13,'ELT1'!$A$26:$O$265,15)</f>
        <v>63</v>
      </c>
      <c r="H99" s="140">
        <f>VLOOKUP(H$13,'ELT1'!$A$26:$O$265,15)</f>
        <v>62</v>
      </c>
      <c r="I99" s="140">
        <f>VLOOKUP(I$13,'ELT1'!$A$26:$O$265,15)</f>
        <v>60</v>
      </c>
      <c r="J99" s="140">
        <f>VLOOKUP(J$13,'ELT1'!$A$26:$O$265,15)</f>
        <v>59</v>
      </c>
      <c r="K99" s="140">
        <f>VLOOKUP(K$13,'ELT1'!$A$26:$O$265,15)</f>
        <v>58</v>
      </c>
      <c r="L99" s="140">
        <f>VLOOKUP(L$13,'ELT1'!$A$26:$O$265,15)</f>
        <v>56</v>
      </c>
      <c r="M99" s="140">
        <f>VLOOKUP(M$13,'ELT1'!$A$26:$O$265,15)</f>
        <v>55</v>
      </c>
      <c r="N99" s="140">
        <f>VLOOKUP(N$13,'ELT1'!$A$26:$O$265,15)</f>
        <v>54</v>
      </c>
      <c r="O99" s="217">
        <f>SUM(C99:N99)</f>
        <v>732</v>
      </c>
    </row>
    <row r="100" spans="1:15" ht="13.5" customHeight="1" thickBot="1">
      <c r="A100" s="43"/>
      <c r="B100" s="149"/>
      <c r="C100" s="211"/>
      <c r="D100" s="211"/>
      <c r="E100" s="211"/>
      <c r="F100" s="211"/>
      <c r="G100" s="211"/>
      <c r="H100" s="211"/>
      <c r="I100" s="211"/>
      <c r="J100" s="211"/>
      <c r="K100" s="211"/>
      <c r="L100" s="211"/>
      <c r="M100" s="211"/>
      <c r="N100" s="211"/>
      <c r="O100" s="159">
        <f>IF(O98+O99=0,0,0.001)</f>
        <v>1E-3</v>
      </c>
    </row>
    <row r="101" spans="1:15" ht="13.5" customHeight="1" thickBot="1">
      <c r="A101" s="43" t="str">
        <f>CF!F42</f>
        <v>Emprunt à long terme 2</v>
      </c>
      <c r="B101" s="65" t="s">
        <v>505</v>
      </c>
      <c r="C101" s="140">
        <f>VLOOKUP(C$13,'ELT2'!$A$26:$O$265,14)</f>
        <v>0</v>
      </c>
      <c r="D101" s="140">
        <f>VLOOKUP(D$13,'ELT2'!$A$26:$O$265,14)</f>
        <v>0</v>
      </c>
      <c r="E101" s="140">
        <f>VLOOKUP(E$13,'ELT2'!$A$26:$O$265,14)</f>
        <v>0</v>
      </c>
      <c r="F101" s="140">
        <f>VLOOKUP(F$13,'ELT2'!$A$26:$O$265,14)</f>
        <v>0</v>
      </c>
      <c r="G101" s="140">
        <f>VLOOKUP(G$13,'ELT2'!$A$26:$O$265,14)</f>
        <v>0</v>
      </c>
      <c r="H101" s="140">
        <f>VLOOKUP(H$13,'ELT2'!$A$26:$O$265,14)</f>
        <v>0</v>
      </c>
      <c r="I101" s="140">
        <f>VLOOKUP(I$13,'ELT2'!$A$26:$O$265,14)</f>
        <v>0</v>
      </c>
      <c r="J101" s="140">
        <f>VLOOKUP(J$13,'ELT2'!$A$26:$O$265,14)</f>
        <v>0</v>
      </c>
      <c r="K101" s="140">
        <f>VLOOKUP(K$13,'ELT2'!$A$26:$O$265,14)</f>
        <v>0</v>
      </c>
      <c r="L101" s="140">
        <f>VLOOKUP(L$13,'ELT2'!$A$26:$O$265,14)</f>
        <v>0</v>
      </c>
      <c r="M101" s="140">
        <f>VLOOKUP(M$13,'ELT2'!$A$26:$O$265,14)</f>
        <v>0</v>
      </c>
      <c r="N101" s="140">
        <f>VLOOKUP(N$13,'ELT2'!$A$26:$O$265,14)</f>
        <v>0</v>
      </c>
      <c r="O101" s="217">
        <f>SUM(C101:N101)</f>
        <v>0</v>
      </c>
    </row>
    <row r="102" spans="1:15" ht="13.5" customHeight="1" thickBot="1">
      <c r="A102" s="65"/>
      <c r="B102" s="65" t="s">
        <v>506</v>
      </c>
      <c r="C102" s="140">
        <f>VLOOKUP(C$13,'ELT2'!$A$26:$O$265,15)</f>
        <v>0</v>
      </c>
      <c r="D102" s="140">
        <f>VLOOKUP(D$13,'ELT2'!$A$26:$O$265,15)</f>
        <v>0</v>
      </c>
      <c r="E102" s="140">
        <f>VLOOKUP(E$13,'ELT2'!$A$26:$O$265,15)</f>
        <v>0</v>
      </c>
      <c r="F102" s="140">
        <f>VLOOKUP(F$13,'ELT2'!$A$26:$O$265,15)</f>
        <v>0</v>
      </c>
      <c r="G102" s="140">
        <f>VLOOKUP(G$13,'ELT2'!$A$26:$O$265,15)</f>
        <v>0</v>
      </c>
      <c r="H102" s="140">
        <f>VLOOKUP(H$13,'ELT2'!$A$26:$O$265,15)</f>
        <v>0</v>
      </c>
      <c r="I102" s="140">
        <f>VLOOKUP(I$13,'ELT2'!$A$26:$O$265,15)</f>
        <v>0</v>
      </c>
      <c r="J102" s="140">
        <f>VLOOKUP(J$13,'ELT2'!$A$26:$O$265,15)</f>
        <v>0</v>
      </c>
      <c r="K102" s="140">
        <f>VLOOKUP(K$13,'ELT2'!$A$26:$O$265,15)</f>
        <v>0</v>
      </c>
      <c r="L102" s="140">
        <f>VLOOKUP(L$13,'ELT2'!$A$26:$O$265,15)</f>
        <v>0</v>
      </c>
      <c r="M102" s="140">
        <f>VLOOKUP(M$13,'ELT2'!$A$26:$O$265,15)</f>
        <v>0</v>
      </c>
      <c r="N102" s="140">
        <f>VLOOKUP(N$13,'ELT2'!$A$26:$O$265,15)</f>
        <v>0</v>
      </c>
      <c r="O102" s="217">
        <f>SUM(C102:N102)</f>
        <v>0</v>
      </c>
    </row>
    <row r="103" spans="1:15" ht="13.5" customHeight="1" thickBot="1">
      <c r="A103" s="43"/>
      <c r="B103" s="149"/>
      <c r="C103" s="211"/>
      <c r="D103" s="211"/>
      <c r="E103" s="211"/>
      <c r="F103" s="211"/>
      <c r="G103" s="211"/>
      <c r="H103" s="211"/>
      <c r="I103" s="211"/>
      <c r="J103" s="211"/>
      <c r="K103" s="211"/>
      <c r="L103" s="211"/>
      <c r="M103" s="211"/>
      <c r="N103" s="211"/>
      <c r="O103" s="159">
        <f>IF(O101+O102=0,0,0.001)</f>
        <v>0</v>
      </c>
    </row>
    <row r="104" spans="1:15" ht="13.5" customHeight="1" thickBot="1">
      <c r="A104" s="43" t="str">
        <f>CF!F43</f>
        <v>Emprunt à long terme 3</v>
      </c>
      <c r="B104" s="65" t="s">
        <v>505</v>
      </c>
      <c r="C104" s="140">
        <f>VLOOKUP(C$13,'ELT3'!$A$26:$O$265,14)</f>
        <v>0</v>
      </c>
      <c r="D104" s="140">
        <f>VLOOKUP(D$13,'ELT3'!$A$26:$O$265,14)</f>
        <v>0</v>
      </c>
      <c r="E104" s="140">
        <f>VLOOKUP(E$13,'ELT3'!$A$26:$O$265,14)</f>
        <v>0</v>
      </c>
      <c r="F104" s="140">
        <f>VLOOKUP(F$13,'ELT3'!$A$26:$O$265,14)</f>
        <v>0</v>
      </c>
      <c r="G104" s="140">
        <f>VLOOKUP(G$13,'ELT3'!$A$26:$O$265,14)</f>
        <v>0</v>
      </c>
      <c r="H104" s="140">
        <f>VLOOKUP(H$13,'ELT3'!$A$26:$O$265,14)</f>
        <v>0</v>
      </c>
      <c r="I104" s="140">
        <f>VLOOKUP(I$13,'ELT3'!$A$26:$O$265,14)</f>
        <v>0</v>
      </c>
      <c r="J104" s="140">
        <f>VLOOKUP(J$13,'ELT3'!$A$26:$O$265,14)</f>
        <v>0</v>
      </c>
      <c r="K104" s="140">
        <f>VLOOKUP(K$13,'ELT3'!$A$26:$O$265,14)</f>
        <v>0</v>
      </c>
      <c r="L104" s="140">
        <f>VLOOKUP(L$13,'ELT3'!$A$26:$O$265,14)</f>
        <v>0</v>
      </c>
      <c r="M104" s="140">
        <f>VLOOKUP(M$13,'ELT3'!$A$26:$O$265,14)</f>
        <v>0</v>
      </c>
      <c r="N104" s="140">
        <f>VLOOKUP(N$13,'ELT3'!$A$26:$O$265,14)</f>
        <v>0</v>
      </c>
      <c r="O104" s="217">
        <f>SUM(C104:N104)</f>
        <v>0</v>
      </c>
    </row>
    <row r="105" spans="1:15" ht="13.5" customHeight="1" thickBot="1">
      <c r="A105" s="65"/>
      <c r="B105" s="65" t="s">
        <v>506</v>
      </c>
      <c r="C105" s="140">
        <f>VLOOKUP(C$13,'ELT3'!$A$26:$O$265,15)</f>
        <v>0</v>
      </c>
      <c r="D105" s="140">
        <f>VLOOKUP(D$13,'ELT3'!$A$26:$O$265,15)</f>
        <v>0</v>
      </c>
      <c r="E105" s="140">
        <f>VLOOKUP(E$13,'ELT3'!$A$26:$O$265,15)</f>
        <v>0</v>
      </c>
      <c r="F105" s="140">
        <f>VLOOKUP(F$13,'ELT3'!$A$26:$O$265,15)</f>
        <v>0</v>
      </c>
      <c r="G105" s="140">
        <f>VLOOKUP(G$13,'ELT3'!$A$26:$O$265,15)</f>
        <v>0</v>
      </c>
      <c r="H105" s="140">
        <f>VLOOKUP(H$13,'ELT3'!$A$26:$O$265,15)</f>
        <v>0</v>
      </c>
      <c r="I105" s="140">
        <f>VLOOKUP(I$13,'ELT3'!$A$26:$O$265,15)</f>
        <v>0</v>
      </c>
      <c r="J105" s="140">
        <f>VLOOKUP(J$13,'ELT3'!$A$26:$O$265,15)</f>
        <v>0</v>
      </c>
      <c r="K105" s="140">
        <f>VLOOKUP(K$13,'ELT3'!$A$26:$O$265,15)</f>
        <v>0</v>
      </c>
      <c r="L105" s="140">
        <f>VLOOKUP(L$13,'ELT3'!$A$26:$O$265,15)</f>
        <v>0</v>
      </c>
      <c r="M105" s="140">
        <f>VLOOKUP(M$13,'ELT3'!$A$26:$O$265,15)</f>
        <v>0</v>
      </c>
      <c r="N105" s="140">
        <f>VLOOKUP(N$13,'ELT3'!$A$26:$O$265,15)</f>
        <v>0</v>
      </c>
      <c r="O105" s="217">
        <f>SUM(C105:N105)</f>
        <v>0</v>
      </c>
    </row>
    <row r="106" spans="1:15" ht="13.5" customHeight="1" thickBot="1">
      <c r="A106" s="43"/>
      <c r="B106" s="149"/>
      <c r="C106" s="211"/>
      <c r="D106" s="211"/>
      <c r="E106" s="211"/>
      <c r="F106" s="211"/>
      <c r="G106" s="211"/>
      <c r="H106" s="211"/>
      <c r="I106" s="211"/>
      <c r="J106" s="211"/>
      <c r="K106" s="211"/>
      <c r="L106" s="211"/>
      <c r="M106" s="211"/>
      <c r="N106" s="211"/>
      <c r="O106" s="159">
        <f>IF(O104+O105=0,0,0.001)</f>
        <v>0</v>
      </c>
    </row>
    <row r="107" spans="1:15" ht="13.5" customHeight="1" thickBot="1">
      <c r="A107" s="43" t="str">
        <f>CF!F44</f>
        <v>Emprunt à long terme 4</v>
      </c>
      <c r="B107" s="65" t="s">
        <v>505</v>
      </c>
      <c r="C107" s="140">
        <f>VLOOKUP(C$13,'ELT4'!$A$26:$O$73,14)</f>
        <v>0</v>
      </c>
      <c r="D107" s="140">
        <f>VLOOKUP(D$13,'ELT4'!$A$26:$O$73,14)</f>
        <v>0</v>
      </c>
      <c r="E107" s="140">
        <f>VLOOKUP(E$13,'ELT4'!$A$26:$O$73,14)</f>
        <v>0</v>
      </c>
      <c r="F107" s="140">
        <f>VLOOKUP(F$13,'ELT4'!$A$26:$O$73,14)</f>
        <v>0</v>
      </c>
      <c r="G107" s="140">
        <f>VLOOKUP(G$13,'ELT4'!$A$26:$O$73,14)</f>
        <v>0</v>
      </c>
      <c r="H107" s="140">
        <f>VLOOKUP(H$13,'ELT4'!$A$26:$O$73,14)</f>
        <v>0</v>
      </c>
      <c r="I107" s="140">
        <f>VLOOKUP(I$13,'ELT4'!$A$26:$O$73,14)</f>
        <v>0</v>
      </c>
      <c r="J107" s="140">
        <f>VLOOKUP(J$13,'ELT4'!$A$26:$O$73,14)</f>
        <v>0</v>
      </c>
      <c r="K107" s="140">
        <f>VLOOKUP(K$13,'ELT4'!$A$26:$O$73,14)</f>
        <v>0</v>
      </c>
      <c r="L107" s="140">
        <f>VLOOKUP(L$13,'ELT4'!$A$26:$O$73,14)</f>
        <v>0</v>
      </c>
      <c r="M107" s="140">
        <f>VLOOKUP(M$13,'ELT4'!$A$26:$O$73,14)</f>
        <v>0</v>
      </c>
      <c r="N107" s="140">
        <f>VLOOKUP(N$13,'ELT4'!$A$26:$O$73,14)</f>
        <v>0</v>
      </c>
      <c r="O107" s="217">
        <f>SUM(C107:N107)</f>
        <v>0</v>
      </c>
    </row>
    <row r="108" spans="1:15" ht="13.5" customHeight="1" thickBot="1">
      <c r="A108" s="65"/>
      <c r="B108" s="65" t="s">
        <v>506</v>
      </c>
      <c r="C108" s="140">
        <f>VLOOKUP(C$13,'ELT4'!$A$26:$O$73,15)</f>
        <v>0</v>
      </c>
      <c r="D108" s="140">
        <f>VLOOKUP(D$13,'ELT4'!$A$26:$O$73,15)</f>
        <v>0</v>
      </c>
      <c r="E108" s="140">
        <f>VLOOKUP(E$13,'ELT4'!$A$26:$O$73,15)</f>
        <v>0</v>
      </c>
      <c r="F108" s="140">
        <f>VLOOKUP(F$13,'ELT4'!$A$26:$O$73,15)</f>
        <v>0</v>
      </c>
      <c r="G108" s="140">
        <f>VLOOKUP(G$13,'ELT4'!$A$26:$O$73,15)</f>
        <v>0</v>
      </c>
      <c r="H108" s="140">
        <f>VLOOKUP(H$13,'ELT4'!$A$26:$O$73,15)</f>
        <v>0</v>
      </c>
      <c r="I108" s="140">
        <f>VLOOKUP(I$13,'ELT4'!$A$26:$O$73,15)</f>
        <v>0</v>
      </c>
      <c r="J108" s="140">
        <f>VLOOKUP(J$13,'ELT4'!$A$26:$O$73,15)</f>
        <v>0</v>
      </c>
      <c r="K108" s="140">
        <f>VLOOKUP(K$13,'ELT4'!$A$26:$O$73,15)</f>
        <v>0</v>
      </c>
      <c r="L108" s="140">
        <f>VLOOKUP(L$13,'ELT4'!$A$26:$O$73,15)</f>
        <v>0</v>
      </c>
      <c r="M108" s="140">
        <f>VLOOKUP(M$13,'ELT4'!$A$26:$O$73,15)</f>
        <v>0</v>
      </c>
      <c r="N108" s="140">
        <f>VLOOKUP(N$13,'ELT4'!$A$26:$O$73,15)</f>
        <v>0</v>
      </c>
      <c r="O108" s="217">
        <f>SUM(C108:N108)</f>
        <v>0</v>
      </c>
    </row>
    <row r="109" spans="1:15" ht="13.5" customHeight="1" thickBot="1">
      <c r="A109" s="43"/>
      <c r="B109" s="149"/>
      <c r="C109" s="211"/>
      <c r="D109" s="211"/>
      <c r="E109" s="211"/>
      <c r="F109" s="211"/>
      <c r="G109" s="211"/>
      <c r="H109" s="211"/>
      <c r="I109" s="211"/>
      <c r="J109" s="211"/>
      <c r="K109" s="211"/>
      <c r="L109" s="211"/>
      <c r="M109" s="211"/>
      <c r="N109" s="211"/>
      <c r="O109" s="159">
        <f>IF(O107+O108=0,0,0.001)</f>
        <v>0</v>
      </c>
    </row>
    <row r="110" spans="1:15" ht="13.5" customHeight="1" thickBot="1">
      <c r="A110" s="43" t="str">
        <f>CF!F45</f>
        <v>Emprunt à long terme 5</v>
      </c>
      <c r="B110" s="65" t="s">
        <v>505</v>
      </c>
      <c r="C110" s="140">
        <f>VLOOKUP(C$13,'ELT5'!$A$26:$O$265,14)</f>
        <v>0</v>
      </c>
      <c r="D110" s="140">
        <f>VLOOKUP(D$13,'ELT5'!$A$26:$O$265,14)</f>
        <v>0</v>
      </c>
      <c r="E110" s="140">
        <f>VLOOKUP(E$13,'ELT5'!$A$26:$O$265,14)</f>
        <v>0</v>
      </c>
      <c r="F110" s="140">
        <f>VLOOKUP(F$13,'ELT5'!$A$26:$O$265,14)</f>
        <v>0</v>
      </c>
      <c r="G110" s="140">
        <f>VLOOKUP(G$13,'ELT5'!$A$26:$O$265,14)</f>
        <v>0</v>
      </c>
      <c r="H110" s="140">
        <f>VLOOKUP(H$13,'ELT5'!$A$26:$O$265,14)</f>
        <v>0</v>
      </c>
      <c r="I110" s="140">
        <f>VLOOKUP(I$13,'ELT5'!$A$26:$O$265,14)</f>
        <v>0</v>
      </c>
      <c r="J110" s="140">
        <f>VLOOKUP(J$13,'ELT5'!$A$26:$O$265,14)</f>
        <v>0</v>
      </c>
      <c r="K110" s="140">
        <f>VLOOKUP(K$13,'ELT5'!$A$26:$O$265,14)</f>
        <v>0</v>
      </c>
      <c r="L110" s="140">
        <f>VLOOKUP(L$13,'ELT5'!$A$26:$O$265,14)</f>
        <v>0</v>
      </c>
      <c r="M110" s="140">
        <f>VLOOKUP(M$13,'ELT5'!$A$26:$O$265,14)</f>
        <v>0</v>
      </c>
      <c r="N110" s="140">
        <f>VLOOKUP(N$13,'ELT5'!$A$26:$O$265,14)</f>
        <v>0</v>
      </c>
      <c r="O110" s="217">
        <f>SUM(C110:N110)</f>
        <v>0</v>
      </c>
    </row>
    <row r="111" spans="1:15" ht="13.5" customHeight="1" thickBot="1">
      <c r="A111" s="65"/>
      <c r="B111" s="65" t="s">
        <v>506</v>
      </c>
      <c r="C111" s="140">
        <f>VLOOKUP(C$13,'ELT5'!$A$26:$O$265,15)</f>
        <v>0</v>
      </c>
      <c r="D111" s="140">
        <f>VLOOKUP(D$13,'ELT5'!$A$26:$O$265,15)</f>
        <v>0</v>
      </c>
      <c r="E111" s="140">
        <f>VLOOKUP(E$13,'ELT5'!$A$26:$O$265,15)</f>
        <v>0</v>
      </c>
      <c r="F111" s="140">
        <f>VLOOKUP(F$13,'ELT5'!$A$26:$O$265,15)</f>
        <v>0</v>
      </c>
      <c r="G111" s="140">
        <f>VLOOKUP(G$13,'ELT5'!$A$26:$O$265,15)</f>
        <v>0</v>
      </c>
      <c r="H111" s="140">
        <f>VLOOKUP(H$13,'ELT5'!$A$26:$O$265,15)</f>
        <v>0</v>
      </c>
      <c r="I111" s="140">
        <f>VLOOKUP(I$13,'ELT5'!$A$26:$O$265,15)</f>
        <v>0</v>
      </c>
      <c r="J111" s="140">
        <f>VLOOKUP(J$13,'ELT5'!$A$26:$O$265,15)</f>
        <v>0</v>
      </c>
      <c r="K111" s="140">
        <f>VLOOKUP(K$13,'ELT5'!$A$26:$O$265,15)</f>
        <v>0</v>
      </c>
      <c r="L111" s="140">
        <f>VLOOKUP(L$13,'ELT5'!$A$26:$O$265,15)</f>
        <v>0</v>
      </c>
      <c r="M111" s="140">
        <f>VLOOKUP(M$13,'ELT5'!$A$26:$O$265,15)</f>
        <v>0</v>
      </c>
      <c r="N111" s="140">
        <f>VLOOKUP(N$13,'ELT5'!$A$26:$O$265,15)</f>
        <v>0</v>
      </c>
      <c r="O111" s="217">
        <f>SUM(C111:N111)</f>
        <v>0</v>
      </c>
    </row>
    <row r="112" spans="1:15" ht="13.5" customHeight="1" thickBot="1">
      <c r="A112" s="43"/>
      <c r="B112" s="149"/>
      <c r="C112" s="211"/>
      <c r="D112" s="211"/>
      <c r="E112" s="211"/>
      <c r="F112" s="211"/>
      <c r="G112" s="211"/>
      <c r="H112" s="211"/>
      <c r="I112" s="211"/>
      <c r="J112" s="211"/>
      <c r="K112" s="211"/>
      <c r="L112" s="211"/>
      <c r="M112" s="211"/>
      <c r="N112" s="211"/>
      <c r="O112" s="159">
        <f>IF(O110+O111=0,0,0.001)</f>
        <v>0</v>
      </c>
    </row>
    <row r="113" spans="1:16" ht="13.5" customHeight="1" thickBot="1">
      <c r="A113" s="43" t="str">
        <f>CF!F46</f>
        <v>Emprunt à long terme 6</v>
      </c>
      <c r="B113" s="65" t="s">
        <v>505</v>
      </c>
      <c r="C113" s="140">
        <f>VLOOKUP(C$13,'ELT6'!$A$26:$O$265,14)</f>
        <v>0</v>
      </c>
      <c r="D113" s="140">
        <f>VLOOKUP(D$13,'ELT6'!$A$26:$O$265,14)</f>
        <v>0</v>
      </c>
      <c r="E113" s="140">
        <f>VLOOKUP(E$13,'ELT6'!$A$26:$O$265,14)</f>
        <v>0</v>
      </c>
      <c r="F113" s="140">
        <f>VLOOKUP(F$13,'ELT6'!$A$26:$O$265,14)</f>
        <v>0</v>
      </c>
      <c r="G113" s="140">
        <f>VLOOKUP(G$13,'ELT6'!$A$26:$O$265,14)</f>
        <v>0</v>
      </c>
      <c r="H113" s="140">
        <f>VLOOKUP(H$13,'ELT6'!$A$26:$O$265,14)</f>
        <v>0</v>
      </c>
      <c r="I113" s="140">
        <f>VLOOKUP(I$13,'ELT6'!$A$26:$O$265,14)</f>
        <v>0</v>
      </c>
      <c r="J113" s="140">
        <f>VLOOKUP(J$13,'ELT6'!$A$26:$O$265,14)</f>
        <v>0</v>
      </c>
      <c r="K113" s="140">
        <f>VLOOKUP(K$13,'ELT6'!$A$26:$O$265,14)</f>
        <v>0</v>
      </c>
      <c r="L113" s="140">
        <f>VLOOKUP(L$13,'ELT6'!$A$26:$O$265,14)</f>
        <v>0</v>
      </c>
      <c r="M113" s="140">
        <f>VLOOKUP(M$13,'ELT6'!$A$26:$O$265,14)</f>
        <v>0</v>
      </c>
      <c r="N113" s="140">
        <f>VLOOKUP(N$13,'ELT6'!$A$26:$O$265,14)</f>
        <v>0</v>
      </c>
      <c r="O113" s="217">
        <f>SUM(C113:N113)</f>
        <v>0</v>
      </c>
    </row>
    <row r="114" spans="1:16" ht="13.5" customHeight="1" thickBot="1">
      <c r="A114" s="65"/>
      <c r="B114" s="65" t="s">
        <v>506</v>
      </c>
      <c r="C114" s="140">
        <f>VLOOKUP(C$13,'ELT6'!$A$26:$O$265,15)</f>
        <v>0</v>
      </c>
      <c r="D114" s="140">
        <f>VLOOKUP(D$13,'ELT6'!$A$26:$O$265,15)</f>
        <v>0</v>
      </c>
      <c r="E114" s="140">
        <f>VLOOKUP(E$13,'ELT6'!$A$26:$O$265,15)</f>
        <v>0</v>
      </c>
      <c r="F114" s="140">
        <f>VLOOKUP(F$13,'ELT6'!$A$26:$O$265,15)</f>
        <v>0</v>
      </c>
      <c r="G114" s="140">
        <f>VLOOKUP(G$13,'ELT6'!$A$26:$O$265,15)</f>
        <v>0</v>
      </c>
      <c r="H114" s="140">
        <f>VLOOKUP(H$13,'ELT6'!$A$26:$O$265,15)</f>
        <v>0</v>
      </c>
      <c r="I114" s="140">
        <f>VLOOKUP(I$13,'ELT6'!$A$26:$O$265,15)</f>
        <v>0</v>
      </c>
      <c r="J114" s="140">
        <f>VLOOKUP(J$13,'ELT6'!$A$26:$O$265,15)</f>
        <v>0</v>
      </c>
      <c r="K114" s="140">
        <f>VLOOKUP(K$13,'ELT6'!$A$26:$O$265,15)</f>
        <v>0</v>
      </c>
      <c r="L114" s="140">
        <f>VLOOKUP(L$13,'ELT6'!$A$26:$O$265,15)</f>
        <v>0</v>
      </c>
      <c r="M114" s="140">
        <f>VLOOKUP(M$13,'ELT6'!$A$26:$O$265,15)</f>
        <v>0</v>
      </c>
      <c r="N114" s="140">
        <f>VLOOKUP(N$13,'ELT6'!$A$26:$O$265,15)</f>
        <v>0</v>
      </c>
      <c r="O114" s="217">
        <f>SUM(C114:N114)</f>
        <v>0</v>
      </c>
    </row>
    <row r="115" spans="1:16" ht="13.5" customHeight="1" thickBot="1">
      <c r="A115" s="43"/>
      <c r="B115" s="149"/>
      <c r="C115" s="211"/>
      <c r="D115" s="211"/>
      <c r="E115" s="211"/>
      <c r="F115" s="211"/>
      <c r="G115" s="211"/>
      <c r="H115" s="211"/>
      <c r="I115" s="211"/>
      <c r="J115" s="211"/>
      <c r="K115" s="211"/>
      <c r="L115" s="211"/>
      <c r="M115" s="211"/>
      <c r="N115" s="211"/>
      <c r="O115" s="159">
        <f>IF(O113+O114=0,0,0.001)</f>
        <v>0</v>
      </c>
    </row>
    <row r="116" spans="1:16" ht="13.5" customHeight="1" thickBot="1">
      <c r="A116" s="43" t="str">
        <f>CF!F47</f>
        <v>Emprunt à long terme 7</v>
      </c>
      <c r="B116" s="65" t="s">
        <v>505</v>
      </c>
      <c r="C116" s="140">
        <f>VLOOKUP(C$13,'ELT7'!$A$26:$O$265,14)</f>
        <v>0</v>
      </c>
      <c r="D116" s="140">
        <f>VLOOKUP(D$13,'ELT7'!$A$26:$O$265,14)</f>
        <v>0</v>
      </c>
      <c r="E116" s="140">
        <f>VLOOKUP(E$13,'ELT7'!$A$26:$O$265,14)</f>
        <v>0</v>
      </c>
      <c r="F116" s="140">
        <f>VLOOKUP(F$13,'ELT7'!$A$26:$O$265,14)</f>
        <v>0</v>
      </c>
      <c r="G116" s="140">
        <f>VLOOKUP(G$13,'ELT7'!$A$26:$O$265,14)</f>
        <v>0</v>
      </c>
      <c r="H116" s="140">
        <f>VLOOKUP(H$13,'ELT7'!$A$26:$O$265,14)</f>
        <v>0</v>
      </c>
      <c r="I116" s="140">
        <f>VLOOKUP(I$13,'ELT7'!$A$26:$O$265,14)</f>
        <v>0</v>
      </c>
      <c r="J116" s="140">
        <f>VLOOKUP(J$13,'ELT7'!$A$26:$O$265,14)</f>
        <v>0</v>
      </c>
      <c r="K116" s="140">
        <f>VLOOKUP(K$13,'ELT7'!$A$26:$O$265,14)</f>
        <v>0</v>
      </c>
      <c r="L116" s="140">
        <f>VLOOKUP(L$13,'ELT7'!$A$26:$O$265,14)</f>
        <v>0</v>
      </c>
      <c r="M116" s="140">
        <f>VLOOKUP(M$13,'ELT7'!$A$26:$O$265,14)</f>
        <v>0</v>
      </c>
      <c r="N116" s="140">
        <f>VLOOKUP(N$13,'ELT7'!$A$26:$O$265,14)</f>
        <v>0</v>
      </c>
      <c r="O116" s="217">
        <f>SUM(C116:N116)</f>
        <v>0</v>
      </c>
    </row>
    <row r="117" spans="1:16" ht="13.5" customHeight="1" thickBot="1">
      <c r="A117" s="65"/>
      <c r="B117" s="65" t="s">
        <v>506</v>
      </c>
      <c r="C117" s="140">
        <f>VLOOKUP(C$13,'ELT7'!$A$26:$O$265,15)</f>
        <v>0</v>
      </c>
      <c r="D117" s="140">
        <f>VLOOKUP(D$13,'ELT7'!$A$26:$O$265,15)</f>
        <v>0</v>
      </c>
      <c r="E117" s="140">
        <f>VLOOKUP(E$13,'ELT7'!$A$26:$O$265,15)</f>
        <v>0</v>
      </c>
      <c r="F117" s="140">
        <f>VLOOKUP(F$13,'ELT7'!$A$26:$O$265,15)</f>
        <v>0</v>
      </c>
      <c r="G117" s="140">
        <f>VLOOKUP(G$13,'ELT7'!$A$26:$O$265,15)</f>
        <v>0</v>
      </c>
      <c r="H117" s="140">
        <f>VLOOKUP(H$13,'ELT7'!$A$26:$O$265,15)</f>
        <v>0</v>
      </c>
      <c r="I117" s="140">
        <f>VLOOKUP(I$13,'ELT7'!$A$26:$O$265,15)</f>
        <v>0</v>
      </c>
      <c r="J117" s="140">
        <f>VLOOKUP(J$13,'ELT7'!$A$26:$O$265,15)</f>
        <v>0</v>
      </c>
      <c r="K117" s="140">
        <f>VLOOKUP(K$13,'ELT7'!$A$26:$O$265,15)</f>
        <v>0</v>
      </c>
      <c r="L117" s="140">
        <f>VLOOKUP(L$13,'ELT7'!$A$26:$O$265,15)</f>
        <v>0</v>
      </c>
      <c r="M117" s="140">
        <f>VLOOKUP(M$13,'ELT7'!$A$26:$O$265,15)</f>
        <v>0</v>
      </c>
      <c r="N117" s="791">
        <f>VLOOKUP(N$13,'ELT7'!$A$26:$O$265,15)</f>
        <v>0</v>
      </c>
      <c r="O117" s="217">
        <f>SUM(C117:N117)</f>
        <v>0</v>
      </c>
    </row>
    <row r="118" spans="1:16" ht="13.5" customHeight="1" thickBot="1">
      <c r="A118" s="65"/>
      <c r="B118" s="65"/>
      <c r="C118" s="211"/>
      <c r="D118" s="211"/>
      <c r="E118" s="211"/>
      <c r="F118" s="211"/>
      <c r="G118" s="211"/>
      <c r="H118" s="211"/>
      <c r="I118" s="211"/>
      <c r="J118" s="211"/>
      <c r="K118" s="211"/>
      <c r="L118" s="211"/>
      <c r="M118" s="211"/>
      <c r="N118" s="211"/>
      <c r="O118" s="159">
        <f>IF(O116+O117=0,0,0.001)</f>
        <v>0</v>
      </c>
    </row>
    <row r="119" spans="1:16" ht="13.5" customHeight="1" thickBot="1">
      <c r="A119" s="867" t="s">
        <v>337</v>
      </c>
      <c r="B119" s="48"/>
      <c r="C119" s="133">
        <f>IF('BC1'!P146&gt;0,'BC1'!P146*C131,0)</f>
        <v>0</v>
      </c>
      <c r="D119" s="133">
        <f>IF(C142&gt;0,C142*D131,0)</f>
        <v>0</v>
      </c>
      <c r="E119" s="133">
        <f t="shared" ref="E119:N119" si="8">IF(D142&gt;0,D142*E131,0)</f>
        <v>0</v>
      </c>
      <c r="F119" s="133">
        <f t="shared" si="8"/>
        <v>0</v>
      </c>
      <c r="G119" s="133">
        <f t="shared" si="8"/>
        <v>0</v>
      </c>
      <c r="H119" s="133">
        <f t="shared" si="8"/>
        <v>0</v>
      </c>
      <c r="I119" s="133">
        <f t="shared" si="8"/>
        <v>0</v>
      </c>
      <c r="J119" s="133">
        <f t="shared" si="8"/>
        <v>0</v>
      </c>
      <c r="K119" s="133">
        <f t="shared" si="8"/>
        <v>0</v>
      </c>
      <c r="L119" s="133">
        <f t="shared" si="8"/>
        <v>0</v>
      </c>
      <c r="M119" s="133">
        <f t="shared" si="8"/>
        <v>0</v>
      </c>
      <c r="N119" s="133">
        <f t="shared" si="8"/>
        <v>0</v>
      </c>
      <c r="O119" s="217">
        <f>SUM(C119:N119)+(0.0001)</f>
        <v>1E-4</v>
      </c>
    </row>
    <row r="120" spans="1:16" ht="13.5" customHeight="1">
      <c r="A120" s="65"/>
      <c r="B120" s="65"/>
      <c r="C120" s="211"/>
      <c r="D120" s="211"/>
      <c r="E120" s="211"/>
      <c r="F120" s="211"/>
      <c r="G120" s="211"/>
      <c r="H120" s="211"/>
      <c r="I120" s="211"/>
      <c r="J120" s="211"/>
      <c r="K120" s="211"/>
      <c r="L120" s="211"/>
      <c r="M120" s="211"/>
      <c r="N120" s="211"/>
      <c r="O120" s="220">
        <v>0.01</v>
      </c>
    </row>
    <row r="121" spans="1:16" ht="13.5" customHeight="1" thickBot="1">
      <c r="A121" s="43"/>
      <c r="B121" s="43"/>
      <c r="C121" s="790"/>
      <c r="D121" s="790"/>
      <c r="E121" s="790"/>
      <c r="F121" s="790"/>
      <c r="G121" s="790"/>
      <c r="H121" s="790"/>
      <c r="I121" s="790"/>
      <c r="J121" s="790"/>
      <c r="K121" s="790"/>
      <c r="L121" s="790"/>
      <c r="M121" s="790"/>
      <c r="N121" s="790"/>
      <c r="O121" s="220">
        <v>0.01</v>
      </c>
    </row>
    <row r="122" spans="1:16" ht="13.5" customHeight="1" thickBot="1">
      <c r="A122" s="48" t="str">
        <f>'BC1'!A124</f>
        <v>Acquisitions d'immobilisations</v>
      </c>
      <c r="B122" s="48"/>
      <c r="C122" s="133">
        <f>'FG2'!C101</f>
        <v>0</v>
      </c>
      <c r="D122" s="133">
        <f>'FG2'!D101</f>
        <v>0</v>
      </c>
      <c r="E122" s="133">
        <f>'FG2'!E101</f>
        <v>0</v>
      </c>
      <c r="F122" s="133">
        <f>'FG2'!F101</f>
        <v>0</v>
      </c>
      <c r="G122" s="133">
        <f>'FG2'!G101</f>
        <v>0</v>
      </c>
      <c r="H122" s="133">
        <f>'FG2'!H101</f>
        <v>0</v>
      </c>
      <c r="I122" s="133">
        <f>'FG2'!I101</f>
        <v>0</v>
      </c>
      <c r="J122" s="133">
        <f>'FG2'!J101</f>
        <v>0</v>
      </c>
      <c r="K122" s="133">
        <f>'FG2'!K101</f>
        <v>0</v>
      </c>
      <c r="L122" s="133">
        <f>'FG2'!L101</f>
        <v>0</v>
      </c>
      <c r="M122" s="133">
        <f>'FG2'!M101</f>
        <v>0</v>
      </c>
      <c r="N122" s="134">
        <f>'FG2'!N101</f>
        <v>0</v>
      </c>
      <c r="O122" s="217">
        <f>SUM(C122:N122)</f>
        <v>0</v>
      </c>
    </row>
    <row r="123" spans="1:16" ht="13.5" customHeight="1" thickBot="1">
      <c r="A123" s="43"/>
      <c r="B123" s="43"/>
      <c r="C123" s="150"/>
      <c r="D123" s="150"/>
      <c r="E123" s="150"/>
      <c r="F123" s="150"/>
      <c r="G123" s="150"/>
      <c r="H123" s="150"/>
      <c r="I123" s="150"/>
      <c r="J123" s="150"/>
      <c r="K123" s="150"/>
      <c r="L123" s="150"/>
      <c r="M123" s="150"/>
      <c r="N123" s="150"/>
      <c r="O123" s="159">
        <f>IF(O128=0,0,0.001)</f>
        <v>1E-3</v>
      </c>
    </row>
    <row r="124" spans="1:16" ht="13.5" customHeight="1" thickBot="1">
      <c r="A124" s="48" t="str">
        <f>'BC1'!A128</f>
        <v>Dividendes versés</v>
      </c>
      <c r="B124" s="48"/>
      <c r="C124" s="133">
        <f>'FG2'!C103</f>
        <v>0</v>
      </c>
      <c r="D124" s="133">
        <f>'FG2'!D103</f>
        <v>0</v>
      </c>
      <c r="E124" s="133">
        <f>'FG2'!E103</f>
        <v>0</v>
      </c>
      <c r="F124" s="133">
        <f>'FG2'!F103</f>
        <v>0</v>
      </c>
      <c r="G124" s="133">
        <f>'FG2'!G103</f>
        <v>0</v>
      </c>
      <c r="H124" s="133">
        <f>'FG2'!H103</f>
        <v>0</v>
      </c>
      <c r="I124" s="133">
        <f>'FG2'!I103</f>
        <v>0</v>
      </c>
      <c r="J124" s="133">
        <f>'FG2'!J103</f>
        <v>0</v>
      </c>
      <c r="K124" s="133">
        <f>'FG2'!K103</f>
        <v>0</v>
      </c>
      <c r="L124" s="133">
        <f>'FG2'!L103</f>
        <v>0</v>
      </c>
      <c r="M124" s="133">
        <f>'FG2'!M103</f>
        <v>0</v>
      </c>
      <c r="N124" s="134">
        <f>'FG2'!N103</f>
        <v>0</v>
      </c>
      <c r="O124" s="217">
        <f>SUM(C124:N124)</f>
        <v>0</v>
      </c>
    </row>
    <row r="125" spans="1:16" ht="13.5" customHeight="1" thickBot="1">
      <c r="A125" s="43"/>
      <c r="B125" s="43"/>
      <c r="C125" s="150"/>
      <c r="D125" s="150"/>
      <c r="E125" s="150"/>
      <c r="F125" s="150"/>
      <c r="G125" s="150"/>
      <c r="H125" s="150"/>
      <c r="I125" s="150"/>
      <c r="J125" s="150"/>
      <c r="K125" s="150"/>
      <c r="L125" s="150"/>
      <c r="M125" s="150"/>
      <c r="N125" s="150"/>
      <c r="O125" s="159">
        <f>IF(O130=0,0,0.001)</f>
        <v>1E-3</v>
      </c>
    </row>
    <row r="126" spans="1:16" ht="13.5" thickBot="1">
      <c r="A126" s="48" t="s">
        <v>923</v>
      </c>
      <c r="B126" s="48"/>
      <c r="C126" s="552"/>
      <c r="D126" s="552">
        <f>IF(ER!C98&gt;0,-ER!C98,0)</f>
        <v>0</v>
      </c>
      <c r="E126" s="552">
        <f>IF(ER!$C$98&lt;0,MROUND(-ER!$C$98/4,1),0)</f>
        <v>0</v>
      </c>
      <c r="F126" s="552"/>
      <c r="G126" s="552"/>
      <c r="H126" s="552">
        <f>IF(ER!$C$98&lt;0,MROUND(-ER!$C$98/4,1),0)</f>
        <v>0</v>
      </c>
      <c r="I126" s="552"/>
      <c r="J126" s="552"/>
      <c r="K126" s="552">
        <f>IF(ER!$C$98&lt;0,MROUND(-ER!$C$98/4,1),0)</f>
        <v>0</v>
      </c>
      <c r="L126" s="552"/>
      <c r="M126" s="552"/>
      <c r="N126" s="552">
        <f>IF(ER!$C$98&lt;0,MROUND(-ER!$C$98/4,1),0)</f>
        <v>0</v>
      </c>
      <c r="O126" s="136">
        <f>SUM(C126:N126)</f>
        <v>0</v>
      </c>
      <c r="P126" s="137"/>
    </row>
    <row r="127" spans="1:16" ht="13.5" customHeight="1" thickBot="1">
      <c r="A127" s="43"/>
      <c r="B127" s="43"/>
      <c r="C127" s="148"/>
      <c r="D127" s="148"/>
      <c r="E127" s="148"/>
      <c r="F127" s="148"/>
      <c r="G127" s="148"/>
      <c r="H127" s="148"/>
      <c r="I127" s="148"/>
      <c r="J127" s="148"/>
      <c r="K127" s="148"/>
      <c r="L127" s="148"/>
      <c r="M127" s="148"/>
      <c r="N127" s="148"/>
      <c r="O127" s="159">
        <f>IF(O132=0,0,0.001)</f>
        <v>0</v>
      </c>
    </row>
    <row r="128" spans="1:16" ht="13.5" customHeight="1" thickBot="1">
      <c r="A128" s="48" t="s">
        <v>507</v>
      </c>
      <c r="B128" s="48"/>
      <c r="C128" s="133">
        <f>-SUM(C28:C85)-C124-C126-C122</f>
        <v>-4888.2</v>
      </c>
      <c r="D128" s="133">
        <f t="shared" ref="D128:N128" si="9">-SUM(D28:D85)-D124-D126-D122</f>
        <v>-4910.2</v>
      </c>
      <c r="E128" s="133">
        <f t="shared" si="9"/>
        <v>-4915.2</v>
      </c>
      <c r="F128" s="133">
        <f t="shared" si="9"/>
        <v>-4918.2</v>
      </c>
      <c r="G128" s="133">
        <f t="shared" si="9"/>
        <v>-4922.2</v>
      </c>
      <c r="H128" s="133">
        <f t="shared" si="9"/>
        <v>-4926.2</v>
      </c>
      <c r="I128" s="133">
        <f t="shared" si="9"/>
        <v>-4930.2</v>
      </c>
      <c r="J128" s="133">
        <f t="shared" si="9"/>
        <v>-4934.2</v>
      </c>
      <c r="K128" s="133">
        <f t="shared" si="9"/>
        <v>-4938.2</v>
      </c>
      <c r="L128" s="133">
        <f t="shared" si="9"/>
        <v>-4942.2</v>
      </c>
      <c r="M128" s="133">
        <f t="shared" si="9"/>
        <v>-4946.2</v>
      </c>
      <c r="N128" s="133">
        <f t="shared" si="9"/>
        <v>-4950.2</v>
      </c>
      <c r="O128" s="136">
        <f t="shared" ref="O128" si="10">-SUM(O28:O85)-O124-O126-O122</f>
        <v>-59121.415099999984</v>
      </c>
      <c r="P128" s="137"/>
    </row>
    <row r="129" spans="1:17" ht="13.5" customHeight="1" thickBot="1">
      <c r="A129" s="48"/>
      <c r="B129" s="48"/>
      <c r="C129" s="148"/>
      <c r="D129" s="148"/>
      <c r="E129" s="148"/>
      <c r="F129" s="148"/>
      <c r="G129" s="148"/>
      <c r="H129" s="148"/>
      <c r="I129" s="148"/>
      <c r="J129" s="148"/>
      <c r="K129" s="148"/>
      <c r="L129" s="148"/>
      <c r="M129" s="148"/>
      <c r="N129" s="148"/>
      <c r="O129" s="151">
        <v>1E-3</v>
      </c>
    </row>
    <row r="130" spans="1:17" ht="13.5" customHeight="1" thickBot="1">
      <c r="A130" s="48" t="s">
        <v>446</v>
      </c>
      <c r="B130" s="48"/>
      <c r="C130" s="133">
        <f t="shared" ref="C130:O130" si="11">+C25+C128</f>
        <v>-1475.6999999999998</v>
      </c>
      <c r="D130" s="133">
        <f t="shared" si="11"/>
        <v>-1340.1999999999998</v>
      </c>
      <c r="E130" s="133">
        <f t="shared" si="11"/>
        <v>-1187.6999999999998</v>
      </c>
      <c r="F130" s="133">
        <f t="shared" si="11"/>
        <v>-1033.1999999999998</v>
      </c>
      <c r="G130" s="133">
        <f t="shared" si="11"/>
        <v>-879.69999999999982</v>
      </c>
      <c r="H130" s="133">
        <f t="shared" si="11"/>
        <v>-726.19999999999982</v>
      </c>
      <c r="I130" s="133">
        <f t="shared" si="11"/>
        <v>-572.69999999999982</v>
      </c>
      <c r="J130" s="133">
        <f t="shared" si="11"/>
        <v>-419.19999999999982</v>
      </c>
      <c r="K130" s="133">
        <f t="shared" si="11"/>
        <v>-265.69999999999982</v>
      </c>
      <c r="L130" s="133">
        <f t="shared" si="11"/>
        <v>-112.19999999999982</v>
      </c>
      <c r="M130" s="133">
        <f t="shared" si="11"/>
        <v>41.300000000000182</v>
      </c>
      <c r="N130" s="134">
        <f t="shared" si="11"/>
        <v>194.80000000000018</v>
      </c>
      <c r="O130" s="136">
        <f t="shared" si="11"/>
        <v>-7776.4150999999838</v>
      </c>
      <c r="P130" s="137"/>
    </row>
    <row r="131" spans="1:17" ht="13.5" customHeight="1">
      <c r="A131" s="48"/>
      <c r="B131" s="48"/>
      <c r="C131" s="222">
        <f>IF(RG!$A$91&lt;16,DG!$D$27/12,DG!$D$28/12)</f>
        <v>0</v>
      </c>
      <c r="D131" s="222">
        <f>IF(RG!$A$91&lt;16,DG!$D$27/12,DG!$D$28/12)</f>
        <v>0</v>
      </c>
      <c r="E131" s="222">
        <f>IF(RG!$A$91&lt;16,DG!$D$27/12,DG!$D$28/12)</f>
        <v>0</v>
      </c>
      <c r="F131" s="222">
        <f>IF(RG!$A$91&lt;16,DG!$D$27/12,DG!$D$28/12)</f>
        <v>0</v>
      </c>
      <c r="G131" s="222">
        <f>IF(RG!$A$91&lt;16,DG!$D$27/12,DG!$D$28/12)</f>
        <v>0</v>
      </c>
      <c r="H131" s="222">
        <f>IF(RG!$A$91&lt;16,DG!$D$27/12,DG!$D$28/12)</f>
        <v>0</v>
      </c>
      <c r="I131" s="222">
        <f>IF(RG!$A$91&lt;16,DG!$D$27/12,DG!$D$28/12)</f>
        <v>0</v>
      </c>
      <c r="J131" s="222">
        <f>IF(RG!$A$91&lt;16,DG!$D$27/12,DG!$D$28/12)</f>
        <v>0</v>
      </c>
      <c r="K131" s="222">
        <f>IF(RG!$A$91&lt;16,DG!$D$27/12,DG!$D$28/12)</f>
        <v>0</v>
      </c>
      <c r="L131" s="222">
        <f>IF(RG!$A$91&lt;16,DG!$D$27/12,DG!$D$28/12)</f>
        <v>0</v>
      </c>
      <c r="M131" s="222">
        <f>IF(RG!$A$91&lt;16,DG!$D$27/12,DG!$D$28/12)</f>
        <v>0</v>
      </c>
      <c r="N131" s="222">
        <f>IF(RG!$A$91&lt;16,DG!$D$27/12,DG!$D$28/12)</f>
        <v>0</v>
      </c>
      <c r="O131" s="222">
        <f>IF(RG!$A$91&lt;8.5,DG!$D$27/12,DG!$D$28/12)</f>
        <v>7.0833333333333338E-3</v>
      </c>
      <c r="P131" s="137"/>
    </row>
    <row r="132" spans="1:17" ht="13.5" customHeight="1" thickBot="1">
      <c r="A132" s="78" t="s">
        <v>200</v>
      </c>
      <c r="B132" s="48"/>
      <c r="C132" s="148"/>
      <c r="D132" s="148"/>
      <c r="E132" s="148"/>
      <c r="F132" s="148"/>
      <c r="G132" s="148"/>
      <c r="H132" s="148"/>
      <c r="I132" s="148"/>
      <c r="J132" s="148"/>
      <c r="K132" s="148"/>
      <c r="L132" s="148"/>
      <c r="M132" s="148"/>
      <c r="N132" s="148"/>
      <c r="O132" s="1090">
        <f>IF(RG!$A$82=2,0.0001,0)</f>
        <v>0</v>
      </c>
      <c r="P132" s="137"/>
    </row>
    <row r="133" spans="1:17" ht="13.5" customHeight="1" thickBot="1">
      <c r="A133" s="162" t="s">
        <v>188</v>
      </c>
      <c r="B133" s="48"/>
      <c r="C133" s="642">
        <f>IF(RG!$A$82=2,0,INT(('V2'!F99+'AE2'!D21)*0.14975))</f>
        <v>511</v>
      </c>
      <c r="D133" s="642">
        <f>IF(RG!$A$82=2,0,INT(('V2'!G99+'AE2'!E21)*0.14975))</f>
        <v>534</v>
      </c>
      <c r="E133" s="642">
        <f>IF(RG!$A$82=2,0,INT(('V2'!H99+'AE2'!F21)*0.14975))</f>
        <v>558</v>
      </c>
      <c r="F133" s="642">
        <f>IF(RG!$A$82=2,0,INT(('V2'!I99+'AE2'!G21)*0.14975))</f>
        <v>581</v>
      </c>
      <c r="G133" s="642">
        <f>IF(RG!$A$82=2,0,INT(('V2'!J99+'AE2'!H21)*0.14975))</f>
        <v>605</v>
      </c>
      <c r="H133" s="642">
        <f>IF(RG!$A$82=2,0,INT(('V2'!K99+'AE2'!I21)*0.14975))</f>
        <v>628</v>
      </c>
      <c r="I133" s="642">
        <f>IF(RG!$A$82=2,0,INT(('V2'!L99+'AE2'!J21)*0.14975))</f>
        <v>652</v>
      </c>
      <c r="J133" s="642">
        <f>IF(RG!$A$82=2,0,INT(('V2'!M99+'AE2'!K21)*0.14975))</f>
        <v>676</v>
      </c>
      <c r="K133" s="642">
        <f>IF(RG!$A$82=2,0,INT(('V2'!N99+'AE2'!L21)*0.14975))</f>
        <v>699</v>
      </c>
      <c r="L133" s="642">
        <f>IF(RG!$A$82=2,0,INT(('V2'!O99+'AE2'!M21)*0.14975))</f>
        <v>723</v>
      </c>
      <c r="M133" s="642">
        <f>IF(RG!$A$82=2,0,INT(('V2'!P99+'AE2'!N21)*0.14975))</f>
        <v>746</v>
      </c>
      <c r="N133" s="642">
        <f>IF(RG!$A$82=2,0,INT(('V2'!Q99+'AE2'!O21)*0.14975))</f>
        <v>770</v>
      </c>
      <c r="O133" s="216">
        <f>SUM(C133:N133)</f>
        <v>7683</v>
      </c>
      <c r="P133" s="137"/>
    </row>
    <row r="134" spans="1:17" ht="13.5" customHeight="1" thickBot="1">
      <c r="A134" s="162" t="s">
        <v>189</v>
      </c>
      <c r="B134" s="48"/>
      <c r="C134" s="551">
        <f>IF(RG!$A$82=2,0,INT((SUM(C31:C61)+SUM(C65:C75)+C122+'A2'!E94)*0.14975))</f>
        <v>12</v>
      </c>
      <c r="D134" s="551">
        <f>IF(RG!$A$82=2,0,INT((SUM(D31:D61)+SUM(D65:D75)+D122+'A2'!F94)*0.14975))</f>
        <v>13</v>
      </c>
      <c r="E134" s="551">
        <f>IF(RG!$A$82=2,0,INT((SUM(E31:E61)+SUM(E65:E75)+E122+'A2'!G94)*0.14975))</f>
        <v>13</v>
      </c>
      <c r="F134" s="551">
        <f>IF(RG!$A$82=2,0,INT((SUM(F31:F61)+SUM(F65:F75)+F122+'A2'!H94)*0.14975))</f>
        <v>14</v>
      </c>
      <c r="G134" s="551">
        <f>IF(RG!$A$82=2,0,INT((SUM(G31:G61)+SUM(G65:G75)+G122+'A2'!I94)*0.14975))</f>
        <v>14</v>
      </c>
      <c r="H134" s="551">
        <f>IF(RG!$A$82=2,0,INT((SUM(H31:H61)+SUM(H65:H75)+H122+'A2'!J94)*0.14975))</f>
        <v>15</v>
      </c>
      <c r="I134" s="551">
        <f>IF(RG!$A$82=2,0,INT((SUM(I31:I61)+SUM(I65:I75)+I122+'A2'!K94)*0.14975))</f>
        <v>16</v>
      </c>
      <c r="J134" s="551">
        <f>IF(RG!$A$82=2,0,INT((SUM(J31:J61)+SUM(J65:J75)+J122+'A2'!L94)*0.14975))</f>
        <v>16</v>
      </c>
      <c r="K134" s="551">
        <f>IF(RG!$A$82=2,0,INT((SUM(K31:K61)+SUM(K65:K75)+K122+'A2'!M94)*0.14975))</f>
        <v>17</v>
      </c>
      <c r="L134" s="551">
        <f>IF(RG!$A$82=2,0,INT((SUM(L31:L61)+SUM(L65:L75)+L122+'A2'!N94)*0.14975))</f>
        <v>17</v>
      </c>
      <c r="M134" s="551">
        <f>IF(RG!$A$82=2,0,INT((SUM(M31:M61)+SUM(M65:M75)+M122+'A2'!O94)*0.14975))</f>
        <v>18</v>
      </c>
      <c r="N134" s="551">
        <f>IF(RG!$A$82=2,0,INT((SUM(N31:N61)+SUM(N65:N75)+N122+'A2'!P94)*0.14975))</f>
        <v>19</v>
      </c>
      <c r="O134" s="217">
        <f>SUM(C134:N134)</f>
        <v>184</v>
      </c>
      <c r="P134" s="137"/>
    </row>
    <row r="135" spans="1:17" ht="13.5" customHeight="1" thickBot="1">
      <c r="A135" s="544" t="s">
        <v>201</v>
      </c>
      <c r="B135" s="48"/>
      <c r="C135" s="648">
        <f>'BC1'!O137-'BC1'!O138</f>
        <v>715</v>
      </c>
      <c r="D135" s="648">
        <f>C133-C134</f>
        <v>499</v>
      </c>
      <c r="E135" s="648">
        <f t="shared" ref="E135:N135" si="12">D133-D134</f>
        <v>521</v>
      </c>
      <c r="F135" s="648">
        <f t="shared" si="12"/>
        <v>545</v>
      </c>
      <c r="G135" s="648">
        <f t="shared" si="12"/>
        <v>567</v>
      </c>
      <c r="H135" s="648">
        <f t="shared" si="12"/>
        <v>591</v>
      </c>
      <c r="I135" s="648">
        <f t="shared" si="12"/>
        <v>613</v>
      </c>
      <c r="J135" s="648">
        <f t="shared" si="12"/>
        <v>636</v>
      </c>
      <c r="K135" s="648">
        <f t="shared" si="12"/>
        <v>660</v>
      </c>
      <c r="L135" s="648">
        <f t="shared" si="12"/>
        <v>682</v>
      </c>
      <c r="M135" s="648">
        <f t="shared" si="12"/>
        <v>706</v>
      </c>
      <c r="N135" s="649">
        <f t="shared" si="12"/>
        <v>728</v>
      </c>
      <c r="O135" s="136">
        <f>SUM(C135:N135)</f>
        <v>7463</v>
      </c>
      <c r="P135" s="137"/>
    </row>
    <row r="136" spans="1:17" s="143" customFormat="1" ht="13.5" customHeight="1" thickBot="1">
      <c r="A136" s="48"/>
      <c r="B136" s="48"/>
      <c r="C136" s="148"/>
      <c r="D136" s="148"/>
      <c r="E136" s="148"/>
      <c r="F136" s="148"/>
      <c r="G136" s="148"/>
      <c r="H136" s="148"/>
      <c r="I136" s="148"/>
      <c r="J136" s="148"/>
      <c r="K136" s="148"/>
      <c r="L136" s="148"/>
      <c r="M136" s="148"/>
      <c r="N136" s="148"/>
      <c r="O136" s="151">
        <f>IF(RG!$A$82=2,0.0001,0)</f>
        <v>0</v>
      </c>
    </row>
    <row r="137" spans="1:17" s="143" customFormat="1" ht="13.5" customHeight="1" thickBot="1">
      <c r="A137" s="43" t="s">
        <v>447</v>
      </c>
      <c r="B137" s="43"/>
      <c r="C137" s="133">
        <f t="shared" ref="C137:O137" si="13">C15+C130+C133-C134-C135</f>
        <v>-1217.6999999999998</v>
      </c>
      <c r="D137" s="133">
        <f t="shared" si="13"/>
        <v>-1035.8999999999996</v>
      </c>
      <c r="E137" s="133">
        <f t="shared" si="13"/>
        <v>-699.59999999999945</v>
      </c>
      <c r="F137" s="133">
        <f t="shared" si="13"/>
        <v>-710.79999999999927</v>
      </c>
      <c r="G137" s="133">
        <f t="shared" si="13"/>
        <v>-566.49999999999909</v>
      </c>
      <c r="H137" s="133">
        <f t="shared" si="13"/>
        <v>-270.69999999999891</v>
      </c>
      <c r="I137" s="133">
        <f t="shared" si="13"/>
        <v>-320.39999999999873</v>
      </c>
      <c r="J137" s="133">
        <f t="shared" si="13"/>
        <v>-215.59999999999854</v>
      </c>
      <c r="K137" s="133">
        <f t="shared" si="13"/>
        <v>40.700000000001637</v>
      </c>
      <c r="L137" s="133">
        <f t="shared" si="13"/>
        <v>-47.499999999998181</v>
      </c>
      <c r="M137" s="133">
        <f t="shared" si="13"/>
        <v>515.800000000002</v>
      </c>
      <c r="N137" s="133">
        <f t="shared" si="13"/>
        <v>233.60000000000218</v>
      </c>
      <c r="O137" s="136">
        <f t="shared" si="13"/>
        <v>-7266.4150999999838</v>
      </c>
      <c r="P137" s="137"/>
    </row>
    <row r="138" spans="1:17" s="143" customFormat="1" ht="13.5" customHeight="1" thickBot="1">
      <c r="A138" s="43"/>
      <c r="B138" s="43"/>
      <c r="C138" s="148"/>
      <c r="D138" s="148"/>
      <c r="E138" s="148"/>
      <c r="F138" s="148"/>
      <c r="G138" s="148"/>
      <c r="H138" s="148"/>
      <c r="I138" s="148"/>
      <c r="J138" s="148"/>
      <c r="K138" s="148"/>
      <c r="L138" s="148"/>
      <c r="M138" s="148"/>
      <c r="N138" s="148"/>
      <c r="O138" s="151">
        <f>IF(O139+O140+O141+O142=0,0,0.001)</f>
        <v>1E-3</v>
      </c>
    </row>
    <row r="139" spans="1:17" s="143" customFormat="1" ht="13.5" customHeight="1" thickBot="1">
      <c r="A139" s="43" t="s">
        <v>279</v>
      </c>
      <c r="B139" s="43"/>
      <c r="C139" s="133">
        <f>'BC1'!P146</f>
        <v>1000</v>
      </c>
      <c r="D139" s="133">
        <f t="shared" ref="D139:N139" si="14">C139+C140+C141</f>
        <v>2500</v>
      </c>
      <c r="E139" s="133">
        <f t="shared" si="14"/>
        <v>4000</v>
      </c>
      <c r="F139" s="133">
        <f t="shared" si="14"/>
        <v>5000</v>
      </c>
      <c r="G139" s="133">
        <f t="shared" si="14"/>
        <v>6000</v>
      </c>
      <c r="H139" s="133">
        <f t="shared" si="14"/>
        <v>7000</v>
      </c>
      <c r="I139" s="133">
        <f t="shared" si="14"/>
        <v>7500</v>
      </c>
      <c r="J139" s="133">
        <f t="shared" si="14"/>
        <v>8000</v>
      </c>
      <c r="K139" s="133">
        <f t="shared" si="14"/>
        <v>8500</v>
      </c>
      <c r="L139" s="133">
        <f t="shared" si="14"/>
        <v>8500</v>
      </c>
      <c r="M139" s="133">
        <f t="shared" si="14"/>
        <v>9000</v>
      </c>
      <c r="N139" s="133">
        <f t="shared" si="14"/>
        <v>8500</v>
      </c>
      <c r="O139" s="136">
        <f>C139</f>
        <v>1000</v>
      </c>
    </row>
    <row r="140" spans="1:17" ht="13.5" customHeight="1" thickBot="1">
      <c r="A140" s="43" t="s">
        <v>280</v>
      </c>
      <c r="B140" s="48"/>
      <c r="C140" s="133">
        <f>IF(RG!$A$90=1,DG!C109,IF(RG!$A$90=2,DG!C114,DG!C119))</f>
        <v>1500</v>
      </c>
      <c r="D140" s="133">
        <f>IF(RG!$A$90=1,DG!D109,IF(RG!$A$90=2,DG!D114,DG!D119))</f>
        <v>1500</v>
      </c>
      <c r="E140" s="133">
        <f>IF(RG!$A$90=1,DG!E109,IF(RG!$A$90=2,DG!E114,DG!E119))</f>
        <v>1000</v>
      </c>
      <c r="F140" s="133">
        <f>IF(RG!$A$90=1,DG!F109,IF(RG!$A$90=2,DG!F114,DG!F119))</f>
        <v>1000</v>
      </c>
      <c r="G140" s="133">
        <f>IF(RG!$A$90=1,DG!G109,IF(RG!$A$90=2,DG!G114,DG!G119))</f>
        <v>1000</v>
      </c>
      <c r="H140" s="133">
        <f>IF(RG!$A$90=1,DG!H109,IF(RG!$A$90=2,DG!H114,DG!H119))</f>
        <v>500</v>
      </c>
      <c r="I140" s="133">
        <f>IF(RG!$A$90=1,DG!I109,IF(RG!$A$90=2,DG!I114,DG!I119))</f>
        <v>500</v>
      </c>
      <c r="J140" s="133">
        <f>IF(RG!$A$90=1,DG!J109,IF(RG!$A$90=2,DG!J114,DG!J119))</f>
        <v>500</v>
      </c>
      <c r="K140" s="133">
        <f>IF(RG!$A$90=1,DG!K109,IF(RG!$A$90=2,DG!K114,DG!K119))</f>
        <v>0</v>
      </c>
      <c r="L140" s="133">
        <f>IF(RG!$A$90=1,DG!L109,IF(RG!$A$90=2,DG!L114,DG!L119))</f>
        <v>500</v>
      </c>
      <c r="M140" s="133">
        <f>IF(RG!$A$90=1,DG!M109,IF(RG!$A$90=2,DG!M114,DG!M119))</f>
        <v>0</v>
      </c>
      <c r="N140" s="133">
        <f>IF(RG!$A$90=1,DG!N109,IF(RG!$A$90=2,DG!N114,DG!N119))</f>
        <v>0</v>
      </c>
      <c r="O140" s="136">
        <f>SUM(C140:N140)</f>
        <v>8000</v>
      </c>
    </row>
    <row r="141" spans="1:17" ht="13.5" customHeight="1" thickBot="1">
      <c r="A141" s="43" t="s">
        <v>227</v>
      </c>
      <c r="B141" s="48"/>
      <c r="C141" s="133">
        <f>IF(RG!$A$90=1,DG!C111,IF(RG!$A$90=2,DG!C116,DG!C121))</f>
        <v>0</v>
      </c>
      <c r="D141" s="133">
        <f>IF(RG!$A$90=1,DG!D111,IF(RG!$A$90=2,DG!D116,DG!D121))</f>
        <v>0</v>
      </c>
      <c r="E141" s="133">
        <f>IF(RG!$A$90=1,DG!E111,IF(RG!$A$90=2,DG!E116,DG!E121))</f>
        <v>0</v>
      </c>
      <c r="F141" s="133">
        <f>IF(RG!$A$90=1,DG!F111,IF(RG!$A$90=2,DG!F116,DG!F121))</f>
        <v>0</v>
      </c>
      <c r="G141" s="133">
        <f>IF(RG!$A$90=1,DG!G111,IF(RG!$A$90=2,DG!G116,DG!G121))</f>
        <v>0</v>
      </c>
      <c r="H141" s="133">
        <f>IF(RG!$A$90=1,DG!H111,IF(RG!$A$90=2,DG!H116,DG!H121))</f>
        <v>0</v>
      </c>
      <c r="I141" s="133">
        <f>IF(RG!$A$90=1,DG!I111,IF(RG!$A$90=2,DG!I116,DG!I121))</f>
        <v>0</v>
      </c>
      <c r="J141" s="133">
        <f>IF(RG!$A$90=1,DG!J111,IF(RG!$A$90=2,DG!J116,DG!J121))</f>
        <v>0</v>
      </c>
      <c r="K141" s="133">
        <f>IF(RG!$A$90=1,DG!K111,IF(RG!$A$90=2,DG!K116,DG!K121))</f>
        <v>0</v>
      </c>
      <c r="L141" s="133">
        <f>IF(RG!$A$90=1,DG!L111,IF(RG!$A$90=2,DG!L116,DG!L121))</f>
        <v>0</v>
      </c>
      <c r="M141" s="133">
        <f>IF(RG!$A$90=1,DG!M111,IF(RG!$A$90=2,DG!M116,DG!M121))</f>
        <v>-500</v>
      </c>
      <c r="N141" s="133">
        <f>IF(RG!$A$90=1,DG!N111,IF(RG!$A$90=2,DG!N116,DG!N121))</f>
        <v>0</v>
      </c>
      <c r="O141" s="136">
        <f>SUM(C141:N141)</f>
        <v>-500</v>
      </c>
    </row>
    <row r="142" spans="1:17" ht="13.5" customHeight="1" thickBot="1">
      <c r="A142" s="43" t="s">
        <v>723</v>
      </c>
      <c r="B142" s="48"/>
      <c r="C142" s="133">
        <f>C139+C140+C141</f>
        <v>2500</v>
      </c>
      <c r="D142" s="133">
        <f t="shared" ref="D142:O142" si="15">D139+D140+D141</f>
        <v>4000</v>
      </c>
      <c r="E142" s="133">
        <f t="shared" si="15"/>
        <v>5000</v>
      </c>
      <c r="F142" s="133">
        <f t="shared" si="15"/>
        <v>6000</v>
      </c>
      <c r="G142" s="133">
        <f t="shared" si="15"/>
        <v>7000</v>
      </c>
      <c r="H142" s="133">
        <f t="shared" si="15"/>
        <v>7500</v>
      </c>
      <c r="I142" s="133">
        <f t="shared" si="15"/>
        <v>8000</v>
      </c>
      <c r="J142" s="133">
        <f t="shared" si="15"/>
        <v>8500</v>
      </c>
      <c r="K142" s="133">
        <f t="shared" si="15"/>
        <v>8500</v>
      </c>
      <c r="L142" s="133">
        <f t="shared" si="15"/>
        <v>9000</v>
      </c>
      <c r="M142" s="133">
        <f t="shared" si="15"/>
        <v>8500</v>
      </c>
      <c r="N142" s="134">
        <f t="shared" si="15"/>
        <v>8500</v>
      </c>
      <c r="O142" s="122">
        <f t="shared" si="15"/>
        <v>8500</v>
      </c>
    </row>
    <row r="143" spans="1:17" ht="13.5" customHeight="1" thickBot="1">
      <c r="A143" s="48"/>
      <c r="B143" s="48"/>
      <c r="C143" s="126"/>
      <c r="D143" s="126"/>
      <c r="E143" s="126"/>
      <c r="F143" s="126"/>
      <c r="G143" s="126"/>
      <c r="H143" s="126"/>
      <c r="I143" s="126"/>
      <c r="J143" s="126"/>
      <c r="K143" s="126"/>
      <c r="L143" s="126"/>
      <c r="M143" s="126"/>
      <c r="N143" s="126"/>
      <c r="O143" s="126">
        <v>1E-4</v>
      </c>
    </row>
    <row r="144" spans="1:17" ht="13.5" customHeight="1" thickBot="1">
      <c r="A144" s="48" t="s">
        <v>591</v>
      </c>
      <c r="B144" s="48"/>
      <c r="C144" s="133">
        <f>C137+C140+C141</f>
        <v>282.30000000000018</v>
      </c>
      <c r="D144" s="133">
        <f t="shared" ref="D144:N144" si="16">D137+D140+D141</f>
        <v>464.10000000000036</v>
      </c>
      <c r="E144" s="133">
        <f t="shared" si="16"/>
        <v>300.40000000000055</v>
      </c>
      <c r="F144" s="133">
        <f t="shared" si="16"/>
        <v>289.20000000000073</v>
      </c>
      <c r="G144" s="133">
        <f t="shared" si="16"/>
        <v>433.50000000000091</v>
      </c>
      <c r="H144" s="133">
        <f t="shared" si="16"/>
        <v>229.30000000000109</v>
      </c>
      <c r="I144" s="133">
        <f t="shared" si="16"/>
        <v>179.60000000000127</v>
      </c>
      <c r="J144" s="133">
        <f t="shared" si="16"/>
        <v>284.40000000000146</v>
      </c>
      <c r="K144" s="133">
        <f t="shared" si="16"/>
        <v>40.700000000001637</v>
      </c>
      <c r="L144" s="133">
        <f t="shared" si="16"/>
        <v>452.50000000000182</v>
      </c>
      <c r="M144" s="133">
        <f t="shared" si="16"/>
        <v>15.800000000002001</v>
      </c>
      <c r="N144" s="133">
        <f t="shared" si="16"/>
        <v>233.60000000000218</v>
      </c>
      <c r="O144" s="122">
        <f>O137+O140+O141</f>
        <v>233.58490000001621</v>
      </c>
      <c r="P144" s="890">
        <f>BILAN!H17</f>
        <v>233.64059000000634</v>
      </c>
      <c r="Q144" s="890">
        <f>O144-P144</f>
        <v>-5.568999999013613E-2</v>
      </c>
    </row>
    <row r="145" spans="1:27" s="143" customFormat="1" ht="13.5" customHeight="1">
      <c r="A145" s="116"/>
      <c r="B145" s="116"/>
      <c r="C145" s="116"/>
      <c r="D145" s="116"/>
      <c r="E145" s="116"/>
      <c r="F145" s="116"/>
      <c r="G145" s="117"/>
      <c r="H145" s="118"/>
      <c r="I145" s="119"/>
      <c r="J145" s="116"/>
      <c r="K145" s="119"/>
      <c r="L145" s="119"/>
      <c r="M145" s="116"/>
      <c r="N145" s="119"/>
      <c r="O145" s="119"/>
      <c r="P145" s="116"/>
      <c r="Q145" s="137"/>
      <c r="R145" s="116"/>
      <c r="S145" s="116"/>
      <c r="T145" s="116"/>
      <c r="U145" s="116"/>
      <c r="V145" s="116"/>
      <c r="W145" s="116"/>
      <c r="X145" s="116"/>
      <c r="Y145" s="116"/>
      <c r="Z145" s="116"/>
      <c r="AA145" s="116"/>
    </row>
    <row r="146" spans="1:27" s="143" customFormat="1" ht="13.5" customHeight="1">
      <c r="A146" s="116"/>
      <c r="B146" s="116"/>
      <c r="C146" s="116"/>
      <c r="D146" s="116"/>
      <c r="E146" s="116"/>
      <c r="F146" s="116"/>
      <c r="G146" s="117"/>
      <c r="H146" s="118"/>
      <c r="I146" s="119"/>
      <c r="J146" s="116"/>
      <c r="K146" s="119"/>
      <c r="L146" s="119"/>
      <c r="M146" s="116"/>
      <c r="N146" s="119"/>
      <c r="O146" s="119"/>
      <c r="P146" s="116"/>
      <c r="Q146" s="137"/>
      <c r="R146" s="116"/>
      <c r="S146" s="116"/>
      <c r="T146" s="116"/>
      <c r="U146" s="116"/>
      <c r="V146" s="116"/>
      <c r="W146" s="116"/>
      <c r="X146" s="116"/>
      <c r="Y146" s="116"/>
      <c r="Z146" s="116"/>
      <c r="AA146" s="116"/>
    </row>
    <row r="147" spans="1:27" s="143" customFormat="1" ht="13.5" customHeight="1">
      <c r="A147" s="116"/>
      <c r="B147" s="116"/>
      <c r="C147" s="116"/>
      <c r="D147" s="116"/>
      <c r="E147" s="116"/>
      <c r="F147" s="116"/>
      <c r="G147" s="117"/>
      <c r="H147" s="118"/>
      <c r="I147" s="119"/>
      <c r="J147" s="116"/>
      <c r="K147" s="119"/>
      <c r="L147" s="119"/>
      <c r="M147" s="116"/>
      <c r="N147" s="152"/>
      <c r="O147" s="119"/>
      <c r="P147" s="116"/>
      <c r="Q147" s="117"/>
      <c r="R147" s="116"/>
      <c r="S147" s="116"/>
      <c r="T147" s="116"/>
      <c r="U147" s="116"/>
      <c r="V147" s="116"/>
      <c r="W147" s="116"/>
      <c r="X147" s="116"/>
      <c r="Y147" s="116"/>
      <c r="Z147" s="116"/>
      <c r="AA147" s="116"/>
    </row>
    <row r="148" spans="1:27" hidden="1">
      <c r="A148" s="153">
        <v>1</v>
      </c>
      <c r="N148" s="154"/>
    </row>
    <row r="149" spans="1:27">
      <c r="K149" s="152"/>
      <c r="L149" s="116"/>
      <c r="N149" s="155"/>
      <c r="O149" s="156"/>
    </row>
    <row r="150" spans="1:27">
      <c r="I150" s="152"/>
    </row>
    <row r="152" spans="1:27">
      <c r="G152" s="116"/>
      <c r="H152" s="116"/>
      <c r="I152" s="116"/>
      <c r="K152" s="116"/>
      <c r="L152" s="116"/>
      <c r="N152" s="116"/>
      <c r="O152" s="116"/>
      <c r="Q152" s="156"/>
    </row>
    <row r="153" spans="1:27">
      <c r="L153" s="152"/>
    </row>
    <row r="155" spans="1:27" ht="12" customHeight="1"/>
    <row r="157" spans="1:27">
      <c r="N157" s="157"/>
    </row>
  </sheetData>
  <sheetProtection password="E242" sheet="1" objects="1" scenarios="1"/>
  <autoFilter ref="A15:O144" xr:uid="{00000000-0009-0000-0000-000038000000}"/>
  <customSheetViews>
    <customSheetView guid="{30D0538C-360A-4CDF-8D89-584CED1967CC}"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24" xr:uid="{2EBBBE33-8E17-4464-9072-04B78361E9F0}"/>
    </customSheetView>
    <customSheetView guid="{4F3169C3-3348-49DE-A6DC-8AA4D2A9D7A1}"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24" xr:uid="{019616A4-E63B-48B1-A9D2-D154CF4FEA99}"/>
    </customSheetView>
  </customSheetViews>
  <phoneticPr fontId="0" type="noConversion"/>
  <pageMargins left="0.35433070866141736" right="0.31496062992125984" top="0.59055118110236227" bottom="0.74803149606299213" header="0.51181102362204722" footer="0.51181102362204722"/>
  <pageSetup scale="52" fitToHeight="2" orientation="landscape" r:id="rId3"/>
  <headerFooter alignWithMargins="0">
    <oddHeader>&amp;RPRF - 4</oddHeader>
  </headerFooter>
  <drawing r:id="rId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36">
    <pageSetUpPr fitToPage="1"/>
  </sheetPr>
  <dimension ref="A1:R149"/>
  <sheetViews>
    <sheetView showGridLines="0" showOutlineSymbols="0" zoomScaleNormal="125" workbookViewId="0">
      <pane ySplit="15" topLeftCell="A124" activePane="bottomLeft" state="frozen"/>
      <selection pane="bottomLeft" activeCell="N148" sqref="N148"/>
    </sheetView>
  </sheetViews>
  <sheetFormatPr baseColWidth="10" defaultColWidth="11.453125" defaultRowHeight="10.5"/>
  <cols>
    <col min="1" max="1" width="27.08984375" style="116" customWidth="1"/>
    <col min="2" max="2" width="7.36328125" style="116" customWidth="1"/>
    <col min="3" max="6" width="11.453125" style="116"/>
    <col min="7" max="7" width="11.453125" style="117"/>
    <col min="8" max="8" width="11.453125" style="118"/>
    <col min="9" max="9" width="11.453125" style="119"/>
    <col min="10" max="10" width="11.453125" style="116"/>
    <col min="11" max="12" width="11.453125" style="119"/>
    <col min="13" max="13" width="11.453125" style="116"/>
    <col min="14" max="15" width="11.453125" style="119"/>
    <col min="16" max="16" width="13.08984375" style="116" hidden="1" customWidth="1"/>
    <col min="17" max="18" width="10.453125" style="116" hidden="1" customWidth="1"/>
    <col min="19" max="20" width="9.6328125" style="116" customWidth="1"/>
    <col min="21" max="21" width="12.6328125" style="116" customWidth="1"/>
    <col min="22" max="23" width="7.6328125" style="116" customWidth="1"/>
    <col min="24" max="24" width="12.6328125" style="116" customWidth="1"/>
    <col min="25" max="26" width="7.6328125" style="116" customWidth="1"/>
    <col min="27" max="27" width="12.6328125" style="116" customWidth="1"/>
    <col min="28" max="29" width="7.6328125" style="116" customWidth="1"/>
    <col min="30" max="16384" width="11.453125" style="116"/>
  </cols>
  <sheetData>
    <row r="1" spans="1:15" customFormat="1" ht="12.5"/>
    <row r="2" spans="1:15" customFormat="1" ht="12.5"/>
    <row r="3" spans="1:15" customFormat="1" ht="12.5"/>
    <row r="4" spans="1:15" s="261" customFormat="1" ht="12.5"/>
    <row r="5" spans="1:15" s="261" customFormat="1" ht="12.5"/>
    <row r="6" spans="1:15" s="261" customFormat="1" ht="12.5"/>
    <row r="7" spans="1:15" s="261" customFormat="1" ht="12.5"/>
    <row r="8" spans="1:15" ht="33">
      <c r="A8" s="42" t="str">
        <f>RG!D17</f>
        <v>Jhon Wesly inc.</v>
      </c>
      <c r="B8" s="120"/>
    </row>
    <row r="9" spans="1:15" ht="17.5">
      <c r="A9" s="44"/>
      <c r="B9" s="44"/>
      <c r="F9" s="810"/>
    </row>
    <row r="10" spans="1:15" ht="15">
      <c r="A10" s="59" t="s">
        <v>470</v>
      </c>
      <c r="B10" s="59"/>
      <c r="D10" s="45"/>
    </row>
    <row r="11" spans="1:15" ht="13">
      <c r="A11" s="46" t="s">
        <v>871</v>
      </c>
      <c r="B11" s="46"/>
    </row>
    <row r="12" spans="1:15" ht="13.5" thickBot="1">
      <c r="A12" s="46"/>
      <c r="B12" s="46"/>
      <c r="C12" s="783">
        <f>C13+31</f>
        <v>46054</v>
      </c>
      <c r="D12" s="783">
        <f t="shared" ref="D12:N12" si="0">D13+31</f>
        <v>46085</v>
      </c>
      <c r="E12" s="783">
        <f t="shared" si="0"/>
        <v>46113</v>
      </c>
      <c r="F12" s="783">
        <f t="shared" si="0"/>
        <v>46144</v>
      </c>
      <c r="G12" s="783">
        <f t="shared" si="0"/>
        <v>46174</v>
      </c>
      <c r="H12" s="783">
        <f t="shared" si="0"/>
        <v>46205</v>
      </c>
      <c r="I12" s="783">
        <f t="shared" si="0"/>
        <v>46235</v>
      </c>
      <c r="J12" s="783">
        <f t="shared" si="0"/>
        <v>46266</v>
      </c>
      <c r="K12" s="783">
        <f t="shared" si="0"/>
        <v>46297</v>
      </c>
      <c r="L12" s="783">
        <f t="shared" si="0"/>
        <v>46327</v>
      </c>
      <c r="M12" s="783">
        <f t="shared" si="0"/>
        <v>46358</v>
      </c>
      <c r="N12" s="783">
        <f t="shared" si="0"/>
        <v>46388</v>
      </c>
    </row>
    <row r="13" spans="1:15" ht="13.5" customHeight="1" thickBot="1">
      <c r="C13" s="207">
        <f>EDATE('BC2'!N13,1)</f>
        <v>46023</v>
      </c>
      <c r="D13" s="207">
        <f>EDATE(C13,1)</f>
        <v>46054</v>
      </c>
      <c r="E13" s="207">
        <f t="shared" ref="E13:N13" si="1">EDATE(D13,1)</f>
        <v>46082</v>
      </c>
      <c r="F13" s="207">
        <f t="shared" si="1"/>
        <v>46113</v>
      </c>
      <c r="G13" s="207">
        <f t="shared" si="1"/>
        <v>46143</v>
      </c>
      <c r="H13" s="207">
        <f t="shared" si="1"/>
        <v>46174</v>
      </c>
      <c r="I13" s="207">
        <f t="shared" si="1"/>
        <v>46204</v>
      </c>
      <c r="J13" s="207">
        <f t="shared" si="1"/>
        <v>46235</v>
      </c>
      <c r="K13" s="207">
        <f t="shared" si="1"/>
        <v>46266</v>
      </c>
      <c r="L13" s="207">
        <f t="shared" si="1"/>
        <v>46296</v>
      </c>
      <c r="M13" s="207">
        <f t="shared" si="1"/>
        <v>46327</v>
      </c>
      <c r="N13" s="207">
        <f t="shared" si="1"/>
        <v>46357</v>
      </c>
      <c r="O13" s="75" t="s">
        <v>498</v>
      </c>
    </row>
    <row r="14" spans="1:15" ht="13.5" customHeight="1" thickBot="1">
      <c r="C14" s="117"/>
      <c r="D14" s="117"/>
      <c r="E14" s="117"/>
      <c r="F14" s="121"/>
      <c r="G14" s="121"/>
      <c r="H14" s="117"/>
      <c r="I14" s="121"/>
      <c r="J14" s="121"/>
      <c r="K14" s="117"/>
      <c r="L14" s="121"/>
      <c r="M14" s="121"/>
      <c r="N14" s="117"/>
      <c r="O14" s="117"/>
    </row>
    <row r="15" spans="1:15" ht="13.5" customHeight="1" thickBot="1">
      <c r="A15" s="48" t="s">
        <v>499</v>
      </c>
      <c r="B15" s="48"/>
      <c r="C15" s="122">
        <f>'BC2'!O144</f>
        <v>233.58490000001621</v>
      </c>
      <c r="D15" s="122">
        <f>C144</f>
        <v>107.92590000001655</v>
      </c>
      <c r="E15" s="122">
        <f t="shared" ref="E15:N15" si="2">D144</f>
        <v>378.6419000000169</v>
      </c>
      <c r="F15" s="122">
        <f t="shared" si="2"/>
        <v>307.73290000001725</v>
      </c>
      <c r="G15" s="122">
        <f t="shared" si="2"/>
        <v>400.1989000000176</v>
      </c>
      <c r="H15" s="122">
        <f t="shared" si="2"/>
        <v>153.03990000001795</v>
      </c>
      <c r="I15" s="122">
        <f t="shared" si="2"/>
        <v>66.2559000000183</v>
      </c>
      <c r="J15" s="122">
        <f t="shared" si="2"/>
        <v>143.84690000001956</v>
      </c>
      <c r="K15" s="122">
        <f t="shared" si="2"/>
        <v>378.81290000001991</v>
      </c>
      <c r="L15" s="122">
        <f t="shared" si="2"/>
        <v>277.15390000002026</v>
      </c>
      <c r="M15" s="122">
        <f t="shared" si="2"/>
        <v>338.86990000002061</v>
      </c>
      <c r="N15" s="122">
        <f t="shared" si="2"/>
        <v>57.960900000020956</v>
      </c>
      <c r="O15" s="123">
        <f>C15</f>
        <v>233.58490000001621</v>
      </c>
    </row>
    <row r="16" spans="1:15" ht="13.5" customHeight="1">
      <c r="A16" s="124"/>
      <c r="B16" s="124"/>
      <c r="C16" s="125"/>
      <c r="D16" s="125"/>
      <c r="E16" s="125"/>
      <c r="F16" s="125"/>
      <c r="G16" s="125"/>
      <c r="H16" s="125"/>
      <c r="I16" s="125"/>
      <c r="J16" s="125"/>
      <c r="K16" s="125"/>
      <c r="L16" s="125"/>
      <c r="M16" s="125"/>
      <c r="N16" s="125"/>
      <c r="O16" s="126">
        <v>1E-3</v>
      </c>
    </row>
    <row r="17" spans="1:16" ht="13.5" customHeight="1" thickBot="1">
      <c r="A17" s="127" t="s">
        <v>500</v>
      </c>
      <c r="B17" s="127"/>
      <c r="C17" s="128"/>
      <c r="D17" s="128"/>
      <c r="E17" s="128"/>
      <c r="F17" s="128"/>
      <c r="G17" s="128"/>
      <c r="H17" s="128"/>
      <c r="I17" s="128"/>
      <c r="J17" s="128"/>
      <c r="K17" s="128"/>
      <c r="L17" s="128"/>
      <c r="M17" s="128"/>
      <c r="N17" s="128"/>
      <c r="O17" s="129">
        <v>1E-3</v>
      </c>
    </row>
    <row r="18" spans="1:16" ht="13.5" customHeight="1" thickBot="1">
      <c r="A18" s="53" t="str">
        <f>'BC1'!A18</f>
        <v>RECETTES</v>
      </c>
      <c r="B18" s="53"/>
      <c r="C18" s="130">
        <f>'V3'!F97</f>
        <v>3583.125</v>
      </c>
      <c r="D18" s="130">
        <f>'V3'!G97</f>
        <v>3748.5</v>
      </c>
      <c r="E18" s="130">
        <f>'V3'!H97</f>
        <v>3913.875</v>
      </c>
      <c r="F18" s="130">
        <f>'V3'!I97</f>
        <v>4079.25</v>
      </c>
      <c r="G18" s="130">
        <f>'V3'!J97</f>
        <v>4244.625</v>
      </c>
      <c r="H18" s="130">
        <f>'V3'!K97</f>
        <v>4410</v>
      </c>
      <c r="I18" s="130">
        <f>'V3'!L97</f>
        <v>4575.3750000000009</v>
      </c>
      <c r="J18" s="130">
        <f>'V3'!M97</f>
        <v>4740.75</v>
      </c>
      <c r="K18" s="130">
        <f>'V3'!N97</f>
        <v>4906.125</v>
      </c>
      <c r="L18" s="130">
        <f>'V3'!O97</f>
        <v>5071.5</v>
      </c>
      <c r="M18" s="130">
        <f>'V3'!P97</f>
        <v>5236.875</v>
      </c>
      <c r="N18" s="131">
        <f>'V3'!Q97</f>
        <v>5402.2500000000009</v>
      </c>
      <c r="O18" s="132">
        <f t="shared" ref="O18:O23" si="3">SUM(C18:N18)</f>
        <v>53912.25</v>
      </c>
    </row>
    <row r="19" spans="1:16" ht="13.5" customHeight="1" thickBot="1">
      <c r="A19" s="53" t="str">
        <f>'BC1'!A19</f>
        <v>Autres revenus</v>
      </c>
      <c r="B19" s="53"/>
      <c r="C19" s="133">
        <f>'AE3'!D21</f>
        <v>0</v>
      </c>
      <c r="D19" s="133">
        <f>'AE3'!E21</f>
        <v>0</v>
      </c>
      <c r="E19" s="133">
        <f>'AE3'!F21</f>
        <v>0</v>
      </c>
      <c r="F19" s="133">
        <f>'AE3'!G21</f>
        <v>0</v>
      </c>
      <c r="G19" s="133">
        <f>'AE3'!H21</f>
        <v>0</v>
      </c>
      <c r="H19" s="133">
        <f>'AE3'!I21</f>
        <v>0</v>
      </c>
      <c r="I19" s="133">
        <f>'AE3'!J21</f>
        <v>0</v>
      </c>
      <c r="J19" s="133">
        <f>'AE3'!K21</f>
        <v>0</v>
      </c>
      <c r="K19" s="133">
        <f>'AE3'!L21</f>
        <v>0</v>
      </c>
      <c r="L19" s="133">
        <f>'AE3'!M21</f>
        <v>0</v>
      </c>
      <c r="M19" s="133">
        <f>'AE3'!N21</f>
        <v>0</v>
      </c>
      <c r="N19" s="133">
        <f>'AE3'!O21</f>
        <v>0</v>
      </c>
      <c r="O19" s="132">
        <f t="shared" si="3"/>
        <v>0</v>
      </c>
    </row>
    <row r="20" spans="1:16" ht="13.5" customHeight="1" thickBot="1">
      <c r="A20" s="53" t="str">
        <f>IF(RG!A74=3,"Émission d'actions","Apports")</f>
        <v>Émission d'actions</v>
      </c>
      <c r="B20" s="53"/>
      <c r="C20" s="135">
        <f>'AE3'!D25</f>
        <v>0</v>
      </c>
      <c r="D20" s="135">
        <f>'AE3'!E25</f>
        <v>0</v>
      </c>
      <c r="E20" s="135">
        <f>'AE3'!F25</f>
        <v>0</v>
      </c>
      <c r="F20" s="135">
        <f>'AE3'!G25</f>
        <v>0</v>
      </c>
      <c r="G20" s="135">
        <f>'AE3'!H25</f>
        <v>0</v>
      </c>
      <c r="H20" s="135">
        <f>'AE3'!I25</f>
        <v>0</v>
      </c>
      <c r="I20" s="135">
        <f>'AE3'!J25</f>
        <v>0</v>
      </c>
      <c r="J20" s="135">
        <f>'AE3'!K25</f>
        <v>0</v>
      </c>
      <c r="K20" s="135">
        <f>'AE3'!L25</f>
        <v>0</v>
      </c>
      <c r="L20" s="135">
        <f>'AE3'!M25</f>
        <v>0</v>
      </c>
      <c r="M20" s="135">
        <f>'AE3'!N25</f>
        <v>0</v>
      </c>
      <c r="N20" s="135">
        <f>'AE3'!O25</f>
        <v>0</v>
      </c>
      <c r="O20" s="132">
        <f t="shared" si="3"/>
        <v>0</v>
      </c>
    </row>
    <row r="21" spans="1:16" ht="13.5" customHeight="1" thickBot="1">
      <c r="A21" s="53" t="str">
        <f>'BC1'!A21</f>
        <v>Emprunts</v>
      </c>
      <c r="B21" s="53"/>
      <c r="C21" s="133">
        <f>'AE3'!D24</f>
        <v>0</v>
      </c>
      <c r="D21" s="133">
        <f>'AE3'!E24</f>
        <v>0</v>
      </c>
      <c r="E21" s="133">
        <f>'AE3'!F24</f>
        <v>0</v>
      </c>
      <c r="F21" s="133">
        <f>'AE3'!G24</f>
        <v>0</v>
      </c>
      <c r="G21" s="133">
        <f>'AE3'!H24</f>
        <v>0</v>
      </c>
      <c r="H21" s="133">
        <f>'AE3'!I24</f>
        <v>0</v>
      </c>
      <c r="I21" s="133">
        <f>'AE3'!J24</f>
        <v>0</v>
      </c>
      <c r="J21" s="133">
        <f>'AE3'!K24</f>
        <v>0</v>
      </c>
      <c r="K21" s="133">
        <f>'AE3'!L24</f>
        <v>0</v>
      </c>
      <c r="L21" s="133">
        <f>'AE3'!M24</f>
        <v>0</v>
      </c>
      <c r="M21" s="133">
        <f>'AE3'!N24</f>
        <v>0</v>
      </c>
      <c r="N21" s="133">
        <f>'AE3'!O24</f>
        <v>0</v>
      </c>
      <c r="O21" s="132">
        <f t="shared" si="3"/>
        <v>0</v>
      </c>
    </row>
    <row r="22" spans="1:16" ht="13.5" customHeight="1" thickBot="1">
      <c r="A22" s="53" t="str">
        <f>'BC1'!A22</f>
        <v>Comptes à recevoir</v>
      </c>
      <c r="B22" s="53"/>
      <c r="C22" s="133"/>
      <c r="D22" s="133"/>
      <c r="E22" s="133"/>
      <c r="F22" s="133"/>
      <c r="G22" s="133"/>
      <c r="H22" s="133"/>
      <c r="I22" s="133"/>
      <c r="J22" s="133"/>
      <c r="K22" s="133"/>
      <c r="L22" s="133"/>
      <c r="M22" s="133"/>
      <c r="N22" s="134"/>
      <c r="O22" s="132">
        <f t="shared" si="3"/>
        <v>0</v>
      </c>
    </row>
    <row r="23" spans="1:16" ht="13.5" customHeight="1" thickBot="1">
      <c r="A23" s="53" t="str">
        <f>'BC1'!A24</f>
        <v>Subventions</v>
      </c>
      <c r="B23" s="53"/>
      <c r="C23" s="133">
        <f>'AE3'!D26</f>
        <v>0</v>
      </c>
      <c r="D23" s="133">
        <f>'AE3'!E26</f>
        <v>0</v>
      </c>
      <c r="E23" s="133">
        <f>'AE3'!F26</f>
        <v>0</v>
      </c>
      <c r="F23" s="133">
        <f>'AE3'!G26</f>
        <v>0</v>
      </c>
      <c r="G23" s="133">
        <f>'AE3'!H26</f>
        <v>0</v>
      </c>
      <c r="H23" s="133">
        <f>'AE3'!I26</f>
        <v>0</v>
      </c>
      <c r="I23" s="133">
        <f>'AE3'!J26</f>
        <v>0</v>
      </c>
      <c r="J23" s="133">
        <f>'AE3'!K26</f>
        <v>0</v>
      </c>
      <c r="K23" s="133">
        <f>'AE3'!L26</f>
        <v>0</v>
      </c>
      <c r="L23" s="133">
        <f>'AE3'!M26</f>
        <v>0</v>
      </c>
      <c r="M23" s="133">
        <f>'AE3'!N26</f>
        <v>0</v>
      </c>
      <c r="N23" s="133">
        <f>'AE3'!O26</f>
        <v>0</v>
      </c>
      <c r="O23" s="132">
        <f t="shared" si="3"/>
        <v>0</v>
      </c>
    </row>
    <row r="24" spans="1:16" ht="13.5" thickBot="1">
      <c r="A24" s="43"/>
      <c r="B24" s="43"/>
      <c r="O24" s="158">
        <v>1E-3</v>
      </c>
    </row>
    <row r="25" spans="1:16" ht="13.5" customHeight="1" thickBot="1">
      <c r="A25" s="48" t="s">
        <v>501</v>
      </c>
      <c r="B25" s="48"/>
      <c r="C25" s="133">
        <f t="shared" ref="C25:N25" si="4">SUM(C18:C23)</f>
        <v>3583.125</v>
      </c>
      <c r="D25" s="133">
        <f t="shared" si="4"/>
        <v>3748.5</v>
      </c>
      <c r="E25" s="133">
        <f t="shared" si="4"/>
        <v>3913.875</v>
      </c>
      <c r="F25" s="133">
        <f t="shared" si="4"/>
        <v>4079.25</v>
      </c>
      <c r="G25" s="133">
        <f t="shared" si="4"/>
        <v>4244.625</v>
      </c>
      <c r="H25" s="133">
        <f t="shared" si="4"/>
        <v>4410</v>
      </c>
      <c r="I25" s="133">
        <f t="shared" si="4"/>
        <v>4575.3750000000009</v>
      </c>
      <c r="J25" s="133">
        <f t="shared" si="4"/>
        <v>4740.75</v>
      </c>
      <c r="K25" s="133">
        <f t="shared" si="4"/>
        <v>4906.125</v>
      </c>
      <c r="L25" s="133">
        <f t="shared" si="4"/>
        <v>5071.5</v>
      </c>
      <c r="M25" s="133">
        <f t="shared" si="4"/>
        <v>5236.875</v>
      </c>
      <c r="N25" s="134">
        <f t="shared" si="4"/>
        <v>5402.2500000000009</v>
      </c>
      <c r="O25" s="132">
        <f>SUM(C25:N25)</f>
        <v>53912.25</v>
      </c>
      <c r="P25" s="137"/>
    </row>
    <row r="26" spans="1:16" ht="13.5" customHeight="1">
      <c r="A26" s="48"/>
      <c r="B26" s="48"/>
      <c r="C26" s="138"/>
      <c r="D26" s="138"/>
      <c r="E26" s="138"/>
      <c r="F26" s="139"/>
      <c r="G26" s="139"/>
      <c r="H26" s="138"/>
      <c r="I26" s="139"/>
      <c r="J26" s="139"/>
      <c r="K26" s="138"/>
      <c r="L26" s="139"/>
      <c r="M26" s="139"/>
      <c r="N26" s="138"/>
      <c r="O26" s="158">
        <v>1E-3</v>
      </c>
    </row>
    <row r="27" spans="1:16" ht="13.5" customHeight="1" thickBot="1">
      <c r="A27" s="48" t="str">
        <f>'BC1'!A28</f>
        <v>DÉBOURSÉS</v>
      </c>
      <c r="B27" s="48"/>
      <c r="C27" s="138"/>
      <c r="D27" s="138"/>
      <c r="E27" s="138"/>
      <c r="F27" s="139"/>
      <c r="G27" s="139"/>
      <c r="H27" s="138"/>
      <c r="I27" s="139"/>
      <c r="J27" s="139"/>
      <c r="K27" s="138"/>
      <c r="L27" s="139"/>
      <c r="M27" s="139"/>
      <c r="N27" s="138"/>
      <c r="O27" s="158">
        <v>1E-3</v>
      </c>
    </row>
    <row r="28" spans="1:16" s="143" customFormat="1" ht="13.5" customHeight="1" thickBot="1">
      <c r="A28" s="867" t="str">
        <f>'BC1'!A29</f>
        <v xml:space="preserve">Achats </v>
      </c>
      <c r="B28" s="48"/>
      <c r="C28" s="140">
        <f>'A3'!E95</f>
        <v>0</v>
      </c>
      <c r="D28" s="140">
        <f>'A3'!F95</f>
        <v>0</v>
      </c>
      <c r="E28" s="140">
        <f>'A3'!G95</f>
        <v>0</v>
      </c>
      <c r="F28" s="140">
        <f>'A3'!H95</f>
        <v>0</v>
      </c>
      <c r="G28" s="140">
        <f>'A3'!I95</f>
        <v>0</v>
      </c>
      <c r="H28" s="140">
        <f>'A3'!J95</f>
        <v>0</v>
      </c>
      <c r="I28" s="140">
        <f>'A3'!K95</f>
        <v>0</v>
      </c>
      <c r="J28" s="140">
        <f>'A3'!L95</f>
        <v>0</v>
      </c>
      <c r="K28" s="140">
        <f>'A3'!M95</f>
        <v>0</v>
      </c>
      <c r="L28" s="140">
        <f>'A3'!N95</f>
        <v>0</v>
      </c>
      <c r="M28" s="140">
        <f>'A3'!O95</f>
        <v>0</v>
      </c>
      <c r="N28" s="140">
        <f>'A3'!P95</f>
        <v>0</v>
      </c>
      <c r="O28" s="132">
        <f t="shared" ref="O28:O36" si="5">SUM(C28:N28)</f>
        <v>0</v>
      </c>
      <c r="P28" s="142"/>
    </row>
    <row r="29" spans="1:16" s="143" customFormat="1" ht="13.5" customHeight="1" thickBot="1">
      <c r="A29" s="867" t="str">
        <f>'BC1'!A30</f>
        <v>Salaires de production</v>
      </c>
      <c r="B29" s="48"/>
      <c r="C29" s="144">
        <f>TE!C152+TE!C154</f>
        <v>0</v>
      </c>
      <c r="D29" s="144">
        <f>TE!D152+TE!D154</f>
        <v>0</v>
      </c>
      <c r="E29" s="144">
        <f>TE!E152+TE!E154</f>
        <v>0</v>
      </c>
      <c r="F29" s="144">
        <f>TE!F152+TE!F154</f>
        <v>0</v>
      </c>
      <c r="G29" s="144">
        <f>TE!G152+TE!G154</f>
        <v>0</v>
      </c>
      <c r="H29" s="144">
        <f>TE!H152+TE!H154</f>
        <v>0</v>
      </c>
      <c r="I29" s="144">
        <f>TE!I152+TE!I154</f>
        <v>0</v>
      </c>
      <c r="J29" s="144">
        <f>TE!J152+TE!J154</f>
        <v>0</v>
      </c>
      <c r="K29" s="144">
        <f>TE!K152+TE!K154</f>
        <v>0</v>
      </c>
      <c r="L29" s="144">
        <f>TE!L152+TE!L154</f>
        <v>0</v>
      </c>
      <c r="M29" s="144">
        <f>TE!M152+TE!M154</f>
        <v>0</v>
      </c>
      <c r="N29" s="144">
        <f>TE!N152+TE!N154</f>
        <v>0</v>
      </c>
      <c r="O29" s="136">
        <f t="shared" si="5"/>
        <v>0</v>
      </c>
      <c r="P29" s="145"/>
    </row>
    <row r="30" spans="1:16" s="143" customFormat="1" ht="13.5" customHeight="1" thickBot="1">
      <c r="A30" s="867" t="str">
        <f>'BC1'!A31</f>
        <v xml:space="preserve">   avantages</v>
      </c>
      <c r="B30" s="48"/>
      <c r="C30" s="146">
        <f>TE!N141+TE!N143</f>
        <v>0</v>
      </c>
      <c r="D30" s="146">
        <f>TE!C153+TE!C155</f>
        <v>0</v>
      </c>
      <c r="E30" s="146">
        <f>TE!D153+TE!D155</f>
        <v>0</v>
      </c>
      <c r="F30" s="146">
        <f>TE!E153+TE!E155</f>
        <v>0</v>
      </c>
      <c r="G30" s="146">
        <f>TE!F153+TE!F155</f>
        <v>0</v>
      </c>
      <c r="H30" s="146">
        <f>TE!G153+TE!G155</f>
        <v>0</v>
      </c>
      <c r="I30" s="146">
        <f>TE!H153+TE!H155</f>
        <v>0</v>
      </c>
      <c r="J30" s="146">
        <f>TE!I153+TE!I155</f>
        <v>0</v>
      </c>
      <c r="K30" s="146">
        <f>TE!J153+TE!J155</f>
        <v>0</v>
      </c>
      <c r="L30" s="146">
        <f>TE!K153+TE!K155</f>
        <v>0</v>
      </c>
      <c r="M30" s="146">
        <f>TE!L153+TE!L155</f>
        <v>0</v>
      </c>
      <c r="N30" s="146">
        <f>TE!M153+TE!M155</f>
        <v>0</v>
      </c>
      <c r="O30" s="147">
        <f t="shared" si="5"/>
        <v>0</v>
      </c>
    </row>
    <row r="31" spans="1:16" ht="13.5" customHeight="1" thickBot="1">
      <c r="A31" s="867" t="str">
        <f>'BC1'!A32</f>
        <v>Frais de variable 1</v>
      </c>
      <c r="B31" s="48"/>
      <c r="C31" s="144">
        <f>'FD3'!C18+'FD3'!C29+'FD3'!C40+'FD3'!C51+'FD3'!C62+'FD3'!C73</f>
        <v>88</v>
      </c>
      <c r="D31" s="144">
        <f>'FD3'!D18+'FD3'!D29+'FD3'!D40+'FD3'!D51+'FD3'!D62+'FD3'!D73</f>
        <v>92</v>
      </c>
      <c r="E31" s="144">
        <f>'FD3'!E18+'FD3'!E29+'FD3'!E40+'FD3'!E51+'FD3'!E62+'FD3'!E73</f>
        <v>97</v>
      </c>
      <c r="F31" s="144">
        <f>'FD3'!F18+'FD3'!F29+'FD3'!F40+'FD3'!F51+'FD3'!F62+'FD3'!F73</f>
        <v>100</v>
      </c>
      <c r="G31" s="144">
        <f>'FD3'!G18+'FD3'!G29+'FD3'!G40+'FD3'!G51+'FD3'!G62+'FD3'!G73</f>
        <v>105</v>
      </c>
      <c r="H31" s="144">
        <f>'FD3'!H18+'FD3'!H29+'FD3'!H40+'FD3'!H51+'FD3'!H62+'FD3'!H73</f>
        <v>109</v>
      </c>
      <c r="I31" s="144">
        <f>'FD3'!I18+'FD3'!I29+'FD3'!I40+'FD3'!I51+'FD3'!I62+'FD3'!I73</f>
        <v>112</v>
      </c>
      <c r="J31" s="144">
        <f>'FD3'!J18+'FD3'!J29+'FD3'!J40+'FD3'!J51+'FD3'!J62+'FD3'!J73</f>
        <v>117</v>
      </c>
      <c r="K31" s="144">
        <f>'FD3'!K18+'FD3'!K29+'FD3'!K40+'FD3'!K51+'FD3'!K62+'FD3'!K73</f>
        <v>121</v>
      </c>
      <c r="L31" s="144">
        <f>'FD3'!L18+'FD3'!L29+'FD3'!L40+'FD3'!L51+'FD3'!L62+'FD3'!L73</f>
        <v>124</v>
      </c>
      <c r="M31" s="144">
        <f>'FD3'!M18+'FD3'!M29+'FD3'!M40+'FD3'!M51+'FD3'!M62+'FD3'!M73</f>
        <v>130</v>
      </c>
      <c r="N31" s="144">
        <f>'FD3'!N18+'FD3'!N29+'FD3'!N40+'FD3'!N51+'FD3'!N62+'FD3'!N73</f>
        <v>134</v>
      </c>
      <c r="O31" s="132">
        <f t="shared" si="5"/>
        <v>1329</v>
      </c>
    </row>
    <row r="32" spans="1:16" ht="13.5" customHeight="1" thickBot="1">
      <c r="A32" s="867" t="str">
        <f>'BC1'!A33</f>
        <v>Frais de variable 2</v>
      </c>
      <c r="B32" s="48"/>
      <c r="C32" s="144">
        <f>'FD3'!C19+'FD3'!C30+'FD3'!C41+'FD3'!C52+'FD3'!C63+'FD3'!C74</f>
        <v>0</v>
      </c>
      <c r="D32" s="144">
        <f>'FD3'!D19+'FD3'!D30+'FD3'!D41+'FD3'!D52+'FD3'!D63+'FD3'!D74</f>
        <v>0</v>
      </c>
      <c r="E32" s="144">
        <f>'FD3'!E19+'FD3'!E30+'FD3'!E41+'FD3'!E52+'FD3'!E63+'FD3'!E74</f>
        <v>0</v>
      </c>
      <c r="F32" s="144">
        <f>'FD3'!F19+'FD3'!F30+'FD3'!F41+'FD3'!F52+'FD3'!F63+'FD3'!F74</f>
        <v>0</v>
      </c>
      <c r="G32" s="144">
        <f>'FD3'!G19+'FD3'!G30+'FD3'!G41+'FD3'!G52+'FD3'!G63+'FD3'!G74</f>
        <v>0</v>
      </c>
      <c r="H32" s="144">
        <f>'FD3'!H19+'FD3'!H30+'FD3'!H41+'FD3'!H52+'FD3'!H63+'FD3'!H74</f>
        <v>0</v>
      </c>
      <c r="I32" s="144">
        <f>'FD3'!I19+'FD3'!I30+'FD3'!I41+'FD3'!I52+'FD3'!I63+'FD3'!I74</f>
        <v>0</v>
      </c>
      <c r="J32" s="144">
        <f>'FD3'!J19+'FD3'!J30+'FD3'!J41+'FD3'!J52+'FD3'!J63+'FD3'!J74</f>
        <v>0</v>
      </c>
      <c r="K32" s="144">
        <f>'FD3'!K19+'FD3'!K30+'FD3'!K41+'FD3'!K52+'FD3'!K63+'FD3'!K74</f>
        <v>0</v>
      </c>
      <c r="L32" s="144">
        <f>'FD3'!L19+'FD3'!L30+'FD3'!L41+'FD3'!L52+'FD3'!L63+'FD3'!L74</f>
        <v>0</v>
      </c>
      <c r="M32" s="144">
        <f>'FD3'!M19+'FD3'!M30+'FD3'!M41+'FD3'!M52+'FD3'!M63+'FD3'!M74</f>
        <v>0</v>
      </c>
      <c r="N32" s="144">
        <f>'FD3'!N19+'FD3'!N30+'FD3'!N41+'FD3'!N52+'FD3'!N63+'FD3'!N74</f>
        <v>0</v>
      </c>
      <c r="O32" s="132">
        <f t="shared" si="5"/>
        <v>0</v>
      </c>
    </row>
    <row r="33" spans="1:15" ht="13.5" customHeight="1" thickBot="1">
      <c r="A33" s="867" t="str">
        <f>'BC1'!A34</f>
        <v>Frais de variable 3</v>
      </c>
      <c r="B33" s="48"/>
      <c r="C33" s="144">
        <f>'FD3'!C20+'FD3'!C31+'FD3'!C42+'FD3'!C53+'FD3'!C64+'FD3'!C75</f>
        <v>0</v>
      </c>
      <c r="D33" s="144">
        <f>'FD3'!D20+'FD3'!D31+'FD3'!D42+'FD3'!D53+'FD3'!D64+'FD3'!D75</f>
        <v>0</v>
      </c>
      <c r="E33" s="144">
        <f>'FD3'!E20+'FD3'!E31+'FD3'!E42+'FD3'!E53+'FD3'!E64+'FD3'!E75</f>
        <v>0</v>
      </c>
      <c r="F33" s="144">
        <f>'FD3'!F20+'FD3'!F31+'FD3'!F42+'FD3'!F53+'FD3'!F64+'FD3'!F75</f>
        <v>0</v>
      </c>
      <c r="G33" s="144">
        <f>'FD3'!G20+'FD3'!G31+'FD3'!G42+'FD3'!G53+'FD3'!G64+'FD3'!G75</f>
        <v>0</v>
      </c>
      <c r="H33" s="144">
        <f>'FD3'!H20+'FD3'!H31+'FD3'!H42+'FD3'!H53+'FD3'!H64+'FD3'!H75</f>
        <v>0</v>
      </c>
      <c r="I33" s="144">
        <f>'FD3'!I20+'FD3'!I31+'FD3'!I42+'FD3'!I53+'FD3'!I64+'FD3'!I75</f>
        <v>0</v>
      </c>
      <c r="J33" s="144">
        <f>'FD3'!J20+'FD3'!J31+'FD3'!J42+'FD3'!J53+'FD3'!J64+'FD3'!J75</f>
        <v>0</v>
      </c>
      <c r="K33" s="144">
        <f>'FD3'!K20+'FD3'!K31+'FD3'!K42+'FD3'!K53+'FD3'!K64+'FD3'!K75</f>
        <v>0</v>
      </c>
      <c r="L33" s="144">
        <f>'FD3'!L20+'FD3'!L31+'FD3'!L42+'FD3'!L53+'FD3'!L64+'FD3'!L75</f>
        <v>0</v>
      </c>
      <c r="M33" s="144">
        <f>'FD3'!M20+'FD3'!M31+'FD3'!M42+'FD3'!M53+'FD3'!M64+'FD3'!M75</f>
        <v>0</v>
      </c>
      <c r="N33" s="144">
        <f>'FD3'!N20+'FD3'!N31+'FD3'!N42+'FD3'!N53+'FD3'!N64+'FD3'!N75</f>
        <v>0</v>
      </c>
      <c r="O33" s="132">
        <f t="shared" si="5"/>
        <v>0</v>
      </c>
    </row>
    <row r="34" spans="1:15" ht="13.5" customHeight="1" thickBot="1">
      <c r="A34" s="867" t="str">
        <f>'BC1'!A35</f>
        <v>Frais de variable 4</v>
      </c>
      <c r="B34" s="48"/>
      <c r="C34" s="144">
        <f>'FD3'!C21+'FD3'!C32+'FD3'!C43+'FD3'!C54+'FD3'!C65+'FD3'!C76</f>
        <v>0</v>
      </c>
      <c r="D34" s="144">
        <f>'FD3'!D21+'FD3'!D32+'FD3'!D43+'FD3'!D54+'FD3'!D65+'FD3'!D76</f>
        <v>0</v>
      </c>
      <c r="E34" s="144">
        <f>'FD3'!E21+'FD3'!E32+'FD3'!E43+'FD3'!E54+'FD3'!E65+'FD3'!E76</f>
        <v>0</v>
      </c>
      <c r="F34" s="144">
        <f>'FD3'!F21+'FD3'!F32+'FD3'!F43+'FD3'!F54+'FD3'!F65+'FD3'!F76</f>
        <v>0</v>
      </c>
      <c r="G34" s="144">
        <f>'FD3'!G21+'FD3'!G32+'FD3'!G43+'FD3'!G54+'FD3'!G65+'FD3'!G76</f>
        <v>0</v>
      </c>
      <c r="H34" s="144">
        <f>'FD3'!H21+'FD3'!H32+'FD3'!H43+'FD3'!H54+'FD3'!H65+'FD3'!H76</f>
        <v>0</v>
      </c>
      <c r="I34" s="144">
        <f>'FD3'!I21+'FD3'!I32+'FD3'!I43+'FD3'!I54+'FD3'!I65+'FD3'!I76</f>
        <v>0</v>
      </c>
      <c r="J34" s="144">
        <f>'FD3'!J21+'FD3'!J32+'FD3'!J43+'FD3'!J54+'FD3'!J65+'FD3'!J76</f>
        <v>0</v>
      </c>
      <c r="K34" s="144">
        <f>'FD3'!K21+'FD3'!K32+'FD3'!K43+'FD3'!K54+'FD3'!K65+'FD3'!K76</f>
        <v>0</v>
      </c>
      <c r="L34" s="144">
        <f>'FD3'!L21+'FD3'!L32+'FD3'!L43+'FD3'!L54+'FD3'!L65+'FD3'!L76</f>
        <v>0</v>
      </c>
      <c r="M34" s="144">
        <f>'FD3'!M21+'FD3'!M32+'FD3'!M43+'FD3'!M54+'FD3'!M65+'FD3'!M76</f>
        <v>0</v>
      </c>
      <c r="N34" s="144">
        <f>'FD3'!N21+'FD3'!N32+'FD3'!N43+'FD3'!N54+'FD3'!N65+'FD3'!N76</f>
        <v>0</v>
      </c>
      <c r="O34" s="132">
        <f t="shared" si="5"/>
        <v>0</v>
      </c>
    </row>
    <row r="35" spans="1:15" ht="13.5" customHeight="1" thickBot="1">
      <c r="A35" s="867" t="str">
        <f>'BC1'!A36</f>
        <v>Frais de variable 5</v>
      </c>
      <c r="B35" s="48"/>
      <c r="C35" s="144">
        <f>'FD3'!C22+'FD3'!C33+'FD3'!C44+'FD3'!C55+'FD3'!C66+'FD3'!C77</f>
        <v>0</v>
      </c>
      <c r="D35" s="144">
        <f>'FD3'!D22+'FD3'!D33+'FD3'!D44+'FD3'!D55+'FD3'!D66+'FD3'!D77</f>
        <v>0</v>
      </c>
      <c r="E35" s="144">
        <f>'FD3'!E22+'FD3'!E33+'FD3'!E44+'FD3'!E55+'FD3'!E66+'FD3'!E77</f>
        <v>0</v>
      </c>
      <c r="F35" s="144">
        <f>'FD3'!F22+'FD3'!F33+'FD3'!F44+'FD3'!F55+'FD3'!F66+'FD3'!F77</f>
        <v>0</v>
      </c>
      <c r="G35" s="144">
        <f>'FD3'!G22+'FD3'!G33+'FD3'!G44+'FD3'!G55+'FD3'!G66+'FD3'!G77</f>
        <v>0</v>
      </c>
      <c r="H35" s="144">
        <f>'FD3'!H22+'FD3'!H33+'FD3'!H44+'FD3'!H55+'FD3'!H66+'FD3'!H77</f>
        <v>0</v>
      </c>
      <c r="I35" s="144">
        <f>'FD3'!I22+'FD3'!I33+'FD3'!I44+'FD3'!I55+'FD3'!I66+'FD3'!I77</f>
        <v>0</v>
      </c>
      <c r="J35" s="144">
        <f>'FD3'!J22+'FD3'!J33+'FD3'!J44+'FD3'!J55+'FD3'!J66+'FD3'!J77</f>
        <v>0</v>
      </c>
      <c r="K35" s="144">
        <f>'FD3'!K22+'FD3'!K33+'FD3'!K44+'FD3'!K55+'FD3'!K66+'FD3'!K77</f>
        <v>0</v>
      </c>
      <c r="L35" s="144">
        <f>'FD3'!L22+'FD3'!L33+'FD3'!L44+'FD3'!L55+'FD3'!L66+'FD3'!L77</f>
        <v>0</v>
      </c>
      <c r="M35" s="144">
        <f>'FD3'!M22+'FD3'!M33+'FD3'!M44+'FD3'!M55+'FD3'!M66+'FD3'!M77</f>
        <v>0</v>
      </c>
      <c r="N35" s="144">
        <f>'FD3'!N22+'FD3'!N33+'FD3'!N44+'FD3'!N55+'FD3'!N66+'FD3'!N77</f>
        <v>0</v>
      </c>
      <c r="O35" s="132">
        <f t="shared" si="5"/>
        <v>0</v>
      </c>
    </row>
    <row r="36" spans="1:15" ht="13.5" customHeight="1" thickBot="1">
      <c r="A36" s="867" t="str">
        <f>'BC1'!A37</f>
        <v>Frais de variable 6</v>
      </c>
      <c r="B36" s="48"/>
      <c r="C36" s="144">
        <f>'FD3'!C23+'FD3'!C34+'FD3'!C45+'FD3'!C56+'FD3'!C67+'FD3'!C78</f>
        <v>0</v>
      </c>
      <c r="D36" s="144">
        <f>'FD3'!D23+'FD3'!D34+'FD3'!D45+'FD3'!D56+'FD3'!D67+'FD3'!D78</f>
        <v>0</v>
      </c>
      <c r="E36" s="144">
        <f>'FD3'!E23+'FD3'!E34+'FD3'!E45+'FD3'!E56+'FD3'!E67+'FD3'!E78</f>
        <v>0</v>
      </c>
      <c r="F36" s="144">
        <f>'FD3'!F23+'FD3'!F34+'FD3'!F45+'FD3'!F56+'FD3'!F67+'FD3'!F78</f>
        <v>0</v>
      </c>
      <c r="G36" s="144">
        <f>'FD3'!G23+'FD3'!G34+'FD3'!G45+'FD3'!G56+'FD3'!G67+'FD3'!G78</f>
        <v>0</v>
      </c>
      <c r="H36" s="144">
        <f>'FD3'!H23+'FD3'!H34+'FD3'!H45+'FD3'!H56+'FD3'!H67+'FD3'!H78</f>
        <v>0</v>
      </c>
      <c r="I36" s="144">
        <f>'FD3'!I23+'FD3'!I34+'FD3'!I45+'FD3'!I56+'FD3'!I67+'FD3'!I78</f>
        <v>0</v>
      </c>
      <c r="J36" s="144">
        <f>'FD3'!J23+'FD3'!J34+'FD3'!J45+'FD3'!J56+'FD3'!J67+'FD3'!J78</f>
        <v>0</v>
      </c>
      <c r="K36" s="144">
        <f>'FD3'!K23+'FD3'!K34+'FD3'!K45+'FD3'!K56+'FD3'!K67+'FD3'!K78</f>
        <v>0</v>
      </c>
      <c r="L36" s="144">
        <f>'FD3'!L23+'FD3'!L34+'FD3'!L45+'FD3'!L56+'FD3'!L67+'FD3'!L78</f>
        <v>0</v>
      </c>
      <c r="M36" s="144">
        <f>'FD3'!M23+'FD3'!M34+'FD3'!M45+'FD3'!M56+'FD3'!M67+'FD3'!M78</f>
        <v>0</v>
      </c>
      <c r="N36" s="144">
        <f>'FD3'!N23+'FD3'!N34+'FD3'!N45+'FD3'!N56+'FD3'!N67+'FD3'!N78</f>
        <v>0</v>
      </c>
      <c r="O36" s="132">
        <f t="shared" si="5"/>
        <v>0</v>
      </c>
    </row>
    <row r="37" spans="1:15" ht="13.5" customHeight="1" thickBot="1">
      <c r="A37" s="48" t="str">
        <f>'BC1'!A38</f>
        <v>FRAIS D'EXPLOITATION</v>
      </c>
      <c r="B37" s="43"/>
      <c r="C37" s="214"/>
      <c r="D37" s="214"/>
      <c r="E37" s="214"/>
      <c r="F37" s="214"/>
      <c r="G37" s="214"/>
      <c r="H37" s="214"/>
      <c r="I37" s="214"/>
      <c r="J37" s="214"/>
      <c r="K37" s="214"/>
      <c r="L37" s="214"/>
      <c r="M37" s="214"/>
      <c r="N37" s="214"/>
      <c r="O37" s="158">
        <v>1E-3</v>
      </c>
    </row>
    <row r="38" spans="1:15" ht="13.5" customHeight="1" thickBot="1">
      <c r="A38" s="867" t="str">
        <f>'BC1'!A39</f>
        <v>Loyer</v>
      </c>
      <c r="B38" s="43"/>
      <c r="C38" s="144">
        <f>'FG3'!C14</f>
        <v>0</v>
      </c>
      <c r="D38" s="144">
        <f>'FG3'!D14</f>
        <v>0</v>
      </c>
      <c r="E38" s="144">
        <f>'FG3'!E14</f>
        <v>0</v>
      </c>
      <c r="F38" s="144">
        <f>'FG3'!F14</f>
        <v>0</v>
      </c>
      <c r="G38" s="144">
        <f>'FG3'!G14</f>
        <v>0</v>
      </c>
      <c r="H38" s="144">
        <f>'FG3'!H14</f>
        <v>0</v>
      </c>
      <c r="I38" s="144">
        <f>'FG3'!I14</f>
        <v>0</v>
      </c>
      <c r="J38" s="144">
        <f>'FG3'!J14</f>
        <v>0</v>
      </c>
      <c r="K38" s="144">
        <f>'FG3'!K14</f>
        <v>0</v>
      </c>
      <c r="L38" s="144">
        <f>'FG3'!L14</f>
        <v>0</v>
      </c>
      <c r="M38" s="144">
        <f>'FG3'!M14</f>
        <v>0</v>
      </c>
      <c r="N38" s="144">
        <f>'FG3'!N14</f>
        <v>0</v>
      </c>
      <c r="O38" s="216">
        <f t="shared" ref="O38:O46" si="6">SUM(C38:N38)</f>
        <v>0</v>
      </c>
    </row>
    <row r="39" spans="1:15" ht="13.5" customHeight="1" thickBot="1">
      <c r="A39" s="867" t="str">
        <f>'BC1'!A40</f>
        <v>Coût d'énergie</v>
      </c>
      <c r="B39" s="43"/>
      <c r="C39" s="144">
        <f>'FG3'!C16</f>
        <v>0</v>
      </c>
      <c r="D39" s="144">
        <f>'FG3'!D16</f>
        <v>0</v>
      </c>
      <c r="E39" s="144">
        <f>'FG3'!E16</f>
        <v>0</v>
      </c>
      <c r="F39" s="144">
        <f>'FG3'!F16</f>
        <v>0</v>
      </c>
      <c r="G39" s="144">
        <f>'FG3'!G16</f>
        <v>0</v>
      </c>
      <c r="H39" s="144">
        <f>'FG3'!H16</f>
        <v>0</v>
      </c>
      <c r="I39" s="144">
        <f>'FG3'!I16</f>
        <v>0</v>
      </c>
      <c r="J39" s="144">
        <f>'FG3'!J16</f>
        <v>0</v>
      </c>
      <c r="K39" s="144">
        <f>'FG3'!K16</f>
        <v>0</v>
      </c>
      <c r="L39" s="144">
        <f>'FG3'!L16</f>
        <v>0</v>
      </c>
      <c r="M39" s="144">
        <f>'FG3'!M16</f>
        <v>0</v>
      </c>
      <c r="N39" s="144">
        <f>'FG3'!N16</f>
        <v>0</v>
      </c>
      <c r="O39" s="216">
        <f t="shared" si="6"/>
        <v>0</v>
      </c>
    </row>
    <row r="40" spans="1:15" ht="13.5" customHeight="1" thickBot="1">
      <c r="A40" s="867" t="str">
        <f>'BC1'!A41</f>
        <v>Entretien / réparation</v>
      </c>
      <c r="B40" s="43"/>
      <c r="C40" s="144">
        <f>'FG3'!C18</f>
        <v>0</v>
      </c>
      <c r="D40" s="144">
        <f>'FG3'!D18</f>
        <v>0</v>
      </c>
      <c r="E40" s="144">
        <f>'FG3'!E18</f>
        <v>0</v>
      </c>
      <c r="F40" s="144">
        <f>'FG3'!F18</f>
        <v>0</v>
      </c>
      <c r="G40" s="144">
        <f>'FG3'!G18</f>
        <v>0</v>
      </c>
      <c r="H40" s="144">
        <f>'FG3'!H18</f>
        <v>0</v>
      </c>
      <c r="I40" s="144">
        <f>'FG3'!I18</f>
        <v>0</v>
      </c>
      <c r="J40" s="144">
        <f>'FG3'!J18</f>
        <v>0</v>
      </c>
      <c r="K40" s="144">
        <f>'FG3'!K18</f>
        <v>0</v>
      </c>
      <c r="L40" s="144">
        <f>'FG3'!L18</f>
        <v>0</v>
      </c>
      <c r="M40" s="144">
        <f>'FG3'!M18</f>
        <v>0</v>
      </c>
      <c r="N40" s="144">
        <f>'FG3'!N18</f>
        <v>0</v>
      </c>
      <c r="O40" s="216">
        <f t="shared" si="6"/>
        <v>0</v>
      </c>
    </row>
    <row r="41" spans="1:15" ht="13.5" customHeight="1" thickBot="1">
      <c r="A41" s="867" t="str">
        <f>'BC1'!A42</f>
        <v>Services sanitaires</v>
      </c>
      <c r="B41" s="43"/>
      <c r="C41" s="144">
        <f>'FG3'!C20</f>
        <v>0</v>
      </c>
      <c r="D41" s="144">
        <f>'FG3'!D20</f>
        <v>0</v>
      </c>
      <c r="E41" s="144">
        <f>'FG3'!E20</f>
        <v>0</v>
      </c>
      <c r="F41" s="144">
        <f>'FG3'!F20</f>
        <v>0</v>
      </c>
      <c r="G41" s="144">
        <f>'FG3'!G20</f>
        <v>0</v>
      </c>
      <c r="H41" s="144">
        <f>'FG3'!H20</f>
        <v>0</v>
      </c>
      <c r="I41" s="144">
        <f>'FG3'!I20</f>
        <v>0</v>
      </c>
      <c r="J41" s="144">
        <f>'FG3'!J20</f>
        <v>0</v>
      </c>
      <c r="K41" s="144">
        <f>'FG3'!K20</f>
        <v>0</v>
      </c>
      <c r="L41" s="144">
        <f>'FG3'!L20</f>
        <v>0</v>
      </c>
      <c r="M41" s="144">
        <f>'FG3'!M20</f>
        <v>0</v>
      </c>
      <c r="N41" s="144">
        <f>'FG3'!N20</f>
        <v>0</v>
      </c>
      <c r="O41" s="216">
        <f t="shared" si="6"/>
        <v>0</v>
      </c>
    </row>
    <row r="42" spans="1:15" ht="13.5" customHeight="1" thickBot="1">
      <c r="A42" s="867" t="str">
        <f>'BC1'!A43</f>
        <v>Frais de déplacement</v>
      </c>
      <c r="B42" s="43"/>
      <c r="C42" s="144">
        <f>'FG3'!C22</f>
        <v>0</v>
      </c>
      <c r="D42" s="144">
        <f>'FG3'!D22</f>
        <v>0</v>
      </c>
      <c r="E42" s="144">
        <f>'FG3'!E22</f>
        <v>0</v>
      </c>
      <c r="F42" s="144">
        <f>'FG3'!F22</f>
        <v>0</v>
      </c>
      <c r="G42" s="144">
        <f>'FG3'!G22</f>
        <v>0</v>
      </c>
      <c r="H42" s="144">
        <f>'FG3'!H22</f>
        <v>0</v>
      </c>
      <c r="I42" s="144">
        <f>'FG3'!I22</f>
        <v>0</v>
      </c>
      <c r="J42" s="144">
        <f>'FG3'!J22</f>
        <v>0</v>
      </c>
      <c r="K42" s="144">
        <f>'FG3'!K22</f>
        <v>0</v>
      </c>
      <c r="L42" s="144">
        <f>'FG3'!L22</f>
        <v>0</v>
      </c>
      <c r="M42" s="144">
        <f>'FG3'!M22</f>
        <v>0</v>
      </c>
      <c r="N42" s="144">
        <f>'FG3'!N22</f>
        <v>0</v>
      </c>
      <c r="O42" s="216">
        <f t="shared" si="6"/>
        <v>0</v>
      </c>
    </row>
    <row r="43" spans="1:15" ht="13.5" customHeight="1" thickBot="1">
      <c r="A43" s="867" t="str">
        <f>'BC1'!A44</f>
        <v>Immatriculation et permis</v>
      </c>
      <c r="B43" s="43"/>
      <c r="C43" s="144">
        <f>'FG3'!C24</f>
        <v>0</v>
      </c>
      <c r="D43" s="144">
        <f>'FG3'!D24</f>
        <v>0</v>
      </c>
      <c r="E43" s="144">
        <f>'FG3'!E24</f>
        <v>0</v>
      </c>
      <c r="F43" s="144">
        <f>'FG3'!F24</f>
        <v>0</v>
      </c>
      <c r="G43" s="144">
        <f>'FG3'!G24</f>
        <v>0</v>
      </c>
      <c r="H43" s="144">
        <f>'FG3'!H24</f>
        <v>0</v>
      </c>
      <c r="I43" s="144">
        <f>'FG3'!I24</f>
        <v>0</v>
      </c>
      <c r="J43" s="144">
        <f>'FG3'!J24</f>
        <v>0</v>
      </c>
      <c r="K43" s="144">
        <f>'FG3'!K24</f>
        <v>0</v>
      </c>
      <c r="L43" s="144">
        <f>'FG3'!L24</f>
        <v>0</v>
      </c>
      <c r="M43" s="144">
        <f>'FG3'!M24</f>
        <v>0</v>
      </c>
      <c r="N43" s="144">
        <f>'FG3'!N24</f>
        <v>0</v>
      </c>
      <c r="O43" s="216">
        <f t="shared" si="6"/>
        <v>0</v>
      </c>
    </row>
    <row r="44" spans="1:15" ht="13.5" customHeight="1" thickBot="1">
      <c r="A44" s="867" t="str">
        <f>'BC1'!A45</f>
        <v>Assurances</v>
      </c>
      <c r="B44" s="43"/>
      <c r="C44" s="144">
        <f>'FG3'!C26</f>
        <v>0</v>
      </c>
      <c r="D44" s="144">
        <f>'FG3'!D26</f>
        <v>0</v>
      </c>
      <c r="E44" s="144">
        <f>'FG3'!E26</f>
        <v>0</v>
      </c>
      <c r="F44" s="144">
        <f>'FG3'!F26</f>
        <v>0</v>
      </c>
      <c r="G44" s="144">
        <f>'FG3'!G26</f>
        <v>0</v>
      </c>
      <c r="H44" s="144">
        <f>'FG3'!H26</f>
        <v>0</v>
      </c>
      <c r="I44" s="144">
        <f>'FG3'!I26</f>
        <v>0</v>
      </c>
      <c r="J44" s="144">
        <f>'FG3'!J26</f>
        <v>0</v>
      </c>
      <c r="K44" s="144">
        <f>'FG3'!K26</f>
        <v>0</v>
      </c>
      <c r="L44" s="144">
        <f>'FG3'!L26</f>
        <v>0</v>
      </c>
      <c r="M44" s="144">
        <f>'FG3'!M26</f>
        <v>0</v>
      </c>
      <c r="N44" s="144">
        <f>'FG3'!N26</f>
        <v>0</v>
      </c>
      <c r="O44" s="216">
        <f t="shared" si="6"/>
        <v>0</v>
      </c>
    </row>
    <row r="45" spans="1:15" ht="13.5" customHeight="1" thickBot="1">
      <c r="A45" s="867" t="str">
        <f>'BC1'!A46</f>
        <v>Dépenses R&amp;D</v>
      </c>
      <c r="B45" s="43"/>
      <c r="C45" s="144">
        <f>'FG3'!C28</f>
        <v>0</v>
      </c>
      <c r="D45" s="144">
        <f>'FG3'!D28</f>
        <v>0</v>
      </c>
      <c r="E45" s="144">
        <f>'FG3'!E28</f>
        <v>0</v>
      </c>
      <c r="F45" s="144">
        <f>'FG3'!F28</f>
        <v>0</v>
      </c>
      <c r="G45" s="144">
        <f>'FG3'!G28</f>
        <v>0</v>
      </c>
      <c r="H45" s="144">
        <f>'FG3'!H28</f>
        <v>0</v>
      </c>
      <c r="I45" s="144">
        <f>'FG3'!I28</f>
        <v>0</v>
      </c>
      <c r="J45" s="144">
        <f>'FG3'!J28</f>
        <v>0</v>
      </c>
      <c r="K45" s="144">
        <f>'FG3'!K28</f>
        <v>0</v>
      </c>
      <c r="L45" s="144">
        <f>'FG3'!L28</f>
        <v>0</v>
      </c>
      <c r="M45" s="144">
        <f>'FG3'!M28</f>
        <v>0</v>
      </c>
      <c r="N45" s="144">
        <f>'FG3'!N28</f>
        <v>0</v>
      </c>
      <c r="O45" s="216">
        <f t="shared" si="6"/>
        <v>0</v>
      </c>
    </row>
    <row r="46" spans="1:15" ht="13.5" customHeight="1" thickBot="1">
      <c r="A46" s="867" t="str">
        <f>'BC1'!A47</f>
        <v>Autre frais d'exploitation 1</v>
      </c>
      <c r="B46" s="43"/>
      <c r="C46" s="144">
        <f>'FG3'!C30</f>
        <v>0</v>
      </c>
      <c r="D46" s="144">
        <f>'FG3'!D30</f>
        <v>0</v>
      </c>
      <c r="E46" s="144">
        <f>'FG3'!E30</f>
        <v>0</v>
      </c>
      <c r="F46" s="144">
        <f>'FG3'!F30</f>
        <v>0</v>
      </c>
      <c r="G46" s="144">
        <f>'FG3'!G30</f>
        <v>0</v>
      </c>
      <c r="H46" s="144">
        <f>'FG3'!H30</f>
        <v>0</v>
      </c>
      <c r="I46" s="144">
        <f>'FG3'!I30</f>
        <v>0</v>
      </c>
      <c r="J46" s="144">
        <f>'FG3'!J30</f>
        <v>0</v>
      </c>
      <c r="K46" s="144">
        <f>'FG3'!K30</f>
        <v>0</v>
      </c>
      <c r="L46" s="144">
        <f>'FG3'!L30</f>
        <v>0</v>
      </c>
      <c r="M46" s="144">
        <f>'FG3'!M30</f>
        <v>0</v>
      </c>
      <c r="N46" s="144">
        <f>'FG3'!N30</f>
        <v>0</v>
      </c>
      <c r="O46" s="216">
        <f t="shared" si="6"/>
        <v>0</v>
      </c>
    </row>
    <row r="47" spans="1:15" ht="13.5" customHeight="1" thickBot="1">
      <c r="A47" s="867" t="str">
        <f>'BC1'!A48</f>
        <v>Autre frais d'exploitation 2</v>
      </c>
      <c r="B47" s="43"/>
      <c r="C47" s="144">
        <f>'FG3'!C32</f>
        <v>0</v>
      </c>
      <c r="D47" s="144">
        <f>'FG3'!D32</f>
        <v>0</v>
      </c>
      <c r="E47" s="144">
        <f>'FG3'!E32</f>
        <v>0</v>
      </c>
      <c r="F47" s="144">
        <f>'FG3'!F32</f>
        <v>0</v>
      </c>
      <c r="G47" s="144">
        <f>'FG3'!G32</f>
        <v>0</v>
      </c>
      <c r="H47" s="144">
        <f>'FG3'!H32</f>
        <v>0</v>
      </c>
      <c r="I47" s="144">
        <f>'FG3'!I32</f>
        <v>0</v>
      </c>
      <c r="J47" s="144">
        <f>'FG3'!J32</f>
        <v>0</v>
      </c>
      <c r="K47" s="144">
        <f>'FG3'!K32</f>
        <v>0</v>
      </c>
      <c r="L47" s="144">
        <f>'FG3'!L32</f>
        <v>0</v>
      </c>
      <c r="M47" s="144">
        <f>'FG3'!M32</f>
        <v>0</v>
      </c>
      <c r="N47" s="144">
        <f>'FG3'!N32</f>
        <v>0</v>
      </c>
      <c r="O47" s="216">
        <f>SUM(C47:N47)</f>
        <v>0</v>
      </c>
    </row>
    <row r="48" spans="1:15" ht="13.5" customHeight="1" thickBot="1">
      <c r="A48" s="867" t="str">
        <f>'BC1'!A49</f>
        <v>Autre frais d'exploitation 3</v>
      </c>
      <c r="B48" s="43"/>
      <c r="C48" s="144">
        <f>'FG3'!C34</f>
        <v>0</v>
      </c>
      <c r="D48" s="144">
        <f>'FG3'!D34</f>
        <v>0</v>
      </c>
      <c r="E48" s="144">
        <f>'FG3'!E34</f>
        <v>0</v>
      </c>
      <c r="F48" s="144">
        <f>'FG3'!F34</f>
        <v>0</v>
      </c>
      <c r="G48" s="144">
        <f>'FG3'!G34</f>
        <v>0</v>
      </c>
      <c r="H48" s="144">
        <f>'FG3'!H34</f>
        <v>0</v>
      </c>
      <c r="I48" s="144">
        <f>'FG3'!I34</f>
        <v>0</v>
      </c>
      <c r="J48" s="144">
        <f>'FG3'!J34</f>
        <v>0</v>
      </c>
      <c r="K48" s="144">
        <f>'FG3'!K34</f>
        <v>0</v>
      </c>
      <c r="L48" s="144">
        <f>'FG3'!L34</f>
        <v>0</v>
      </c>
      <c r="M48" s="144">
        <f>'FG3'!M34</f>
        <v>0</v>
      </c>
      <c r="N48" s="144">
        <f>'FG3'!N34</f>
        <v>0</v>
      </c>
      <c r="O48" s="216">
        <f t="shared" ref="O48:O53" si="7">SUM(C48:N48)</f>
        <v>0</v>
      </c>
    </row>
    <row r="49" spans="1:16" ht="13.5" customHeight="1" thickBot="1">
      <c r="A49" s="867" t="str">
        <f>'BC1'!A50</f>
        <v>Autre frais d'exploitation 4</v>
      </c>
      <c r="B49" s="43"/>
      <c r="C49" s="144">
        <f>'FG3'!C36</f>
        <v>0</v>
      </c>
      <c r="D49" s="144">
        <f>'FG3'!D36</f>
        <v>0</v>
      </c>
      <c r="E49" s="144">
        <f>'FG3'!E36</f>
        <v>0</v>
      </c>
      <c r="F49" s="144">
        <f>'FG3'!F36</f>
        <v>0</v>
      </c>
      <c r="G49" s="144">
        <f>'FG3'!G36</f>
        <v>0</v>
      </c>
      <c r="H49" s="144">
        <f>'FG3'!H36</f>
        <v>0</v>
      </c>
      <c r="I49" s="144">
        <f>'FG3'!I36</f>
        <v>0</v>
      </c>
      <c r="J49" s="144">
        <f>'FG3'!J36</f>
        <v>0</v>
      </c>
      <c r="K49" s="144">
        <f>'FG3'!K36</f>
        <v>0</v>
      </c>
      <c r="L49" s="144">
        <f>'FG3'!L36</f>
        <v>0</v>
      </c>
      <c r="M49" s="144">
        <f>'FG3'!M36</f>
        <v>0</v>
      </c>
      <c r="N49" s="144">
        <f>'FG3'!N36</f>
        <v>0</v>
      </c>
      <c r="O49" s="216">
        <f t="shared" si="7"/>
        <v>0</v>
      </c>
    </row>
    <row r="50" spans="1:16" ht="13.5" customHeight="1" thickBot="1">
      <c r="A50" s="867" t="str">
        <f>'BC1'!A51</f>
        <v>Autre frais d'exploitation 5</v>
      </c>
      <c r="B50" s="43"/>
      <c r="C50" s="144">
        <f>'FG3'!C38</f>
        <v>0</v>
      </c>
      <c r="D50" s="144">
        <f>'FG3'!D38</f>
        <v>0</v>
      </c>
      <c r="E50" s="144">
        <f>'FG3'!E38</f>
        <v>0</v>
      </c>
      <c r="F50" s="144">
        <f>'FG3'!F38</f>
        <v>0</v>
      </c>
      <c r="G50" s="144">
        <f>'FG3'!G38</f>
        <v>0</v>
      </c>
      <c r="H50" s="144">
        <f>'FG3'!H38</f>
        <v>0</v>
      </c>
      <c r="I50" s="144">
        <f>'FG3'!I38</f>
        <v>0</v>
      </c>
      <c r="J50" s="144">
        <f>'FG3'!J38</f>
        <v>0</v>
      </c>
      <c r="K50" s="144">
        <f>'FG3'!K38</f>
        <v>0</v>
      </c>
      <c r="L50" s="144">
        <f>'FG3'!L38</f>
        <v>0</v>
      </c>
      <c r="M50" s="144">
        <f>'FG3'!M38</f>
        <v>0</v>
      </c>
      <c r="N50" s="144">
        <f>'FG3'!N38</f>
        <v>0</v>
      </c>
      <c r="O50" s="216">
        <f t="shared" si="7"/>
        <v>0</v>
      </c>
    </row>
    <row r="51" spans="1:16" ht="13.5" customHeight="1" thickBot="1">
      <c r="A51" s="867" t="str">
        <f>'BC1'!A52</f>
        <v>Autre frais d'exploitation 6</v>
      </c>
      <c r="B51" s="43"/>
      <c r="C51" s="144">
        <f>'FG3'!C40</f>
        <v>0</v>
      </c>
      <c r="D51" s="144">
        <f>'FG3'!D40</f>
        <v>0</v>
      </c>
      <c r="E51" s="144">
        <f>'FG3'!E40</f>
        <v>0</v>
      </c>
      <c r="F51" s="144">
        <f>'FG3'!F40</f>
        <v>0</v>
      </c>
      <c r="G51" s="144">
        <f>'FG3'!G40</f>
        <v>0</v>
      </c>
      <c r="H51" s="144">
        <f>'FG3'!H40</f>
        <v>0</v>
      </c>
      <c r="I51" s="144">
        <f>'FG3'!I40</f>
        <v>0</v>
      </c>
      <c r="J51" s="144">
        <f>'FG3'!J40</f>
        <v>0</v>
      </c>
      <c r="K51" s="144">
        <f>'FG3'!K40</f>
        <v>0</v>
      </c>
      <c r="L51" s="144">
        <f>'FG3'!L40</f>
        <v>0</v>
      </c>
      <c r="M51" s="144">
        <f>'FG3'!M40</f>
        <v>0</v>
      </c>
      <c r="N51" s="144">
        <f>'FG3'!N40</f>
        <v>0</v>
      </c>
      <c r="O51" s="216">
        <f t="shared" si="7"/>
        <v>0</v>
      </c>
    </row>
    <row r="52" spans="1:16" ht="13.5" customHeight="1" thickBot="1">
      <c r="A52" s="867" t="str">
        <f>'BC1'!A53</f>
        <v>Autre frais d'exploitation 7</v>
      </c>
      <c r="B52" s="43"/>
      <c r="C52" s="144">
        <f>'FG3'!C42</f>
        <v>0</v>
      </c>
      <c r="D52" s="144">
        <f>'FG3'!D42</f>
        <v>0</v>
      </c>
      <c r="E52" s="144">
        <f>'FG3'!E42</f>
        <v>0</v>
      </c>
      <c r="F52" s="144">
        <f>'FG3'!F42</f>
        <v>0</v>
      </c>
      <c r="G52" s="144">
        <f>'FG3'!G42</f>
        <v>0</v>
      </c>
      <c r="H52" s="144">
        <f>'FG3'!H42</f>
        <v>0</v>
      </c>
      <c r="I52" s="144">
        <f>'FG3'!I42</f>
        <v>0</v>
      </c>
      <c r="J52" s="144">
        <f>'FG3'!J42</f>
        <v>0</v>
      </c>
      <c r="K52" s="144">
        <f>'FG3'!K42</f>
        <v>0</v>
      </c>
      <c r="L52" s="144">
        <f>'FG3'!L42</f>
        <v>0</v>
      </c>
      <c r="M52" s="144">
        <f>'FG3'!M42</f>
        <v>0</v>
      </c>
      <c r="N52" s="144">
        <f>'FG3'!N42</f>
        <v>0</v>
      </c>
      <c r="O52" s="216">
        <f t="shared" si="7"/>
        <v>0</v>
      </c>
    </row>
    <row r="53" spans="1:16" ht="13.5" customHeight="1" thickBot="1">
      <c r="A53" s="867" t="str">
        <f>'BC1'!A54</f>
        <v>Autre frais d'exploitation 8</v>
      </c>
      <c r="B53" s="43"/>
      <c r="C53" s="144">
        <f>'FG3'!C44</f>
        <v>0</v>
      </c>
      <c r="D53" s="144">
        <f>'FG3'!D44</f>
        <v>0</v>
      </c>
      <c r="E53" s="144">
        <f>'FG3'!E44</f>
        <v>0</v>
      </c>
      <c r="F53" s="144">
        <f>'FG3'!F44</f>
        <v>0</v>
      </c>
      <c r="G53" s="144">
        <f>'FG3'!G44</f>
        <v>0</v>
      </c>
      <c r="H53" s="144">
        <f>'FG3'!H44</f>
        <v>0</v>
      </c>
      <c r="I53" s="144">
        <f>'FG3'!I44</f>
        <v>0</v>
      </c>
      <c r="J53" s="144">
        <f>'FG3'!J44</f>
        <v>0</v>
      </c>
      <c r="K53" s="144">
        <f>'FG3'!K44</f>
        <v>0</v>
      </c>
      <c r="L53" s="144">
        <f>'FG3'!L44</f>
        <v>0</v>
      </c>
      <c r="M53" s="144">
        <f>'FG3'!M44</f>
        <v>0</v>
      </c>
      <c r="N53" s="144">
        <f>'FG3'!N44</f>
        <v>0</v>
      </c>
      <c r="O53" s="216">
        <f t="shared" si="7"/>
        <v>0</v>
      </c>
    </row>
    <row r="54" spans="1:16" ht="13.5" customHeight="1" thickBot="1">
      <c r="A54" s="48" t="str">
        <f>'BC1'!A55</f>
        <v>FRAIS DE VENTE</v>
      </c>
      <c r="B54" s="43"/>
      <c r="C54" s="214"/>
      <c r="D54" s="214"/>
      <c r="E54" s="214"/>
      <c r="F54" s="214"/>
      <c r="G54" s="214"/>
      <c r="H54" s="214"/>
      <c r="I54" s="214"/>
      <c r="J54" s="214"/>
      <c r="K54" s="214"/>
      <c r="L54" s="214"/>
      <c r="M54" s="214"/>
      <c r="N54" s="214"/>
      <c r="O54" s="158">
        <v>1E-3</v>
      </c>
      <c r="P54" s="117"/>
    </row>
    <row r="55" spans="1:16" ht="13.5" customHeight="1" thickBot="1">
      <c r="A55" s="867" t="str">
        <f>'BC1'!A56</f>
        <v>Frais de représentation</v>
      </c>
      <c r="B55" s="43"/>
      <c r="C55" s="144">
        <f>'FG3'!C47</f>
        <v>0</v>
      </c>
      <c r="D55" s="144">
        <f>'FG3'!D47</f>
        <v>0</v>
      </c>
      <c r="E55" s="144">
        <f>'FG3'!E47</f>
        <v>0</v>
      </c>
      <c r="F55" s="144">
        <f>'FG3'!F47</f>
        <v>0</v>
      </c>
      <c r="G55" s="144">
        <f>'FG3'!G47</f>
        <v>0</v>
      </c>
      <c r="H55" s="144">
        <f>'FG3'!H47</f>
        <v>0</v>
      </c>
      <c r="I55" s="144">
        <f>'FG3'!I47</f>
        <v>0</v>
      </c>
      <c r="J55" s="144">
        <f>'FG3'!J47</f>
        <v>0</v>
      </c>
      <c r="K55" s="144">
        <f>'FG3'!K47</f>
        <v>0</v>
      </c>
      <c r="L55" s="144">
        <f>'FG3'!L47</f>
        <v>0</v>
      </c>
      <c r="M55" s="144">
        <f>'FG3'!M47</f>
        <v>0</v>
      </c>
      <c r="N55" s="144">
        <f>'FG3'!N47</f>
        <v>0</v>
      </c>
      <c r="O55" s="216">
        <f t="shared" ref="O55:O61" si="8">SUM(C55:N55)</f>
        <v>0</v>
      </c>
      <c r="P55" s="117"/>
    </row>
    <row r="56" spans="1:16" ht="13.5" customHeight="1" thickBot="1">
      <c r="A56" s="867" t="str">
        <f>'BC1'!A57</f>
        <v>Publicité</v>
      </c>
      <c r="B56" s="43"/>
      <c r="C56" s="144">
        <f>'FG3'!C49</f>
        <v>0</v>
      </c>
      <c r="D56" s="144">
        <f>'FG3'!D49</f>
        <v>0</v>
      </c>
      <c r="E56" s="144">
        <f>'FG3'!E49</f>
        <v>0</v>
      </c>
      <c r="F56" s="144">
        <f>'FG3'!F49</f>
        <v>0</v>
      </c>
      <c r="G56" s="144">
        <f>'FG3'!G49</f>
        <v>0</v>
      </c>
      <c r="H56" s="144">
        <f>'FG3'!H49</f>
        <v>0</v>
      </c>
      <c r="I56" s="144">
        <f>'FG3'!I49</f>
        <v>0</v>
      </c>
      <c r="J56" s="144">
        <f>'FG3'!J49</f>
        <v>0</v>
      </c>
      <c r="K56" s="144">
        <f>'FG3'!K49</f>
        <v>0</v>
      </c>
      <c r="L56" s="144">
        <f>'FG3'!L49</f>
        <v>0</v>
      </c>
      <c r="M56" s="144">
        <f>'FG3'!M49</f>
        <v>0</v>
      </c>
      <c r="N56" s="144">
        <f>'FG3'!N49</f>
        <v>0</v>
      </c>
      <c r="O56" s="216">
        <f t="shared" si="8"/>
        <v>0</v>
      </c>
      <c r="P56" s="117"/>
    </row>
    <row r="57" spans="1:16" ht="13.5" customHeight="1" thickBot="1">
      <c r="A57" s="867" t="str">
        <f>'BC1'!A58</f>
        <v>Autres frais de vente 1</v>
      </c>
      <c r="B57" s="43"/>
      <c r="C57" s="144">
        <f>'FG3'!C51</f>
        <v>0</v>
      </c>
      <c r="D57" s="144">
        <f>'FG3'!D51</f>
        <v>0</v>
      </c>
      <c r="E57" s="144">
        <f>'FG3'!E51</f>
        <v>0</v>
      </c>
      <c r="F57" s="144">
        <f>'FG3'!F51</f>
        <v>0</v>
      </c>
      <c r="G57" s="144">
        <f>'FG3'!G51</f>
        <v>0</v>
      </c>
      <c r="H57" s="144">
        <f>'FG3'!H51</f>
        <v>0</v>
      </c>
      <c r="I57" s="144">
        <f>'FG3'!I51</f>
        <v>0</v>
      </c>
      <c r="J57" s="144">
        <f>'FG3'!J51</f>
        <v>0</v>
      </c>
      <c r="K57" s="144">
        <f>'FG3'!K51</f>
        <v>0</v>
      </c>
      <c r="L57" s="144">
        <f>'FG3'!L51</f>
        <v>0</v>
      </c>
      <c r="M57" s="144">
        <f>'FG3'!M51</f>
        <v>0</v>
      </c>
      <c r="N57" s="144">
        <f>'FG3'!N51</f>
        <v>0</v>
      </c>
      <c r="O57" s="216">
        <f t="shared" si="8"/>
        <v>0</v>
      </c>
      <c r="P57" s="117"/>
    </row>
    <row r="58" spans="1:16" ht="13.5" customHeight="1" thickBot="1">
      <c r="A58" s="867" t="str">
        <f>'BC1'!A59</f>
        <v>Autres frais de vente 2</v>
      </c>
      <c r="B58" s="43"/>
      <c r="C58" s="144">
        <f>'FG3'!C53</f>
        <v>0</v>
      </c>
      <c r="D58" s="144">
        <f>'FG3'!D53</f>
        <v>0</v>
      </c>
      <c r="E58" s="144">
        <f>'FG3'!E53</f>
        <v>0</v>
      </c>
      <c r="F58" s="144">
        <f>'FG3'!F53</f>
        <v>0</v>
      </c>
      <c r="G58" s="144">
        <f>'FG3'!G53</f>
        <v>0</v>
      </c>
      <c r="H58" s="144">
        <f>'FG3'!H53</f>
        <v>0</v>
      </c>
      <c r="I58" s="144">
        <f>'FG3'!I53</f>
        <v>0</v>
      </c>
      <c r="J58" s="144">
        <f>'FG3'!J53</f>
        <v>0</v>
      </c>
      <c r="K58" s="144">
        <f>'FG3'!K53</f>
        <v>0</v>
      </c>
      <c r="L58" s="144">
        <f>'FG3'!L53</f>
        <v>0</v>
      </c>
      <c r="M58" s="144">
        <f>'FG3'!M53</f>
        <v>0</v>
      </c>
      <c r="N58" s="144">
        <f>'FG3'!N53</f>
        <v>0</v>
      </c>
      <c r="O58" s="216">
        <f t="shared" si="8"/>
        <v>0</v>
      </c>
      <c r="P58" s="117"/>
    </row>
    <row r="59" spans="1:16" ht="13.5" customHeight="1" thickBot="1">
      <c r="A59" s="867" t="str">
        <f>'BC1'!A60</f>
        <v>Autres frais de vente 3</v>
      </c>
      <c r="B59" s="43"/>
      <c r="C59" s="144">
        <f>'FG3'!C55</f>
        <v>0</v>
      </c>
      <c r="D59" s="144">
        <f>'FG3'!D55</f>
        <v>0</v>
      </c>
      <c r="E59" s="144">
        <f>'FG3'!E55</f>
        <v>0</v>
      </c>
      <c r="F59" s="144">
        <f>'FG3'!F55</f>
        <v>0</v>
      </c>
      <c r="G59" s="144">
        <f>'FG3'!G55</f>
        <v>0</v>
      </c>
      <c r="H59" s="144">
        <f>'FG3'!H55</f>
        <v>0</v>
      </c>
      <c r="I59" s="144">
        <f>'FG3'!I55</f>
        <v>0</v>
      </c>
      <c r="J59" s="144">
        <f>'FG3'!J55</f>
        <v>0</v>
      </c>
      <c r="K59" s="144">
        <f>'FG3'!K55</f>
        <v>0</v>
      </c>
      <c r="L59" s="144">
        <f>'FG3'!L55</f>
        <v>0</v>
      </c>
      <c r="M59" s="144">
        <f>'FG3'!M55</f>
        <v>0</v>
      </c>
      <c r="N59" s="144">
        <f>'FG3'!N55</f>
        <v>0</v>
      </c>
      <c r="O59" s="216">
        <f t="shared" si="8"/>
        <v>0</v>
      </c>
      <c r="P59" s="117"/>
    </row>
    <row r="60" spans="1:16" ht="13.5" customHeight="1" thickBot="1">
      <c r="A60" s="867" t="str">
        <f>'BC1'!A61</f>
        <v>Autres frais de vente 4</v>
      </c>
      <c r="B60" s="43"/>
      <c r="C60" s="144">
        <f>'FG3'!C57</f>
        <v>0</v>
      </c>
      <c r="D60" s="144">
        <f>'FG3'!D57</f>
        <v>0</v>
      </c>
      <c r="E60" s="144">
        <f>'FG3'!E57</f>
        <v>0</v>
      </c>
      <c r="F60" s="144">
        <f>'FG3'!F57</f>
        <v>0</v>
      </c>
      <c r="G60" s="144">
        <f>'FG3'!G57</f>
        <v>0</v>
      </c>
      <c r="H60" s="144">
        <f>'FG3'!H57</f>
        <v>0</v>
      </c>
      <c r="I60" s="144">
        <f>'FG3'!I57</f>
        <v>0</v>
      </c>
      <c r="J60" s="144">
        <f>'FG3'!J57</f>
        <v>0</v>
      </c>
      <c r="K60" s="144">
        <f>'FG3'!K57</f>
        <v>0</v>
      </c>
      <c r="L60" s="144">
        <f>'FG3'!L57</f>
        <v>0</v>
      </c>
      <c r="M60" s="144">
        <f>'FG3'!M57</f>
        <v>0</v>
      </c>
      <c r="N60" s="144">
        <f>'FG3'!N57</f>
        <v>0</v>
      </c>
      <c r="O60" s="216">
        <f t="shared" si="8"/>
        <v>0</v>
      </c>
      <c r="P60" s="117"/>
    </row>
    <row r="61" spans="1:16" ht="13.5" customHeight="1" thickBot="1">
      <c r="A61" s="867" t="str">
        <f>'BC1'!A62</f>
        <v>Autres frais de vente 5</v>
      </c>
      <c r="B61" s="43"/>
      <c r="C61" s="144">
        <f>'FG3'!C59</f>
        <v>0</v>
      </c>
      <c r="D61" s="144">
        <f>'FG3'!D59</f>
        <v>0</v>
      </c>
      <c r="E61" s="144">
        <f>'FG3'!E59</f>
        <v>0</v>
      </c>
      <c r="F61" s="144">
        <f>'FG3'!F59</f>
        <v>0</v>
      </c>
      <c r="G61" s="144">
        <f>'FG3'!G59</f>
        <v>0</v>
      </c>
      <c r="H61" s="144">
        <f>'FG3'!H59</f>
        <v>0</v>
      </c>
      <c r="I61" s="144">
        <f>'FG3'!I59</f>
        <v>0</v>
      </c>
      <c r="J61" s="144">
        <f>'FG3'!J59</f>
        <v>0</v>
      </c>
      <c r="K61" s="144">
        <f>'FG3'!K59</f>
        <v>0</v>
      </c>
      <c r="L61" s="144">
        <f>'FG3'!L59</f>
        <v>0</v>
      </c>
      <c r="M61" s="144">
        <f>'FG3'!M59</f>
        <v>0</v>
      </c>
      <c r="N61" s="144">
        <f>'FG3'!N59</f>
        <v>0</v>
      </c>
      <c r="O61" s="216">
        <f t="shared" si="8"/>
        <v>0</v>
      </c>
      <c r="P61" s="117"/>
    </row>
    <row r="62" spans="1:16" ht="13.5" customHeight="1" thickBot="1">
      <c r="A62" s="48" t="str">
        <f>'BC1'!A63</f>
        <v>FRAIS D'ADMINISTRATION</v>
      </c>
      <c r="B62" s="43"/>
      <c r="C62" s="214"/>
      <c r="D62" s="214"/>
      <c r="E62" s="214"/>
      <c r="F62" s="214"/>
      <c r="G62" s="214"/>
      <c r="H62" s="214"/>
      <c r="I62" s="214"/>
      <c r="J62" s="214"/>
      <c r="K62" s="214"/>
      <c r="L62" s="214"/>
      <c r="M62" s="214"/>
      <c r="N62" s="214"/>
      <c r="O62" s="158">
        <v>1E-3</v>
      </c>
      <c r="P62" s="117"/>
    </row>
    <row r="63" spans="1:16" ht="13.5" customHeight="1" thickBot="1">
      <c r="A63" s="867" t="str">
        <f>'BC1'!A64</f>
        <v>Salaires administratifs</v>
      </c>
      <c r="B63" s="43"/>
      <c r="C63" s="144">
        <f>TE!C156+TE!C158</f>
        <v>3599.7840000000001</v>
      </c>
      <c r="D63" s="144">
        <f>TE!D156+TE!D158</f>
        <v>3599.7840000000001</v>
      </c>
      <c r="E63" s="144">
        <f>TE!E156+TE!E158</f>
        <v>3599.7840000000001</v>
      </c>
      <c r="F63" s="144">
        <f>TE!F156+TE!F158</f>
        <v>3599.7840000000001</v>
      </c>
      <c r="G63" s="144">
        <f>TE!G156+TE!G158</f>
        <v>3599.7840000000001</v>
      </c>
      <c r="H63" s="144">
        <f>TE!H156+TE!H158</f>
        <v>3599.7840000000001</v>
      </c>
      <c r="I63" s="144">
        <f>TE!I156+TE!I158</f>
        <v>3599.7840000000001</v>
      </c>
      <c r="J63" s="144">
        <f>TE!J156+TE!J158</f>
        <v>3599.7840000000001</v>
      </c>
      <c r="K63" s="144">
        <f>TE!K156+TE!K158</f>
        <v>3599.7840000000001</v>
      </c>
      <c r="L63" s="144">
        <f>TE!L156+TE!L158</f>
        <v>3599.7840000000001</v>
      </c>
      <c r="M63" s="144">
        <f>TE!M156+TE!M158</f>
        <v>3599.7840000000001</v>
      </c>
      <c r="N63" s="144">
        <f>TE!N156+TE!N158</f>
        <v>3599.7840000000001</v>
      </c>
      <c r="O63" s="136">
        <f>SUM(C63:N63)</f>
        <v>43197.408000000003</v>
      </c>
      <c r="P63" s="117"/>
    </row>
    <row r="64" spans="1:16" ht="13.5" customHeight="1" thickBot="1">
      <c r="A64" s="867" t="str">
        <f>'BC1'!A65</f>
        <v xml:space="preserve">   avantages</v>
      </c>
      <c r="B64" s="43"/>
      <c r="C64" s="144">
        <f>TE!N145+TE!N147</f>
        <v>916</v>
      </c>
      <c r="D64" s="144">
        <f>TE!C157+TE!C159</f>
        <v>934</v>
      </c>
      <c r="E64" s="144">
        <f>TE!D157+TE!D159</f>
        <v>934</v>
      </c>
      <c r="F64" s="144">
        <f>TE!E157+TE!E159</f>
        <v>934</v>
      </c>
      <c r="G64" s="144">
        <f>TE!F157+TE!F159</f>
        <v>934</v>
      </c>
      <c r="H64" s="144">
        <f>TE!G157+TE!G159</f>
        <v>934</v>
      </c>
      <c r="I64" s="144">
        <f>TE!H157+TE!H159</f>
        <v>934</v>
      </c>
      <c r="J64" s="144">
        <f>TE!I157+TE!I159</f>
        <v>934</v>
      </c>
      <c r="K64" s="144">
        <f>TE!J157+TE!J159</f>
        <v>934</v>
      </c>
      <c r="L64" s="144">
        <f>TE!K157+TE!K159</f>
        <v>934</v>
      </c>
      <c r="M64" s="144">
        <f>TE!L157+TE!L159</f>
        <v>934</v>
      </c>
      <c r="N64" s="144">
        <f>TE!M157+TE!M159</f>
        <v>934</v>
      </c>
      <c r="O64" s="136">
        <f>SUM(C64:N64)</f>
        <v>11190</v>
      </c>
    </row>
    <row r="65" spans="1:16" ht="13.5" customHeight="1" thickBot="1">
      <c r="A65" s="867" t="str">
        <f>'BC1'!A66</f>
        <v>Téléphonie et internet</v>
      </c>
      <c r="B65" s="43"/>
      <c r="C65" s="144">
        <f>'FG3'!C62</f>
        <v>0</v>
      </c>
      <c r="D65" s="144">
        <f>'FG3'!D62</f>
        <v>0</v>
      </c>
      <c r="E65" s="144">
        <f>'FG3'!E62</f>
        <v>0</v>
      </c>
      <c r="F65" s="144">
        <f>'FG3'!F62</f>
        <v>0</v>
      </c>
      <c r="G65" s="144">
        <f>'FG3'!G62</f>
        <v>0</v>
      </c>
      <c r="H65" s="144">
        <f>'FG3'!H62</f>
        <v>0</v>
      </c>
      <c r="I65" s="144">
        <f>'FG3'!I62</f>
        <v>0</v>
      </c>
      <c r="J65" s="144">
        <f>'FG3'!J62</f>
        <v>0</v>
      </c>
      <c r="K65" s="144">
        <f>'FG3'!K62</f>
        <v>0</v>
      </c>
      <c r="L65" s="144">
        <f>'FG3'!L62</f>
        <v>0</v>
      </c>
      <c r="M65" s="144">
        <f>'FG3'!M62</f>
        <v>0</v>
      </c>
      <c r="N65" s="144">
        <f>'FG3'!N62</f>
        <v>0</v>
      </c>
      <c r="O65" s="136">
        <f t="shared" ref="O65:O70" si="9">SUM(C65:N65)</f>
        <v>0</v>
      </c>
    </row>
    <row r="66" spans="1:16" ht="13.5" customHeight="1" thickBot="1">
      <c r="A66" s="867" t="str">
        <f>'BC1'!A67</f>
        <v>Honoraires professionnels</v>
      </c>
      <c r="B66" s="43"/>
      <c r="C66" s="144">
        <f>'FG3'!C64</f>
        <v>0</v>
      </c>
      <c r="D66" s="144">
        <f>'FG3'!D64</f>
        <v>0</v>
      </c>
      <c r="E66" s="144">
        <f>'FG3'!E64</f>
        <v>0</v>
      </c>
      <c r="F66" s="144">
        <f>'FG3'!F64</f>
        <v>0</v>
      </c>
      <c r="G66" s="144">
        <f>'FG3'!G64</f>
        <v>0</v>
      </c>
      <c r="H66" s="144">
        <f>'FG3'!H64</f>
        <v>0</v>
      </c>
      <c r="I66" s="144">
        <f>'FG3'!I64</f>
        <v>0</v>
      </c>
      <c r="J66" s="144">
        <f>'FG3'!J64</f>
        <v>0</v>
      </c>
      <c r="K66" s="144">
        <f>'FG3'!K64</f>
        <v>0</v>
      </c>
      <c r="L66" s="144">
        <f>'FG3'!L64</f>
        <v>0</v>
      </c>
      <c r="M66" s="144">
        <f>'FG3'!M64</f>
        <v>0</v>
      </c>
      <c r="N66" s="144">
        <f>'FG3'!N64</f>
        <v>0</v>
      </c>
      <c r="O66" s="136">
        <f t="shared" si="9"/>
        <v>0</v>
      </c>
    </row>
    <row r="67" spans="1:16" ht="13.5" customHeight="1" thickBot="1">
      <c r="A67" s="867" t="str">
        <f>'BC1'!A68</f>
        <v>Frais de bureau</v>
      </c>
      <c r="B67" s="43"/>
      <c r="C67" s="144">
        <f>'FG3'!C66</f>
        <v>0</v>
      </c>
      <c r="D67" s="144">
        <f>'FG3'!D66</f>
        <v>0</v>
      </c>
      <c r="E67" s="144">
        <f>'FG3'!E66</f>
        <v>0</v>
      </c>
      <c r="F67" s="144">
        <f>'FG3'!F66</f>
        <v>0</v>
      </c>
      <c r="G67" s="144">
        <f>'FG3'!G66</f>
        <v>0</v>
      </c>
      <c r="H67" s="144">
        <f>'FG3'!H66</f>
        <v>0</v>
      </c>
      <c r="I67" s="144">
        <f>'FG3'!I66</f>
        <v>0</v>
      </c>
      <c r="J67" s="144">
        <f>'FG3'!J66</f>
        <v>0</v>
      </c>
      <c r="K67" s="144">
        <f>'FG3'!K66</f>
        <v>0</v>
      </c>
      <c r="L67" s="144">
        <f>'FG3'!L66</f>
        <v>0</v>
      </c>
      <c r="M67" s="144">
        <f>'FG3'!M66</f>
        <v>0</v>
      </c>
      <c r="N67" s="144">
        <f>'FG3'!N66</f>
        <v>0</v>
      </c>
      <c r="O67" s="136">
        <f t="shared" si="9"/>
        <v>0</v>
      </c>
    </row>
    <row r="68" spans="1:16" ht="13.5" customHeight="1" thickBot="1">
      <c r="A68" s="867" t="str">
        <f>'BC1'!A69</f>
        <v>Mauvaises créances</v>
      </c>
      <c r="B68" s="43"/>
      <c r="C68" s="144">
        <f>'FG3'!C68</f>
        <v>0</v>
      </c>
      <c r="D68" s="144">
        <f>'FG3'!D68</f>
        <v>0</v>
      </c>
      <c r="E68" s="144">
        <f>'FG3'!E68</f>
        <v>0</v>
      </c>
      <c r="F68" s="144">
        <f>'FG3'!F68</f>
        <v>0</v>
      </c>
      <c r="G68" s="144">
        <f>'FG3'!G68</f>
        <v>0</v>
      </c>
      <c r="H68" s="144">
        <f>'FG3'!H68</f>
        <v>0</v>
      </c>
      <c r="I68" s="144">
        <f>'FG3'!I68</f>
        <v>0</v>
      </c>
      <c r="J68" s="144">
        <f>'FG3'!J68</f>
        <v>0</v>
      </c>
      <c r="K68" s="144">
        <f>'FG3'!K68</f>
        <v>0</v>
      </c>
      <c r="L68" s="144">
        <f>'FG3'!L68</f>
        <v>0</v>
      </c>
      <c r="M68" s="144">
        <f>'FG3'!M68</f>
        <v>0</v>
      </c>
      <c r="N68" s="144">
        <f>'FG3'!N68</f>
        <v>0</v>
      </c>
      <c r="O68" s="136">
        <f t="shared" si="9"/>
        <v>0</v>
      </c>
    </row>
    <row r="69" spans="1:16" ht="13.5" customHeight="1" thickBot="1">
      <c r="A69" s="867" t="str">
        <f>'BC1'!A70</f>
        <v>Fournitures de bureau</v>
      </c>
      <c r="B69" s="43"/>
      <c r="C69" s="144">
        <f>'FG3'!C70</f>
        <v>0</v>
      </c>
      <c r="D69" s="144">
        <f>'FG3'!D70</f>
        <v>0</v>
      </c>
      <c r="E69" s="144">
        <f>'FG3'!E70</f>
        <v>0</v>
      </c>
      <c r="F69" s="144">
        <f>'FG3'!F70</f>
        <v>0</v>
      </c>
      <c r="G69" s="144">
        <f>'FG3'!G70</f>
        <v>0</v>
      </c>
      <c r="H69" s="144">
        <f>'FG3'!H70</f>
        <v>0</v>
      </c>
      <c r="I69" s="144">
        <f>'FG3'!I70</f>
        <v>0</v>
      </c>
      <c r="J69" s="144">
        <f>'FG3'!J70</f>
        <v>0</v>
      </c>
      <c r="K69" s="144">
        <f>'FG3'!K70</f>
        <v>0</v>
      </c>
      <c r="L69" s="144">
        <f>'FG3'!L70</f>
        <v>0</v>
      </c>
      <c r="M69" s="144">
        <f>'FG3'!M70</f>
        <v>0</v>
      </c>
      <c r="N69" s="144">
        <f>'FG3'!N70</f>
        <v>0</v>
      </c>
      <c r="O69" s="136">
        <f t="shared" si="9"/>
        <v>0</v>
      </c>
    </row>
    <row r="70" spans="1:16" ht="13.5" customHeight="1" thickBot="1">
      <c r="A70" s="867" t="str">
        <f>'BC1'!A71</f>
        <v>Fais d'hébèrgement de site Web</v>
      </c>
      <c r="B70" s="43"/>
      <c r="C70" s="144">
        <f>'FG3'!C72</f>
        <v>0</v>
      </c>
      <c r="D70" s="144">
        <f>'FG3'!D72</f>
        <v>0</v>
      </c>
      <c r="E70" s="144">
        <f>'FG3'!E72</f>
        <v>0</v>
      </c>
      <c r="F70" s="144">
        <f>'FG3'!F72</f>
        <v>0</v>
      </c>
      <c r="G70" s="144">
        <f>'FG3'!G72</f>
        <v>0</v>
      </c>
      <c r="H70" s="144">
        <f>'FG3'!H72</f>
        <v>0</v>
      </c>
      <c r="I70" s="144">
        <f>'FG3'!I72</f>
        <v>0</v>
      </c>
      <c r="J70" s="144">
        <f>'FG3'!J72</f>
        <v>0</v>
      </c>
      <c r="K70" s="144">
        <f>'FG3'!K72</f>
        <v>0</v>
      </c>
      <c r="L70" s="144">
        <f>'FG3'!L72</f>
        <v>0</v>
      </c>
      <c r="M70" s="144">
        <f>'FG3'!M72</f>
        <v>0</v>
      </c>
      <c r="N70" s="144">
        <f>'FG3'!N72</f>
        <v>0</v>
      </c>
      <c r="O70" s="136">
        <f t="shared" si="9"/>
        <v>0</v>
      </c>
      <c r="P70" s="137"/>
    </row>
    <row r="71" spans="1:16" ht="13.5" customHeight="1" thickBot="1">
      <c r="A71" s="867" t="str">
        <f>'BC1'!A72</f>
        <v>Autres frais d'administration 2</v>
      </c>
      <c r="B71" s="43"/>
      <c r="C71" s="144">
        <f>'FG3'!C74</f>
        <v>0</v>
      </c>
      <c r="D71" s="144">
        <f>'FG3'!D74</f>
        <v>0</v>
      </c>
      <c r="E71" s="144">
        <f>'FG3'!E74</f>
        <v>0</v>
      </c>
      <c r="F71" s="144">
        <f>'FG3'!F74</f>
        <v>0</v>
      </c>
      <c r="G71" s="144">
        <f>'FG3'!G74</f>
        <v>0</v>
      </c>
      <c r="H71" s="144">
        <f>'FG3'!H74</f>
        <v>0</v>
      </c>
      <c r="I71" s="144">
        <f>'FG3'!I74</f>
        <v>0</v>
      </c>
      <c r="J71" s="144">
        <f>'FG3'!J74</f>
        <v>0</v>
      </c>
      <c r="K71" s="144">
        <f>'FG3'!K74</f>
        <v>0</v>
      </c>
      <c r="L71" s="144">
        <f>'FG3'!L74</f>
        <v>0</v>
      </c>
      <c r="M71" s="144">
        <f>'FG3'!M74</f>
        <v>0</v>
      </c>
      <c r="N71" s="144">
        <f>'FG3'!N74</f>
        <v>0</v>
      </c>
      <c r="O71" s="136">
        <f>SUM(C71:N71)</f>
        <v>0</v>
      </c>
      <c r="P71" s="137"/>
    </row>
    <row r="72" spans="1:16" ht="13.5" customHeight="1" thickBot="1">
      <c r="A72" s="867" t="str">
        <f>'BC1'!A73</f>
        <v>Autres frais d'administration 3</v>
      </c>
      <c r="B72" s="43"/>
      <c r="C72" s="144">
        <f>'FG3'!C76</f>
        <v>0</v>
      </c>
      <c r="D72" s="144">
        <f>'FG3'!D76</f>
        <v>0</v>
      </c>
      <c r="E72" s="144">
        <f>'FG3'!E76</f>
        <v>0</v>
      </c>
      <c r="F72" s="144">
        <f>'FG3'!F76</f>
        <v>0</v>
      </c>
      <c r="G72" s="144">
        <f>'FG3'!G76</f>
        <v>0</v>
      </c>
      <c r="H72" s="144">
        <f>'FG3'!H76</f>
        <v>0</v>
      </c>
      <c r="I72" s="144">
        <f>'FG3'!I76</f>
        <v>0</v>
      </c>
      <c r="J72" s="144">
        <f>'FG3'!J76</f>
        <v>0</v>
      </c>
      <c r="K72" s="144">
        <f>'FG3'!K76</f>
        <v>0</v>
      </c>
      <c r="L72" s="144">
        <f>'FG3'!L76</f>
        <v>0</v>
      </c>
      <c r="M72" s="144">
        <f>'FG3'!M76</f>
        <v>0</v>
      </c>
      <c r="N72" s="144">
        <f>'FG3'!N76</f>
        <v>0</v>
      </c>
      <c r="O72" s="136">
        <f>SUM(C72:N72)</f>
        <v>0</v>
      </c>
      <c r="P72" s="137"/>
    </row>
    <row r="73" spans="1:16" ht="13.5" customHeight="1" thickBot="1">
      <c r="A73" s="867" t="str">
        <f>'BC1'!A74</f>
        <v>Autres frais d'administration 4</v>
      </c>
      <c r="B73" s="43"/>
      <c r="C73" s="144">
        <f>'FG3'!C78</f>
        <v>0</v>
      </c>
      <c r="D73" s="144">
        <f>'FG3'!D78</f>
        <v>0</v>
      </c>
      <c r="E73" s="144">
        <f>'FG3'!E78</f>
        <v>0</v>
      </c>
      <c r="F73" s="144">
        <f>'FG3'!F78</f>
        <v>0</v>
      </c>
      <c r="G73" s="144">
        <f>'FG3'!G78</f>
        <v>0</v>
      </c>
      <c r="H73" s="144">
        <f>'FG3'!H78</f>
        <v>0</v>
      </c>
      <c r="I73" s="144">
        <f>'FG3'!I78</f>
        <v>0</v>
      </c>
      <c r="J73" s="144">
        <f>'FG3'!J78</f>
        <v>0</v>
      </c>
      <c r="K73" s="144">
        <f>'FG3'!K78</f>
        <v>0</v>
      </c>
      <c r="L73" s="144">
        <f>'FG3'!L78</f>
        <v>0</v>
      </c>
      <c r="M73" s="144">
        <f>'FG3'!M78</f>
        <v>0</v>
      </c>
      <c r="N73" s="144">
        <f>'FG3'!N78</f>
        <v>0</v>
      </c>
      <c r="O73" s="136">
        <f>SUM(C73:N73)</f>
        <v>0</v>
      </c>
      <c r="P73" s="137"/>
    </row>
    <row r="74" spans="1:16" ht="13.5" customHeight="1" thickBot="1">
      <c r="A74" s="867" t="str">
        <f>'BC1'!A75</f>
        <v>Autres frais d'administration 5</v>
      </c>
      <c r="B74" s="43"/>
      <c r="C74" s="144">
        <f>'FG3'!C80</f>
        <v>0</v>
      </c>
      <c r="D74" s="144">
        <f>'FG3'!D80</f>
        <v>0</v>
      </c>
      <c r="E74" s="144">
        <f>'FG3'!E80</f>
        <v>0</v>
      </c>
      <c r="F74" s="144">
        <f>'FG3'!F80</f>
        <v>0</v>
      </c>
      <c r="G74" s="144">
        <f>'FG3'!G80</f>
        <v>0</v>
      </c>
      <c r="H74" s="144">
        <f>'FG3'!H80</f>
        <v>0</v>
      </c>
      <c r="I74" s="144">
        <f>'FG3'!I80</f>
        <v>0</v>
      </c>
      <c r="J74" s="144">
        <f>'FG3'!J80</f>
        <v>0</v>
      </c>
      <c r="K74" s="144">
        <f>'FG3'!K80</f>
        <v>0</v>
      </c>
      <c r="L74" s="144">
        <f>'FG3'!L80</f>
        <v>0</v>
      </c>
      <c r="M74" s="144">
        <f>'FG3'!M80</f>
        <v>0</v>
      </c>
      <c r="N74" s="144">
        <f>'FG3'!N80</f>
        <v>0</v>
      </c>
      <c r="O74" s="136">
        <f>SUM(C74:N74)</f>
        <v>0</v>
      </c>
      <c r="P74" s="137"/>
    </row>
    <row r="75" spans="1:16" ht="13.5" customHeight="1" thickBot="1">
      <c r="A75" s="867" t="str">
        <f>'BC1'!A76</f>
        <v>Autres frais d'administration 6</v>
      </c>
      <c r="B75" s="43"/>
      <c r="C75" s="144">
        <f>'FG3'!C82</f>
        <v>0</v>
      </c>
      <c r="D75" s="144">
        <f>'FG3'!D82</f>
        <v>0</v>
      </c>
      <c r="E75" s="144">
        <f>'FG3'!E82</f>
        <v>0</v>
      </c>
      <c r="F75" s="144">
        <f>'FG3'!F82</f>
        <v>0</v>
      </c>
      <c r="G75" s="144">
        <f>'FG3'!G82</f>
        <v>0</v>
      </c>
      <c r="H75" s="144">
        <f>'FG3'!H82</f>
        <v>0</v>
      </c>
      <c r="I75" s="144">
        <f>'FG3'!I82</f>
        <v>0</v>
      </c>
      <c r="J75" s="144">
        <f>'FG3'!J82</f>
        <v>0</v>
      </c>
      <c r="K75" s="144">
        <f>'FG3'!K82</f>
        <v>0</v>
      </c>
      <c r="L75" s="144">
        <f>'FG3'!L82</f>
        <v>0</v>
      </c>
      <c r="M75" s="144">
        <f>'FG3'!M82</f>
        <v>0</v>
      </c>
      <c r="N75" s="144">
        <f>'FG3'!N82</f>
        <v>0</v>
      </c>
      <c r="O75" s="136">
        <f>SUM(C75:N75)</f>
        <v>0</v>
      </c>
      <c r="P75" s="137"/>
    </row>
    <row r="76" spans="1:16" ht="13.5" customHeight="1" thickBot="1">
      <c r="A76" s="868" t="str">
        <f>'BC1'!A77</f>
        <v>FRAIS FINANCIERS</v>
      </c>
      <c r="B76" s="43"/>
      <c r="C76" s="214"/>
      <c r="D76" s="214"/>
      <c r="E76" s="214"/>
      <c r="F76" s="214"/>
      <c r="G76" s="214"/>
      <c r="H76" s="214"/>
      <c r="I76" s="214"/>
      <c r="J76" s="214"/>
      <c r="K76" s="214"/>
      <c r="L76" s="214"/>
      <c r="M76" s="214"/>
      <c r="N76" s="214"/>
      <c r="O76" s="158">
        <v>1E-3</v>
      </c>
      <c r="P76" s="137"/>
    </row>
    <row r="77" spans="1:16" ht="13.5" customHeight="1" thickBot="1">
      <c r="A77" s="867" t="str">
        <f>'BC1'!A78</f>
        <v>Frais bancaires</v>
      </c>
      <c r="B77" s="43"/>
      <c r="C77" s="144">
        <f>'FG3'!C85</f>
        <v>0</v>
      </c>
      <c r="D77" s="144">
        <f>'FG3'!D85</f>
        <v>0</v>
      </c>
      <c r="E77" s="144">
        <f>'FG3'!E85</f>
        <v>0</v>
      </c>
      <c r="F77" s="144">
        <f>'FG3'!F85</f>
        <v>0</v>
      </c>
      <c r="G77" s="144">
        <f>'FG3'!G85</f>
        <v>0</v>
      </c>
      <c r="H77" s="144">
        <f>'FG3'!H85</f>
        <v>0</v>
      </c>
      <c r="I77" s="144">
        <f>'FG3'!I85</f>
        <v>0</v>
      </c>
      <c r="J77" s="144">
        <f>'FG3'!J85</f>
        <v>0</v>
      </c>
      <c r="K77" s="144">
        <f>'FG3'!K85</f>
        <v>0</v>
      </c>
      <c r="L77" s="144">
        <f>'FG3'!L85</f>
        <v>0</v>
      </c>
      <c r="M77" s="144">
        <f>'FG3'!M85</f>
        <v>0</v>
      </c>
      <c r="N77" s="144">
        <f>'FG3'!N85</f>
        <v>0</v>
      </c>
      <c r="O77" s="136">
        <f t="shared" ref="O77:O82" si="10">SUM(C77:N77)</f>
        <v>0</v>
      </c>
      <c r="P77" s="137"/>
    </row>
    <row r="78" spans="1:16" ht="13.5" customHeight="1" thickBot="1">
      <c r="A78" s="867" t="str">
        <f>'BC1'!A79</f>
        <v>Frais de carte de crédit</v>
      </c>
      <c r="B78" s="43"/>
      <c r="C78" s="144">
        <f>'FG3'!C87</f>
        <v>0</v>
      </c>
      <c r="D78" s="144">
        <f>'FG3'!D87</f>
        <v>0</v>
      </c>
      <c r="E78" s="144">
        <f>'FG3'!E87</f>
        <v>0</v>
      </c>
      <c r="F78" s="144">
        <f>'FG3'!F87</f>
        <v>0</v>
      </c>
      <c r="G78" s="144">
        <f>'FG3'!G87</f>
        <v>0</v>
      </c>
      <c r="H78" s="144">
        <f>'FG3'!H87</f>
        <v>0</v>
      </c>
      <c r="I78" s="144">
        <f>'FG3'!I87</f>
        <v>0</v>
      </c>
      <c r="J78" s="144">
        <f>'FG3'!J87</f>
        <v>0</v>
      </c>
      <c r="K78" s="144">
        <f>'FG3'!K87</f>
        <v>0</v>
      </c>
      <c r="L78" s="144">
        <f>'FG3'!L87</f>
        <v>0</v>
      </c>
      <c r="M78" s="144">
        <f>'FG3'!M87</f>
        <v>0</v>
      </c>
      <c r="N78" s="144">
        <f>'FG3'!N87</f>
        <v>0</v>
      </c>
      <c r="O78" s="136">
        <f t="shared" si="10"/>
        <v>0</v>
      </c>
      <c r="P78" s="137"/>
    </row>
    <row r="79" spans="1:16" ht="13.5" customHeight="1" thickBot="1">
      <c r="A79" s="867" t="str">
        <f>'BC1'!A80</f>
        <v>Autres frais financiers 1</v>
      </c>
      <c r="B79" s="43"/>
      <c r="C79" s="144">
        <f>'FG3'!C89</f>
        <v>0</v>
      </c>
      <c r="D79" s="144">
        <f>'FG3'!D89</f>
        <v>0</v>
      </c>
      <c r="E79" s="144">
        <f>'FG3'!E89</f>
        <v>0</v>
      </c>
      <c r="F79" s="144">
        <f>'FG3'!F89</f>
        <v>0</v>
      </c>
      <c r="G79" s="144">
        <f>'FG3'!G89</f>
        <v>0</v>
      </c>
      <c r="H79" s="144">
        <f>'FG3'!H89</f>
        <v>0</v>
      </c>
      <c r="I79" s="144">
        <f>'FG3'!I89</f>
        <v>0</v>
      </c>
      <c r="J79" s="144">
        <f>'FG3'!J89</f>
        <v>0</v>
      </c>
      <c r="K79" s="144">
        <f>'FG3'!K89</f>
        <v>0</v>
      </c>
      <c r="L79" s="144">
        <f>'FG3'!L89</f>
        <v>0</v>
      </c>
      <c r="M79" s="144">
        <f>'FG3'!M89</f>
        <v>0</v>
      </c>
      <c r="N79" s="144">
        <f>'FG3'!N89</f>
        <v>0</v>
      </c>
      <c r="O79" s="136">
        <f t="shared" si="10"/>
        <v>0</v>
      </c>
      <c r="P79" s="137"/>
    </row>
    <row r="80" spans="1:16" ht="13.5" customHeight="1" thickBot="1">
      <c r="A80" s="867" t="str">
        <f>'BC1'!A81</f>
        <v>Autres frais financiers 2</v>
      </c>
      <c r="B80" s="43"/>
      <c r="C80" s="144">
        <f>'FG3'!C91</f>
        <v>0</v>
      </c>
      <c r="D80" s="144">
        <f>'FG3'!D91</f>
        <v>0</v>
      </c>
      <c r="E80" s="144">
        <f>'FG3'!E91</f>
        <v>0</v>
      </c>
      <c r="F80" s="144">
        <f>'FG3'!F91</f>
        <v>0</v>
      </c>
      <c r="G80" s="144">
        <f>'FG3'!G91</f>
        <v>0</v>
      </c>
      <c r="H80" s="144">
        <f>'FG3'!H91</f>
        <v>0</v>
      </c>
      <c r="I80" s="144">
        <f>'FG3'!I91</f>
        <v>0</v>
      </c>
      <c r="J80" s="144">
        <f>'FG3'!J91</f>
        <v>0</v>
      </c>
      <c r="K80" s="144">
        <f>'FG3'!K91</f>
        <v>0</v>
      </c>
      <c r="L80" s="144">
        <f>'FG3'!L91</f>
        <v>0</v>
      </c>
      <c r="M80" s="144">
        <f>'FG3'!M91</f>
        <v>0</v>
      </c>
      <c r="N80" s="144">
        <f>'FG3'!N91</f>
        <v>0</v>
      </c>
      <c r="O80" s="136">
        <f t="shared" si="10"/>
        <v>0</v>
      </c>
      <c r="P80" s="137"/>
    </row>
    <row r="81" spans="1:16" ht="13.5" customHeight="1" thickBot="1">
      <c r="A81" s="867" t="str">
        <f>'BC1'!A82</f>
        <v>Autres frais financiers 3</v>
      </c>
      <c r="B81" s="43"/>
      <c r="C81" s="144">
        <f>'FG3'!C93</f>
        <v>0</v>
      </c>
      <c r="D81" s="144">
        <f>'FG3'!D93</f>
        <v>0</v>
      </c>
      <c r="E81" s="144">
        <f>'FG3'!E93</f>
        <v>0</v>
      </c>
      <c r="F81" s="144">
        <f>'FG3'!F93</f>
        <v>0</v>
      </c>
      <c r="G81" s="144">
        <f>'FG3'!G93</f>
        <v>0</v>
      </c>
      <c r="H81" s="144">
        <f>'FG3'!H93</f>
        <v>0</v>
      </c>
      <c r="I81" s="144">
        <f>'FG3'!I93</f>
        <v>0</v>
      </c>
      <c r="J81" s="144">
        <f>'FG3'!J93</f>
        <v>0</v>
      </c>
      <c r="K81" s="144">
        <f>'FG3'!K93</f>
        <v>0</v>
      </c>
      <c r="L81" s="144">
        <f>'FG3'!L93</f>
        <v>0</v>
      </c>
      <c r="M81" s="144">
        <f>'FG3'!M93</f>
        <v>0</v>
      </c>
      <c r="N81" s="144">
        <f>'FG3'!N93</f>
        <v>0</v>
      </c>
      <c r="O81" s="136">
        <f t="shared" si="10"/>
        <v>0</v>
      </c>
      <c r="P81" s="137"/>
    </row>
    <row r="82" spans="1:16" ht="13.5" customHeight="1" thickBot="1">
      <c r="A82" s="867" t="str">
        <f>'BC1'!A83</f>
        <v>Autres frais financiers 4</v>
      </c>
      <c r="B82" s="43"/>
      <c r="C82" s="144">
        <f>'FG3'!C95</f>
        <v>0</v>
      </c>
      <c r="D82" s="144">
        <f>'FG3'!D95</f>
        <v>0</v>
      </c>
      <c r="E82" s="144">
        <f>'FG3'!E95</f>
        <v>0</v>
      </c>
      <c r="F82" s="144">
        <f>'FG3'!F95</f>
        <v>0</v>
      </c>
      <c r="G82" s="144">
        <f>'FG3'!G95</f>
        <v>0</v>
      </c>
      <c r="H82" s="144">
        <f>'FG3'!H95</f>
        <v>0</v>
      </c>
      <c r="I82" s="144">
        <f>'FG3'!I95</f>
        <v>0</v>
      </c>
      <c r="J82" s="144">
        <f>'FG3'!J95</f>
        <v>0</v>
      </c>
      <c r="K82" s="144">
        <f>'FG3'!K95</f>
        <v>0</v>
      </c>
      <c r="L82" s="144">
        <f>'FG3'!L95</f>
        <v>0</v>
      </c>
      <c r="M82" s="144">
        <f>'FG3'!M95</f>
        <v>0</v>
      </c>
      <c r="N82" s="144">
        <f>'FG3'!N95</f>
        <v>0</v>
      </c>
      <c r="O82" s="136">
        <f t="shared" si="10"/>
        <v>0</v>
      </c>
      <c r="P82" s="137"/>
    </row>
    <row r="83" spans="1:16" ht="13.5" customHeight="1">
      <c r="A83" s="867"/>
      <c r="B83" s="43"/>
      <c r="C83" s="214"/>
      <c r="D83" s="214"/>
      <c r="E83" s="214"/>
      <c r="F83" s="214"/>
      <c r="G83" s="214"/>
      <c r="H83" s="214"/>
      <c r="I83" s="214"/>
      <c r="J83" s="214"/>
      <c r="K83" s="214"/>
      <c r="L83" s="214"/>
      <c r="M83" s="214"/>
      <c r="N83" s="214"/>
      <c r="O83" s="158">
        <v>1E-3</v>
      </c>
      <c r="P83" s="137"/>
    </row>
    <row r="84" spans="1:16" ht="13.5" customHeight="1" thickBot="1">
      <c r="A84" s="43"/>
      <c r="B84" s="43"/>
      <c r="C84" s="214"/>
      <c r="D84" s="214"/>
      <c r="E84" s="214"/>
      <c r="F84" s="214"/>
      <c r="G84" s="214"/>
      <c r="H84" s="214"/>
      <c r="I84" s="214"/>
      <c r="J84" s="214"/>
      <c r="K84" s="214"/>
      <c r="L84" s="214"/>
      <c r="M84" s="214"/>
      <c r="N84" s="214"/>
      <c r="O84" s="158">
        <v>1E-3</v>
      </c>
    </row>
    <row r="85" spans="1:16" ht="13.5" customHeight="1" thickBot="1">
      <c r="A85" s="48" t="s">
        <v>722</v>
      </c>
      <c r="B85" s="48"/>
      <c r="C85" s="140">
        <f>SUM(C86:C119)</f>
        <v>377</v>
      </c>
      <c r="D85" s="140">
        <f t="shared" ref="D85:N85" si="11">SUM(D86:D119)</f>
        <v>377</v>
      </c>
      <c r="E85" s="140">
        <f t="shared" si="11"/>
        <v>378</v>
      </c>
      <c r="F85" s="140">
        <f t="shared" si="11"/>
        <v>377</v>
      </c>
      <c r="G85" s="140">
        <f t="shared" si="11"/>
        <v>377</v>
      </c>
      <c r="H85" s="140">
        <f t="shared" si="11"/>
        <v>378</v>
      </c>
      <c r="I85" s="140">
        <f t="shared" si="11"/>
        <v>377</v>
      </c>
      <c r="J85" s="140">
        <f t="shared" si="11"/>
        <v>378</v>
      </c>
      <c r="K85" s="140">
        <f t="shared" si="11"/>
        <v>377</v>
      </c>
      <c r="L85" s="140">
        <f t="shared" si="11"/>
        <v>377</v>
      </c>
      <c r="M85" s="140">
        <f t="shared" si="11"/>
        <v>378</v>
      </c>
      <c r="N85" s="140">
        <f t="shared" si="11"/>
        <v>377</v>
      </c>
      <c r="O85" s="217">
        <f>SUM(C85:N85)+0.01</f>
        <v>4528.01</v>
      </c>
      <c r="P85" s="117">
        <f>O87+O90+O93+O96+O99+O102+O105+O108+O111+O114+O117+O119</f>
        <v>538.00009999999997</v>
      </c>
    </row>
    <row r="86" spans="1:16" s="143" customFormat="1" ht="13.5" customHeight="1" thickBot="1">
      <c r="A86" s="43" t="str">
        <f>CF!F35</f>
        <v>Billet à payer</v>
      </c>
      <c r="B86" s="65" t="s">
        <v>505</v>
      </c>
      <c r="C86" s="140">
        <f>VLOOKUP(C$13,BP!$A$25:$K$265,9)</f>
        <v>0</v>
      </c>
      <c r="D86" s="140">
        <f>VLOOKUP(D$13,BP!$A$25:$K$265,9)</f>
        <v>0</v>
      </c>
      <c r="E86" s="140">
        <f>VLOOKUP(E$13,BP!$A$25:$K$265,9)</f>
        <v>0</v>
      </c>
      <c r="F86" s="140">
        <f>VLOOKUP(F$13,BP!$A$25:$K$265,9)</f>
        <v>0</v>
      </c>
      <c r="G86" s="140">
        <f>VLOOKUP(G$13,BP!$A$25:$K$265,9)</f>
        <v>0</v>
      </c>
      <c r="H86" s="140">
        <f>VLOOKUP(H$13,BP!$A$25:$K$265,9)</f>
        <v>0</v>
      </c>
      <c r="I86" s="140">
        <f>VLOOKUP(I$13,BP!$A$25:$K$265,9)</f>
        <v>0</v>
      </c>
      <c r="J86" s="140">
        <f>VLOOKUP(J$13,BP!$A$25:$K$265,9)</f>
        <v>0</v>
      </c>
      <c r="K86" s="140">
        <f>VLOOKUP(K$13,BP!$A$25:$K$265,9)</f>
        <v>0</v>
      </c>
      <c r="L86" s="140">
        <f>VLOOKUP(L$13,BP!$A$25:$K$265,9)</f>
        <v>0</v>
      </c>
      <c r="M86" s="140">
        <f>VLOOKUP(M$13,BP!$A$25:$K$265,9)</f>
        <v>0</v>
      </c>
      <c r="N86" s="140">
        <f>VLOOKUP(N$13,BP!$A$25:$K$265,9)</f>
        <v>0</v>
      </c>
      <c r="O86" s="136">
        <f>SUM(C86:N86)</f>
        <v>0</v>
      </c>
    </row>
    <row r="87" spans="1:16" ht="13.5" customHeight="1" thickBot="1">
      <c r="A87" s="65"/>
      <c r="B87" s="65" t="s">
        <v>506</v>
      </c>
      <c r="C87" s="140">
        <f>VLOOKUP(C$13,BP!$A$25:$K$265,10)</f>
        <v>0</v>
      </c>
      <c r="D87" s="140">
        <f>VLOOKUP(D$13,BP!$A$25:$K$265,10)</f>
        <v>0</v>
      </c>
      <c r="E87" s="140">
        <f>VLOOKUP(E$13,BP!$A$25:$K$265,10)</f>
        <v>0</v>
      </c>
      <c r="F87" s="140">
        <f>VLOOKUP(F$13,BP!$A$25:$K$265,10)</f>
        <v>0</v>
      </c>
      <c r="G87" s="140">
        <f>VLOOKUP(G$13,BP!$A$25:$K$265,10)</f>
        <v>0</v>
      </c>
      <c r="H87" s="140">
        <f>VLOOKUP(H$13,BP!$A$25:$K$265,10)</f>
        <v>0</v>
      </c>
      <c r="I87" s="140">
        <f>VLOOKUP(I$13,BP!$A$25:$K$265,10)</f>
        <v>0</v>
      </c>
      <c r="J87" s="140">
        <f>VLOOKUP(J$13,BP!$A$25:$K$265,10)</f>
        <v>0</v>
      </c>
      <c r="K87" s="140">
        <f>VLOOKUP(K$13,BP!$A$25:$K$265,10)</f>
        <v>0</v>
      </c>
      <c r="L87" s="140">
        <f>VLOOKUP(L$13,BP!$A$25:$K$265,10)</f>
        <v>0</v>
      </c>
      <c r="M87" s="140">
        <f>VLOOKUP(M$13,BP!$A$25:$K$265,10)</f>
        <v>0</v>
      </c>
      <c r="N87" s="140">
        <f>VLOOKUP(N$13,BP!$A$25:$K$265,10)</f>
        <v>0</v>
      </c>
      <c r="O87" s="136">
        <f>SUM(C87:N87)</f>
        <v>0</v>
      </c>
    </row>
    <row r="88" spans="1:16" ht="13.5" customHeight="1" thickBot="1">
      <c r="A88" s="43"/>
      <c r="B88" s="149"/>
      <c r="C88" s="211"/>
      <c r="D88" s="211"/>
      <c r="E88" s="211"/>
      <c r="F88" s="211"/>
      <c r="G88" s="211"/>
      <c r="H88" s="211"/>
      <c r="I88" s="211"/>
      <c r="J88" s="211"/>
      <c r="K88" s="211"/>
      <c r="L88" s="211"/>
      <c r="M88" s="211"/>
      <c r="N88" s="211"/>
      <c r="O88" s="159">
        <f>IF(O86+O87=0,0,0.001)</f>
        <v>0</v>
      </c>
    </row>
    <row r="89" spans="1:16" ht="13.5" customHeight="1" thickBot="1">
      <c r="A89" s="43" t="str">
        <f>CF!F36</f>
        <v>Emprunt à court terme 1</v>
      </c>
      <c r="B89" s="65" t="s">
        <v>505</v>
      </c>
      <c r="C89" s="140">
        <f>VLOOKUP(C$13,'ECT1'!$A$26:$O$265,14)</f>
        <v>0</v>
      </c>
      <c r="D89" s="140">
        <f>VLOOKUP(D$13,'ECT1'!$A$26:$O$265,14)</f>
        <v>0</v>
      </c>
      <c r="E89" s="140">
        <f>VLOOKUP(E$13,'ECT1'!$A$26:$O$265,14)</f>
        <v>0</v>
      </c>
      <c r="F89" s="140">
        <f>VLOOKUP(F$13,'ECT1'!$A$26:$O$265,14)</f>
        <v>0</v>
      </c>
      <c r="G89" s="140">
        <f>VLOOKUP(G$13,'ECT1'!$A$26:$O$265,14)</f>
        <v>0</v>
      </c>
      <c r="H89" s="140">
        <f>VLOOKUP(H$13,'ECT1'!$A$26:$O$265,14)</f>
        <v>0</v>
      </c>
      <c r="I89" s="140">
        <f>VLOOKUP(I$13,'ECT1'!$A$26:$O$265,14)</f>
        <v>0</v>
      </c>
      <c r="J89" s="140">
        <f>VLOOKUP(J$13,'ECT1'!$A$26:$O$265,14)</f>
        <v>0</v>
      </c>
      <c r="K89" s="140">
        <f>VLOOKUP(K$13,'ECT1'!$A$26:$O$265,14)</f>
        <v>0</v>
      </c>
      <c r="L89" s="140">
        <f>VLOOKUP(L$13,'ECT1'!$A$26:$O$265,14)</f>
        <v>0</v>
      </c>
      <c r="M89" s="140">
        <f>VLOOKUP(M$13,'ECT1'!$A$26:$O$265,14)</f>
        <v>0</v>
      </c>
      <c r="N89" s="140">
        <f>VLOOKUP(N$13,'ECT1'!$A$26:$O$265,14)</f>
        <v>0</v>
      </c>
      <c r="O89" s="136">
        <f>SUM(C89:N89)</f>
        <v>0</v>
      </c>
    </row>
    <row r="90" spans="1:16" ht="13.5" customHeight="1" thickBot="1">
      <c r="A90" s="65"/>
      <c r="B90" s="65" t="s">
        <v>506</v>
      </c>
      <c r="C90" s="140">
        <f>VLOOKUP(C$13,'ECT1'!$A$26:$O$265,15)</f>
        <v>0</v>
      </c>
      <c r="D90" s="140">
        <f>VLOOKUP(D$13,'ECT1'!$A$26:$O$265,15)</f>
        <v>0</v>
      </c>
      <c r="E90" s="140">
        <f>VLOOKUP(E$13,'ECT1'!$A$26:$O$265,15)</f>
        <v>0</v>
      </c>
      <c r="F90" s="140">
        <f>VLOOKUP(F$13,'ECT1'!$A$26:$O$265,15)</f>
        <v>0</v>
      </c>
      <c r="G90" s="140">
        <f>VLOOKUP(G$13,'ECT1'!$A$26:$O$265,15)</f>
        <v>0</v>
      </c>
      <c r="H90" s="140">
        <f>VLOOKUP(H$13,'ECT1'!$A$26:$O$265,15)</f>
        <v>0</v>
      </c>
      <c r="I90" s="140">
        <f>VLOOKUP(I$13,'ECT1'!$A$26:$O$265,15)</f>
        <v>0</v>
      </c>
      <c r="J90" s="140">
        <f>VLOOKUP(J$13,'ECT1'!$A$26:$O$265,15)</f>
        <v>0</v>
      </c>
      <c r="K90" s="140">
        <f>VLOOKUP(K$13,'ECT1'!$A$26:$O$265,15)</f>
        <v>0</v>
      </c>
      <c r="L90" s="140">
        <f>VLOOKUP(L$13,'ECT1'!$A$26:$O$265,15)</f>
        <v>0</v>
      </c>
      <c r="M90" s="140">
        <f>VLOOKUP(M$13,'ECT1'!$A$26:$O$265,15)</f>
        <v>0</v>
      </c>
      <c r="N90" s="140">
        <f>VLOOKUP(N$13,'ECT1'!$A$26:$O$265,15)</f>
        <v>0</v>
      </c>
      <c r="O90" s="136">
        <f>SUM(C90:N90)</f>
        <v>0</v>
      </c>
    </row>
    <row r="91" spans="1:16" ht="13.5" customHeight="1" thickBot="1">
      <c r="A91" s="43"/>
      <c r="B91" s="149"/>
      <c r="C91" s="211"/>
      <c r="D91" s="211"/>
      <c r="E91" s="211"/>
      <c r="F91" s="211"/>
      <c r="G91" s="211"/>
      <c r="H91" s="211"/>
      <c r="I91" s="211"/>
      <c r="J91" s="211"/>
      <c r="K91" s="211"/>
      <c r="L91" s="211"/>
      <c r="M91" s="211"/>
      <c r="N91" s="211"/>
      <c r="O91" s="159">
        <f>IF(O89+O90=0,0,0.001)</f>
        <v>0</v>
      </c>
    </row>
    <row r="92" spans="1:16" ht="13.5" customHeight="1" thickBot="1">
      <c r="A92" s="43" t="str">
        <f>CF!F37</f>
        <v>Emprunt à court terme 2</v>
      </c>
      <c r="B92" s="65" t="s">
        <v>505</v>
      </c>
      <c r="C92" s="140">
        <f>VLOOKUP(C$13,'ECT2'!$A$26:$O$265,14)</f>
        <v>0</v>
      </c>
      <c r="D92" s="140">
        <f>VLOOKUP(D$13,'ECT2'!$A$26:$O$265,14)</f>
        <v>0</v>
      </c>
      <c r="E92" s="140">
        <f>VLOOKUP(E$13,'ECT2'!$A$26:$O$265,14)</f>
        <v>0</v>
      </c>
      <c r="F92" s="140">
        <f>VLOOKUP(F$13,'ECT2'!$A$26:$O$265,14)</f>
        <v>0</v>
      </c>
      <c r="G92" s="140">
        <f>VLOOKUP(G$13,'ECT2'!$A$26:$O$265,14)</f>
        <v>0</v>
      </c>
      <c r="H92" s="140">
        <f>VLOOKUP(H$13,'ECT2'!$A$26:$O$265,14)</f>
        <v>0</v>
      </c>
      <c r="I92" s="140">
        <f>VLOOKUP(I$13,'ECT2'!$A$26:$O$265,14)</f>
        <v>0</v>
      </c>
      <c r="J92" s="140">
        <f>VLOOKUP(J$13,'ECT2'!$A$26:$O$265,14)</f>
        <v>0</v>
      </c>
      <c r="K92" s="140">
        <f>VLOOKUP(K$13,'ECT2'!$A$26:$O$265,14)</f>
        <v>0</v>
      </c>
      <c r="L92" s="140">
        <f>VLOOKUP(L$13,'ECT2'!$A$26:$O$265,14)</f>
        <v>0</v>
      </c>
      <c r="M92" s="140">
        <f>VLOOKUP(M$13,'ECT2'!$A$26:$O$265,14)</f>
        <v>0</v>
      </c>
      <c r="N92" s="140">
        <f>VLOOKUP(N$13,'ECT2'!$A$26:$O$265,14)</f>
        <v>0</v>
      </c>
      <c r="O92" s="136">
        <f>SUM(C92:N92)</f>
        <v>0</v>
      </c>
    </row>
    <row r="93" spans="1:16" ht="13.5" customHeight="1" thickBot="1">
      <c r="A93" s="65"/>
      <c r="B93" s="65" t="s">
        <v>506</v>
      </c>
      <c r="C93" s="140">
        <f>VLOOKUP(C$13,'ECT2'!$A$26:$O$265,15)</f>
        <v>0</v>
      </c>
      <c r="D93" s="140">
        <f>VLOOKUP(D$13,'ECT2'!$A$26:$O$265,15)</f>
        <v>0</v>
      </c>
      <c r="E93" s="140">
        <f>VLOOKUP(E$13,'ECT2'!$A$26:$O$265,15)</f>
        <v>0</v>
      </c>
      <c r="F93" s="140">
        <f>VLOOKUP(F$13,'ECT2'!$A$26:$O$265,15)</f>
        <v>0</v>
      </c>
      <c r="G93" s="140">
        <f>VLOOKUP(G$13,'ECT2'!$A$26:$O$265,15)</f>
        <v>0</v>
      </c>
      <c r="H93" s="140">
        <f>VLOOKUP(H$13,'ECT2'!$A$26:$O$265,15)</f>
        <v>0</v>
      </c>
      <c r="I93" s="140">
        <f>VLOOKUP(I$13,'ECT2'!$A$26:$O$265,15)</f>
        <v>0</v>
      </c>
      <c r="J93" s="140">
        <f>VLOOKUP(J$13,'ECT2'!$A$26:$O$265,15)</f>
        <v>0</v>
      </c>
      <c r="K93" s="140">
        <f>VLOOKUP(K$13,'ECT2'!$A$26:$O$265,15)</f>
        <v>0</v>
      </c>
      <c r="L93" s="140">
        <f>VLOOKUP(L$13,'ECT2'!$A$26:$O$265,15)</f>
        <v>0</v>
      </c>
      <c r="M93" s="140">
        <f>VLOOKUP(M$13,'ECT2'!$A$26:$O$265,15)</f>
        <v>0</v>
      </c>
      <c r="N93" s="140">
        <f>VLOOKUP(N$13,'ECT2'!$A$26:$O$265,15)</f>
        <v>0</v>
      </c>
      <c r="O93" s="136">
        <f>SUM(C93:N93)</f>
        <v>0</v>
      </c>
    </row>
    <row r="94" spans="1:16" ht="13.5" customHeight="1" thickBot="1">
      <c r="A94" s="43"/>
      <c r="B94" s="149"/>
      <c r="C94" s="211"/>
      <c r="D94" s="211"/>
      <c r="E94" s="211"/>
      <c r="F94" s="211"/>
      <c r="G94" s="211"/>
      <c r="H94" s="211"/>
      <c r="I94" s="211"/>
      <c r="J94" s="211"/>
      <c r="K94" s="211"/>
      <c r="L94" s="211"/>
      <c r="M94" s="211"/>
      <c r="N94" s="211"/>
      <c r="O94" s="159">
        <f>IF(O92+O93=0,0,0.001)</f>
        <v>0</v>
      </c>
    </row>
    <row r="95" spans="1:16" ht="13.5" customHeight="1" thickBot="1">
      <c r="A95" s="43" t="str">
        <f>CF!F40</f>
        <v>Emprunt hypothécaire</v>
      </c>
      <c r="B95" s="65" t="s">
        <v>505</v>
      </c>
      <c r="C95" s="140">
        <f>VLOOKUP(C$13,EH!$A$26:$O$265,14)</f>
        <v>0</v>
      </c>
      <c r="D95" s="140">
        <f>VLOOKUP(D$13,EH!$A$26:$O$265,14)</f>
        <v>0</v>
      </c>
      <c r="E95" s="140">
        <f>VLOOKUP(E$13,EH!$A$26:$O$265,14)</f>
        <v>0</v>
      </c>
      <c r="F95" s="140">
        <f>VLOOKUP(F$13,EH!$A$26:$O$265,14)</f>
        <v>0</v>
      </c>
      <c r="G95" s="140">
        <f>VLOOKUP(G$13,EH!$A$26:$O$265,14)</f>
        <v>0</v>
      </c>
      <c r="H95" s="140">
        <f>VLOOKUP(H$13,EH!$A$26:$O$265,14)</f>
        <v>0</v>
      </c>
      <c r="I95" s="140">
        <f>VLOOKUP(I$13,EH!$A$26:$O$265,14)</f>
        <v>0</v>
      </c>
      <c r="J95" s="140">
        <f>VLOOKUP(J$13,EH!$A$26:$O$265,14)</f>
        <v>0</v>
      </c>
      <c r="K95" s="140">
        <f>VLOOKUP(K$13,EH!$A$26:$O$265,14)</f>
        <v>0</v>
      </c>
      <c r="L95" s="140">
        <f>VLOOKUP(L$13,EH!$A$26:$O$265,14)</f>
        <v>0</v>
      </c>
      <c r="M95" s="140">
        <f>VLOOKUP(M$13,EH!$A$26:$O$265,14)</f>
        <v>0</v>
      </c>
      <c r="N95" s="140">
        <f>VLOOKUP(N$13,EH!$A$26:$O$265,14)</f>
        <v>0</v>
      </c>
      <c r="O95" s="136">
        <f>SUM(C95:N95)</f>
        <v>0</v>
      </c>
    </row>
    <row r="96" spans="1:16" ht="13.5" customHeight="1" thickBot="1">
      <c r="A96" s="65"/>
      <c r="B96" s="65" t="s">
        <v>506</v>
      </c>
      <c r="C96" s="140">
        <f>VLOOKUP(C$13,EH!$A$26:$O$265,15)</f>
        <v>0</v>
      </c>
      <c r="D96" s="140">
        <f>VLOOKUP(D$13,EH!$A$26:$O$265,15)</f>
        <v>0</v>
      </c>
      <c r="E96" s="140">
        <f>VLOOKUP(E$13,EH!$A$26:$O$265,15)</f>
        <v>0</v>
      </c>
      <c r="F96" s="140">
        <f>VLOOKUP(F$13,EH!$A$26:$O$265,15)</f>
        <v>0</v>
      </c>
      <c r="G96" s="140">
        <f>VLOOKUP(G$13,EH!$A$26:$O$265,15)</f>
        <v>0</v>
      </c>
      <c r="H96" s="140">
        <f>VLOOKUP(H$13,EH!$A$26:$O$265,15)</f>
        <v>0</v>
      </c>
      <c r="I96" s="140">
        <f>VLOOKUP(I$13,EH!$A$26:$O$265,15)</f>
        <v>0</v>
      </c>
      <c r="J96" s="140">
        <f>VLOOKUP(J$13,EH!$A$26:$O$265,15)</f>
        <v>0</v>
      </c>
      <c r="K96" s="140">
        <f>VLOOKUP(K$13,EH!$A$26:$O$265,15)</f>
        <v>0</v>
      </c>
      <c r="L96" s="140">
        <f>VLOOKUP(L$13,EH!$A$26:$O$265,15)</f>
        <v>0</v>
      </c>
      <c r="M96" s="140">
        <f>VLOOKUP(M$13,EH!$A$26:$O$265,15)</f>
        <v>0</v>
      </c>
      <c r="N96" s="140">
        <f>VLOOKUP(N$13,EH!$A$26:$O$265,15)</f>
        <v>0</v>
      </c>
      <c r="O96" s="136">
        <f>SUM(C96:N96)</f>
        <v>0</v>
      </c>
    </row>
    <row r="97" spans="1:15" ht="13.5" customHeight="1" thickBot="1">
      <c r="A97" s="43"/>
      <c r="B97" s="149"/>
      <c r="C97" s="211"/>
      <c r="D97" s="211"/>
      <c r="E97" s="211"/>
      <c r="F97" s="211"/>
      <c r="G97" s="211"/>
      <c r="H97" s="211"/>
      <c r="I97" s="211"/>
      <c r="J97" s="211"/>
      <c r="K97" s="211"/>
      <c r="L97" s="211"/>
      <c r="M97" s="211"/>
      <c r="N97" s="211"/>
      <c r="O97" s="159">
        <f>IF(O95+O96=0,0,0.001)</f>
        <v>0</v>
      </c>
    </row>
    <row r="98" spans="1:15" ht="13.5" customHeight="1" thickBot="1">
      <c r="A98" s="43" t="str">
        <f>CF!F41</f>
        <v>Emprunt bancaire - Logiciel &amp; Site Web</v>
      </c>
      <c r="B98" s="65" t="s">
        <v>505</v>
      </c>
      <c r="C98" s="140">
        <f>VLOOKUP(C$13,'ELT1'!$A$26:$O$265,14)</f>
        <v>325</v>
      </c>
      <c r="D98" s="140">
        <f>VLOOKUP(D$13,'ELT1'!$A$26:$O$265,14)</f>
        <v>326</v>
      </c>
      <c r="E98" s="140">
        <f>VLOOKUP(E$13,'ELT1'!$A$26:$O$265,14)</f>
        <v>328</v>
      </c>
      <c r="F98" s="140">
        <f>VLOOKUP(F$13,'ELT1'!$A$26:$O$265,14)</f>
        <v>329</v>
      </c>
      <c r="G98" s="140">
        <f>VLOOKUP(G$13,'ELT1'!$A$26:$O$265,14)</f>
        <v>330</v>
      </c>
      <c r="H98" s="140">
        <f>VLOOKUP(H$13,'ELT1'!$A$26:$O$265,14)</f>
        <v>332</v>
      </c>
      <c r="I98" s="140">
        <f>VLOOKUP(I$13,'ELT1'!$A$26:$O$265,14)</f>
        <v>333</v>
      </c>
      <c r="J98" s="140">
        <f>VLOOKUP(J$13,'ELT1'!$A$26:$O$265,14)</f>
        <v>335</v>
      </c>
      <c r="K98" s="140">
        <f>VLOOKUP(K$13,'ELT1'!$A$26:$O$265,14)</f>
        <v>336</v>
      </c>
      <c r="L98" s="140">
        <f>VLOOKUP(L$13,'ELT1'!$A$26:$O$265,14)</f>
        <v>337</v>
      </c>
      <c r="M98" s="140">
        <f>VLOOKUP(M$13,'ELT1'!$A$26:$O$265,14)</f>
        <v>339</v>
      </c>
      <c r="N98" s="140">
        <f>VLOOKUP(N$13,'ELT1'!$A$26:$O$265,14)</f>
        <v>340</v>
      </c>
      <c r="O98" s="136">
        <f>SUM(C98:N98)</f>
        <v>3990</v>
      </c>
    </row>
    <row r="99" spans="1:15" ht="13.5" customHeight="1" thickBot="1">
      <c r="A99" s="65"/>
      <c r="B99" s="65" t="s">
        <v>506</v>
      </c>
      <c r="C99" s="140">
        <f>VLOOKUP(C$13,'ELT1'!$A$26:$O$265,15)</f>
        <v>52</v>
      </c>
      <c r="D99" s="140">
        <f>VLOOKUP(D$13,'ELT1'!$A$26:$O$265,15)</f>
        <v>51</v>
      </c>
      <c r="E99" s="140">
        <f>VLOOKUP(E$13,'ELT1'!$A$26:$O$265,15)</f>
        <v>50</v>
      </c>
      <c r="F99" s="140">
        <f>VLOOKUP(F$13,'ELT1'!$A$26:$O$265,15)</f>
        <v>48</v>
      </c>
      <c r="G99" s="140">
        <f>VLOOKUP(G$13,'ELT1'!$A$26:$O$265,15)</f>
        <v>47</v>
      </c>
      <c r="H99" s="140">
        <f>VLOOKUP(H$13,'ELT1'!$A$26:$O$265,15)</f>
        <v>46</v>
      </c>
      <c r="I99" s="140">
        <f>VLOOKUP(I$13,'ELT1'!$A$26:$O$265,15)</f>
        <v>44</v>
      </c>
      <c r="J99" s="140">
        <f>VLOOKUP(J$13,'ELT1'!$A$26:$O$265,15)</f>
        <v>43</v>
      </c>
      <c r="K99" s="140">
        <f>VLOOKUP(K$13,'ELT1'!$A$26:$O$265,15)</f>
        <v>41</v>
      </c>
      <c r="L99" s="140">
        <f>VLOOKUP(L$13,'ELT1'!$A$26:$O$265,15)</f>
        <v>40</v>
      </c>
      <c r="M99" s="140">
        <f>VLOOKUP(M$13,'ELT1'!$A$26:$O$265,15)</f>
        <v>39</v>
      </c>
      <c r="N99" s="140">
        <f>VLOOKUP(N$13,'ELT1'!$A$26:$O$265,15)</f>
        <v>37</v>
      </c>
      <c r="O99" s="136">
        <f>SUM(C99:N99)</f>
        <v>538</v>
      </c>
    </row>
    <row r="100" spans="1:15" ht="13.5" customHeight="1" thickBot="1">
      <c r="A100" s="43"/>
      <c r="B100" s="149"/>
      <c r="C100" s="211"/>
      <c r="D100" s="211"/>
      <c r="E100" s="211"/>
      <c r="F100" s="211"/>
      <c r="G100" s="211"/>
      <c r="H100" s="211"/>
      <c r="I100" s="211"/>
      <c r="J100" s="211"/>
      <c r="K100" s="211"/>
      <c r="L100" s="211"/>
      <c r="M100" s="211"/>
      <c r="N100" s="211"/>
      <c r="O100" s="159">
        <f>IF(O98+O99=0,0,0.001)</f>
        <v>1E-3</v>
      </c>
    </row>
    <row r="101" spans="1:15" ht="13.5" customHeight="1" thickBot="1">
      <c r="A101" s="43" t="str">
        <f>CF!F42</f>
        <v>Emprunt à long terme 2</v>
      </c>
      <c r="B101" s="65" t="s">
        <v>505</v>
      </c>
      <c r="C101" s="140">
        <f>VLOOKUP(C$13,'ELT2'!$A$26:$O$265,14)</f>
        <v>0</v>
      </c>
      <c r="D101" s="140">
        <f>VLOOKUP(D$13,'ELT2'!$A$26:$O$265,14)</f>
        <v>0</v>
      </c>
      <c r="E101" s="140">
        <f>VLOOKUP(E$13,'ELT2'!$A$26:$O$265,14)</f>
        <v>0</v>
      </c>
      <c r="F101" s="140">
        <f>VLOOKUP(F$13,'ELT2'!$A$26:$O$265,14)</f>
        <v>0</v>
      </c>
      <c r="G101" s="140">
        <f>VLOOKUP(G$13,'ELT2'!$A$26:$O$265,14)</f>
        <v>0</v>
      </c>
      <c r="H101" s="140">
        <f>VLOOKUP(H$13,'ELT2'!$A$26:$O$265,14)</f>
        <v>0</v>
      </c>
      <c r="I101" s="140">
        <f>VLOOKUP(I$13,'ELT2'!$A$26:$O$265,14)</f>
        <v>0</v>
      </c>
      <c r="J101" s="140">
        <f>VLOOKUP(J$13,'ELT2'!$A$26:$O$265,14)</f>
        <v>0</v>
      </c>
      <c r="K101" s="140">
        <f>VLOOKUP(K$13,'ELT2'!$A$26:$O$265,14)</f>
        <v>0</v>
      </c>
      <c r="L101" s="140">
        <f>VLOOKUP(L$13,'ELT2'!$A$26:$O$265,14)</f>
        <v>0</v>
      </c>
      <c r="M101" s="140">
        <f>VLOOKUP(M$13,'ELT2'!$A$26:$O$265,14)</f>
        <v>0</v>
      </c>
      <c r="N101" s="140">
        <f>VLOOKUP(N$13,'ELT2'!$A$26:$O$265,14)</f>
        <v>0</v>
      </c>
      <c r="O101" s="136">
        <f>SUM(C101:N101)</f>
        <v>0</v>
      </c>
    </row>
    <row r="102" spans="1:15" ht="13.5" customHeight="1" thickBot="1">
      <c r="A102" s="65"/>
      <c r="B102" s="65" t="s">
        <v>506</v>
      </c>
      <c r="C102" s="140">
        <f>VLOOKUP(C$13,'ELT2'!$A$26:$O$265,15)</f>
        <v>0</v>
      </c>
      <c r="D102" s="140">
        <f>VLOOKUP(D$13,'ELT2'!$A$26:$O$265,15)</f>
        <v>0</v>
      </c>
      <c r="E102" s="140">
        <f>VLOOKUP(E$13,'ELT2'!$A$26:$O$265,15)</f>
        <v>0</v>
      </c>
      <c r="F102" s="140">
        <f>VLOOKUP(F$13,'ELT2'!$A$26:$O$265,15)</f>
        <v>0</v>
      </c>
      <c r="G102" s="140">
        <f>VLOOKUP(G$13,'ELT2'!$A$26:$O$265,15)</f>
        <v>0</v>
      </c>
      <c r="H102" s="140">
        <f>VLOOKUP(H$13,'ELT2'!$A$26:$O$265,15)</f>
        <v>0</v>
      </c>
      <c r="I102" s="140">
        <f>VLOOKUP(I$13,'ELT2'!$A$26:$O$265,15)</f>
        <v>0</v>
      </c>
      <c r="J102" s="140">
        <f>VLOOKUP(J$13,'ELT2'!$A$26:$O$265,15)</f>
        <v>0</v>
      </c>
      <c r="K102" s="140">
        <f>VLOOKUP(K$13,'ELT2'!$A$26:$O$265,15)</f>
        <v>0</v>
      </c>
      <c r="L102" s="140">
        <f>VLOOKUP(L$13,'ELT2'!$A$26:$O$265,15)</f>
        <v>0</v>
      </c>
      <c r="M102" s="140">
        <f>VLOOKUP(M$13,'ELT2'!$A$26:$O$265,15)</f>
        <v>0</v>
      </c>
      <c r="N102" s="140">
        <f>VLOOKUP(N$13,'ELT2'!$A$26:$O$265,15)</f>
        <v>0</v>
      </c>
      <c r="O102" s="136">
        <f>SUM(C102:N102)</f>
        <v>0</v>
      </c>
    </row>
    <row r="103" spans="1:15" ht="13.5" customHeight="1" thickBot="1">
      <c r="A103" s="43"/>
      <c r="B103" s="149"/>
      <c r="C103" s="211"/>
      <c r="D103" s="211"/>
      <c r="E103" s="211"/>
      <c r="F103" s="211"/>
      <c r="G103" s="211"/>
      <c r="H103" s="211"/>
      <c r="I103" s="211"/>
      <c r="J103" s="211"/>
      <c r="K103" s="211"/>
      <c r="L103" s="211"/>
      <c r="M103" s="211"/>
      <c r="N103" s="211"/>
      <c r="O103" s="159">
        <f>IF(O101+O102=0,0,0.001)</f>
        <v>0</v>
      </c>
    </row>
    <row r="104" spans="1:15" ht="13.5" customHeight="1" thickBot="1">
      <c r="A104" s="43" t="str">
        <f>CF!F43</f>
        <v>Emprunt à long terme 3</v>
      </c>
      <c r="B104" s="65" t="s">
        <v>505</v>
      </c>
      <c r="C104" s="140">
        <f>VLOOKUP(C$13,'ELT3'!$A$26:$O$265,14)</f>
        <v>0</v>
      </c>
      <c r="D104" s="140">
        <f>VLOOKUP(D$13,'ELT3'!$A$26:$O$265,14)</f>
        <v>0</v>
      </c>
      <c r="E104" s="140">
        <f>VLOOKUP(E$13,'ELT3'!$A$26:$O$265,14)</f>
        <v>0</v>
      </c>
      <c r="F104" s="140">
        <f>VLOOKUP(F$13,'ELT3'!$A$26:$O$265,14)</f>
        <v>0</v>
      </c>
      <c r="G104" s="140">
        <f>VLOOKUP(G$13,'ELT3'!$A$26:$O$265,14)</f>
        <v>0</v>
      </c>
      <c r="H104" s="140">
        <f>VLOOKUP(H$13,'ELT3'!$A$26:$O$265,14)</f>
        <v>0</v>
      </c>
      <c r="I104" s="140">
        <f>VLOOKUP(I$13,'ELT3'!$A$26:$O$265,14)</f>
        <v>0</v>
      </c>
      <c r="J104" s="140">
        <f>VLOOKUP(J$13,'ELT3'!$A$26:$O$265,14)</f>
        <v>0</v>
      </c>
      <c r="K104" s="140">
        <f>VLOOKUP(K$13,'ELT3'!$A$26:$O$265,14)</f>
        <v>0</v>
      </c>
      <c r="L104" s="140">
        <f>VLOOKUP(L$13,'ELT3'!$A$26:$O$265,14)</f>
        <v>0</v>
      </c>
      <c r="M104" s="140">
        <f>VLOOKUP(M$13,'ELT3'!$A$26:$O$265,14)</f>
        <v>0</v>
      </c>
      <c r="N104" s="140">
        <f>VLOOKUP(N$13,'ELT3'!$A$26:$O$265,14)</f>
        <v>0</v>
      </c>
      <c r="O104" s="136">
        <f>SUM(C104:N104)</f>
        <v>0</v>
      </c>
    </row>
    <row r="105" spans="1:15" ht="13.5" customHeight="1" thickBot="1">
      <c r="A105" s="65"/>
      <c r="B105" s="65" t="s">
        <v>506</v>
      </c>
      <c r="C105" s="140">
        <f>VLOOKUP(C$13,'ELT3'!$A$26:$O$265,15)</f>
        <v>0</v>
      </c>
      <c r="D105" s="140">
        <f>VLOOKUP(D$13,'ELT3'!$A$26:$O$265,15)</f>
        <v>0</v>
      </c>
      <c r="E105" s="140">
        <f>VLOOKUP(E$13,'ELT3'!$A$26:$O$265,15)</f>
        <v>0</v>
      </c>
      <c r="F105" s="140">
        <f>VLOOKUP(F$13,'ELT3'!$A$26:$O$265,15)</f>
        <v>0</v>
      </c>
      <c r="G105" s="140">
        <f>VLOOKUP(G$13,'ELT3'!$A$26:$O$265,15)</f>
        <v>0</v>
      </c>
      <c r="H105" s="140">
        <f>VLOOKUP(H$13,'ELT3'!$A$26:$O$265,15)</f>
        <v>0</v>
      </c>
      <c r="I105" s="140">
        <f>VLOOKUP(I$13,'ELT3'!$A$26:$O$265,15)</f>
        <v>0</v>
      </c>
      <c r="J105" s="140">
        <f>VLOOKUP(J$13,'ELT3'!$A$26:$O$265,15)</f>
        <v>0</v>
      </c>
      <c r="K105" s="140">
        <f>VLOOKUP(K$13,'ELT3'!$A$26:$O$265,15)</f>
        <v>0</v>
      </c>
      <c r="L105" s="140">
        <f>VLOOKUP(L$13,'ELT3'!$A$26:$O$265,15)</f>
        <v>0</v>
      </c>
      <c r="M105" s="140">
        <f>VLOOKUP(M$13,'ELT3'!$A$26:$O$265,15)</f>
        <v>0</v>
      </c>
      <c r="N105" s="140">
        <f>VLOOKUP(N$13,'ELT3'!$A$26:$O$265,15)</f>
        <v>0</v>
      </c>
      <c r="O105" s="136">
        <f>SUM(C105:N105)</f>
        <v>0</v>
      </c>
    </row>
    <row r="106" spans="1:15" ht="13.5" customHeight="1" thickBot="1">
      <c r="A106" s="43"/>
      <c r="B106" s="149"/>
      <c r="C106" s="211"/>
      <c r="D106" s="211"/>
      <c r="E106" s="211"/>
      <c r="F106" s="211"/>
      <c r="G106" s="211"/>
      <c r="H106" s="211"/>
      <c r="I106" s="211"/>
      <c r="J106" s="211"/>
      <c r="K106" s="211"/>
      <c r="L106" s="211"/>
      <c r="M106" s="211"/>
      <c r="N106" s="211"/>
      <c r="O106" s="159">
        <f>IF(O104+O105=0,0,0.001)</f>
        <v>0</v>
      </c>
    </row>
    <row r="107" spans="1:15" ht="13.5" customHeight="1" thickBot="1">
      <c r="A107" s="43" t="str">
        <f>CF!F44</f>
        <v>Emprunt à long terme 4</v>
      </c>
      <c r="B107" s="65" t="s">
        <v>505</v>
      </c>
      <c r="C107" s="140">
        <f>VLOOKUP(C$13,'ELT4'!$A$26:$O$73,14)</f>
        <v>0</v>
      </c>
      <c r="D107" s="140">
        <f>VLOOKUP(D$13,'ELT4'!$A$26:$O$73,14)</f>
        <v>0</v>
      </c>
      <c r="E107" s="140">
        <f>VLOOKUP(E$13,'ELT4'!$A$26:$O$73,14)</f>
        <v>0</v>
      </c>
      <c r="F107" s="140">
        <f>VLOOKUP(F$13,'ELT4'!$A$26:$O$73,14)</f>
        <v>0</v>
      </c>
      <c r="G107" s="140">
        <f>VLOOKUP(G$13,'ELT4'!$A$26:$O$73,14)</f>
        <v>0</v>
      </c>
      <c r="H107" s="140">
        <f>VLOOKUP(H$13,'ELT4'!$A$26:$O$73,14)</f>
        <v>0</v>
      </c>
      <c r="I107" s="140">
        <f>VLOOKUP(I$13,'ELT4'!$A$26:$O$73,14)</f>
        <v>0</v>
      </c>
      <c r="J107" s="140">
        <f>VLOOKUP(J$13,'ELT4'!$A$26:$O$73,14)</f>
        <v>0</v>
      </c>
      <c r="K107" s="140">
        <f>VLOOKUP(K$13,'ELT4'!$A$26:$O$73,14)</f>
        <v>0</v>
      </c>
      <c r="L107" s="140">
        <f>VLOOKUP(L$13,'ELT4'!$A$26:$O$73,14)</f>
        <v>0</v>
      </c>
      <c r="M107" s="140">
        <f>VLOOKUP(M$13,'ELT4'!$A$26:$O$73,14)</f>
        <v>0</v>
      </c>
      <c r="N107" s="140">
        <f>VLOOKUP(N$13,'ELT4'!$A$26:$O$73,14)</f>
        <v>0</v>
      </c>
      <c r="O107" s="136">
        <f>SUM(C107:N107)</f>
        <v>0</v>
      </c>
    </row>
    <row r="108" spans="1:15" ht="13.5" customHeight="1" thickBot="1">
      <c r="A108" s="65"/>
      <c r="B108" s="65" t="s">
        <v>506</v>
      </c>
      <c r="C108" s="140">
        <f>VLOOKUP(C$13,'ELT4'!$A$26:$O$73,15)</f>
        <v>0</v>
      </c>
      <c r="D108" s="140">
        <f>VLOOKUP(D$13,'ELT4'!$A$26:$O$73,15)</f>
        <v>0</v>
      </c>
      <c r="E108" s="140">
        <f>VLOOKUP(E$13,'ELT4'!$A$26:$O$73,15)</f>
        <v>0</v>
      </c>
      <c r="F108" s="140">
        <f>VLOOKUP(F$13,'ELT4'!$A$26:$O$73,15)</f>
        <v>0</v>
      </c>
      <c r="G108" s="140">
        <f>VLOOKUP(G$13,'ELT4'!$A$26:$O$73,15)</f>
        <v>0</v>
      </c>
      <c r="H108" s="140">
        <f>VLOOKUP(H$13,'ELT4'!$A$26:$O$73,15)</f>
        <v>0</v>
      </c>
      <c r="I108" s="140">
        <f>VLOOKUP(I$13,'ELT4'!$A$26:$O$73,15)</f>
        <v>0</v>
      </c>
      <c r="J108" s="140">
        <f>VLOOKUP(J$13,'ELT4'!$A$26:$O$73,15)</f>
        <v>0</v>
      </c>
      <c r="K108" s="140">
        <f>VLOOKUP(K$13,'ELT4'!$A$26:$O$73,15)</f>
        <v>0</v>
      </c>
      <c r="L108" s="140">
        <f>VLOOKUP(L$13,'ELT4'!$A$26:$O$73,15)</f>
        <v>0</v>
      </c>
      <c r="M108" s="140">
        <f>VLOOKUP(M$13,'ELT4'!$A$26:$O$73,15)</f>
        <v>0</v>
      </c>
      <c r="N108" s="140">
        <f>VLOOKUP(N$13,'ELT4'!$A$26:$O$73,15)</f>
        <v>0</v>
      </c>
      <c r="O108" s="136">
        <f>SUM(C108:N108)</f>
        <v>0</v>
      </c>
    </row>
    <row r="109" spans="1:15" ht="13.5" customHeight="1" thickBot="1">
      <c r="A109" s="43"/>
      <c r="B109" s="149"/>
      <c r="C109" s="211"/>
      <c r="D109" s="211"/>
      <c r="E109" s="211"/>
      <c r="F109" s="211"/>
      <c r="G109" s="211"/>
      <c r="H109" s="211"/>
      <c r="I109" s="211"/>
      <c r="J109" s="211"/>
      <c r="K109" s="211"/>
      <c r="L109" s="211"/>
      <c r="M109" s="211"/>
      <c r="N109" s="211"/>
      <c r="O109" s="159">
        <f>IF(O107+O108=0,0,0.001)</f>
        <v>0</v>
      </c>
    </row>
    <row r="110" spans="1:15" ht="13.5" customHeight="1" thickBot="1">
      <c r="A110" s="43" t="str">
        <f>CF!F45</f>
        <v>Emprunt à long terme 5</v>
      </c>
      <c r="B110" s="65" t="s">
        <v>505</v>
      </c>
      <c r="C110" s="140">
        <f>VLOOKUP(C$13,'ELT5'!$A$26:$O$265,14)</f>
        <v>0</v>
      </c>
      <c r="D110" s="140">
        <f>VLOOKUP(D$13,'ELT5'!$A$26:$O$265,14)</f>
        <v>0</v>
      </c>
      <c r="E110" s="140">
        <f>VLOOKUP(E$13,'ELT5'!$A$26:$O$265,14)</f>
        <v>0</v>
      </c>
      <c r="F110" s="140">
        <f>VLOOKUP(F$13,'ELT5'!$A$26:$O$265,14)</f>
        <v>0</v>
      </c>
      <c r="G110" s="140">
        <f>VLOOKUP(G$13,'ELT5'!$A$26:$O$265,14)</f>
        <v>0</v>
      </c>
      <c r="H110" s="140">
        <f>VLOOKUP(H$13,'ELT5'!$A$26:$O$265,14)</f>
        <v>0</v>
      </c>
      <c r="I110" s="140">
        <f>VLOOKUP(I$13,'ELT5'!$A$26:$O$265,14)</f>
        <v>0</v>
      </c>
      <c r="J110" s="140">
        <f>VLOOKUP(J$13,'ELT5'!$A$26:$O$265,14)</f>
        <v>0</v>
      </c>
      <c r="K110" s="140">
        <f>VLOOKUP(K$13,'ELT5'!$A$26:$O$265,14)</f>
        <v>0</v>
      </c>
      <c r="L110" s="140">
        <f>VLOOKUP(L$13,'ELT5'!$A$26:$O$265,14)</f>
        <v>0</v>
      </c>
      <c r="M110" s="140">
        <f>VLOOKUP(M$13,'ELT5'!$A$26:$O$265,14)</f>
        <v>0</v>
      </c>
      <c r="N110" s="140">
        <f>VLOOKUP(N$13,'ELT5'!$A$26:$O$265,14)</f>
        <v>0</v>
      </c>
      <c r="O110" s="136">
        <f>SUM(C110:N110)</f>
        <v>0</v>
      </c>
    </row>
    <row r="111" spans="1:15" ht="13.5" customHeight="1" thickBot="1">
      <c r="A111" s="65"/>
      <c r="B111" s="65" t="s">
        <v>506</v>
      </c>
      <c r="C111" s="140">
        <f>VLOOKUP(C$13,'ELT5'!$A$26:$O$265,15)</f>
        <v>0</v>
      </c>
      <c r="D111" s="140">
        <f>VLOOKUP(D$13,'ELT5'!$A$26:$O$265,15)</f>
        <v>0</v>
      </c>
      <c r="E111" s="140">
        <f>VLOOKUP(E$13,'ELT5'!$A$26:$O$265,15)</f>
        <v>0</v>
      </c>
      <c r="F111" s="140">
        <f>VLOOKUP(F$13,'ELT5'!$A$26:$O$265,15)</f>
        <v>0</v>
      </c>
      <c r="G111" s="140">
        <f>VLOOKUP(G$13,'ELT5'!$A$26:$O$265,15)</f>
        <v>0</v>
      </c>
      <c r="H111" s="140">
        <f>VLOOKUP(H$13,'ELT5'!$A$26:$O$265,15)</f>
        <v>0</v>
      </c>
      <c r="I111" s="140">
        <f>VLOOKUP(I$13,'ELT5'!$A$26:$O$265,15)</f>
        <v>0</v>
      </c>
      <c r="J111" s="140">
        <f>VLOOKUP(J$13,'ELT5'!$A$26:$O$265,15)</f>
        <v>0</v>
      </c>
      <c r="K111" s="140">
        <f>VLOOKUP(K$13,'ELT5'!$A$26:$O$265,15)</f>
        <v>0</v>
      </c>
      <c r="L111" s="140">
        <f>VLOOKUP(L$13,'ELT5'!$A$26:$O$265,15)</f>
        <v>0</v>
      </c>
      <c r="M111" s="140">
        <f>VLOOKUP(M$13,'ELT5'!$A$26:$O$265,15)</f>
        <v>0</v>
      </c>
      <c r="N111" s="140">
        <f>VLOOKUP(N$13,'ELT5'!$A$26:$O$265,15)</f>
        <v>0</v>
      </c>
      <c r="O111" s="136">
        <f>SUM(C111:N111)</f>
        <v>0</v>
      </c>
    </row>
    <row r="112" spans="1:15" ht="13.5" customHeight="1" thickBot="1">
      <c r="A112" s="43"/>
      <c r="B112" s="149"/>
      <c r="C112" s="211"/>
      <c r="D112" s="211"/>
      <c r="E112" s="211"/>
      <c r="F112" s="211"/>
      <c r="G112" s="211"/>
      <c r="H112" s="211"/>
      <c r="I112" s="211"/>
      <c r="J112" s="211"/>
      <c r="K112" s="211"/>
      <c r="L112" s="211"/>
      <c r="M112" s="211"/>
      <c r="N112" s="211"/>
      <c r="O112" s="159">
        <f>IF(O110+O111=0,0,0.001)</f>
        <v>0</v>
      </c>
    </row>
    <row r="113" spans="1:16" ht="13.5" customHeight="1" thickBot="1">
      <c r="A113" s="43" t="str">
        <f>CF!F46</f>
        <v>Emprunt à long terme 6</v>
      </c>
      <c r="B113" s="65" t="s">
        <v>505</v>
      </c>
      <c r="C113" s="140">
        <f>VLOOKUP(C$13,'ELT6'!$A$26:$O$265,14)</f>
        <v>0</v>
      </c>
      <c r="D113" s="140">
        <f>VLOOKUP(D$13,'ELT6'!$A$26:$O$265,14)</f>
        <v>0</v>
      </c>
      <c r="E113" s="140">
        <f>VLOOKUP(E$13,'ELT6'!$A$26:$O$265,14)</f>
        <v>0</v>
      </c>
      <c r="F113" s="140">
        <f>VLOOKUP(F$13,'ELT6'!$A$26:$O$265,14)</f>
        <v>0</v>
      </c>
      <c r="G113" s="140">
        <f>VLOOKUP(G$13,'ELT6'!$A$26:$O$265,14)</f>
        <v>0</v>
      </c>
      <c r="H113" s="140">
        <f>VLOOKUP(H$13,'ELT6'!$A$26:$O$265,14)</f>
        <v>0</v>
      </c>
      <c r="I113" s="140">
        <f>VLOOKUP(I$13,'ELT6'!$A$26:$O$265,14)</f>
        <v>0</v>
      </c>
      <c r="J113" s="140">
        <f>VLOOKUP(J$13,'ELT6'!$A$26:$O$265,14)</f>
        <v>0</v>
      </c>
      <c r="K113" s="140">
        <f>VLOOKUP(K$13,'ELT6'!$A$26:$O$265,14)</f>
        <v>0</v>
      </c>
      <c r="L113" s="140">
        <f>VLOOKUP(L$13,'ELT6'!$A$26:$O$265,14)</f>
        <v>0</v>
      </c>
      <c r="M113" s="140">
        <f>VLOOKUP(M$13,'ELT6'!$A$26:$O$265,14)</f>
        <v>0</v>
      </c>
      <c r="N113" s="140">
        <f>VLOOKUP(N$13,'ELT6'!$A$26:$O$265,14)</f>
        <v>0</v>
      </c>
      <c r="O113" s="136">
        <f>SUM(C113:N113)</f>
        <v>0</v>
      </c>
    </row>
    <row r="114" spans="1:16" ht="13.5" customHeight="1" thickBot="1">
      <c r="A114" s="65"/>
      <c r="B114" s="65" t="s">
        <v>506</v>
      </c>
      <c r="C114" s="140">
        <f>VLOOKUP(C$13,'ELT6'!$A$26:$O$265,15)</f>
        <v>0</v>
      </c>
      <c r="D114" s="140">
        <f>VLOOKUP(D$13,'ELT6'!$A$26:$O$265,15)</f>
        <v>0</v>
      </c>
      <c r="E114" s="140">
        <f>VLOOKUP(E$13,'ELT6'!$A$26:$O$265,15)</f>
        <v>0</v>
      </c>
      <c r="F114" s="140">
        <f>VLOOKUP(F$13,'ELT6'!$A$26:$O$265,15)</f>
        <v>0</v>
      </c>
      <c r="G114" s="140">
        <f>VLOOKUP(G$13,'ELT6'!$A$26:$O$265,15)</f>
        <v>0</v>
      </c>
      <c r="H114" s="140">
        <f>VLOOKUP(H$13,'ELT6'!$A$26:$O$265,15)</f>
        <v>0</v>
      </c>
      <c r="I114" s="140">
        <f>VLOOKUP(I$13,'ELT6'!$A$26:$O$265,15)</f>
        <v>0</v>
      </c>
      <c r="J114" s="140">
        <f>VLOOKUP(J$13,'ELT6'!$A$26:$O$265,15)</f>
        <v>0</v>
      </c>
      <c r="K114" s="140">
        <f>VLOOKUP(K$13,'ELT6'!$A$26:$O$265,15)</f>
        <v>0</v>
      </c>
      <c r="L114" s="140">
        <f>VLOOKUP(L$13,'ELT6'!$A$26:$O$265,15)</f>
        <v>0</v>
      </c>
      <c r="M114" s="140">
        <f>VLOOKUP(M$13,'ELT6'!$A$26:$O$265,15)</f>
        <v>0</v>
      </c>
      <c r="N114" s="140">
        <f>VLOOKUP(N$13,'ELT6'!$A$26:$O$265,15)</f>
        <v>0</v>
      </c>
      <c r="O114" s="136">
        <f>SUM(C114:N114)</f>
        <v>0</v>
      </c>
    </row>
    <row r="115" spans="1:16" ht="13.5" customHeight="1" thickBot="1">
      <c r="A115" s="43"/>
      <c r="B115" s="149"/>
      <c r="C115" s="211"/>
      <c r="D115" s="211"/>
      <c r="E115" s="211"/>
      <c r="F115" s="211"/>
      <c r="G115" s="211"/>
      <c r="H115" s="211"/>
      <c r="I115" s="211"/>
      <c r="J115" s="211"/>
      <c r="K115" s="211"/>
      <c r="L115" s="211"/>
      <c r="M115" s="211"/>
      <c r="N115" s="211"/>
      <c r="O115" s="159">
        <f>IF(O113+O114=0,0,0.001)</f>
        <v>0</v>
      </c>
    </row>
    <row r="116" spans="1:16" ht="13.5" customHeight="1" thickBot="1">
      <c r="A116" s="43" t="str">
        <f>CF!F47</f>
        <v>Emprunt à long terme 7</v>
      </c>
      <c r="B116" s="65" t="s">
        <v>505</v>
      </c>
      <c r="C116" s="140">
        <f>VLOOKUP(C$13,'ELT7'!$A$26:$O$265,14)</f>
        <v>0</v>
      </c>
      <c r="D116" s="140">
        <f>VLOOKUP(D$13,'ELT7'!$A$26:$O$265,14)</f>
        <v>0</v>
      </c>
      <c r="E116" s="140">
        <f>VLOOKUP(E$13,'ELT7'!$A$26:$O$265,14)</f>
        <v>0</v>
      </c>
      <c r="F116" s="140">
        <f>VLOOKUP(F$13,'ELT7'!$A$26:$O$265,14)</f>
        <v>0</v>
      </c>
      <c r="G116" s="140">
        <f>VLOOKUP(G$13,'ELT7'!$A$26:$O$265,14)</f>
        <v>0</v>
      </c>
      <c r="H116" s="140">
        <f>VLOOKUP(H$13,'ELT7'!$A$26:$O$265,14)</f>
        <v>0</v>
      </c>
      <c r="I116" s="140">
        <f>VLOOKUP(I$13,'ELT7'!$A$26:$O$265,14)</f>
        <v>0</v>
      </c>
      <c r="J116" s="140">
        <f>VLOOKUP(J$13,'ELT7'!$A$26:$O$265,14)</f>
        <v>0</v>
      </c>
      <c r="K116" s="140">
        <f>VLOOKUP(K$13,'ELT7'!$A$26:$O$265,14)</f>
        <v>0</v>
      </c>
      <c r="L116" s="140">
        <f>VLOOKUP(L$13,'ELT7'!$A$26:$O$265,14)</f>
        <v>0</v>
      </c>
      <c r="M116" s="140">
        <f>VLOOKUP(M$13,'ELT7'!$A$26:$O$265,14)</f>
        <v>0</v>
      </c>
      <c r="N116" s="140">
        <f>VLOOKUP(N$13,'ELT7'!$A$26:$O$265,14)</f>
        <v>0</v>
      </c>
      <c r="O116" s="136">
        <f>SUM(C116:N116)</f>
        <v>0</v>
      </c>
    </row>
    <row r="117" spans="1:16" ht="13.5" customHeight="1" thickBot="1">
      <c r="A117" s="65"/>
      <c r="B117" s="65" t="s">
        <v>506</v>
      </c>
      <c r="C117" s="140">
        <f>VLOOKUP(C$13,'ELT7'!$A$26:$O$265,15)</f>
        <v>0</v>
      </c>
      <c r="D117" s="140">
        <f>VLOOKUP(D$13,'ELT7'!$A$26:$O$265,15)</f>
        <v>0</v>
      </c>
      <c r="E117" s="140">
        <f>VLOOKUP(E$13,'ELT7'!$A$26:$O$265,15)</f>
        <v>0</v>
      </c>
      <c r="F117" s="140">
        <f>VLOOKUP(F$13,'ELT7'!$A$26:$O$265,15)</f>
        <v>0</v>
      </c>
      <c r="G117" s="140">
        <f>VLOOKUP(G$13,'ELT7'!$A$26:$O$265,15)</f>
        <v>0</v>
      </c>
      <c r="H117" s="140">
        <f>VLOOKUP(H$13,'ELT7'!$A$26:$O$265,15)</f>
        <v>0</v>
      </c>
      <c r="I117" s="140">
        <f>VLOOKUP(I$13,'ELT7'!$A$26:$O$265,15)</f>
        <v>0</v>
      </c>
      <c r="J117" s="140">
        <f>VLOOKUP(J$13,'ELT7'!$A$26:$O$265,15)</f>
        <v>0</v>
      </c>
      <c r="K117" s="140">
        <f>VLOOKUP(K$13,'ELT7'!$A$26:$O$265,15)</f>
        <v>0</v>
      </c>
      <c r="L117" s="140">
        <f>VLOOKUP(L$13,'ELT7'!$A$26:$O$265,15)</f>
        <v>0</v>
      </c>
      <c r="M117" s="140">
        <f>VLOOKUP(M$13,'ELT7'!$A$26:$O$265,15)</f>
        <v>0</v>
      </c>
      <c r="N117" s="791">
        <f>VLOOKUP(N$13,'ELT7'!$A$26:$O$265,15)</f>
        <v>0</v>
      </c>
      <c r="O117" s="136">
        <f>SUM(C117:N117)</f>
        <v>0</v>
      </c>
    </row>
    <row r="118" spans="1:16" ht="13.5" customHeight="1" thickBot="1">
      <c r="A118" s="65"/>
      <c r="B118" s="65"/>
      <c r="C118" s="211"/>
      <c r="D118" s="211"/>
      <c r="E118" s="211"/>
      <c r="F118" s="211"/>
      <c r="G118" s="211"/>
      <c r="H118" s="211"/>
      <c r="I118" s="211"/>
      <c r="J118" s="211"/>
      <c r="K118" s="211"/>
      <c r="L118" s="211"/>
      <c r="M118" s="211"/>
      <c r="N118" s="211"/>
      <c r="O118" s="159">
        <f>IF(O116+O117=0,0,0.001)</f>
        <v>0</v>
      </c>
    </row>
    <row r="119" spans="1:16" ht="13.5" customHeight="1" thickBot="1">
      <c r="A119" s="867" t="s">
        <v>337</v>
      </c>
      <c r="B119" s="48"/>
      <c r="C119" s="133">
        <f>IF('BC2'!O142&gt;0,'BC2'!O142*C131,0)</f>
        <v>0</v>
      </c>
      <c r="D119" s="133">
        <f>IF(C142&gt;0,C142*D131,0)</f>
        <v>0</v>
      </c>
      <c r="E119" s="133">
        <f t="shared" ref="E119:N119" si="12">IF(D142&gt;0,D142*E131,0)</f>
        <v>0</v>
      </c>
      <c r="F119" s="133">
        <f t="shared" si="12"/>
        <v>0</v>
      </c>
      <c r="G119" s="133">
        <f t="shared" si="12"/>
        <v>0</v>
      </c>
      <c r="H119" s="133">
        <f t="shared" si="12"/>
        <v>0</v>
      </c>
      <c r="I119" s="133">
        <f t="shared" si="12"/>
        <v>0</v>
      </c>
      <c r="J119" s="133">
        <f t="shared" si="12"/>
        <v>0</v>
      </c>
      <c r="K119" s="133">
        <f t="shared" si="12"/>
        <v>0</v>
      </c>
      <c r="L119" s="133">
        <f t="shared" si="12"/>
        <v>0</v>
      </c>
      <c r="M119" s="133">
        <f t="shared" si="12"/>
        <v>0</v>
      </c>
      <c r="N119" s="133">
        <f t="shared" si="12"/>
        <v>0</v>
      </c>
      <c r="O119" s="136">
        <f>SUM(C119:N119)+(0.0001)</f>
        <v>1E-4</v>
      </c>
    </row>
    <row r="120" spans="1:16" ht="13.5" customHeight="1">
      <c r="A120" s="65"/>
      <c r="B120" s="65"/>
      <c r="C120" s="211"/>
      <c r="D120" s="211"/>
      <c r="E120" s="211"/>
      <c r="F120" s="211"/>
      <c r="G120" s="211"/>
      <c r="H120" s="211"/>
      <c r="I120" s="211"/>
      <c r="J120" s="211"/>
      <c r="K120" s="211"/>
      <c r="L120" s="211"/>
      <c r="M120" s="211"/>
      <c r="N120" s="211"/>
      <c r="O120" s="220">
        <v>0.01</v>
      </c>
    </row>
    <row r="121" spans="1:16" ht="13.5" customHeight="1" thickBot="1">
      <c r="A121" s="43"/>
      <c r="B121" s="43"/>
      <c r="C121" s="790"/>
      <c r="D121" s="790"/>
      <c r="E121" s="790"/>
      <c r="F121" s="790"/>
      <c r="G121" s="790"/>
      <c r="H121" s="790"/>
      <c r="I121" s="790"/>
      <c r="J121" s="790"/>
      <c r="K121" s="790"/>
      <c r="L121" s="790"/>
      <c r="M121" s="790"/>
      <c r="N121" s="790"/>
      <c r="O121" s="220">
        <v>0.01</v>
      </c>
    </row>
    <row r="122" spans="1:16" ht="13.5" customHeight="1" thickBot="1">
      <c r="A122" s="48" t="str">
        <f>'BC1'!A124</f>
        <v>Acquisitions d'immobilisations</v>
      </c>
      <c r="B122" s="48"/>
      <c r="C122" s="133">
        <f>'FG3'!C101</f>
        <v>0</v>
      </c>
      <c r="D122" s="133">
        <f>'FG3'!D101</f>
        <v>0</v>
      </c>
      <c r="E122" s="133">
        <f>'FG3'!E101</f>
        <v>0</v>
      </c>
      <c r="F122" s="133">
        <f>'FG3'!F101</f>
        <v>0</v>
      </c>
      <c r="G122" s="133">
        <f>'FG3'!G101</f>
        <v>0</v>
      </c>
      <c r="H122" s="133">
        <f>'FG3'!H101</f>
        <v>0</v>
      </c>
      <c r="I122" s="133">
        <f>'FG3'!I101</f>
        <v>0</v>
      </c>
      <c r="J122" s="133">
        <f>'FG3'!J101</f>
        <v>0</v>
      </c>
      <c r="K122" s="133">
        <f>'FG3'!K101</f>
        <v>0</v>
      </c>
      <c r="L122" s="133">
        <f>'FG3'!L101</f>
        <v>0</v>
      </c>
      <c r="M122" s="133">
        <f>'FG3'!M101</f>
        <v>0</v>
      </c>
      <c r="N122" s="134">
        <f>'FG3'!N101</f>
        <v>0</v>
      </c>
      <c r="O122" s="136">
        <f>SUM(C122:N122)</f>
        <v>0</v>
      </c>
    </row>
    <row r="123" spans="1:16" ht="13.5" customHeight="1" thickBot="1">
      <c r="A123" s="43"/>
      <c r="B123" s="43"/>
      <c r="C123" s="150"/>
      <c r="D123" s="150"/>
      <c r="E123" s="150"/>
      <c r="F123" s="150"/>
      <c r="G123" s="150"/>
      <c r="H123" s="150"/>
      <c r="I123" s="150"/>
      <c r="J123" s="150"/>
      <c r="K123" s="150"/>
      <c r="L123" s="150"/>
      <c r="M123" s="150"/>
      <c r="N123" s="150"/>
      <c r="O123" s="159">
        <f>IF(O128=0,0,0.001)</f>
        <v>1E-3</v>
      </c>
    </row>
    <row r="124" spans="1:16" ht="13.5" customHeight="1" thickBot="1">
      <c r="A124" s="48" t="str">
        <f>'BC1'!A128</f>
        <v>Dividendes versés</v>
      </c>
      <c r="B124" s="48"/>
      <c r="C124" s="133">
        <f>'FG3'!C103</f>
        <v>0</v>
      </c>
      <c r="D124" s="133">
        <f>'FG3'!D103</f>
        <v>0</v>
      </c>
      <c r="E124" s="133">
        <f>'FG3'!E103</f>
        <v>0</v>
      </c>
      <c r="F124" s="133">
        <f>'FG3'!F103</f>
        <v>0</v>
      </c>
      <c r="G124" s="133">
        <f>'FG3'!G103</f>
        <v>0</v>
      </c>
      <c r="H124" s="133">
        <f>'FG3'!H103</f>
        <v>0</v>
      </c>
      <c r="I124" s="133">
        <f>'FG3'!I103</f>
        <v>0</v>
      </c>
      <c r="J124" s="133">
        <f>'FG3'!J103</f>
        <v>0</v>
      </c>
      <c r="K124" s="133">
        <f>'FG3'!K103</f>
        <v>0</v>
      </c>
      <c r="L124" s="133">
        <f>'FG3'!L103</f>
        <v>0</v>
      </c>
      <c r="M124" s="133">
        <f>'FG3'!M103</f>
        <v>0</v>
      </c>
      <c r="N124" s="134">
        <f>'FG3'!N103</f>
        <v>0</v>
      </c>
      <c r="O124" s="136">
        <f>SUM(C124:N124)</f>
        <v>0</v>
      </c>
    </row>
    <row r="125" spans="1:16" ht="13.5" customHeight="1" thickBot="1">
      <c r="A125" s="43"/>
      <c r="B125" s="43"/>
      <c r="C125" s="150"/>
      <c r="D125" s="150"/>
      <c r="E125" s="150"/>
      <c r="F125" s="150"/>
      <c r="G125" s="150"/>
      <c r="H125" s="150"/>
      <c r="I125" s="150"/>
      <c r="J125" s="150"/>
      <c r="K125" s="150"/>
      <c r="L125" s="150"/>
      <c r="M125" s="150"/>
      <c r="N125" s="150"/>
      <c r="O125" s="159">
        <f>IF(O130=0,0,0.001)</f>
        <v>1E-3</v>
      </c>
    </row>
    <row r="126" spans="1:16" ht="13.5" thickBot="1">
      <c r="A126" s="48" t="s">
        <v>923</v>
      </c>
      <c r="B126" s="48"/>
      <c r="C126" s="552"/>
      <c r="D126" s="895">
        <f>-ER!E98+ER!C98-'BC2'!E129-'BC2'!H129-'BC2'!K129-'BC2'!N129</f>
        <v>0</v>
      </c>
      <c r="E126" s="552">
        <f>IF(ER!$E$98&lt;0,MROUND(-ER!$E$98/4,1),0)</f>
        <v>0</v>
      </c>
      <c r="F126" s="552"/>
      <c r="G126" s="552"/>
      <c r="H126" s="552">
        <f>IF(ER!$E$98&lt;0,MROUND(-ER!$E$98/4,1),0)</f>
        <v>0</v>
      </c>
      <c r="I126" s="552"/>
      <c r="J126" s="552"/>
      <c r="K126" s="552">
        <f>IF(ER!$E$98&lt;0,MROUND(-ER!$E$98/4,1),0)</f>
        <v>0</v>
      </c>
      <c r="L126" s="552"/>
      <c r="M126" s="552"/>
      <c r="N126" s="552">
        <f>IF(ER!$E$98&lt;0,MROUND(-ER!$E$98/4,1),0)</f>
        <v>0</v>
      </c>
      <c r="O126" s="136">
        <f>SUM(C126:N126)</f>
        <v>0</v>
      </c>
      <c r="P126" s="137"/>
    </row>
    <row r="127" spans="1:16" ht="13.5" customHeight="1" thickBot="1">
      <c r="A127" s="43"/>
      <c r="B127" s="43"/>
      <c r="C127" s="148"/>
      <c r="D127" s="148"/>
      <c r="E127" s="148"/>
      <c r="F127" s="148"/>
      <c r="G127" s="148"/>
      <c r="H127" s="148"/>
      <c r="I127" s="148"/>
      <c r="J127" s="148"/>
      <c r="K127" s="148"/>
      <c r="L127" s="148"/>
      <c r="M127" s="148"/>
      <c r="N127" s="148"/>
      <c r="O127" s="159">
        <f>IF(O132=0,0,0.001)</f>
        <v>0</v>
      </c>
    </row>
    <row r="128" spans="1:16" ht="13.5" customHeight="1" thickBot="1">
      <c r="A128" s="48" t="s">
        <v>507</v>
      </c>
      <c r="B128" s="48"/>
      <c r="C128" s="133">
        <f>-SUM(C28:C85)-C124-C126-C122</f>
        <v>-4980.7839999999997</v>
      </c>
      <c r="D128" s="133">
        <f t="shared" ref="D128:O128" si="13">-SUM(D28:D85)-D124-D126-D122</f>
        <v>-5002.7839999999997</v>
      </c>
      <c r="E128" s="133">
        <f t="shared" si="13"/>
        <v>-5008.7839999999997</v>
      </c>
      <c r="F128" s="133">
        <f t="shared" si="13"/>
        <v>-5010.7839999999997</v>
      </c>
      <c r="G128" s="133">
        <f t="shared" si="13"/>
        <v>-5015.7839999999997</v>
      </c>
      <c r="H128" s="133">
        <f t="shared" si="13"/>
        <v>-5020.7839999999997</v>
      </c>
      <c r="I128" s="133">
        <f t="shared" si="13"/>
        <v>-5022.7839999999997</v>
      </c>
      <c r="J128" s="133">
        <f t="shared" si="13"/>
        <v>-5028.7839999999997</v>
      </c>
      <c r="K128" s="133">
        <f t="shared" si="13"/>
        <v>-5031.7839999999997</v>
      </c>
      <c r="L128" s="133">
        <f t="shared" si="13"/>
        <v>-5034.7839999999997</v>
      </c>
      <c r="M128" s="133">
        <f t="shared" si="13"/>
        <v>-5041.7839999999997</v>
      </c>
      <c r="N128" s="133">
        <f t="shared" si="13"/>
        <v>-5044.7839999999997</v>
      </c>
      <c r="O128" s="136">
        <f t="shared" si="13"/>
        <v>-60244.423999999992</v>
      </c>
      <c r="P128" s="137"/>
    </row>
    <row r="129" spans="1:17" ht="13.5" customHeight="1" thickBot="1">
      <c r="A129" s="48"/>
      <c r="B129" s="48"/>
      <c r="C129" s="148"/>
      <c r="D129" s="148"/>
      <c r="E129" s="148"/>
      <c r="F129" s="148"/>
      <c r="G129" s="148"/>
      <c r="H129" s="148"/>
      <c r="I129" s="148"/>
      <c r="J129" s="148"/>
      <c r="K129" s="148"/>
      <c r="L129" s="148"/>
      <c r="M129" s="148"/>
      <c r="N129" s="148"/>
      <c r="O129" s="220">
        <v>0.01</v>
      </c>
    </row>
    <row r="130" spans="1:17" ht="13.5" customHeight="1" thickBot="1">
      <c r="A130" s="48" t="s">
        <v>446</v>
      </c>
      <c r="B130" s="48"/>
      <c r="C130" s="133">
        <f t="shared" ref="C130:O130" si="14">+C25+C128</f>
        <v>-1397.6589999999997</v>
      </c>
      <c r="D130" s="133">
        <f t="shared" si="14"/>
        <v>-1254.2839999999997</v>
      </c>
      <c r="E130" s="133">
        <f t="shared" si="14"/>
        <v>-1094.9089999999997</v>
      </c>
      <c r="F130" s="133">
        <f t="shared" si="14"/>
        <v>-931.53399999999965</v>
      </c>
      <c r="G130" s="133">
        <f t="shared" si="14"/>
        <v>-771.15899999999965</v>
      </c>
      <c r="H130" s="133">
        <f t="shared" si="14"/>
        <v>-610.78399999999965</v>
      </c>
      <c r="I130" s="133">
        <f t="shared" si="14"/>
        <v>-447.40899999999874</v>
      </c>
      <c r="J130" s="133">
        <f t="shared" si="14"/>
        <v>-288.03399999999965</v>
      </c>
      <c r="K130" s="133">
        <f t="shared" si="14"/>
        <v>-125.65899999999965</v>
      </c>
      <c r="L130" s="133">
        <f t="shared" si="14"/>
        <v>36.716000000000349</v>
      </c>
      <c r="M130" s="133">
        <f t="shared" si="14"/>
        <v>195.09100000000035</v>
      </c>
      <c r="N130" s="134">
        <f t="shared" si="14"/>
        <v>357.46600000000126</v>
      </c>
      <c r="O130" s="136">
        <f t="shared" si="14"/>
        <v>-6332.1739999999918</v>
      </c>
      <c r="P130" s="137"/>
    </row>
    <row r="131" spans="1:17" ht="13.5" customHeight="1">
      <c r="A131" s="48"/>
      <c r="B131" s="48"/>
      <c r="C131" s="869">
        <f>IF(RG!$A$91&lt;16,DG!$D$27/12,DG!$D$28/12)</f>
        <v>0</v>
      </c>
      <c r="D131" s="869">
        <f>IF(RG!$A$91&lt;16,DG!$D$27/12,DG!$D$28/12)</f>
        <v>0</v>
      </c>
      <c r="E131" s="869">
        <f>IF(RG!$A$91&lt;16,DG!$D$27/12,DG!$D$28/12)</f>
        <v>0</v>
      </c>
      <c r="F131" s="869">
        <f>IF(RG!$A$91&lt;16,DG!$D$27/12,DG!$D$28/12)</f>
        <v>0</v>
      </c>
      <c r="G131" s="869">
        <f>IF(RG!$A$91&lt;16,DG!$D$27/12,DG!$D$28/12)</f>
        <v>0</v>
      </c>
      <c r="H131" s="869">
        <f>IF(RG!$A$91&lt;16,DG!$D$27/12,DG!$D$28/12)</f>
        <v>0</v>
      </c>
      <c r="I131" s="869">
        <f>IF(RG!$A$91&lt;16,DG!$D$27/12,DG!$D$28/12)</f>
        <v>0</v>
      </c>
      <c r="J131" s="869">
        <f>IF(RG!$A$91&lt;16,DG!$D$27/12,DG!$D$28/12)</f>
        <v>0</v>
      </c>
      <c r="K131" s="869">
        <f>IF(RG!$A$91&lt;16,DG!$D$27/12,DG!$D$28/12)</f>
        <v>0</v>
      </c>
      <c r="L131" s="869">
        <f>IF(RG!$A$91&lt;16,DG!$D$27/12,DG!$D$28/12)</f>
        <v>0</v>
      </c>
      <c r="M131" s="869">
        <f>IF(RG!$A$91&lt;16,DG!$D$27/12,DG!$D$28/12)</f>
        <v>0</v>
      </c>
      <c r="N131" s="869">
        <f>IF(RG!$A$91&lt;16,DG!$D$27/12,DG!$D$28/12)</f>
        <v>0</v>
      </c>
      <c r="O131" s="869">
        <f>IF(RG!$A$91&lt;8.5,DG!$D$27/12,DG!$D$28/12)</f>
        <v>7.0833333333333338E-3</v>
      </c>
      <c r="P131" s="137"/>
    </row>
    <row r="132" spans="1:17" ht="13.5" customHeight="1" thickBot="1">
      <c r="A132" s="78" t="s">
        <v>200</v>
      </c>
      <c r="B132" s="48"/>
      <c r="C132" s="148"/>
      <c r="D132" s="148"/>
      <c r="E132" s="148"/>
      <c r="F132" s="148"/>
      <c r="G132" s="148"/>
      <c r="H132" s="148"/>
      <c r="I132" s="148"/>
      <c r="J132" s="148"/>
      <c r="K132" s="148"/>
      <c r="L132" s="148"/>
      <c r="M132" s="148"/>
      <c r="N132" s="148"/>
      <c r="O132" s="1090">
        <f>IF(RG!$A$82=2,0.0001,0)</f>
        <v>0</v>
      </c>
      <c r="P132" s="137"/>
    </row>
    <row r="133" spans="1:17" ht="13.5" customHeight="1" thickBot="1">
      <c r="A133" s="162" t="s">
        <v>188</v>
      </c>
      <c r="B133" s="48"/>
      <c r="C133" s="642">
        <f>IF(RG!$A$82=2,0,INT(('V3'!F99+'AE3'!D21)*0.14975))</f>
        <v>536</v>
      </c>
      <c r="D133" s="642">
        <f>IF(RG!$A$82=2,0,INT(('V3'!G99+'AE3'!E21)*0.14975))</f>
        <v>561</v>
      </c>
      <c r="E133" s="642">
        <f>IF(RG!$A$82=2,0,INT(('V3'!H99+'AE3'!F21)*0.14975))</f>
        <v>586</v>
      </c>
      <c r="F133" s="642">
        <f>IF(RG!$A$82=2,0,INT(('V3'!I99+'AE3'!G21)*0.14975))</f>
        <v>610</v>
      </c>
      <c r="G133" s="642">
        <f>IF(RG!$A$82=2,0,INT(('V3'!J99+'AE3'!H21)*0.14975))</f>
        <v>635</v>
      </c>
      <c r="H133" s="642">
        <f>IF(RG!$A$82=2,0,INT(('V3'!K99+'AE3'!I21)*0.14975))</f>
        <v>660</v>
      </c>
      <c r="I133" s="642">
        <f>IF(RG!$A$82=2,0,INT(('V3'!L99+'AE3'!J21)*0.14975))</f>
        <v>685</v>
      </c>
      <c r="J133" s="642">
        <f>IF(RG!$A$82=2,0,INT(('V3'!M99+'AE3'!K21)*0.14975))</f>
        <v>709</v>
      </c>
      <c r="K133" s="642">
        <f>IF(RG!$A$82=2,0,INT(('V3'!N99+'AE3'!L21)*0.14975))</f>
        <v>734</v>
      </c>
      <c r="L133" s="642">
        <f>IF(RG!$A$82=2,0,INT(('V3'!O99+'AE3'!M21)*0.14975))</f>
        <v>759</v>
      </c>
      <c r="M133" s="642">
        <f>IF(RG!$A$82=2,0,INT(('V3'!P99+'AE3'!N21)*0.14975))</f>
        <v>784</v>
      </c>
      <c r="N133" s="642">
        <f>IF(RG!$A$82=2,0,INT(('V3'!Q99+'AE3'!O21)*0.14975))</f>
        <v>808</v>
      </c>
      <c r="O133" s="216">
        <f>SUM(C133:N133)</f>
        <v>8067</v>
      </c>
      <c r="P133" s="137"/>
    </row>
    <row r="134" spans="1:17" ht="13.5" customHeight="1" thickBot="1">
      <c r="A134" s="162" t="s">
        <v>189</v>
      </c>
      <c r="B134" s="48"/>
      <c r="C134" s="551">
        <f>IF(RG!$A$82=2,0,INT((SUM(C31:C61)+SUM(C65:C75)+C122+'A3'!E94)*0.14975))</f>
        <v>13</v>
      </c>
      <c r="D134" s="551">
        <f>IF(RG!$A$82=2,0,INT((SUM(D31:D61)+SUM(D65:D75)+D122+'A3'!F94)*0.14975))</f>
        <v>13</v>
      </c>
      <c r="E134" s="551">
        <f>IF(RG!$A$82=2,0,INT((SUM(E31:E61)+SUM(E65:E75)+E122+'A3'!G94)*0.14975))</f>
        <v>14</v>
      </c>
      <c r="F134" s="551">
        <f>IF(RG!$A$82=2,0,INT((SUM(F31:F61)+SUM(F65:F75)+F122+'A3'!H94)*0.14975))</f>
        <v>14</v>
      </c>
      <c r="G134" s="551">
        <f>IF(RG!$A$82=2,0,INT((SUM(G31:G61)+SUM(G65:G75)+G122+'A3'!I94)*0.14975))</f>
        <v>15</v>
      </c>
      <c r="H134" s="551">
        <f>IF(RG!$A$82=2,0,INT((SUM(H31:H61)+SUM(H65:H75)+H122+'A3'!J94)*0.14975))</f>
        <v>16</v>
      </c>
      <c r="I134" s="551">
        <f>IF(RG!$A$82=2,0,INT((SUM(I31:I61)+SUM(I65:I75)+I122+'A3'!K94)*0.14975))</f>
        <v>16</v>
      </c>
      <c r="J134" s="551">
        <f>IF(RG!$A$82=2,0,INT((SUM(J31:J61)+SUM(J65:J75)+J122+'A3'!L94)*0.14975))</f>
        <v>17</v>
      </c>
      <c r="K134" s="551">
        <f>IF(RG!$A$82=2,0,INT((SUM(K31:K61)+SUM(K65:K75)+K122+'A3'!M94)*0.14975))</f>
        <v>18</v>
      </c>
      <c r="L134" s="551">
        <f>IF(RG!$A$82=2,0,INT((SUM(L31:L61)+SUM(L65:L75)+L122+'A3'!N94)*0.14975))</f>
        <v>18</v>
      </c>
      <c r="M134" s="551">
        <f>IF(RG!$A$82=2,0,INT((SUM(M31:M61)+SUM(M65:M75)+M122+'A3'!O94)*0.14975))</f>
        <v>19</v>
      </c>
      <c r="N134" s="551">
        <f>IF(RG!$A$82=2,0,INT((SUM(N31:N61)+SUM(N65:N75)+N122+'A3'!P94)*0.14975))</f>
        <v>20</v>
      </c>
      <c r="O134" s="217">
        <f>SUM(C134:N134)</f>
        <v>193</v>
      </c>
      <c r="P134" s="137"/>
    </row>
    <row r="135" spans="1:17" ht="13.5" customHeight="1" thickBot="1">
      <c r="A135" s="544" t="s">
        <v>201</v>
      </c>
      <c r="B135" s="48"/>
      <c r="C135" s="648">
        <f>'BC2'!N133-'BC2'!N134</f>
        <v>751</v>
      </c>
      <c r="D135" s="648">
        <f>C133-C134</f>
        <v>523</v>
      </c>
      <c r="E135" s="648">
        <f t="shared" ref="E135:N135" si="15">D133-D134</f>
        <v>548</v>
      </c>
      <c r="F135" s="648">
        <f t="shared" si="15"/>
        <v>572</v>
      </c>
      <c r="G135" s="648">
        <f t="shared" si="15"/>
        <v>596</v>
      </c>
      <c r="H135" s="648">
        <f t="shared" si="15"/>
        <v>620</v>
      </c>
      <c r="I135" s="648">
        <f t="shared" si="15"/>
        <v>644</v>
      </c>
      <c r="J135" s="648">
        <f t="shared" si="15"/>
        <v>669</v>
      </c>
      <c r="K135" s="648">
        <f t="shared" si="15"/>
        <v>692</v>
      </c>
      <c r="L135" s="648">
        <f t="shared" si="15"/>
        <v>716</v>
      </c>
      <c r="M135" s="648">
        <f t="shared" si="15"/>
        <v>741</v>
      </c>
      <c r="N135" s="649">
        <f t="shared" si="15"/>
        <v>765</v>
      </c>
      <c r="O135" s="136">
        <f>SUM(C135:N135)</f>
        <v>7837</v>
      </c>
      <c r="P135" s="137"/>
    </row>
    <row r="136" spans="1:17" s="143" customFormat="1" ht="13.5" customHeight="1" thickBot="1">
      <c r="A136" s="48"/>
      <c r="B136" s="48"/>
      <c r="C136" s="148"/>
      <c r="D136" s="148"/>
      <c r="E136" s="148"/>
      <c r="F136" s="148"/>
      <c r="G136" s="148"/>
      <c r="H136" s="148"/>
      <c r="I136" s="148"/>
      <c r="J136" s="148"/>
      <c r="K136" s="148"/>
      <c r="L136" s="148"/>
      <c r="M136" s="148"/>
      <c r="N136" s="148"/>
      <c r="O136" s="151">
        <f>IF(RG!$A$82=2,0.0001,0)</f>
        <v>0</v>
      </c>
    </row>
    <row r="137" spans="1:17" s="143" customFormat="1" ht="13.5" customHeight="1" thickBot="1">
      <c r="A137" s="43" t="s">
        <v>447</v>
      </c>
      <c r="B137" s="43"/>
      <c r="C137" s="133">
        <f>C15+C130+C133-C134-C135</f>
        <v>-1392.0740999999834</v>
      </c>
      <c r="D137" s="133">
        <f t="shared" ref="D137:N137" si="16">D15+D130+D133-D134-D135</f>
        <v>-1121.3580999999831</v>
      </c>
      <c r="E137" s="133">
        <f t="shared" si="16"/>
        <v>-692.26709999998275</v>
      </c>
      <c r="F137" s="133">
        <f t="shared" si="16"/>
        <v>-599.8010999999824</v>
      </c>
      <c r="G137" s="133">
        <f t="shared" si="16"/>
        <v>-346.96009999998205</v>
      </c>
      <c r="H137" s="133">
        <f t="shared" si="16"/>
        <v>-433.7440999999817</v>
      </c>
      <c r="I137" s="133">
        <f t="shared" si="16"/>
        <v>-356.15309999998044</v>
      </c>
      <c r="J137" s="133">
        <f t="shared" si="16"/>
        <v>-121.18709999998009</v>
      </c>
      <c r="K137" s="133">
        <f t="shared" si="16"/>
        <v>277.15390000002026</v>
      </c>
      <c r="L137" s="133">
        <f t="shared" si="16"/>
        <v>338.86990000002061</v>
      </c>
      <c r="M137" s="133">
        <f t="shared" si="16"/>
        <v>557.96090000002096</v>
      </c>
      <c r="N137" s="133">
        <f t="shared" si="16"/>
        <v>438.42690000002221</v>
      </c>
      <c r="O137" s="136">
        <f>O15+O130+O133-O134-O135</f>
        <v>-6061.5890999999756</v>
      </c>
      <c r="P137" s="137"/>
    </row>
    <row r="138" spans="1:17" s="143" customFormat="1" ht="13.5" customHeight="1" thickBot="1">
      <c r="A138" s="43"/>
      <c r="B138" s="43"/>
      <c r="C138" s="148"/>
      <c r="D138" s="148"/>
      <c r="E138" s="148"/>
      <c r="F138" s="148"/>
      <c r="G138" s="148"/>
      <c r="H138" s="148"/>
      <c r="I138" s="148"/>
      <c r="J138" s="148"/>
      <c r="K138" s="148"/>
      <c r="L138" s="148"/>
      <c r="M138" s="148"/>
      <c r="N138" s="148"/>
      <c r="O138" s="151">
        <f>IF(O139+O140+O141+O142=0,0,0.001)</f>
        <v>1E-3</v>
      </c>
    </row>
    <row r="139" spans="1:17" s="143" customFormat="1" ht="13.5" customHeight="1" thickBot="1">
      <c r="A139" s="43" t="s">
        <v>279</v>
      </c>
      <c r="B139" s="43"/>
      <c r="C139" s="133">
        <f>'BC2'!O142</f>
        <v>8500</v>
      </c>
      <c r="D139" s="133">
        <f t="shared" ref="D139:N139" si="17">C139+C140+C141</f>
        <v>10000</v>
      </c>
      <c r="E139" s="133">
        <f t="shared" si="17"/>
        <v>11500</v>
      </c>
      <c r="F139" s="133">
        <f t="shared" si="17"/>
        <v>12500</v>
      </c>
      <c r="G139" s="133">
        <f t="shared" si="17"/>
        <v>13500</v>
      </c>
      <c r="H139" s="133">
        <f t="shared" si="17"/>
        <v>14000</v>
      </c>
      <c r="I139" s="133">
        <f t="shared" si="17"/>
        <v>14500</v>
      </c>
      <c r="J139" s="133">
        <f t="shared" si="17"/>
        <v>15000</v>
      </c>
      <c r="K139" s="133">
        <f t="shared" si="17"/>
        <v>15500</v>
      </c>
      <c r="L139" s="133">
        <f t="shared" si="17"/>
        <v>15500</v>
      </c>
      <c r="M139" s="133">
        <f t="shared" si="17"/>
        <v>15500</v>
      </c>
      <c r="N139" s="133">
        <f t="shared" si="17"/>
        <v>15000</v>
      </c>
      <c r="O139" s="136">
        <f>C139</f>
        <v>8500</v>
      </c>
    </row>
    <row r="140" spans="1:17" ht="13.5" customHeight="1" thickBot="1">
      <c r="A140" s="43" t="s">
        <v>280</v>
      </c>
      <c r="B140" s="48"/>
      <c r="C140" s="133">
        <f>IF(RG!$A$90=1,DG!C284,IF(RG!$A$90=2,DG!C289,DG!C294))</f>
        <v>1500</v>
      </c>
      <c r="D140" s="133">
        <f>IF(RG!$A$90=1,DG!D284,IF(RG!$A$90=2,DG!D289,DG!D294))</f>
        <v>1500</v>
      </c>
      <c r="E140" s="133">
        <f>IF(RG!$A$90=1,DG!E284,IF(RG!$A$90=2,DG!E289,DG!E294))</f>
        <v>1000</v>
      </c>
      <c r="F140" s="133">
        <f>IF(RG!$A$90=1,DG!F284,IF(RG!$A$90=2,DG!F289,DG!F294))</f>
        <v>1000</v>
      </c>
      <c r="G140" s="133">
        <f>IF(RG!$A$90=1,DG!G284,IF(RG!$A$90=2,DG!G289,DG!G294))</f>
        <v>500</v>
      </c>
      <c r="H140" s="133">
        <f>IF(RG!$A$90=1,DG!H284,IF(RG!$A$90=2,DG!H289,DG!H294))</f>
        <v>500</v>
      </c>
      <c r="I140" s="133">
        <f>IF(RG!$A$90=1,DG!I284,IF(RG!$A$90=2,DG!I289,DG!I294))</f>
        <v>500</v>
      </c>
      <c r="J140" s="133">
        <f>IF(RG!$A$90=1,DG!J284,IF(RG!$A$90=2,DG!J289,DG!J294))</f>
        <v>500</v>
      </c>
      <c r="K140" s="133">
        <f>IF(RG!$A$90=1,DG!K284,IF(RG!$A$90=2,DG!K289,DG!K294))</f>
        <v>0</v>
      </c>
      <c r="L140" s="133">
        <f>IF(RG!$A$90=1,DG!L284,IF(RG!$A$90=2,DG!L289,DG!L294))</f>
        <v>0</v>
      </c>
      <c r="M140" s="133">
        <f>IF(RG!$A$90=1,DG!M284,IF(RG!$A$90=2,DG!M289,DG!M294))</f>
        <v>0</v>
      </c>
      <c r="N140" s="133">
        <f>IF(RG!$A$90=1,DG!N284,IF(RG!$A$90=2,DG!N289,DG!N294))</f>
        <v>0</v>
      </c>
      <c r="O140" s="136">
        <f>SUM(C140:N140)</f>
        <v>7000</v>
      </c>
    </row>
    <row r="141" spans="1:17" ht="13.5" customHeight="1" thickBot="1">
      <c r="A141" s="43" t="s">
        <v>227</v>
      </c>
      <c r="B141" s="48"/>
      <c r="C141" s="133">
        <f>IF(RG!$A$90=1,DG!C286,IF(RG!$A$90=2,DG!C291,DG!C296))</f>
        <v>0</v>
      </c>
      <c r="D141" s="133">
        <f>IF(RG!$A$90=1,DG!D286,IF(RG!$A$90=2,DG!D291,DG!D296))</f>
        <v>0</v>
      </c>
      <c r="E141" s="133">
        <f>IF(RG!$A$90=1,DG!E286,IF(RG!$A$90=2,DG!E291,DG!E296))</f>
        <v>0</v>
      </c>
      <c r="F141" s="133">
        <f>IF(RG!$A$90=1,DG!F286,IF(RG!$A$90=2,DG!F291,DG!F296))</f>
        <v>0</v>
      </c>
      <c r="G141" s="133">
        <f>IF(RG!$A$90=1,DG!G286,IF(RG!$A$90=2,DG!G291,DG!G296))</f>
        <v>0</v>
      </c>
      <c r="H141" s="133">
        <f>IF(RG!$A$90=1,DG!H286,IF(RG!$A$90=2,DG!H291,DG!H296))</f>
        <v>0</v>
      </c>
      <c r="I141" s="133">
        <f>IF(RG!$A$90=1,DG!I286,IF(RG!$A$90=2,DG!I291,DG!I296))</f>
        <v>0</v>
      </c>
      <c r="J141" s="133">
        <f>IF(RG!$A$90=1,DG!J286,IF(RG!$A$90=2,DG!J291,DG!J296))</f>
        <v>0</v>
      </c>
      <c r="K141" s="133">
        <f>IF(RG!$A$90=1,DG!K286,IF(RG!$A$90=2,DG!K291,DG!K296))</f>
        <v>0</v>
      </c>
      <c r="L141" s="133">
        <f>IF(RG!$A$90=1,DG!L286,IF(RG!$A$90=2,DG!L291,DG!L296))</f>
        <v>0</v>
      </c>
      <c r="M141" s="133">
        <f>IF(RG!$A$90=1,DG!M286,IF(RG!$A$90=2,DG!M291,DG!M296))</f>
        <v>-500</v>
      </c>
      <c r="N141" s="133">
        <f>IF(RG!$A$90=1,DG!N286,IF(RG!$A$90=2,DG!N291,DG!N296))</f>
        <v>0</v>
      </c>
      <c r="O141" s="136">
        <f>SUM(C141:N141)</f>
        <v>-500</v>
      </c>
    </row>
    <row r="142" spans="1:17" ht="13.5" customHeight="1" thickBot="1">
      <c r="A142" s="43" t="s">
        <v>723</v>
      </c>
      <c r="B142" s="48"/>
      <c r="C142" s="133">
        <f>C139+C140+C141</f>
        <v>10000</v>
      </c>
      <c r="D142" s="133">
        <f t="shared" ref="D142:O142" si="18">D139+D140+D141</f>
        <v>11500</v>
      </c>
      <c r="E142" s="133">
        <f t="shared" si="18"/>
        <v>12500</v>
      </c>
      <c r="F142" s="133">
        <f t="shared" si="18"/>
        <v>13500</v>
      </c>
      <c r="G142" s="133">
        <f t="shared" si="18"/>
        <v>14000</v>
      </c>
      <c r="H142" s="133">
        <f t="shared" si="18"/>
        <v>14500</v>
      </c>
      <c r="I142" s="133">
        <f t="shared" si="18"/>
        <v>15000</v>
      </c>
      <c r="J142" s="133">
        <f t="shared" si="18"/>
        <v>15500</v>
      </c>
      <c r="K142" s="133">
        <f t="shared" si="18"/>
        <v>15500</v>
      </c>
      <c r="L142" s="133">
        <f t="shared" si="18"/>
        <v>15500</v>
      </c>
      <c r="M142" s="133">
        <f t="shared" si="18"/>
        <v>15000</v>
      </c>
      <c r="N142" s="134">
        <f t="shared" si="18"/>
        <v>15000</v>
      </c>
      <c r="O142" s="122">
        <f t="shared" si="18"/>
        <v>15000</v>
      </c>
    </row>
    <row r="143" spans="1:17" ht="13.5" customHeight="1" thickBot="1">
      <c r="A143" s="48"/>
      <c r="B143" s="48"/>
      <c r="C143" s="126"/>
      <c r="D143" s="126"/>
      <c r="E143" s="126"/>
      <c r="F143" s="126"/>
      <c r="G143" s="126"/>
      <c r="H143" s="126"/>
      <c r="I143" s="126"/>
      <c r="J143" s="126"/>
      <c r="K143" s="126"/>
      <c r="L143" s="126"/>
      <c r="M143" s="126"/>
      <c r="N143" s="126"/>
      <c r="O143" s="126">
        <v>1E-3</v>
      </c>
    </row>
    <row r="144" spans="1:17" ht="13.5" customHeight="1" thickBot="1">
      <c r="A144" s="48" t="s">
        <v>591</v>
      </c>
      <c r="B144" s="48"/>
      <c r="C144" s="133">
        <f>C137+C140+C141</f>
        <v>107.92590000001655</v>
      </c>
      <c r="D144" s="133">
        <f t="shared" ref="D144:N144" si="19">D137+D140+D141</f>
        <v>378.6419000000169</v>
      </c>
      <c r="E144" s="133">
        <f t="shared" si="19"/>
        <v>307.73290000001725</v>
      </c>
      <c r="F144" s="133">
        <f t="shared" si="19"/>
        <v>400.1989000000176</v>
      </c>
      <c r="G144" s="133">
        <f t="shared" si="19"/>
        <v>153.03990000001795</v>
      </c>
      <c r="H144" s="133">
        <f t="shared" si="19"/>
        <v>66.2559000000183</v>
      </c>
      <c r="I144" s="133">
        <f t="shared" si="19"/>
        <v>143.84690000001956</v>
      </c>
      <c r="J144" s="133">
        <f t="shared" si="19"/>
        <v>378.81290000001991</v>
      </c>
      <c r="K144" s="133">
        <f t="shared" si="19"/>
        <v>277.15390000002026</v>
      </c>
      <c r="L144" s="133">
        <f t="shared" si="19"/>
        <v>338.86990000002061</v>
      </c>
      <c r="M144" s="133">
        <f t="shared" si="19"/>
        <v>57.960900000020956</v>
      </c>
      <c r="N144" s="133">
        <f t="shared" si="19"/>
        <v>438.42690000002221</v>
      </c>
      <c r="O144" s="122">
        <f>O137+O140+O141</f>
        <v>438.41090000002441</v>
      </c>
      <c r="P144" s="890">
        <f>-BILAN!J17</f>
        <v>-438.48219000000654</v>
      </c>
      <c r="Q144" s="137">
        <f>SUM(O144:P144)</f>
        <v>-7.1289999982127483E-2</v>
      </c>
    </row>
    <row r="145" spans="12:14">
      <c r="L145" s="152"/>
    </row>
    <row r="147" spans="12:14" ht="12" customHeight="1"/>
    <row r="149" spans="12:14">
      <c r="N149" s="157"/>
    </row>
  </sheetData>
  <sheetProtection password="E242" sheet="1" objects="1" scenarios="1"/>
  <autoFilter ref="A15:O137" xr:uid="{00000000-0009-0000-0000-000039000000}"/>
  <customSheetViews>
    <customSheetView guid="{30D0538C-360A-4CDF-8D89-584CED1967CC}"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BA3E99EA-A2E5-4EB4-BED7-512EBC06B018}"/>
    </customSheetView>
    <customSheetView guid="{4F3169C3-3348-49DE-A6DC-8AA4D2A9D7A1}"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6A3F119C-30BE-4304-89FE-7FA46523FC87}"/>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- 5</oddHeader>
  </headerFooter>
  <drawing r:id="rId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44">
    <pageSetUpPr fitToPage="1"/>
  </sheetPr>
  <dimension ref="A1:R149"/>
  <sheetViews>
    <sheetView showGridLines="0" showOutlineSymbols="0" zoomScaleNormal="125" workbookViewId="0">
      <pane ySplit="15" topLeftCell="A133" activePane="bottomLeft" state="frozen"/>
      <selection pane="bottomLeft" activeCell="N152" sqref="N152"/>
    </sheetView>
  </sheetViews>
  <sheetFormatPr baseColWidth="10" defaultColWidth="11.453125" defaultRowHeight="10.5"/>
  <cols>
    <col min="1" max="1" width="27.08984375" style="116" customWidth="1"/>
    <col min="2" max="2" width="7.36328125" style="116" customWidth="1"/>
    <col min="3" max="6" width="11.453125" style="116"/>
    <col min="7" max="7" width="11.453125" style="117"/>
    <col min="8" max="8" width="11.453125" style="118"/>
    <col min="9" max="9" width="11.453125" style="119"/>
    <col min="10" max="10" width="11.453125" style="116"/>
    <col min="11" max="12" width="11.453125" style="119"/>
    <col min="13" max="13" width="11.453125" style="116"/>
    <col min="14" max="15" width="11.453125" style="119"/>
    <col min="16" max="16" width="13.08984375" style="116" hidden="1" customWidth="1"/>
    <col min="17" max="18" width="10.453125" style="116" hidden="1" customWidth="1"/>
    <col min="19" max="20" width="9.6328125" style="116" customWidth="1"/>
    <col min="21" max="21" width="12.6328125" style="116" customWidth="1"/>
    <col min="22" max="23" width="7.6328125" style="116" customWidth="1"/>
    <col min="24" max="24" width="12.6328125" style="116" customWidth="1"/>
    <col min="25" max="26" width="7.6328125" style="116" customWidth="1"/>
    <col min="27" max="27" width="12.6328125" style="116" customWidth="1"/>
    <col min="28" max="29" width="7.6328125" style="116" customWidth="1"/>
    <col min="30" max="16384" width="11.453125" style="116"/>
  </cols>
  <sheetData>
    <row r="1" spans="1:15" customFormat="1" ht="12.5"/>
    <row r="2" spans="1:15" customFormat="1" ht="12.5"/>
    <row r="3" spans="1:15" customFormat="1" ht="12.5"/>
    <row r="4" spans="1:15" s="261" customFormat="1" ht="12.5"/>
    <row r="5" spans="1:15" s="261" customFormat="1" ht="12.5"/>
    <row r="6" spans="1:15" s="261" customFormat="1" ht="12.5"/>
    <row r="7" spans="1:15" s="261" customFormat="1" ht="12.5"/>
    <row r="8" spans="1:15" ht="33">
      <c r="A8" s="42" t="str">
        <f>RG!D17</f>
        <v>Jhon Wesly inc.</v>
      </c>
      <c r="B8" s="120"/>
    </row>
    <row r="9" spans="1:15" ht="13">
      <c r="A9" s="44"/>
      <c r="B9" s="44"/>
    </row>
    <row r="10" spans="1:15" ht="15">
      <c r="A10" s="59" t="s">
        <v>470</v>
      </c>
      <c r="B10" s="59"/>
      <c r="D10" s="45"/>
    </row>
    <row r="11" spans="1:15" ht="13">
      <c r="A11" s="46" t="s">
        <v>878</v>
      </c>
      <c r="B11" s="46"/>
    </row>
    <row r="12" spans="1:15" ht="13.5" thickBot="1">
      <c r="A12" s="46"/>
      <c r="B12" s="46"/>
      <c r="C12" s="783">
        <f>C13+31</f>
        <v>46419</v>
      </c>
      <c r="D12" s="783">
        <f t="shared" ref="D12:N12" si="0">D13+31</f>
        <v>46450</v>
      </c>
      <c r="E12" s="783">
        <f t="shared" si="0"/>
        <v>46478</v>
      </c>
      <c r="F12" s="783">
        <f t="shared" si="0"/>
        <v>46509</v>
      </c>
      <c r="G12" s="783">
        <f t="shared" si="0"/>
        <v>46539</v>
      </c>
      <c r="H12" s="783">
        <f t="shared" si="0"/>
        <v>46570</v>
      </c>
      <c r="I12" s="783">
        <f t="shared" si="0"/>
        <v>46600</v>
      </c>
      <c r="J12" s="783">
        <f t="shared" si="0"/>
        <v>46631</v>
      </c>
      <c r="K12" s="783">
        <f t="shared" si="0"/>
        <v>46662</v>
      </c>
      <c r="L12" s="783">
        <f t="shared" si="0"/>
        <v>46692</v>
      </c>
      <c r="M12" s="783">
        <f t="shared" si="0"/>
        <v>46723</v>
      </c>
      <c r="N12" s="783">
        <f t="shared" si="0"/>
        <v>46753</v>
      </c>
    </row>
    <row r="13" spans="1:15" ht="13.5" customHeight="1" thickBot="1">
      <c r="C13" s="207">
        <f>EDATE('BC3'!N13,1)</f>
        <v>46388</v>
      </c>
      <c r="D13" s="207">
        <f>EDATE(C13,1)</f>
        <v>46419</v>
      </c>
      <c r="E13" s="207">
        <f t="shared" ref="E13:N13" si="1">EDATE(D13,1)</f>
        <v>46447</v>
      </c>
      <c r="F13" s="207">
        <f t="shared" si="1"/>
        <v>46478</v>
      </c>
      <c r="G13" s="207">
        <f t="shared" si="1"/>
        <v>46508</v>
      </c>
      <c r="H13" s="207">
        <f t="shared" si="1"/>
        <v>46539</v>
      </c>
      <c r="I13" s="207">
        <f t="shared" si="1"/>
        <v>46569</v>
      </c>
      <c r="J13" s="207">
        <f t="shared" si="1"/>
        <v>46600</v>
      </c>
      <c r="K13" s="207">
        <f t="shared" si="1"/>
        <v>46631</v>
      </c>
      <c r="L13" s="207">
        <f t="shared" si="1"/>
        <v>46661</v>
      </c>
      <c r="M13" s="207">
        <f t="shared" si="1"/>
        <v>46692</v>
      </c>
      <c r="N13" s="207">
        <f t="shared" si="1"/>
        <v>46722</v>
      </c>
      <c r="O13" s="75" t="s">
        <v>498</v>
      </c>
    </row>
    <row r="14" spans="1:15" ht="13.5" customHeight="1" thickBot="1">
      <c r="C14" s="117"/>
      <c r="D14" s="117"/>
      <c r="E14" s="117"/>
      <c r="F14" s="121"/>
      <c r="G14" s="121"/>
      <c r="H14" s="117"/>
      <c r="I14" s="121"/>
      <c r="J14" s="121"/>
      <c r="K14" s="117"/>
      <c r="L14" s="121"/>
      <c r="M14" s="121"/>
      <c r="N14" s="117"/>
      <c r="O14" s="117"/>
    </row>
    <row r="15" spans="1:15" ht="13.5" customHeight="1" thickBot="1">
      <c r="A15" s="48" t="s">
        <v>499</v>
      </c>
      <c r="B15" s="48"/>
      <c r="C15" s="122">
        <f>'BC3'!O144</f>
        <v>438.41090000002441</v>
      </c>
      <c r="D15" s="122">
        <f>C144</f>
        <v>184.75622000002477</v>
      </c>
      <c r="E15" s="122">
        <f t="shared" ref="E15:N15" si="2">D144</f>
        <v>364.47654000002512</v>
      </c>
      <c r="F15" s="122">
        <f t="shared" si="2"/>
        <v>203.57186000002548</v>
      </c>
      <c r="G15" s="122">
        <f t="shared" si="2"/>
        <v>204.04218000002584</v>
      </c>
      <c r="H15" s="122">
        <f t="shared" si="2"/>
        <v>365.88750000002619</v>
      </c>
      <c r="I15" s="122">
        <f t="shared" si="2"/>
        <v>188.10782000002655</v>
      </c>
      <c r="J15" s="122">
        <f t="shared" si="2"/>
        <v>174.70314000002782</v>
      </c>
      <c r="K15" s="122">
        <f t="shared" si="2"/>
        <v>318.67346000002817</v>
      </c>
      <c r="L15" s="122">
        <f t="shared" si="2"/>
        <v>126.01878000002853</v>
      </c>
      <c r="M15" s="122">
        <f t="shared" si="2"/>
        <v>95.739100000028884</v>
      </c>
      <c r="N15" s="122">
        <f t="shared" si="2"/>
        <v>224.83442000002924</v>
      </c>
      <c r="O15" s="123">
        <f>C15</f>
        <v>438.41090000002441</v>
      </c>
    </row>
    <row r="16" spans="1:15" ht="13.5" customHeight="1">
      <c r="A16" s="124"/>
      <c r="B16" s="124"/>
      <c r="C16" s="125"/>
      <c r="D16" s="125"/>
      <c r="E16" s="125"/>
      <c r="F16" s="125"/>
      <c r="G16" s="125"/>
      <c r="H16" s="125"/>
      <c r="I16" s="125"/>
      <c r="J16" s="125"/>
      <c r="K16" s="125"/>
      <c r="L16" s="125"/>
      <c r="M16" s="125"/>
      <c r="N16" s="125"/>
      <c r="O16" s="126"/>
    </row>
    <row r="17" spans="1:16" ht="13.5" customHeight="1" thickBot="1">
      <c r="A17" s="127" t="s">
        <v>500</v>
      </c>
      <c r="B17" s="127"/>
      <c r="C17" s="128"/>
      <c r="D17" s="128"/>
      <c r="E17" s="128"/>
      <c r="F17" s="128"/>
      <c r="G17" s="128"/>
      <c r="H17" s="128"/>
      <c r="I17" s="128"/>
      <c r="J17" s="128"/>
      <c r="K17" s="128"/>
      <c r="L17" s="128"/>
      <c r="M17" s="128"/>
      <c r="N17" s="128"/>
      <c r="O17" s="129"/>
    </row>
    <row r="18" spans="1:16" ht="13.5" customHeight="1" thickBot="1">
      <c r="A18" s="53" t="str">
        <f>'BC1'!A18</f>
        <v>RECETTES</v>
      </c>
      <c r="B18" s="53"/>
      <c r="C18" s="130">
        <f>'V4'!F97</f>
        <v>3583.125</v>
      </c>
      <c r="D18" s="130">
        <f>'V4'!G97</f>
        <v>3748.5</v>
      </c>
      <c r="E18" s="130">
        <f>'V4'!H97</f>
        <v>3913.875</v>
      </c>
      <c r="F18" s="130">
        <f>'V4'!I97</f>
        <v>4079.25</v>
      </c>
      <c r="G18" s="130">
        <f>'V4'!J97</f>
        <v>4244.625</v>
      </c>
      <c r="H18" s="130">
        <f>'V4'!K97</f>
        <v>4410</v>
      </c>
      <c r="I18" s="130">
        <f>'V4'!L97</f>
        <v>4575.3750000000009</v>
      </c>
      <c r="J18" s="130">
        <f>'V4'!M97</f>
        <v>4740.75</v>
      </c>
      <c r="K18" s="130">
        <f>'V4'!N97</f>
        <v>4906.125</v>
      </c>
      <c r="L18" s="130">
        <f>'V4'!O97</f>
        <v>5071.5</v>
      </c>
      <c r="M18" s="130">
        <f>'V4'!P97</f>
        <v>5236.875</v>
      </c>
      <c r="N18" s="131">
        <f>'V4'!Q97</f>
        <v>5402.2500000000009</v>
      </c>
      <c r="O18" s="132">
        <f t="shared" ref="O18:O23" si="3">SUM(C18:N18)</f>
        <v>53912.25</v>
      </c>
    </row>
    <row r="19" spans="1:16" ht="13.5" customHeight="1" thickBot="1">
      <c r="A19" s="53" t="str">
        <f>'BC1'!A19</f>
        <v>Autres revenus</v>
      </c>
      <c r="B19" s="53"/>
      <c r="C19" s="133">
        <f>'AE4'!D21</f>
        <v>0</v>
      </c>
      <c r="D19" s="133">
        <f>'AE4'!E21</f>
        <v>0</v>
      </c>
      <c r="E19" s="133">
        <f>'AE4'!F21</f>
        <v>0</v>
      </c>
      <c r="F19" s="133">
        <f>'AE4'!G21</f>
        <v>0</v>
      </c>
      <c r="G19" s="133">
        <f>'AE4'!H21</f>
        <v>0</v>
      </c>
      <c r="H19" s="133">
        <f>'AE4'!I21</f>
        <v>0</v>
      </c>
      <c r="I19" s="133">
        <f>'AE4'!J21</f>
        <v>0</v>
      </c>
      <c r="J19" s="133">
        <f>'AE4'!K21</f>
        <v>0</v>
      </c>
      <c r="K19" s="133">
        <f>'AE4'!L21</f>
        <v>0</v>
      </c>
      <c r="L19" s="133">
        <f>'AE4'!M21</f>
        <v>0</v>
      </c>
      <c r="M19" s="133">
        <f>'AE4'!N21</f>
        <v>0</v>
      </c>
      <c r="N19" s="133">
        <f>'AE4'!O21</f>
        <v>0</v>
      </c>
      <c r="O19" s="132">
        <f t="shared" si="3"/>
        <v>0</v>
      </c>
    </row>
    <row r="20" spans="1:16" ht="13.5" customHeight="1" thickBot="1">
      <c r="A20" s="53" t="str">
        <f>IF(RG!A74=3,"Émission d'actions","Apports")</f>
        <v>Émission d'actions</v>
      </c>
      <c r="B20" s="53"/>
      <c r="C20" s="135">
        <f>'AE4'!D25</f>
        <v>0</v>
      </c>
      <c r="D20" s="135">
        <f>'AE4'!E25</f>
        <v>0</v>
      </c>
      <c r="E20" s="135">
        <f>'AE4'!F25</f>
        <v>0</v>
      </c>
      <c r="F20" s="135">
        <f>'AE4'!G25</f>
        <v>0</v>
      </c>
      <c r="G20" s="135">
        <f>'AE4'!H25</f>
        <v>0</v>
      </c>
      <c r="H20" s="135">
        <f>'AE4'!I25</f>
        <v>0</v>
      </c>
      <c r="I20" s="135">
        <f>'AE4'!J25</f>
        <v>0</v>
      </c>
      <c r="J20" s="135">
        <f>'AE4'!K25</f>
        <v>0</v>
      </c>
      <c r="K20" s="135">
        <f>'AE4'!L25</f>
        <v>0</v>
      </c>
      <c r="L20" s="135">
        <f>'AE4'!M25</f>
        <v>0</v>
      </c>
      <c r="M20" s="135">
        <f>'AE4'!N25</f>
        <v>0</v>
      </c>
      <c r="N20" s="135">
        <f>'AE4'!O25</f>
        <v>0</v>
      </c>
      <c r="O20" s="132">
        <f t="shared" si="3"/>
        <v>0</v>
      </c>
    </row>
    <row r="21" spans="1:16" ht="13.5" customHeight="1" thickBot="1">
      <c r="A21" s="53" t="str">
        <f>'BC1'!A21</f>
        <v>Emprunts</v>
      </c>
      <c r="B21" s="53"/>
      <c r="C21" s="133">
        <f>'AE4'!D24</f>
        <v>0</v>
      </c>
      <c r="D21" s="133">
        <f>'AE4'!E24</f>
        <v>0</v>
      </c>
      <c r="E21" s="133">
        <f>'AE4'!F24</f>
        <v>0</v>
      </c>
      <c r="F21" s="133">
        <f>'AE4'!G24</f>
        <v>0</v>
      </c>
      <c r="G21" s="133">
        <f>'AE4'!H24</f>
        <v>0</v>
      </c>
      <c r="H21" s="133">
        <f>'AE4'!I24</f>
        <v>0</v>
      </c>
      <c r="I21" s="133">
        <f>'AE4'!J24</f>
        <v>0</v>
      </c>
      <c r="J21" s="133">
        <f>'AE4'!K24</f>
        <v>0</v>
      </c>
      <c r="K21" s="133">
        <f>'AE4'!L24</f>
        <v>0</v>
      </c>
      <c r="L21" s="133">
        <f>'AE4'!M24</f>
        <v>0</v>
      </c>
      <c r="M21" s="133">
        <f>'AE4'!N24</f>
        <v>0</v>
      </c>
      <c r="N21" s="133">
        <f>'AE4'!O24</f>
        <v>0</v>
      </c>
      <c r="O21" s="132">
        <f t="shared" si="3"/>
        <v>0</v>
      </c>
    </row>
    <row r="22" spans="1:16" ht="13.5" customHeight="1" thickBot="1">
      <c r="A22" s="53" t="str">
        <f>'BC1'!A22</f>
        <v>Comptes à recevoir</v>
      </c>
      <c r="B22" s="53"/>
      <c r="C22" s="133"/>
      <c r="D22" s="133"/>
      <c r="E22" s="133"/>
      <c r="F22" s="133"/>
      <c r="G22" s="133"/>
      <c r="H22" s="133"/>
      <c r="I22" s="133"/>
      <c r="J22" s="133"/>
      <c r="K22" s="133"/>
      <c r="L22" s="133"/>
      <c r="M22" s="133"/>
      <c r="N22" s="134"/>
      <c r="O22" s="132">
        <f t="shared" si="3"/>
        <v>0</v>
      </c>
    </row>
    <row r="23" spans="1:16" ht="13.5" customHeight="1" thickBot="1">
      <c r="A23" s="53" t="str">
        <f>'BC1'!A24</f>
        <v>Subventions</v>
      </c>
      <c r="B23" s="53"/>
      <c r="C23" s="133">
        <f>'AE4'!D26</f>
        <v>0</v>
      </c>
      <c r="D23" s="133">
        <f>'AE4'!E26</f>
        <v>0</v>
      </c>
      <c r="E23" s="133">
        <f>'AE4'!F26</f>
        <v>0</v>
      </c>
      <c r="F23" s="133">
        <f>'AE4'!G26</f>
        <v>0</v>
      </c>
      <c r="G23" s="133">
        <f>'AE4'!H26</f>
        <v>0</v>
      </c>
      <c r="H23" s="133">
        <f>'AE4'!I26</f>
        <v>0</v>
      </c>
      <c r="I23" s="133">
        <f>'AE4'!J26</f>
        <v>0</v>
      </c>
      <c r="J23" s="133">
        <f>'AE4'!K26</f>
        <v>0</v>
      </c>
      <c r="K23" s="133">
        <f>'AE4'!L26</f>
        <v>0</v>
      </c>
      <c r="L23" s="133">
        <f>'AE4'!M26</f>
        <v>0</v>
      </c>
      <c r="M23" s="133">
        <f>'AE4'!N26</f>
        <v>0</v>
      </c>
      <c r="N23" s="133">
        <f>'AE4'!O26</f>
        <v>0</v>
      </c>
      <c r="O23" s="132">
        <f t="shared" si="3"/>
        <v>0</v>
      </c>
    </row>
    <row r="24" spans="1:16" ht="13.5" thickBot="1">
      <c r="A24" s="43"/>
      <c r="B24" s="43"/>
      <c r="O24" s="158">
        <v>0</v>
      </c>
    </row>
    <row r="25" spans="1:16" ht="13.5" customHeight="1" thickBot="1">
      <c r="A25" s="48" t="s">
        <v>501</v>
      </c>
      <c r="B25" s="48"/>
      <c r="C25" s="133">
        <f t="shared" ref="C25:O25" si="4">SUM(C18:C23)</f>
        <v>3583.125</v>
      </c>
      <c r="D25" s="133">
        <f t="shared" si="4"/>
        <v>3748.5</v>
      </c>
      <c r="E25" s="133">
        <f t="shared" si="4"/>
        <v>3913.875</v>
      </c>
      <c r="F25" s="133">
        <f t="shared" si="4"/>
        <v>4079.25</v>
      </c>
      <c r="G25" s="133">
        <f t="shared" si="4"/>
        <v>4244.625</v>
      </c>
      <c r="H25" s="133">
        <f t="shared" si="4"/>
        <v>4410</v>
      </c>
      <c r="I25" s="133">
        <f t="shared" si="4"/>
        <v>4575.3750000000009</v>
      </c>
      <c r="J25" s="133">
        <f t="shared" si="4"/>
        <v>4740.75</v>
      </c>
      <c r="K25" s="133">
        <f t="shared" si="4"/>
        <v>4906.125</v>
      </c>
      <c r="L25" s="133">
        <f t="shared" si="4"/>
        <v>5071.5</v>
      </c>
      <c r="M25" s="133">
        <f t="shared" si="4"/>
        <v>5236.875</v>
      </c>
      <c r="N25" s="134">
        <f t="shared" si="4"/>
        <v>5402.2500000000009</v>
      </c>
      <c r="O25" s="136">
        <f t="shared" si="4"/>
        <v>53912.25</v>
      </c>
      <c r="P25" s="137"/>
    </row>
    <row r="26" spans="1:16" ht="13.5" customHeight="1">
      <c r="A26" s="48"/>
      <c r="B26" s="48"/>
      <c r="C26" s="138"/>
      <c r="D26" s="138"/>
      <c r="E26" s="138"/>
      <c r="F26" s="139"/>
      <c r="G26" s="139"/>
      <c r="H26" s="138"/>
      <c r="I26" s="139"/>
      <c r="J26" s="139"/>
      <c r="K26" s="138"/>
      <c r="L26" s="139"/>
      <c r="M26" s="139"/>
      <c r="N26" s="138"/>
      <c r="O26" s="159">
        <v>0</v>
      </c>
    </row>
    <row r="27" spans="1:16" ht="13.5" customHeight="1" thickBot="1">
      <c r="A27" s="48" t="str">
        <f>'BC1'!A28</f>
        <v>DÉBOURSÉS</v>
      </c>
      <c r="B27" s="48"/>
      <c r="C27" s="138"/>
      <c r="D27" s="138"/>
      <c r="E27" s="138"/>
      <c r="F27" s="139"/>
      <c r="G27" s="139"/>
      <c r="H27" s="138"/>
      <c r="I27" s="139"/>
      <c r="J27" s="139"/>
      <c r="K27" s="138"/>
      <c r="L27" s="139"/>
      <c r="M27" s="139"/>
      <c r="N27" s="138"/>
      <c r="O27" s="126"/>
    </row>
    <row r="28" spans="1:16" s="143" customFormat="1" ht="13.5" customHeight="1" thickBot="1">
      <c r="A28" s="867" t="str">
        <f>'BC1'!A29</f>
        <v xml:space="preserve">Achats </v>
      </c>
      <c r="B28" s="48"/>
      <c r="C28" s="140">
        <f>'A4'!E95</f>
        <v>0</v>
      </c>
      <c r="D28" s="140">
        <f>'A4'!F95</f>
        <v>0</v>
      </c>
      <c r="E28" s="140">
        <f>'A4'!G95</f>
        <v>0</v>
      </c>
      <c r="F28" s="140">
        <f>'A4'!H95</f>
        <v>0</v>
      </c>
      <c r="G28" s="140">
        <f>'A4'!I95</f>
        <v>0</v>
      </c>
      <c r="H28" s="140">
        <f>'A4'!J95</f>
        <v>0</v>
      </c>
      <c r="I28" s="140">
        <f>'A4'!K95</f>
        <v>0</v>
      </c>
      <c r="J28" s="140">
        <f>'A4'!L95</f>
        <v>0</v>
      </c>
      <c r="K28" s="140">
        <f>'A4'!M95</f>
        <v>0</v>
      </c>
      <c r="L28" s="140">
        <f>'A4'!N95</f>
        <v>0</v>
      </c>
      <c r="M28" s="140">
        <f>'A4'!O95</f>
        <v>0</v>
      </c>
      <c r="N28" s="140">
        <f>'A4'!P95</f>
        <v>0</v>
      </c>
      <c r="O28" s="132">
        <f t="shared" ref="O28:O36" si="5">SUM(C28:N28)</f>
        <v>0</v>
      </c>
      <c r="P28" s="142"/>
    </row>
    <row r="29" spans="1:16" s="143" customFormat="1" ht="13.5" customHeight="1" thickBot="1">
      <c r="A29" s="867" t="str">
        <f>'BC1'!A30</f>
        <v>Salaires de production</v>
      </c>
      <c r="B29" s="48"/>
      <c r="C29" s="144">
        <f>TE!C164+TE!C166</f>
        <v>0</v>
      </c>
      <c r="D29" s="144">
        <f>TE!D164+TE!D166</f>
        <v>0</v>
      </c>
      <c r="E29" s="144">
        <f>TE!E164+TE!E166</f>
        <v>0</v>
      </c>
      <c r="F29" s="144">
        <f>TE!F164+TE!F166</f>
        <v>0</v>
      </c>
      <c r="G29" s="144">
        <f>TE!G164+TE!G166</f>
        <v>0</v>
      </c>
      <c r="H29" s="144">
        <f>TE!H164+TE!H166</f>
        <v>0</v>
      </c>
      <c r="I29" s="144">
        <f>TE!I164+TE!I166</f>
        <v>0</v>
      </c>
      <c r="J29" s="144">
        <f>TE!J164+TE!J166</f>
        <v>0</v>
      </c>
      <c r="K29" s="144">
        <f>TE!K164+TE!K166</f>
        <v>0</v>
      </c>
      <c r="L29" s="144">
        <f>TE!L164+TE!L166</f>
        <v>0</v>
      </c>
      <c r="M29" s="144">
        <f>TE!M164+TE!M166</f>
        <v>0</v>
      </c>
      <c r="N29" s="144">
        <f>TE!N164+TE!N166</f>
        <v>0</v>
      </c>
      <c r="O29" s="136">
        <f t="shared" si="5"/>
        <v>0</v>
      </c>
      <c r="P29" s="145"/>
    </row>
    <row r="30" spans="1:16" s="143" customFormat="1" ht="13.5" customHeight="1" thickBot="1">
      <c r="A30" s="867" t="str">
        <f>'BC1'!A31</f>
        <v xml:space="preserve">   avantages</v>
      </c>
      <c r="B30" s="48"/>
      <c r="C30" s="146">
        <f>TE!N153+TE!N155</f>
        <v>0</v>
      </c>
      <c r="D30" s="146">
        <f>TE!C165+TE!C167</f>
        <v>0</v>
      </c>
      <c r="E30" s="146">
        <f>TE!D165+TE!D167</f>
        <v>0</v>
      </c>
      <c r="F30" s="146">
        <f>TE!E165+TE!E167</f>
        <v>0</v>
      </c>
      <c r="G30" s="146">
        <f>TE!F165+TE!F167</f>
        <v>0</v>
      </c>
      <c r="H30" s="146">
        <f>TE!G165+TE!G167</f>
        <v>0</v>
      </c>
      <c r="I30" s="146">
        <f>TE!H165+TE!H167</f>
        <v>0</v>
      </c>
      <c r="J30" s="146">
        <f>TE!I165+TE!I167</f>
        <v>0</v>
      </c>
      <c r="K30" s="146">
        <f>TE!J165+TE!J167</f>
        <v>0</v>
      </c>
      <c r="L30" s="146">
        <f>TE!K165+TE!K167</f>
        <v>0</v>
      </c>
      <c r="M30" s="146">
        <f>TE!L165+TE!L167</f>
        <v>0</v>
      </c>
      <c r="N30" s="146">
        <f>TE!M165+TE!M167</f>
        <v>0</v>
      </c>
      <c r="O30" s="147">
        <f t="shared" si="5"/>
        <v>0</v>
      </c>
    </row>
    <row r="31" spans="1:16" ht="13.5" customHeight="1" thickBot="1">
      <c r="A31" s="867" t="str">
        <f>'BC1'!A32</f>
        <v>Frais de variable 1</v>
      </c>
      <c r="B31" s="48"/>
      <c r="C31" s="144">
        <f>'FD4'!C18+'FD4'!C29+'FD4'!C40+'FD4'!C51+'FD4'!C62+'FD4'!C73</f>
        <v>88</v>
      </c>
      <c r="D31" s="144">
        <f>'FD4'!D18+'FD4'!D29+'FD4'!D40+'FD4'!D51+'FD4'!D62+'FD4'!D73</f>
        <v>92</v>
      </c>
      <c r="E31" s="144">
        <f>'FD4'!E18+'FD4'!E29+'FD4'!E40+'FD4'!E51+'FD4'!E62+'FD4'!E73</f>
        <v>97</v>
      </c>
      <c r="F31" s="144">
        <f>'FD4'!F18+'FD4'!F29+'FD4'!F40+'FD4'!F51+'FD4'!F62+'FD4'!F73</f>
        <v>100</v>
      </c>
      <c r="G31" s="144">
        <f>'FD4'!G18+'FD4'!G29+'FD4'!G40+'FD4'!G51+'FD4'!G62+'FD4'!G73</f>
        <v>105</v>
      </c>
      <c r="H31" s="144">
        <f>'FD4'!H18+'FD4'!H29+'FD4'!H40+'FD4'!H51+'FD4'!H62+'FD4'!H73</f>
        <v>109</v>
      </c>
      <c r="I31" s="144">
        <f>'FD4'!I18+'FD4'!I29+'FD4'!I40+'FD4'!I51+'FD4'!I62+'FD4'!I73</f>
        <v>112</v>
      </c>
      <c r="J31" s="144">
        <f>'FD4'!J18+'FD4'!J29+'FD4'!J40+'FD4'!J51+'FD4'!J62+'FD4'!J73</f>
        <v>117</v>
      </c>
      <c r="K31" s="144">
        <f>'FD4'!K18+'FD4'!K29+'FD4'!K40+'FD4'!K51+'FD4'!K62+'FD4'!K73</f>
        <v>121</v>
      </c>
      <c r="L31" s="144">
        <f>'FD4'!L18+'FD4'!L29+'FD4'!L40+'FD4'!L51+'FD4'!L62+'FD4'!L73</f>
        <v>124</v>
      </c>
      <c r="M31" s="144">
        <f>'FD4'!M18+'FD4'!M29+'FD4'!M40+'FD4'!M51+'FD4'!M62+'FD4'!M73</f>
        <v>130</v>
      </c>
      <c r="N31" s="144">
        <f>'FD4'!N18+'FD4'!N29+'FD4'!N40+'FD4'!N51+'FD4'!N62+'FD4'!N73</f>
        <v>134</v>
      </c>
      <c r="O31" s="132">
        <f t="shared" si="5"/>
        <v>1329</v>
      </c>
    </row>
    <row r="32" spans="1:16" ht="13.5" customHeight="1" thickBot="1">
      <c r="A32" s="867" t="str">
        <f>'BC1'!A33</f>
        <v>Frais de variable 2</v>
      </c>
      <c r="B32" s="48"/>
      <c r="C32" s="144">
        <f>'FD4'!C19+'FD4'!C30+'FD4'!C41+'FD4'!C52+'FD4'!C63+'FD4'!C74</f>
        <v>0</v>
      </c>
      <c r="D32" s="144">
        <f>'FD4'!D19+'FD4'!D30+'FD4'!D41+'FD4'!D52+'FD4'!D63+'FD4'!D74</f>
        <v>0</v>
      </c>
      <c r="E32" s="144">
        <f>'FD4'!E19+'FD4'!E30+'FD4'!E41+'FD4'!E52+'FD4'!E63+'FD4'!E74</f>
        <v>0</v>
      </c>
      <c r="F32" s="144">
        <f>'FD4'!F19+'FD4'!F30+'FD4'!F41+'FD4'!F52+'FD4'!F63+'FD4'!F74</f>
        <v>0</v>
      </c>
      <c r="G32" s="144">
        <f>'FD4'!G19+'FD4'!G30+'FD4'!G41+'FD4'!G52+'FD4'!G63+'FD4'!G74</f>
        <v>0</v>
      </c>
      <c r="H32" s="144">
        <f>'FD4'!H19+'FD4'!H30+'FD4'!H41+'FD4'!H52+'FD4'!H63+'FD4'!H74</f>
        <v>0</v>
      </c>
      <c r="I32" s="144">
        <f>'FD4'!I19+'FD4'!I30+'FD4'!I41+'FD4'!I52+'FD4'!I63+'FD4'!I74</f>
        <v>0</v>
      </c>
      <c r="J32" s="144">
        <f>'FD4'!J19+'FD4'!J30+'FD4'!J41+'FD4'!J52+'FD4'!J63+'FD4'!J74</f>
        <v>0</v>
      </c>
      <c r="K32" s="144">
        <f>'FD4'!K19+'FD4'!K30+'FD4'!K41+'FD4'!K52+'FD4'!K63+'FD4'!K74</f>
        <v>0</v>
      </c>
      <c r="L32" s="144">
        <f>'FD4'!L19+'FD4'!L30+'FD4'!L41+'FD4'!L52+'FD4'!L63+'FD4'!L74</f>
        <v>0</v>
      </c>
      <c r="M32" s="144">
        <f>'FD4'!M19+'FD4'!M30+'FD4'!M41+'FD4'!M52+'FD4'!M63+'FD4'!M74</f>
        <v>0</v>
      </c>
      <c r="N32" s="144">
        <f>'FD4'!N19+'FD4'!N30+'FD4'!N41+'FD4'!N52+'FD4'!N63+'FD4'!N74</f>
        <v>0</v>
      </c>
      <c r="O32" s="132">
        <f t="shared" si="5"/>
        <v>0</v>
      </c>
    </row>
    <row r="33" spans="1:15" ht="13.5" customHeight="1" thickBot="1">
      <c r="A33" s="867" t="str">
        <f>'BC1'!A34</f>
        <v>Frais de variable 3</v>
      </c>
      <c r="B33" s="48"/>
      <c r="C33" s="144">
        <f>'FD4'!C20+'FD4'!C31+'FD4'!C42+'FD4'!C53+'FD4'!C64+'FD4'!C75</f>
        <v>0</v>
      </c>
      <c r="D33" s="144">
        <f>'FD4'!D20+'FD4'!D31+'FD4'!D42+'FD4'!D53+'FD4'!D64+'FD4'!D75</f>
        <v>0</v>
      </c>
      <c r="E33" s="144">
        <f>'FD4'!E20+'FD4'!E31+'FD4'!E42+'FD4'!E53+'FD4'!E64+'FD4'!E75</f>
        <v>0</v>
      </c>
      <c r="F33" s="144">
        <f>'FD4'!F20+'FD4'!F31+'FD4'!F42+'FD4'!F53+'FD4'!F64+'FD4'!F75</f>
        <v>0</v>
      </c>
      <c r="G33" s="144">
        <f>'FD4'!G20+'FD4'!G31+'FD4'!G42+'FD4'!G53+'FD4'!G64+'FD4'!G75</f>
        <v>0</v>
      </c>
      <c r="H33" s="144">
        <f>'FD4'!H20+'FD4'!H31+'FD4'!H42+'FD4'!H53+'FD4'!H64+'FD4'!H75</f>
        <v>0</v>
      </c>
      <c r="I33" s="144">
        <f>'FD4'!I20+'FD4'!I31+'FD4'!I42+'FD4'!I53+'FD4'!I64+'FD4'!I75</f>
        <v>0</v>
      </c>
      <c r="J33" s="144">
        <f>'FD4'!J20+'FD4'!J31+'FD4'!J42+'FD4'!J53+'FD4'!J64+'FD4'!J75</f>
        <v>0</v>
      </c>
      <c r="K33" s="144">
        <f>'FD4'!K20+'FD4'!K31+'FD4'!K42+'FD4'!K53+'FD4'!K64+'FD4'!K75</f>
        <v>0</v>
      </c>
      <c r="L33" s="144">
        <f>'FD4'!L20+'FD4'!L31+'FD4'!L42+'FD4'!L53+'FD4'!L64+'FD4'!L75</f>
        <v>0</v>
      </c>
      <c r="M33" s="144">
        <f>'FD4'!M20+'FD4'!M31+'FD4'!M42+'FD4'!M53+'FD4'!M64+'FD4'!M75</f>
        <v>0</v>
      </c>
      <c r="N33" s="144">
        <f>'FD4'!N20+'FD4'!N31+'FD4'!N42+'FD4'!N53+'FD4'!N64+'FD4'!N75</f>
        <v>0</v>
      </c>
      <c r="O33" s="132">
        <f t="shared" si="5"/>
        <v>0</v>
      </c>
    </row>
    <row r="34" spans="1:15" ht="13.5" customHeight="1" thickBot="1">
      <c r="A34" s="867" t="str">
        <f>'BC1'!A35</f>
        <v>Frais de variable 4</v>
      </c>
      <c r="B34" s="48"/>
      <c r="C34" s="144">
        <f>'FD4'!C21+'FD4'!C32+'FD4'!C43+'FD4'!C54+'FD4'!C65+'FD4'!C76</f>
        <v>0</v>
      </c>
      <c r="D34" s="144">
        <f>'FD4'!D21+'FD4'!D32+'FD4'!D43+'FD4'!D54+'FD4'!D65+'FD4'!D76</f>
        <v>0</v>
      </c>
      <c r="E34" s="144">
        <f>'FD4'!E21+'FD4'!E32+'FD4'!E43+'FD4'!E54+'FD4'!E65+'FD4'!E76</f>
        <v>0</v>
      </c>
      <c r="F34" s="144">
        <f>'FD4'!F21+'FD4'!F32+'FD4'!F43+'FD4'!F54+'FD4'!F65+'FD4'!F76</f>
        <v>0</v>
      </c>
      <c r="G34" s="144">
        <f>'FD4'!G21+'FD4'!G32+'FD4'!G43+'FD4'!G54+'FD4'!G65+'FD4'!G76</f>
        <v>0</v>
      </c>
      <c r="H34" s="144">
        <f>'FD4'!H21+'FD4'!H32+'FD4'!H43+'FD4'!H54+'FD4'!H65+'FD4'!H76</f>
        <v>0</v>
      </c>
      <c r="I34" s="144">
        <f>'FD4'!I21+'FD4'!I32+'FD4'!I43+'FD4'!I54+'FD4'!I65+'FD4'!I76</f>
        <v>0</v>
      </c>
      <c r="J34" s="144">
        <f>'FD4'!J21+'FD4'!J32+'FD4'!J43+'FD4'!J54+'FD4'!J65+'FD4'!J76</f>
        <v>0</v>
      </c>
      <c r="K34" s="144">
        <f>'FD4'!K21+'FD4'!K32+'FD4'!K43+'FD4'!K54+'FD4'!K65+'FD4'!K76</f>
        <v>0</v>
      </c>
      <c r="L34" s="144">
        <f>'FD4'!L21+'FD4'!L32+'FD4'!L43+'FD4'!L54+'FD4'!L65+'FD4'!L76</f>
        <v>0</v>
      </c>
      <c r="M34" s="144">
        <f>'FD4'!M21+'FD4'!M32+'FD4'!M43+'FD4'!M54+'FD4'!M65+'FD4'!M76</f>
        <v>0</v>
      </c>
      <c r="N34" s="144">
        <f>'FD4'!N21+'FD4'!N32+'FD4'!N43+'FD4'!N54+'FD4'!N65+'FD4'!N76</f>
        <v>0</v>
      </c>
      <c r="O34" s="132">
        <f t="shared" si="5"/>
        <v>0</v>
      </c>
    </row>
    <row r="35" spans="1:15" ht="13.5" customHeight="1" thickBot="1">
      <c r="A35" s="867" t="str">
        <f>'BC1'!A36</f>
        <v>Frais de variable 5</v>
      </c>
      <c r="B35" s="48"/>
      <c r="C35" s="144">
        <f>'FD4'!C22+'FD4'!C33+'FD4'!C44+'FD4'!C55+'FD4'!C66+'FD4'!C77</f>
        <v>0</v>
      </c>
      <c r="D35" s="144">
        <f>'FD4'!D22+'FD4'!D33+'FD4'!D44+'FD4'!D55+'FD4'!D66+'FD4'!D77</f>
        <v>0</v>
      </c>
      <c r="E35" s="144">
        <f>'FD4'!E22+'FD4'!E33+'FD4'!E44+'FD4'!E55+'FD4'!E66+'FD4'!E77</f>
        <v>0</v>
      </c>
      <c r="F35" s="144">
        <f>'FD4'!F22+'FD4'!F33+'FD4'!F44+'FD4'!F55+'FD4'!F66+'FD4'!F77</f>
        <v>0</v>
      </c>
      <c r="G35" s="144">
        <f>'FD4'!G22+'FD4'!G33+'FD4'!G44+'FD4'!G55+'FD4'!G66+'FD4'!G77</f>
        <v>0</v>
      </c>
      <c r="H35" s="144">
        <f>'FD4'!H22+'FD4'!H33+'FD4'!H44+'FD4'!H55+'FD4'!H66+'FD4'!H77</f>
        <v>0</v>
      </c>
      <c r="I35" s="144">
        <f>'FD4'!I22+'FD4'!I33+'FD4'!I44+'FD4'!I55+'FD4'!I66+'FD4'!I77</f>
        <v>0</v>
      </c>
      <c r="J35" s="144">
        <f>'FD4'!J22+'FD4'!J33+'FD4'!J44+'FD4'!J55+'FD4'!J66+'FD4'!J77</f>
        <v>0</v>
      </c>
      <c r="K35" s="144">
        <f>'FD4'!K22+'FD4'!K33+'FD4'!K44+'FD4'!K55+'FD4'!K66+'FD4'!K77</f>
        <v>0</v>
      </c>
      <c r="L35" s="144">
        <f>'FD4'!L22+'FD4'!L33+'FD4'!L44+'FD4'!L55+'FD4'!L66+'FD4'!L77</f>
        <v>0</v>
      </c>
      <c r="M35" s="144">
        <f>'FD4'!M22+'FD4'!M33+'FD4'!M44+'FD4'!M55+'FD4'!M66+'FD4'!M77</f>
        <v>0</v>
      </c>
      <c r="N35" s="144">
        <f>'FD4'!N22+'FD4'!N33+'FD4'!N44+'FD4'!N55+'FD4'!N66+'FD4'!N77</f>
        <v>0</v>
      </c>
      <c r="O35" s="132">
        <f t="shared" si="5"/>
        <v>0</v>
      </c>
    </row>
    <row r="36" spans="1:15" ht="13.5" customHeight="1" thickBot="1">
      <c r="A36" s="867" t="str">
        <f>'BC1'!A37</f>
        <v>Frais de variable 6</v>
      </c>
      <c r="B36" s="48"/>
      <c r="C36" s="144">
        <f>'FD4'!C23+'FD4'!C34+'FD4'!C45+'FD4'!C56+'FD4'!C67+'FD4'!C78</f>
        <v>0</v>
      </c>
      <c r="D36" s="144">
        <f>'FD4'!D23+'FD4'!D34+'FD4'!D45+'FD4'!D56+'FD4'!D67+'FD4'!D78</f>
        <v>0</v>
      </c>
      <c r="E36" s="144">
        <f>'FD4'!E23+'FD4'!E34+'FD4'!E45+'FD4'!E56+'FD4'!E67+'FD4'!E78</f>
        <v>0</v>
      </c>
      <c r="F36" s="144">
        <f>'FD4'!F23+'FD4'!F34+'FD4'!F45+'FD4'!F56+'FD4'!F67+'FD4'!F78</f>
        <v>0</v>
      </c>
      <c r="G36" s="144">
        <f>'FD4'!G23+'FD4'!G34+'FD4'!G45+'FD4'!G56+'FD4'!G67+'FD4'!G78</f>
        <v>0</v>
      </c>
      <c r="H36" s="144">
        <f>'FD4'!H23+'FD4'!H34+'FD4'!H45+'FD4'!H56+'FD4'!H67+'FD4'!H78</f>
        <v>0</v>
      </c>
      <c r="I36" s="144">
        <f>'FD4'!I23+'FD4'!I34+'FD4'!I45+'FD4'!I56+'FD4'!I67+'FD4'!I78</f>
        <v>0</v>
      </c>
      <c r="J36" s="144">
        <f>'FD4'!J23+'FD4'!J34+'FD4'!J45+'FD4'!J56+'FD4'!J67+'FD4'!J78</f>
        <v>0</v>
      </c>
      <c r="K36" s="144">
        <f>'FD4'!K23+'FD4'!K34+'FD4'!K45+'FD4'!K56+'FD4'!K67+'FD4'!K78</f>
        <v>0</v>
      </c>
      <c r="L36" s="144">
        <f>'FD4'!L23+'FD4'!L34+'FD4'!L45+'FD4'!L56+'FD4'!L67+'FD4'!L78</f>
        <v>0</v>
      </c>
      <c r="M36" s="144">
        <f>'FD4'!M23+'FD4'!M34+'FD4'!M45+'FD4'!M56+'FD4'!M67+'FD4'!M78</f>
        <v>0</v>
      </c>
      <c r="N36" s="144">
        <f>'FD4'!N23+'FD4'!N34+'FD4'!N45+'FD4'!N56+'FD4'!N67+'FD4'!N78</f>
        <v>0</v>
      </c>
      <c r="O36" s="132">
        <f t="shared" si="5"/>
        <v>0</v>
      </c>
    </row>
    <row r="37" spans="1:15" ht="13.5" customHeight="1" thickBot="1">
      <c r="A37" s="48" t="str">
        <f>'BC1'!A38</f>
        <v>FRAIS D'EXPLOITATION</v>
      </c>
      <c r="B37" s="43"/>
      <c r="C37" s="214"/>
      <c r="D37" s="214"/>
      <c r="E37" s="214"/>
      <c r="F37" s="214"/>
      <c r="G37" s="214"/>
      <c r="H37" s="214"/>
      <c r="I37" s="214"/>
      <c r="J37" s="214"/>
      <c r="K37" s="214"/>
      <c r="L37" s="214"/>
      <c r="M37" s="214"/>
      <c r="N37" s="214"/>
      <c r="O37" s="864"/>
    </row>
    <row r="38" spans="1:15" ht="13.5" customHeight="1" thickBot="1">
      <c r="A38" s="867" t="str">
        <f>'BC1'!A39</f>
        <v>Loyer</v>
      </c>
      <c r="B38" s="43"/>
      <c r="C38" s="144">
        <f>'FG4'!C14</f>
        <v>0</v>
      </c>
      <c r="D38" s="144">
        <f>'FG4'!D14</f>
        <v>0</v>
      </c>
      <c r="E38" s="144">
        <f>'FG4'!E14</f>
        <v>0</v>
      </c>
      <c r="F38" s="144">
        <f>'FG4'!F14</f>
        <v>0</v>
      </c>
      <c r="G38" s="144">
        <f>'FG4'!G14</f>
        <v>0</v>
      </c>
      <c r="H38" s="144">
        <f>'FG4'!H14</f>
        <v>0</v>
      </c>
      <c r="I38" s="144">
        <f>'FG4'!I14</f>
        <v>0</v>
      </c>
      <c r="J38" s="144">
        <f>'FG4'!J14</f>
        <v>0</v>
      </c>
      <c r="K38" s="144">
        <f>'FG4'!K14</f>
        <v>0</v>
      </c>
      <c r="L38" s="144">
        <f>'FG4'!L14</f>
        <v>0</v>
      </c>
      <c r="M38" s="144">
        <f>'FG4'!M14</f>
        <v>0</v>
      </c>
      <c r="N38" s="144">
        <f>'FG4'!N14</f>
        <v>0</v>
      </c>
      <c r="O38" s="217">
        <f>SUM(C38:N38)</f>
        <v>0</v>
      </c>
    </row>
    <row r="39" spans="1:15" ht="13.5" customHeight="1" thickBot="1">
      <c r="A39" s="867" t="str">
        <f>'BC1'!A40</f>
        <v>Coût d'énergie</v>
      </c>
      <c r="B39" s="43"/>
      <c r="C39" s="144">
        <f>'FG4'!C16</f>
        <v>0</v>
      </c>
      <c r="D39" s="144">
        <f>'FG4'!D16</f>
        <v>0</v>
      </c>
      <c r="E39" s="144">
        <f>'FG4'!E16</f>
        <v>0</v>
      </c>
      <c r="F39" s="144">
        <f>'FG4'!F16</f>
        <v>0</v>
      </c>
      <c r="G39" s="144">
        <f>'FG4'!G16</f>
        <v>0</v>
      </c>
      <c r="H39" s="144">
        <f>'FG4'!H16</f>
        <v>0</v>
      </c>
      <c r="I39" s="144">
        <f>'FG4'!I16</f>
        <v>0</v>
      </c>
      <c r="J39" s="144">
        <f>'FG4'!J16</f>
        <v>0</v>
      </c>
      <c r="K39" s="144">
        <f>'FG4'!K16</f>
        <v>0</v>
      </c>
      <c r="L39" s="144">
        <f>'FG4'!L16</f>
        <v>0</v>
      </c>
      <c r="M39" s="144">
        <f>'FG4'!M16</f>
        <v>0</v>
      </c>
      <c r="N39" s="144">
        <f>'FG4'!N16</f>
        <v>0</v>
      </c>
      <c r="O39" s="217">
        <f t="shared" ref="O39:O61" si="6">SUM(C39:N39)</f>
        <v>0</v>
      </c>
    </row>
    <row r="40" spans="1:15" ht="13.5" customHeight="1" thickBot="1">
      <c r="A40" s="867" t="str">
        <f>'BC1'!A41</f>
        <v>Entretien / réparation</v>
      </c>
      <c r="B40" s="43"/>
      <c r="C40" s="144">
        <f>'FG4'!C18</f>
        <v>0</v>
      </c>
      <c r="D40" s="144">
        <f>'FG4'!D18</f>
        <v>0</v>
      </c>
      <c r="E40" s="144">
        <f>'FG4'!E18</f>
        <v>0</v>
      </c>
      <c r="F40" s="144">
        <f>'FG4'!F18</f>
        <v>0</v>
      </c>
      <c r="G40" s="144">
        <f>'FG4'!G18</f>
        <v>0</v>
      </c>
      <c r="H40" s="144">
        <f>'FG4'!H18</f>
        <v>0</v>
      </c>
      <c r="I40" s="144">
        <f>'FG4'!I18</f>
        <v>0</v>
      </c>
      <c r="J40" s="144">
        <f>'FG4'!J18</f>
        <v>0</v>
      </c>
      <c r="K40" s="144">
        <f>'FG4'!K18</f>
        <v>0</v>
      </c>
      <c r="L40" s="144">
        <f>'FG4'!L18</f>
        <v>0</v>
      </c>
      <c r="M40" s="144">
        <f>'FG4'!M18</f>
        <v>0</v>
      </c>
      <c r="N40" s="144">
        <f>'FG4'!N18</f>
        <v>0</v>
      </c>
      <c r="O40" s="217">
        <f t="shared" si="6"/>
        <v>0</v>
      </c>
    </row>
    <row r="41" spans="1:15" ht="13.5" customHeight="1" thickBot="1">
      <c r="A41" s="867" t="str">
        <f>'BC1'!A42</f>
        <v>Services sanitaires</v>
      </c>
      <c r="B41" s="43"/>
      <c r="C41" s="144">
        <f>'FG4'!C20</f>
        <v>0</v>
      </c>
      <c r="D41" s="144">
        <f>'FG4'!D20</f>
        <v>0</v>
      </c>
      <c r="E41" s="144">
        <f>'FG4'!E20</f>
        <v>0</v>
      </c>
      <c r="F41" s="144">
        <f>'FG4'!F20</f>
        <v>0</v>
      </c>
      <c r="G41" s="144">
        <f>'FG4'!G20</f>
        <v>0</v>
      </c>
      <c r="H41" s="144">
        <f>'FG4'!H20</f>
        <v>0</v>
      </c>
      <c r="I41" s="144">
        <f>'FG4'!I20</f>
        <v>0</v>
      </c>
      <c r="J41" s="144">
        <f>'FG4'!J20</f>
        <v>0</v>
      </c>
      <c r="K41" s="144">
        <f>'FG4'!K20</f>
        <v>0</v>
      </c>
      <c r="L41" s="144">
        <f>'FG4'!L20</f>
        <v>0</v>
      </c>
      <c r="M41" s="144">
        <f>'FG4'!M20</f>
        <v>0</v>
      </c>
      <c r="N41" s="144">
        <f>'FG4'!N20</f>
        <v>0</v>
      </c>
      <c r="O41" s="217">
        <f t="shared" si="6"/>
        <v>0</v>
      </c>
    </row>
    <row r="42" spans="1:15" ht="13.5" customHeight="1" thickBot="1">
      <c r="A42" s="867" t="str">
        <f>'BC1'!A43</f>
        <v>Frais de déplacement</v>
      </c>
      <c r="B42" s="43"/>
      <c r="C42" s="144">
        <f>'FG4'!C22</f>
        <v>0</v>
      </c>
      <c r="D42" s="144">
        <f>'FG4'!D22</f>
        <v>0</v>
      </c>
      <c r="E42" s="144">
        <f>'FG4'!E22</f>
        <v>0</v>
      </c>
      <c r="F42" s="144">
        <f>'FG4'!F22</f>
        <v>0</v>
      </c>
      <c r="G42" s="144">
        <f>'FG4'!G22</f>
        <v>0</v>
      </c>
      <c r="H42" s="144">
        <f>'FG4'!H22</f>
        <v>0</v>
      </c>
      <c r="I42" s="144">
        <f>'FG4'!I22</f>
        <v>0</v>
      </c>
      <c r="J42" s="144">
        <f>'FG4'!J22</f>
        <v>0</v>
      </c>
      <c r="K42" s="144">
        <f>'FG4'!K22</f>
        <v>0</v>
      </c>
      <c r="L42" s="144">
        <f>'FG4'!L22</f>
        <v>0</v>
      </c>
      <c r="M42" s="144">
        <f>'FG4'!M22</f>
        <v>0</v>
      </c>
      <c r="N42" s="144">
        <f>'FG4'!N22</f>
        <v>0</v>
      </c>
      <c r="O42" s="217">
        <f t="shared" si="6"/>
        <v>0</v>
      </c>
    </row>
    <row r="43" spans="1:15" ht="13.5" customHeight="1" thickBot="1">
      <c r="A43" s="867" t="str">
        <f>'BC1'!A44</f>
        <v>Immatriculation et permis</v>
      </c>
      <c r="B43" s="43"/>
      <c r="C43" s="144">
        <f>'FG4'!C24</f>
        <v>0</v>
      </c>
      <c r="D43" s="144">
        <f>'FG4'!D24</f>
        <v>0</v>
      </c>
      <c r="E43" s="144">
        <f>'FG4'!E24</f>
        <v>0</v>
      </c>
      <c r="F43" s="144">
        <f>'FG4'!F24</f>
        <v>0</v>
      </c>
      <c r="G43" s="144">
        <f>'FG4'!G24</f>
        <v>0</v>
      </c>
      <c r="H43" s="144">
        <f>'FG4'!H24</f>
        <v>0</v>
      </c>
      <c r="I43" s="144">
        <f>'FG4'!I24</f>
        <v>0</v>
      </c>
      <c r="J43" s="144">
        <f>'FG4'!J24</f>
        <v>0</v>
      </c>
      <c r="K43" s="144">
        <f>'FG4'!K24</f>
        <v>0</v>
      </c>
      <c r="L43" s="144">
        <f>'FG4'!L24</f>
        <v>0</v>
      </c>
      <c r="M43" s="144">
        <f>'FG4'!M24</f>
        <v>0</v>
      </c>
      <c r="N43" s="144">
        <f>'FG4'!N24</f>
        <v>0</v>
      </c>
      <c r="O43" s="217">
        <f t="shared" si="6"/>
        <v>0</v>
      </c>
    </row>
    <row r="44" spans="1:15" ht="13.5" customHeight="1" thickBot="1">
      <c r="A44" s="867" t="str">
        <f>'BC1'!A45</f>
        <v>Assurances</v>
      </c>
      <c r="B44" s="43"/>
      <c r="C44" s="144">
        <f>'FG4'!C26</f>
        <v>0</v>
      </c>
      <c r="D44" s="144">
        <f>'FG4'!D26</f>
        <v>0</v>
      </c>
      <c r="E44" s="144">
        <f>'FG4'!E26</f>
        <v>0</v>
      </c>
      <c r="F44" s="144">
        <f>'FG4'!F26</f>
        <v>0</v>
      </c>
      <c r="G44" s="144">
        <f>'FG4'!G26</f>
        <v>0</v>
      </c>
      <c r="H44" s="144">
        <f>'FG4'!H26</f>
        <v>0</v>
      </c>
      <c r="I44" s="144">
        <f>'FG4'!I26</f>
        <v>0</v>
      </c>
      <c r="J44" s="144">
        <f>'FG4'!J26</f>
        <v>0</v>
      </c>
      <c r="K44" s="144">
        <f>'FG4'!K26</f>
        <v>0</v>
      </c>
      <c r="L44" s="144">
        <f>'FG4'!L26</f>
        <v>0</v>
      </c>
      <c r="M44" s="144">
        <f>'FG4'!M26</f>
        <v>0</v>
      </c>
      <c r="N44" s="144">
        <f>'FG4'!N26</f>
        <v>0</v>
      </c>
      <c r="O44" s="217">
        <f t="shared" si="6"/>
        <v>0</v>
      </c>
    </row>
    <row r="45" spans="1:15" ht="13.5" customHeight="1" thickBot="1">
      <c r="A45" s="867" t="str">
        <f>'BC1'!A46</f>
        <v>Dépenses R&amp;D</v>
      </c>
      <c r="B45" s="43"/>
      <c r="C45" s="144">
        <f>'FG4'!C28</f>
        <v>0</v>
      </c>
      <c r="D45" s="144">
        <f>'FG4'!D28</f>
        <v>0</v>
      </c>
      <c r="E45" s="144">
        <f>'FG4'!E28</f>
        <v>0</v>
      </c>
      <c r="F45" s="144">
        <f>'FG4'!F28</f>
        <v>0</v>
      </c>
      <c r="G45" s="144">
        <f>'FG4'!G28</f>
        <v>0</v>
      </c>
      <c r="H45" s="144">
        <f>'FG4'!H28</f>
        <v>0</v>
      </c>
      <c r="I45" s="144">
        <f>'FG4'!I28</f>
        <v>0</v>
      </c>
      <c r="J45" s="144">
        <f>'FG4'!J28</f>
        <v>0</v>
      </c>
      <c r="K45" s="144">
        <f>'FG4'!K28</f>
        <v>0</v>
      </c>
      <c r="L45" s="144">
        <f>'FG4'!L28</f>
        <v>0</v>
      </c>
      <c r="M45" s="144">
        <f>'FG4'!M28</f>
        <v>0</v>
      </c>
      <c r="N45" s="144">
        <f>'FG4'!N28</f>
        <v>0</v>
      </c>
      <c r="O45" s="217">
        <f t="shared" si="6"/>
        <v>0</v>
      </c>
    </row>
    <row r="46" spans="1:15" ht="13.5" customHeight="1" thickBot="1">
      <c r="A46" s="867" t="str">
        <f>'BC1'!A47</f>
        <v>Autre frais d'exploitation 1</v>
      </c>
      <c r="B46" s="43"/>
      <c r="C46" s="144">
        <f>'FG4'!C30</f>
        <v>0</v>
      </c>
      <c r="D46" s="144">
        <f>'FG4'!D30</f>
        <v>0</v>
      </c>
      <c r="E46" s="144">
        <f>'FG4'!E30</f>
        <v>0</v>
      </c>
      <c r="F46" s="144">
        <f>'FG4'!F30</f>
        <v>0</v>
      </c>
      <c r="G46" s="144">
        <f>'FG4'!G30</f>
        <v>0</v>
      </c>
      <c r="H46" s="144">
        <f>'FG4'!H30</f>
        <v>0</v>
      </c>
      <c r="I46" s="144">
        <f>'FG4'!I30</f>
        <v>0</v>
      </c>
      <c r="J46" s="144">
        <f>'FG4'!J30</f>
        <v>0</v>
      </c>
      <c r="K46" s="144">
        <f>'FG4'!K30</f>
        <v>0</v>
      </c>
      <c r="L46" s="144">
        <f>'FG4'!L30</f>
        <v>0</v>
      </c>
      <c r="M46" s="144">
        <f>'FG4'!M30</f>
        <v>0</v>
      </c>
      <c r="N46" s="144">
        <f>'FG4'!N30</f>
        <v>0</v>
      </c>
      <c r="O46" s="217">
        <f t="shared" si="6"/>
        <v>0</v>
      </c>
    </row>
    <row r="47" spans="1:15" ht="13.5" customHeight="1" thickBot="1">
      <c r="A47" s="867" t="str">
        <f>'BC1'!A48</f>
        <v>Autre frais d'exploitation 2</v>
      </c>
      <c r="B47" s="43"/>
      <c r="C47" s="144">
        <f>'FG4'!C32</f>
        <v>0</v>
      </c>
      <c r="D47" s="144">
        <f>'FG4'!D32</f>
        <v>0</v>
      </c>
      <c r="E47" s="144">
        <f>'FG4'!E32</f>
        <v>0</v>
      </c>
      <c r="F47" s="144">
        <f>'FG4'!F32</f>
        <v>0</v>
      </c>
      <c r="G47" s="144">
        <f>'FG4'!G32</f>
        <v>0</v>
      </c>
      <c r="H47" s="144">
        <f>'FG4'!H32</f>
        <v>0</v>
      </c>
      <c r="I47" s="144">
        <f>'FG4'!I32</f>
        <v>0</v>
      </c>
      <c r="J47" s="144">
        <f>'FG4'!J32</f>
        <v>0</v>
      </c>
      <c r="K47" s="144">
        <f>'FG4'!K32</f>
        <v>0</v>
      </c>
      <c r="L47" s="144">
        <f>'FG4'!L32</f>
        <v>0</v>
      </c>
      <c r="M47" s="144">
        <f>'FG4'!M32</f>
        <v>0</v>
      </c>
      <c r="N47" s="144">
        <f>'FG4'!N32</f>
        <v>0</v>
      </c>
      <c r="O47" s="217">
        <f t="shared" si="6"/>
        <v>0</v>
      </c>
    </row>
    <row r="48" spans="1:15" ht="13.5" customHeight="1" thickBot="1">
      <c r="A48" s="867" t="str">
        <f>'BC1'!A49</f>
        <v>Autre frais d'exploitation 3</v>
      </c>
      <c r="B48" s="43"/>
      <c r="C48" s="144">
        <f>'FG4'!C34</f>
        <v>0</v>
      </c>
      <c r="D48" s="144">
        <f>'FG4'!D34</f>
        <v>0</v>
      </c>
      <c r="E48" s="144">
        <f>'FG4'!E34</f>
        <v>0</v>
      </c>
      <c r="F48" s="144">
        <f>'FG4'!F34</f>
        <v>0</v>
      </c>
      <c r="G48" s="144">
        <f>'FG4'!G34</f>
        <v>0</v>
      </c>
      <c r="H48" s="144">
        <f>'FG4'!H34</f>
        <v>0</v>
      </c>
      <c r="I48" s="144">
        <f>'FG4'!I34</f>
        <v>0</v>
      </c>
      <c r="J48" s="144">
        <f>'FG4'!J34</f>
        <v>0</v>
      </c>
      <c r="K48" s="144">
        <f>'FG4'!K34</f>
        <v>0</v>
      </c>
      <c r="L48" s="144">
        <f>'FG4'!L34</f>
        <v>0</v>
      </c>
      <c r="M48" s="144">
        <f>'FG4'!M34</f>
        <v>0</v>
      </c>
      <c r="N48" s="144">
        <f>'FG4'!N34</f>
        <v>0</v>
      </c>
      <c r="O48" s="217">
        <f t="shared" si="6"/>
        <v>0</v>
      </c>
    </row>
    <row r="49" spans="1:16" ht="13.5" customHeight="1" thickBot="1">
      <c r="A49" s="867" t="str">
        <f>'BC1'!A50</f>
        <v>Autre frais d'exploitation 4</v>
      </c>
      <c r="B49" s="43"/>
      <c r="C49" s="144">
        <f>'FG4'!C36</f>
        <v>0</v>
      </c>
      <c r="D49" s="144">
        <f>'FG4'!D36</f>
        <v>0</v>
      </c>
      <c r="E49" s="144">
        <f>'FG4'!E36</f>
        <v>0</v>
      </c>
      <c r="F49" s="144">
        <f>'FG4'!F36</f>
        <v>0</v>
      </c>
      <c r="G49" s="144">
        <f>'FG4'!G36</f>
        <v>0</v>
      </c>
      <c r="H49" s="144">
        <f>'FG4'!H36</f>
        <v>0</v>
      </c>
      <c r="I49" s="144">
        <f>'FG4'!I36</f>
        <v>0</v>
      </c>
      <c r="J49" s="144">
        <f>'FG4'!J36</f>
        <v>0</v>
      </c>
      <c r="K49" s="144">
        <f>'FG4'!K36</f>
        <v>0</v>
      </c>
      <c r="L49" s="144">
        <f>'FG4'!L36</f>
        <v>0</v>
      </c>
      <c r="M49" s="144">
        <f>'FG4'!M36</f>
        <v>0</v>
      </c>
      <c r="N49" s="144">
        <f>'FG4'!N36</f>
        <v>0</v>
      </c>
      <c r="O49" s="217">
        <f t="shared" si="6"/>
        <v>0</v>
      </c>
    </row>
    <row r="50" spans="1:16" ht="13.5" customHeight="1" thickBot="1">
      <c r="A50" s="867" t="str">
        <f>'BC1'!A51</f>
        <v>Autre frais d'exploitation 5</v>
      </c>
      <c r="B50" s="43"/>
      <c r="C50" s="144">
        <f>'FG4'!C38</f>
        <v>0</v>
      </c>
      <c r="D50" s="144">
        <f>'FG4'!D38</f>
        <v>0</v>
      </c>
      <c r="E50" s="144">
        <f>'FG4'!E38</f>
        <v>0</v>
      </c>
      <c r="F50" s="144">
        <f>'FG4'!F38</f>
        <v>0</v>
      </c>
      <c r="G50" s="144">
        <f>'FG4'!G38</f>
        <v>0</v>
      </c>
      <c r="H50" s="144">
        <f>'FG4'!H38</f>
        <v>0</v>
      </c>
      <c r="I50" s="144">
        <f>'FG4'!I38</f>
        <v>0</v>
      </c>
      <c r="J50" s="144">
        <f>'FG4'!J38</f>
        <v>0</v>
      </c>
      <c r="K50" s="144">
        <f>'FG4'!K38</f>
        <v>0</v>
      </c>
      <c r="L50" s="144">
        <f>'FG4'!L38</f>
        <v>0</v>
      </c>
      <c r="M50" s="144">
        <f>'FG4'!M38</f>
        <v>0</v>
      </c>
      <c r="N50" s="144">
        <f>'FG4'!N38</f>
        <v>0</v>
      </c>
      <c r="O50" s="217">
        <f t="shared" si="6"/>
        <v>0</v>
      </c>
    </row>
    <row r="51" spans="1:16" ht="13.5" customHeight="1" thickBot="1">
      <c r="A51" s="867" t="str">
        <f>'BC1'!A52</f>
        <v>Autre frais d'exploitation 6</v>
      </c>
      <c r="B51" s="43"/>
      <c r="C51" s="144">
        <f>'FG4'!C40</f>
        <v>0</v>
      </c>
      <c r="D51" s="144">
        <f>'FG4'!D40</f>
        <v>0</v>
      </c>
      <c r="E51" s="144">
        <f>'FG4'!E40</f>
        <v>0</v>
      </c>
      <c r="F51" s="144">
        <f>'FG4'!F40</f>
        <v>0</v>
      </c>
      <c r="G51" s="144">
        <f>'FG4'!G40</f>
        <v>0</v>
      </c>
      <c r="H51" s="144">
        <f>'FG4'!H40</f>
        <v>0</v>
      </c>
      <c r="I51" s="144">
        <f>'FG4'!I40</f>
        <v>0</v>
      </c>
      <c r="J51" s="144">
        <f>'FG4'!J40</f>
        <v>0</v>
      </c>
      <c r="K51" s="144">
        <f>'FG4'!K40</f>
        <v>0</v>
      </c>
      <c r="L51" s="144">
        <f>'FG4'!L40</f>
        <v>0</v>
      </c>
      <c r="M51" s="144">
        <f>'FG4'!M40</f>
        <v>0</v>
      </c>
      <c r="N51" s="144">
        <f>'FG4'!N40</f>
        <v>0</v>
      </c>
      <c r="O51" s="217">
        <f t="shared" si="6"/>
        <v>0</v>
      </c>
    </row>
    <row r="52" spans="1:16" ht="13.5" customHeight="1" thickBot="1">
      <c r="A52" s="867" t="str">
        <f>'BC1'!A53</f>
        <v>Autre frais d'exploitation 7</v>
      </c>
      <c r="B52" s="43"/>
      <c r="C52" s="144">
        <f>'FG4'!C42</f>
        <v>0</v>
      </c>
      <c r="D52" s="144">
        <f>'FG4'!D42</f>
        <v>0</v>
      </c>
      <c r="E52" s="144">
        <f>'FG4'!E42</f>
        <v>0</v>
      </c>
      <c r="F52" s="144">
        <f>'FG4'!F42</f>
        <v>0</v>
      </c>
      <c r="G52" s="144">
        <f>'FG4'!G42</f>
        <v>0</v>
      </c>
      <c r="H52" s="144">
        <f>'FG4'!H42</f>
        <v>0</v>
      </c>
      <c r="I52" s="144">
        <f>'FG4'!I42</f>
        <v>0</v>
      </c>
      <c r="J52" s="144">
        <f>'FG4'!J42</f>
        <v>0</v>
      </c>
      <c r="K52" s="144">
        <f>'FG4'!K42</f>
        <v>0</v>
      </c>
      <c r="L52" s="144">
        <f>'FG4'!L42</f>
        <v>0</v>
      </c>
      <c r="M52" s="144">
        <f>'FG4'!M42</f>
        <v>0</v>
      </c>
      <c r="N52" s="144">
        <f>'FG4'!N42</f>
        <v>0</v>
      </c>
      <c r="O52" s="217">
        <f t="shared" si="6"/>
        <v>0</v>
      </c>
    </row>
    <row r="53" spans="1:16" ht="13.5" customHeight="1" thickBot="1">
      <c r="A53" s="867" t="str">
        <f>'BC1'!A54</f>
        <v>Autre frais d'exploitation 8</v>
      </c>
      <c r="B53" s="43"/>
      <c r="C53" s="144">
        <f>'FG4'!C44</f>
        <v>0</v>
      </c>
      <c r="D53" s="144">
        <f>'FG4'!D44</f>
        <v>0</v>
      </c>
      <c r="E53" s="144">
        <f>'FG4'!E44</f>
        <v>0</v>
      </c>
      <c r="F53" s="144">
        <f>'FG4'!F44</f>
        <v>0</v>
      </c>
      <c r="G53" s="144">
        <f>'FG4'!G44</f>
        <v>0</v>
      </c>
      <c r="H53" s="144">
        <f>'FG4'!H44</f>
        <v>0</v>
      </c>
      <c r="I53" s="144">
        <f>'FG4'!I44</f>
        <v>0</v>
      </c>
      <c r="J53" s="144">
        <f>'FG4'!J44</f>
        <v>0</v>
      </c>
      <c r="K53" s="144">
        <f>'FG4'!K44</f>
        <v>0</v>
      </c>
      <c r="L53" s="144">
        <f>'FG4'!L44</f>
        <v>0</v>
      </c>
      <c r="M53" s="144">
        <f>'FG4'!M44</f>
        <v>0</v>
      </c>
      <c r="N53" s="144">
        <f>'FG4'!N44</f>
        <v>0</v>
      </c>
      <c r="O53" s="217">
        <f t="shared" si="6"/>
        <v>0</v>
      </c>
    </row>
    <row r="54" spans="1:16" ht="13.5" customHeight="1" thickBot="1">
      <c r="A54" s="48" t="str">
        <f>'BC1'!A55</f>
        <v>FRAIS DE VENTE</v>
      </c>
      <c r="B54" s="43"/>
      <c r="C54" s="214"/>
      <c r="D54" s="214"/>
      <c r="E54" s="214"/>
      <c r="F54" s="214"/>
      <c r="G54" s="214"/>
      <c r="H54" s="214"/>
      <c r="I54" s="214"/>
      <c r="J54" s="214"/>
      <c r="K54" s="214"/>
      <c r="L54" s="214"/>
      <c r="M54" s="214"/>
      <c r="N54" s="214"/>
      <c r="O54" s="864"/>
      <c r="P54" s="117"/>
    </row>
    <row r="55" spans="1:16" ht="13.5" customHeight="1" thickBot="1">
      <c r="A55" s="867" t="str">
        <f>'BC1'!A56</f>
        <v>Frais de représentation</v>
      </c>
      <c r="B55" s="43"/>
      <c r="C55" s="144">
        <f>'FG4'!C47</f>
        <v>0</v>
      </c>
      <c r="D55" s="144">
        <f>'FG4'!D47</f>
        <v>0</v>
      </c>
      <c r="E55" s="144">
        <f>'FG4'!E47</f>
        <v>0</v>
      </c>
      <c r="F55" s="144">
        <f>'FG4'!F47</f>
        <v>0</v>
      </c>
      <c r="G55" s="144">
        <f>'FG4'!G47</f>
        <v>0</v>
      </c>
      <c r="H55" s="144">
        <f>'FG4'!H47</f>
        <v>0</v>
      </c>
      <c r="I55" s="144">
        <f>'FG4'!I47</f>
        <v>0</v>
      </c>
      <c r="J55" s="144">
        <f>'FG4'!J47</f>
        <v>0</v>
      </c>
      <c r="K55" s="144">
        <f>'FG4'!K47</f>
        <v>0</v>
      </c>
      <c r="L55" s="144">
        <f>'FG4'!L47</f>
        <v>0</v>
      </c>
      <c r="M55" s="144">
        <f>'FG4'!M47</f>
        <v>0</v>
      </c>
      <c r="N55" s="144">
        <f>'FG4'!N47</f>
        <v>0</v>
      </c>
      <c r="O55" s="217">
        <f t="shared" si="6"/>
        <v>0</v>
      </c>
      <c r="P55" s="117"/>
    </row>
    <row r="56" spans="1:16" ht="13.5" customHeight="1" thickBot="1">
      <c r="A56" s="867" t="str">
        <f>'BC1'!A57</f>
        <v>Publicité</v>
      </c>
      <c r="B56" s="43"/>
      <c r="C56" s="144">
        <f>'FG4'!C49</f>
        <v>0</v>
      </c>
      <c r="D56" s="144">
        <f>'FG4'!D49</f>
        <v>0</v>
      </c>
      <c r="E56" s="144">
        <f>'FG4'!E49</f>
        <v>0</v>
      </c>
      <c r="F56" s="144">
        <f>'FG4'!F49</f>
        <v>0</v>
      </c>
      <c r="G56" s="144">
        <f>'FG4'!G49</f>
        <v>0</v>
      </c>
      <c r="H56" s="144">
        <f>'FG4'!H49</f>
        <v>0</v>
      </c>
      <c r="I56" s="144">
        <f>'FG4'!I49</f>
        <v>0</v>
      </c>
      <c r="J56" s="144">
        <f>'FG4'!J49</f>
        <v>0</v>
      </c>
      <c r="K56" s="144">
        <f>'FG4'!K49</f>
        <v>0</v>
      </c>
      <c r="L56" s="144">
        <f>'FG4'!L49</f>
        <v>0</v>
      </c>
      <c r="M56" s="144">
        <f>'FG4'!M49</f>
        <v>0</v>
      </c>
      <c r="N56" s="144">
        <f>'FG4'!N49</f>
        <v>0</v>
      </c>
      <c r="O56" s="217">
        <f t="shared" si="6"/>
        <v>0</v>
      </c>
      <c r="P56" s="117"/>
    </row>
    <row r="57" spans="1:16" ht="13.5" customHeight="1" thickBot="1">
      <c r="A57" s="867" t="str">
        <f>'BC1'!A58</f>
        <v>Autres frais de vente 1</v>
      </c>
      <c r="B57" s="43"/>
      <c r="C57" s="144">
        <f>'FG4'!C51</f>
        <v>0</v>
      </c>
      <c r="D57" s="144">
        <f>'FG4'!D51</f>
        <v>0</v>
      </c>
      <c r="E57" s="144">
        <f>'FG4'!E51</f>
        <v>0</v>
      </c>
      <c r="F57" s="144">
        <f>'FG4'!F51</f>
        <v>0</v>
      </c>
      <c r="G57" s="144">
        <f>'FG4'!G51</f>
        <v>0</v>
      </c>
      <c r="H57" s="144">
        <f>'FG4'!H51</f>
        <v>0</v>
      </c>
      <c r="I57" s="144">
        <f>'FG4'!I51</f>
        <v>0</v>
      </c>
      <c r="J57" s="144">
        <f>'FG4'!J51</f>
        <v>0</v>
      </c>
      <c r="K57" s="144">
        <f>'FG4'!K51</f>
        <v>0</v>
      </c>
      <c r="L57" s="144">
        <f>'FG4'!L51</f>
        <v>0</v>
      </c>
      <c r="M57" s="144">
        <f>'FG4'!M51</f>
        <v>0</v>
      </c>
      <c r="N57" s="144">
        <f>'FG4'!N51</f>
        <v>0</v>
      </c>
      <c r="O57" s="217">
        <f t="shared" si="6"/>
        <v>0</v>
      </c>
      <c r="P57" s="117"/>
    </row>
    <row r="58" spans="1:16" ht="13.5" customHeight="1" thickBot="1">
      <c r="A58" s="867" t="str">
        <f>'BC1'!A59</f>
        <v>Autres frais de vente 2</v>
      </c>
      <c r="B58" s="43"/>
      <c r="C58" s="144">
        <f>'FG4'!C53</f>
        <v>0</v>
      </c>
      <c r="D58" s="144">
        <f>'FG4'!D53</f>
        <v>0</v>
      </c>
      <c r="E58" s="144">
        <f>'FG4'!E53</f>
        <v>0</v>
      </c>
      <c r="F58" s="144">
        <f>'FG4'!F53</f>
        <v>0</v>
      </c>
      <c r="G58" s="144">
        <f>'FG4'!G53</f>
        <v>0</v>
      </c>
      <c r="H58" s="144">
        <f>'FG4'!H53</f>
        <v>0</v>
      </c>
      <c r="I58" s="144">
        <f>'FG4'!I53</f>
        <v>0</v>
      </c>
      <c r="J58" s="144">
        <f>'FG4'!J53</f>
        <v>0</v>
      </c>
      <c r="K58" s="144">
        <f>'FG4'!K53</f>
        <v>0</v>
      </c>
      <c r="L58" s="144">
        <f>'FG4'!L53</f>
        <v>0</v>
      </c>
      <c r="M58" s="144">
        <f>'FG4'!M53</f>
        <v>0</v>
      </c>
      <c r="N58" s="144">
        <f>'FG4'!N53</f>
        <v>0</v>
      </c>
      <c r="O58" s="217">
        <f t="shared" si="6"/>
        <v>0</v>
      </c>
      <c r="P58" s="117"/>
    </row>
    <row r="59" spans="1:16" ht="13.5" customHeight="1" thickBot="1">
      <c r="A59" s="867" t="str">
        <f>'BC1'!A60</f>
        <v>Autres frais de vente 3</v>
      </c>
      <c r="B59" s="43"/>
      <c r="C59" s="144">
        <f>'FG4'!C55</f>
        <v>0</v>
      </c>
      <c r="D59" s="144">
        <f>'FG4'!D55</f>
        <v>0</v>
      </c>
      <c r="E59" s="144">
        <f>'FG4'!E55</f>
        <v>0</v>
      </c>
      <c r="F59" s="144">
        <f>'FG4'!F55</f>
        <v>0</v>
      </c>
      <c r="G59" s="144">
        <f>'FG4'!G55</f>
        <v>0</v>
      </c>
      <c r="H59" s="144">
        <f>'FG4'!H55</f>
        <v>0</v>
      </c>
      <c r="I59" s="144">
        <f>'FG4'!I55</f>
        <v>0</v>
      </c>
      <c r="J59" s="144">
        <f>'FG4'!J55</f>
        <v>0</v>
      </c>
      <c r="K59" s="144">
        <f>'FG4'!K55</f>
        <v>0</v>
      </c>
      <c r="L59" s="144">
        <f>'FG4'!L55</f>
        <v>0</v>
      </c>
      <c r="M59" s="144">
        <f>'FG4'!M55</f>
        <v>0</v>
      </c>
      <c r="N59" s="144">
        <f>'FG4'!N55</f>
        <v>0</v>
      </c>
      <c r="O59" s="217">
        <f t="shared" si="6"/>
        <v>0</v>
      </c>
      <c r="P59" s="117"/>
    </row>
    <row r="60" spans="1:16" ht="13.5" customHeight="1" thickBot="1">
      <c r="A60" s="867" t="str">
        <f>'BC1'!A61</f>
        <v>Autres frais de vente 4</v>
      </c>
      <c r="B60" s="43"/>
      <c r="C60" s="144">
        <f>'FG4'!C57</f>
        <v>0</v>
      </c>
      <c r="D60" s="144">
        <f>'FG4'!D57</f>
        <v>0</v>
      </c>
      <c r="E60" s="144">
        <f>'FG4'!E57</f>
        <v>0</v>
      </c>
      <c r="F60" s="144">
        <f>'FG4'!F57</f>
        <v>0</v>
      </c>
      <c r="G60" s="144">
        <f>'FG4'!G57</f>
        <v>0</v>
      </c>
      <c r="H60" s="144">
        <f>'FG4'!H57</f>
        <v>0</v>
      </c>
      <c r="I60" s="144">
        <f>'FG4'!I57</f>
        <v>0</v>
      </c>
      <c r="J60" s="144">
        <f>'FG4'!J57</f>
        <v>0</v>
      </c>
      <c r="K60" s="144">
        <f>'FG4'!K57</f>
        <v>0</v>
      </c>
      <c r="L60" s="144">
        <f>'FG4'!L57</f>
        <v>0</v>
      </c>
      <c r="M60" s="144">
        <f>'FG4'!M57</f>
        <v>0</v>
      </c>
      <c r="N60" s="144">
        <f>'FG4'!N57</f>
        <v>0</v>
      </c>
      <c r="O60" s="217">
        <f t="shared" si="6"/>
        <v>0</v>
      </c>
      <c r="P60" s="117"/>
    </row>
    <row r="61" spans="1:16" ht="13.5" customHeight="1" thickBot="1">
      <c r="A61" s="867" t="str">
        <f>'BC1'!A62</f>
        <v>Autres frais de vente 5</v>
      </c>
      <c r="B61" s="43"/>
      <c r="C61" s="144">
        <f>'FG4'!C59</f>
        <v>0</v>
      </c>
      <c r="D61" s="144">
        <f>'FG4'!D59</f>
        <v>0</v>
      </c>
      <c r="E61" s="144">
        <f>'FG4'!E59</f>
        <v>0</v>
      </c>
      <c r="F61" s="144">
        <f>'FG4'!F59</f>
        <v>0</v>
      </c>
      <c r="G61" s="144">
        <f>'FG4'!G59</f>
        <v>0</v>
      </c>
      <c r="H61" s="144">
        <f>'FG4'!H59</f>
        <v>0</v>
      </c>
      <c r="I61" s="144">
        <f>'FG4'!I59</f>
        <v>0</v>
      </c>
      <c r="J61" s="144">
        <f>'FG4'!J59</f>
        <v>0</v>
      </c>
      <c r="K61" s="144">
        <f>'FG4'!K59</f>
        <v>0</v>
      </c>
      <c r="L61" s="144">
        <f>'FG4'!L59</f>
        <v>0</v>
      </c>
      <c r="M61" s="144">
        <f>'FG4'!M59</f>
        <v>0</v>
      </c>
      <c r="N61" s="144">
        <f>'FG4'!N59</f>
        <v>0</v>
      </c>
      <c r="O61" s="217">
        <f t="shared" si="6"/>
        <v>0</v>
      </c>
      <c r="P61" s="117"/>
    </row>
    <row r="62" spans="1:16" ht="13.5" customHeight="1" thickBot="1">
      <c r="A62" s="48" t="str">
        <f>'BC1'!A63</f>
        <v>FRAIS D'ADMINISTRATION</v>
      </c>
      <c r="B62" s="43"/>
      <c r="C62" s="214"/>
      <c r="D62" s="214"/>
      <c r="E62" s="214"/>
      <c r="F62" s="214"/>
      <c r="G62" s="214"/>
      <c r="H62" s="214"/>
      <c r="I62" s="214"/>
      <c r="J62" s="214"/>
      <c r="K62" s="214"/>
      <c r="L62" s="214"/>
      <c r="M62" s="214"/>
      <c r="N62" s="214"/>
      <c r="O62" s="864"/>
      <c r="P62" s="117"/>
    </row>
    <row r="63" spans="1:16" ht="13.5" customHeight="1" thickBot="1">
      <c r="A63" s="867" t="str">
        <f>'BC1'!A64</f>
        <v>Salaires administratifs</v>
      </c>
      <c r="B63" s="43"/>
      <c r="C63" s="144">
        <f>TE!C168+TE!C170</f>
        <v>3671.7796800000001</v>
      </c>
      <c r="D63" s="144">
        <f>TE!D168+TE!D170</f>
        <v>3671.7796800000001</v>
      </c>
      <c r="E63" s="144">
        <f>TE!E168+TE!E170</f>
        <v>3671.7796800000001</v>
      </c>
      <c r="F63" s="144">
        <f>TE!F168+TE!F170</f>
        <v>3671.7796800000001</v>
      </c>
      <c r="G63" s="144">
        <f>TE!G168+TE!G170</f>
        <v>3671.7796800000001</v>
      </c>
      <c r="H63" s="144">
        <f>TE!H168+TE!H170</f>
        <v>3671.7796800000001</v>
      </c>
      <c r="I63" s="144">
        <f>TE!I168+TE!I170</f>
        <v>3671.7796800000001</v>
      </c>
      <c r="J63" s="144">
        <f>TE!J168+TE!J170</f>
        <v>3671.7796800000001</v>
      </c>
      <c r="K63" s="144">
        <f>TE!K168+TE!K170</f>
        <v>3671.7796800000001</v>
      </c>
      <c r="L63" s="144">
        <f>TE!L168+TE!L170</f>
        <v>3671.7796800000001</v>
      </c>
      <c r="M63" s="144">
        <f>TE!M168+TE!M170</f>
        <v>3671.7796800000001</v>
      </c>
      <c r="N63" s="144">
        <f>TE!N168+TE!N170</f>
        <v>3671.7796800000001</v>
      </c>
      <c r="O63" s="136">
        <f t="shared" ref="O63:O70" si="7">SUM(C63:N63)</f>
        <v>44061.356160000003</v>
      </c>
      <c r="P63" s="117"/>
    </row>
    <row r="64" spans="1:16" ht="13.5" customHeight="1" thickBot="1">
      <c r="A64" s="867" t="str">
        <f>'BC1'!A65</f>
        <v xml:space="preserve">   avantages</v>
      </c>
      <c r="B64" s="43"/>
      <c r="C64" s="144">
        <f>TE!N157+TE!N159</f>
        <v>934</v>
      </c>
      <c r="D64" s="144">
        <f>TE!C169+TE!C171</f>
        <v>953</v>
      </c>
      <c r="E64" s="144">
        <f>TE!D169+TE!D171</f>
        <v>953</v>
      </c>
      <c r="F64" s="144">
        <f>TE!E169+TE!E171</f>
        <v>953</v>
      </c>
      <c r="G64" s="144">
        <f>TE!F169+TE!F171</f>
        <v>953</v>
      </c>
      <c r="H64" s="144">
        <f>TE!G169+TE!G171</f>
        <v>953</v>
      </c>
      <c r="I64" s="144">
        <f>TE!H169+TE!H171</f>
        <v>953</v>
      </c>
      <c r="J64" s="144">
        <f>TE!I169+TE!I171</f>
        <v>953</v>
      </c>
      <c r="K64" s="144">
        <f>TE!J169+TE!J171</f>
        <v>953</v>
      </c>
      <c r="L64" s="144">
        <f>TE!K169+TE!K171</f>
        <v>953</v>
      </c>
      <c r="M64" s="144">
        <f>TE!L169+TE!L171</f>
        <v>953</v>
      </c>
      <c r="N64" s="144">
        <f>TE!M169+TE!M171</f>
        <v>953</v>
      </c>
      <c r="O64" s="136">
        <f t="shared" si="7"/>
        <v>11417</v>
      </c>
    </row>
    <row r="65" spans="1:16" ht="13.5" customHeight="1" thickBot="1">
      <c r="A65" s="867" t="str">
        <f>'BC1'!A66</f>
        <v>Téléphonie et internet</v>
      </c>
      <c r="B65" s="43"/>
      <c r="C65" s="144">
        <f>'FG4'!C62</f>
        <v>0</v>
      </c>
      <c r="D65" s="144">
        <f>'FG4'!D62</f>
        <v>0</v>
      </c>
      <c r="E65" s="144">
        <f>'FG4'!E62</f>
        <v>0</v>
      </c>
      <c r="F65" s="144">
        <f>'FG4'!F62</f>
        <v>0</v>
      </c>
      <c r="G65" s="144">
        <f>'FG4'!G62</f>
        <v>0</v>
      </c>
      <c r="H65" s="144">
        <f>'FG4'!H62</f>
        <v>0</v>
      </c>
      <c r="I65" s="144">
        <f>'FG4'!I62</f>
        <v>0</v>
      </c>
      <c r="J65" s="144">
        <f>'FG4'!J62</f>
        <v>0</v>
      </c>
      <c r="K65" s="144">
        <f>'FG4'!K62</f>
        <v>0</v>
      </c>
      <c r="L65" s="144">
        <f>'FG4'!L62</f>
        <v>0</v>
      </c>
      <c r="M65" s="144">
        <f>'FG4'!M62</f>
        <v>0</v>
      </c>
      <c r="N65" s="144">
        <f>'FG4'!N62</f>
        <v>0</v>
      </c>
      <c r="O65" s="136">
        <f t="shared" si="7"/>
        <v>0</v>
      </c>
    </row>
    <row r="66" spans="1:16" ht="13.5" customHeight="1" thickBot="1">
      <c r="A66" s="867" t="str">
        <f>'BC1'!A67</f>
        <v>Honoraires professionnels</v>
      </c>
      <c r="B66" s="43"/>
      <c r="C66" s="144">
        <f>'FG4'!C64</f>
        <v>0</v>
      </c>
      <c r="D66" s="144">
        <f>'FG4'!D64</f>
        <v>0</v>
      </c>
      <c r="E66" s="144">
        <f>'FG4'!E64</f>
        <v>0</v>
      </c>
      <c r="F66" s="144">
        <f>'FG4'!F64</f>
        <v>0</v>
      </c>
      <c r="G66" s="144">
        <f>'FG4'!G64</f>
        <v>0</v>
      </c>
      <c r="H66" s="144">
        <f>'FG4'!H64</f>
        <v>0</v>
      </c>
      <c r="I66" s="144">
        <f>'FG4'!I64</f>
        <v>0</v>
      </c>
      <c r="J66" s="144">
        <f>'FG4'!J64</f>
        <v>0</v>
      </c>
      <c r="K66" s="144">
        <f>'FG4'!K64</f>
        <v>0</v>
      </c>
      <c r="L66" s="144">
        <f>'FG4'!L64</f>
        <v>0</v>
      </c>
      <c r="M66" s="144">
        <f>'FG4'!M64</f>
        <v>0</v>
      </c>
      <c r="N66" s="144">
        <f>'FG4'!N64</f>
        <v>0</v>
      </c>
      <c r="O66" s="136">
        <f t="shared" si="7"/>
        <v>0</v>
      </c>
    </row>
    <row r="67" spans="1:16" ht="13.5" customHeight="1" thickBot="1">
      <c r="A67" s="867" t="str">
        <f>'BC1'!A68</f>
        <v>Frais de bureau</v>
      </c>
      <c r="B67" s="43"/>
      <c r="C67" s="144">
        <f>'FG4'!C66</f>
        <v>0</v>
      </c>
      <c r="D67" s="144">
        <f>'FG4'!D66</f>
        <v>0</v>
      </c>
      <c r="E67" s="144">
        <f>'FG4'!E66</f>
        <v>0</v>
      </c>
      <c r="F67" s="144">
        <f>'FG4'!F66</f>
        <v>0</v>
      </c>
      <c r="G67" s="144">
        <f>'FG4'!G66</f>
        <v>0</v>
      </c>
      <c r="H67" s="144">
        <f>'FG4'!H66</f>
        <v>0</v>
      </c>
      <c r="I67" s="144">
        <f>'FG4'!I66</f>
        <v>0</v>
      </c>
      <c r="J67" s="144">
        <f>'FG4'!J66</f>
        <v>0</v>
      </c>
      <c r="K67" s="144">
        <f>'FG4'!K66</f>
        <v>0</v>
      </c>
      <c r="L67" s="144">
        <f>'FG4'!L66</f>
        <v>0</v>
      </c>
      <c r="M67" s="144">
        <f>'FG4'!M66</f>
        <v>0</v>
      </c>
      <c r="N67" s="144">
        <f>'FG4'!N66</f>
        <v>0</v>
      </c>
      <c r="O67" s="136">
        <f t="shared" si="7"/>
        <v>0</v>
      </c>
    </row>
    <row r="68" spans="1:16" ht="13.5" customHeight="1" thickBot="1">
      <c r="A68" s="867" t="str">
        <f>'BC1'!A69</f>
        <v>Mauvaises créances</v>
      </c>
      <c r="B68" s="43"/>
      <c r="C68" s="144">
        <f>'FG4'!C68</f>
        <v>0</v>
      </c>
      <c r="D68" s="144">
        <f>'FG4'!D68</f>
        <v>0</v>
      </c>
      <c r="E68" s="144">
        <f>'FG4'!E68</f>
        <v>0</v>
      </c>
      <c r="F68" s="144">
        <f>'FG4'!F68</f>
        <v>0</v>
      </c>
      <c r="G68" s="144">
        <f>'FG4'!G68</f>
        <v>0</v>
      </c>
      <c r="H68" s="144">
        <f>'FG4'!H68</f>
        <v>0</v>
      </c>
      <c r="I68" s="144">
        <f>'FG4'!I68</f>
        <v>0</v>
      </c>
      <c r="J68" s="144">
        <f>'FG4'!J68</f>
        <v>0</v>
      </c>
      <c r="K68" s="144">
        <f>'FG4'!K68</f>
        <v>0</v>
      </c>
      <c r="L68" s="144">
        <f>'FG4'!L68</f>
        <v>0</v>
      </c>
      <c r="M68" s="144">
        <f>'FG4'!M68</f>
        <v>0</v>
      </c>
      <c r="N68" s="144">
        <f>'FG4'!N68</f>
        <v>0</v>
      </c>
      <c r="O68" s="136">
        <f t="shared" si="7"/>
        <v>0</v>
      </c>
    </row>
    <row r="69" spans="1:16" ht="13.5" customHeight="1" thickBot="1">
      <c r="A69" s="867" t="str">
        <f>'BC1'!A70</f>
        <v>Fournitures de bureau</v>
      </c>
      <c r="B69" s="43"/>
      <c r="C69" s="144">
        <f>'FG4'!C70</f>
        <v>0</v>
      </c>
      <c r="D69" s="144">
        <f>'FG4'!D70</f>
        <v>0</v>
      </c>
      <c r="E69" s="144">
        <f>'FG4'!E70</f>
        <v>0</v>
      </c>
      <c r="F69" s="144">
        <f>'FG4'!F70</f>
        <v>0</v>
      </c>
      <c r="G69" s="144">
        <f>'FG4'!G70</f>
        <v>0</v>
      </c>
      <c r="H69" s="144">
        <f>'FG4'!H70</f>
        <v>0</v>
      </c>
      <c r="I69" s="144">
        <f>'FG4'!I70</f>
        <v>0</v>
      </c>
      <c r="J69" s="144">
        <f>'FG4'!J70</f>
        <v>0</v>
      </c>
      <c r="K69" s="144">
        <f>'FG4'!K70</f>
        <v>0</v>
      </c>
      <c r="L69" s="144">
        <f>'FG4'!L70</f>
        <v>0</v>
      </c>
      <c r="M69" s="144">
        <f>'FG4'!M70</f>
        <v>0</v>
      </c>
      <c r="N69" s="144">
        <f>'FG4'!N70</f>
        <v>0</v>
      </c>
      <c r="O69" s="136">
        <f t="shared" si="7"/>
        <v>0</v>
      </c>
    </row>
    <row r="70" spans="1:16" ht="13.5" customHeight="1" thickBot="1">
      <c r="A70" s="867" t="str">
        <f>'BC1'!A71</f>
        <v>Fais d'hébèrgement de site Web</v>
      </c>
      <c r="B70" s="43"/>
      <c r="C70" s="144">
        <f>'FG4'!C72</f>
        <v>0</v>
      </c>
      <c r="D70" s="144">
        <f>'FG4'!D72</f>
        <v>0</v>
      </c>
      <c r="E70" s="144">
        <f>'FG4'!E72</f>
        <v>0</v>
      </c>
      <c r="F70" s="144">
        <f>'FG4'!F72</f>
        <v>0</v>
      </c>
      <c r="G70" s="144">
        <f>'FG4'!G72</f>
        <v>0</v>
      </c>
      <c r="H70" s="144">
        <f>'FG4'!H72</f>
        <v>0</v>
      </c>
      <c r="I70" s="144">
        <f>'FG4'!I72</f>
        <v>0</v>
      </c>
      <c r="J70" s="144">
        <f>'FG4'!J72</f>
        <v>0</v>
      </c>
      <c r="K70" s="144">
        <f>'FG4'!K72</f>
        <v>0</v>
      </c>
      <c r="L70" s="144">
        <f>'FG4'!L72</f>
        <v>0</v>
      </c>
      <c r="M70" s="144">
        <f>'FG4'!M72</f>
        <v>0</v>
      </c>
      <c r="N70" s="144">
        <f>'FG4'!N72</f>
        <v>0</v>
      </c>
      <c r="O70" s="136">
        <f t="shared" si="7"/>
        <v>0</v>
      </c>
      <c r="P70" s="137"/>
    </row>
    <row r="71" spans="1:16" ht="13.5" customHeight="1" thickBot="1">
      <c r="A71" s="867" t="str">
        <f>'BC1'!A72</f>
        <v>Autres frais d'administration 2</v>
      </c>
      <c r="B71" s="43"/>
      <c r="C71" s="144">
        <f>'FG4'!C74</f>
        <v>0</v>
      </c>
      <c r="D71" s="144">
        <f>'FG4'!D74</f>
        <v>0</v>
      </c>
      <c r="E71" s="144">
        <f>'FG4'!E74</f>
        <v>0</v>
      </c>
      <c r="F71" s="144">
        <f>'FG4'!F74</f>
        <v>0</v>
      </c>
      <c r="G71" s="144">
        <f>'FG4'!G74</f>
        <v>0</v>
      </c>
      <c r="H71" s="144">
        <f>'FG4'!H74</f>
        <v>0</v>
      </c>
      <c r="I71" s="144">
        <f>'FG4'!I74</f>
        <v>0</v>
      </c>
      <c r="J71" s="144">
        <f>'FG4'!J74</f>
        <v>0</v>
      </c>
      <c r="K71" s="144">
        <f>'FG4'!K74</f>
        <v>0</v>
      </c>
      <c r="L71" s="144">
        <f>'FG4'!L74</f>
        <v>0</v>
      </c>
      <c r="M71" s="144">
        <f>'FG4'!M74</f>
        <v>0</v>
      </c>
      <c r="N71" s="144">
        <f>'FG4'!N74</f>
        <v>0</v>
      </c>
      <c r="O71" s="136">
        <f>SUM(C71:N71)</f>
        <v>0</v>
      </c>
      <c r="P71" s="137"/>
    </row>
    <row r="72" spans="1:16" ht="13.5" customHeight="1" thickBot="1">
      <c r="A72" s="867" t="str">
        <f>'BC1'!A73</f>
        <v>Autres frais d'administration 3</v>
      </c>
      <c r="B72" s="43"/>
      <c r="C72" s="144">
        <f>'FG4'!C76</f>
        <v>0</v>
      </c>
      <c r="D72" s="144">
        <f>'FG4'!D76</f>
        <v>0</v>
      </c>
      <c r="E72" s="144">
        <f>'FG4'!E76</f>
        <v>0</v>
      </c>
      <c r="F72" s="144">
        <f>'FG4'!F76</f>
        <v>0</v>
      </c>
      <c r="G72" s="144">
        <f>'FG4'!G76</f>
        <v>0</v>
      </c>
      <c r="H72" s="144">
        <f>'FG4'!H76</f>
        <v>0</v>
      </c>
      <c r="I72" s="144">
        <f>'FG4'!I76</f>
        <v>0</v>
      </c>
      <c r="J72" s="144">
        <f>'FG4'!J76</f>
        <v>0</v>
      </c>
      <c r="K72" s="144">
        <f>'FG4'!K76</f>
        <v>0</v>
      </c>
      <c r="L72" s="144">
        <f>'FG4'!L76</f>
        <v>0</v>
      </c>
      <c r="M72" s="144">
        <f>'FG4'!M76</f>
        <v>0</v>
      </c>
      <c r="N72" s="144">
        <f>'FG4'!N76</f>
        <v>0</v>
      </c>
      <c r="O72" s="136">
        <f>SUM(C72:N72)</f>
        <v>0</v>
      </c>
      <c r="P72" s="137"/>
    </row>
    <row r="73" spans="1:16" ht="13.5" customHeight="1" thickBot="1">
      <c r="A73" s="867" t="str">
        <f>'BC1'!A74</f>
        <v>Autres frais d'administration 4</v>
      </c>
      <c r="B73" s="43"/>
      <c r="C73" s="144">
        <f>'FG4'!C78</f>
        <v>0</v>
      </c>
      <c r="D73" s="144">
        <f>'FG4'!D78</f>
        <v>0</v>
      </c>
      <c r="E73" s="144">
        <f>'FG4'!E78</f>
        <v>0</v>
      </c>
      <c r="F73" s="144">
        <f>'FG4'!F78</f>
        <v>0</v>
      </c>
      <c r="G73" s="144">
        <f>'FG4'!G78</f>
        <v>0</v>
      </c>
      <c r="H73" s="144">
        <f>'FG4'!H78</f>
        <v>0</v>
      </c>
      <c r="I73" s="144">
        <f>'FG4'!I78</f>
        <v>0</v>
      </c>
      <c r="J73" s="144">
        <f>'FG4'!J78</f>
        <v>0</v>
      </c>
      <c r="K73" s="144">
        <f>'FG4'!K78</f>
        <v>0</v>
      </c>
      <c r="L73" s="144">
        <f>'FG4'!L78</f>
        <v>0</v>
      </c>
      <c r="M73" s="144">
        <f>'FG4'!M78</f>
        <v>0</v>
      </c>
      <c r="N73" s="144">
        <f>'FG4'!N78</f>
        <v>0</v>
      </c>
      <c r="O73" s="136">
        <f>SUM(C73:N73)</f>
        <v>0</v>
      </c>
      <c r="P73" s="137"/>
    </row>
    <row r="74" spans="1:16" ht="13.5" customHeight="1" thickBot="1">
      <c r="A74" s="867" t="str">
        <f>'BC1'!A75</f>
        <v>Autres frais d'administration 5</v>
      </c>
      <c r="B74" s="43"/>
      <c r="C74" s="144">
        <f>'FG4'!C80</f>
        <v>0</v>
      </c>
      <c r="D74" s="144">
        <f>'FG4'!D80</f>
        <v>0</v>
      </c>
      <c r="E74" s="144">
        <f>'FG4'!E80</f>
        <v>0</v>
      </c>
      <c r="F74" s="144">
        <f>'FG4'!F80</f>
        <v>0</v>
      </c>
      <c r="G74" s="144">
        <f>'FG4'!G80</f>
        <v>0</v>
      </c>
      <c r="H74" s="144">
        <f>'FG4'!H80</f>
        <v>0</v>
      </c>
      <c r="I74" s="144">
        <f>'FG4'!I80</f>
        <v>0</v>
      </c>
      <c r="J74" s="144">
        <f>'FG4'!J80</f>
        <v>0</v>
      </c>
      <c r="K74" s="144">
        <f>'FG4'!K80</f>
        <v>0</v>
      </c>
      <c r="L74" s="144">
        <f>'FG4'!L80</f>
        <v>0</v>
      </c>
      <c r="M74" s="144">
        <f>'FG4'!M80</f>
        <v>0</v>
      </c>
      <c r="N74" s="144">
        <f>'FG4'!N80</f>
        <v>0</v>
      </c>
      <c r="O74" s="136">
        <f>SUM(C74:N74)</f>
        <v>0</v>
      </c>
      <c r="P74" s="137"/>
    </row>
    <row r="75" spans="1:16" ht="13.5" customHeight="1" thickBot="1">
      <c r="A75" s="867" t="str">
        <f>'BC1'!A76</f>
        <v>Autres frais d'administration 6</v>
      </c>
      <c r="B75" s="43"/>
      <c r="C75" s="144">
        <f>'FG4'!C82</f>
        <v>0</v>
      </c>
      <c r="D75" s="144">
        <f>'FG4'!D82</f>
        <v>0</v>
      </c>
      <c r="E75" s="144">
        <f>'FG4'!E82</f>
        <v>0</v>
      </c>
      <c r="F75" s="144">
        <f>'FG4'!F82</f>
        <v>0</v>
      </c>
      <c r="G75" s="144">
        <f>'FG4'!G82</f>
        <v>0</v>
      </c>
      <c r="H75" s="144">
        <f>'FG4'!H82</f>
        <v>0</v>
      </c>
      <c r="I75" s="144">
        <f>'FG4'!I82</f>
        <v>0</v>
      </c>
      <c r="J75" s="144">
        <f>'FG4'!J82</f>
        <v>0</v>
      </c>
      <c r="K75" s="144">
        <f>'FG4'!K82</f>
        <v>0</v>
      </c>
      <c r="L75" s="144">
        <f>'FG4'!L82</f>
        <v>0</v>
      </c>
      <c r="M75" s="144">
        <f>'FG4'!M82</f>
        <v>0</v>
      </c>
      <c r="N75" s="144">
        <f>'FG4'!N82</f>
        <v>0</v>
      </c>
      <c r="O75" s="136">
        <f>SUM(C75:N75)</f>
        <v>0</v>
      </c>
      <c r="P75" s="137"/>
    </row>
    <row r="76" spans="1:16" ht="13.5" customHeight="1" thickBot="1">
      <c r="A76" s="867" t="str">
        <f>'BC1'!A77</f>
        <v>FRAIS FINANCIERS</v>
      </c>
      <c r="B76" s="43"/>
      <c r="C76" s="214"/>
      <c r="D76" s="214"/>
      <c r="E76" s="214"/>
      <c r="F76" s="214"/>
      <c r="G76" s="214"/>
      <c r="H76" s="214"/>
      <c r="I76" s="214"/>
      <c r="J76" s="214"/>
      <c r="K76" s="214"/>
      <c r="L76" s="214"/>
      <c r="M76" s="214"/>
      <c r="N76" s="214"/>
      <c r="O76" s="138"/>
      <c r="P76" s="137"/>
    </row>
    <row r="77" spans="1:16" ht="13.5" customHeight="1" thickBot="1">
      <c r="A77" s="867" t="str">
        <f>'BC1'!A78</f>
        <v>Frais bancaires</v>
      </c>
      <c r="B77" s="43"/>
      <c r="C77" s="144">
        <f>'FG4'!C85</f>
        <v>0</v>
      </c>
      <c r="D77" s="144">
        <f>'FG4'!D85</f>
        <v>0</v>
      </c>
      <c r="E77" s="144">
        <f>'FG4'!E85</f>
        <v>0</v>
      </c>
      <c r="F77" s="144">
        <f>'FG4'!F85</f>
        <v>0</v>
      </c>
      <c r="G77" s="144">
        <f>'FG4'!G85</f>
        <v>0</v>
      </c>
      <c r="H77" s="144">
        <f>'FG4'!H85</f>
        <v>0</v>
      </c>
      <c r="I77" s="144">
        <f>'FG4'!I85</f>
        <v>0</v>
      </c>
      <c r="J77" s="144">
        <f>'FG4'!J85</f>
        <v>0</v>
      </c>
      <c r="K77" s="144">
        <f>'FG4'!K85</f>
        <v>0</v>
      </c>
      <c r="L77" s="144">
        <f>'FG4'!L85</f>
        <v>0</v>
      </c>
      <c r="M77" s="144">
        <f>'FG4'!M85</f>
        <v>0</v>
      </c>
      <c r="N77" s="144">
        <f>'FG4'!N85</f>
        <v>0</v>
      </c>
      <c r="O77" s="136">
        <f t="shared" ref="O77:O82" si="8">SUM(C77:N77)</f>
        <v>0</v>
      </c>
      <c r="P77" s="137"/>
    </row>
    <row r="78" spans="1:16" ht="13.5" customHeight="1" thickBot="1">
      <c r="A78" s="867" t="str">
        <f>'BC1'!A79</f>
        <v>Frais de carte de crédit</v>
      </c>
      <c r="B78" s="43"/>
      <c r="C78" s="144">
        <f>'FG4'!C87</f>
        <v>0</v>
      </c>
      <c r="D78" s="144">
        <f>'FG4'!D87</f>
        <v>0</v>
      </c>
      <c r="E78" s="144">
        <f>'FG4'!E87</f>
        <v>0</v>
      </c>
      <c r="F78" s="144">
        <f>'FG4'!F87</f>
        <v>0</v>
      </c>
      <c r="G78" s="144">
        <f>'FG4'!G87</f>
        <v>0</v>
      </c>
      <c r="H78" s="144">
        <f>'FG4'!H87</f>
        <v>0</v>
      </c>
      <c r="I78" s="144">
        <f>'FG4'!I87</f>
        <v>0</v>
      </c>
      <c r="J78" s="144">
        <f>'FG4'!J87</f>
        <v>0</v>
      </c>
      <c r="K78" s="144">
        <f>'FG4'!K87</f>
        <v>0</v>
      </c>
      <c r="L78" s="144">
        <f>'FG4'!L87</f>
        <v>0</v>
      </c>
      <c r="M78" s="144">
        <f>'FG4'!M87</f>
        <v>0</v>
      </c>
      <c r="N78" s="144">
        <f>'FG4'!N87</f>
        <v>0</v>
      </c>
      <c r="O78" s="136">
        <f t="shared" si="8"/>
        <v>0</v>
      </c>
      <c r="P78" s="137"/>
    </row>
    <row r="79" spans="1:16" ht="13.5" customHeight="1" thickBot="1">
      <c r="A79" s="867" t="str">
        <f>'BC1'!A80</f>
        <v>Autres frais financiers 1</v>
      </c>
      <c r="B79" s="43"/>
      <c r="C79" s="144">
        <f>'FG4'!C89</f>
        <v>0</v>
      </c>
      <c r="D79" s="144">
        <f>'FG4'!D89</f>
        <v>0</v>
      </c>
      <c r="E79" s="144">
        <f>'FG4'!E89</f>
        <v>0</v>
      </c>
      <c r="F79" s="144">
        <f>'FG4'!F89</f>
        <v>0</v>
      </c>
      <c r="G79" s="144">
        <f>'FG4'!G89</f>
        <v>0</v>
      </c>
      <c r="H79" s="144">
        <f>'FG4'!H89</f>
        <v>0</v>
      </c>
      <c r="I79" s="144">
        <f>'FG4'!I89</f>
        <v>0</v>
      </c>
      <c r="J79" s="144">
        <f>'FG4'!J89</f>
        <v>0</v>
      </c>
      <c r="K79" s="144">
        <f>'FG4'!K89</f>
        <v>0</v>
      </c>
      <c r="L79" s="144">
        <f>'FG4'!L89</f>
        <v>0</v>
      </c>
      <c r="M79" s="144">
        <f>'FG4'!M89</f>
        <v>0</v>
      </c>
      <c r="N79" s="144">
        <f>'FG4'!N89</f>
        <v>0</v>
      </c>
      <c r="O79" s="136">
        <f t="shared" si="8"/>
        <v>0</v>
      </c>
      <c r="P79" s="137"/>
    </row>
    <row r="80" spans="1:16" ht="13.5" customHeight="1" thickBot="1">
      <c r="A80" s="867" t="str">
        <f>'BC1'!A81</f>
        <v>Autres frais financiers 2</v>
      </c>
      <c r="B80" s="43"/>
      <c r="C80" s="144">
        <f>'FG4'!C91</f>
        <v>0</v>
      </c>
      <c r="D80" s="144">
        <f>'FG4'!D91</f>
        <v>0</v>
      </c>
      <c r="E80" s="144">
        <f>'FG4'!E91</f>
        <v>0</v>
      </c>
      <c r="F80" s="144">
        <f>'FG4'!F91</f>
        <v>0</v>
      </c>
      <c r="G80" s="144">
        <f>'FG4'!G91</f>
        <v>0</v>
      </c>
      <c r="H80" s="144">
        <f>'FG4'!H91</f>
        <v>0</v>
      </c>
      <c r="I80" s="144">
        <f>'FG4'!I91</f>
        <v>0</v>
      </c>
      <c r="J80" s="144">
        <f>'FG4'!J91</f>
        <v>0</v>
      </c>
      <c r="K80" s="144">
        <f>'FG4'!K91</f>
        <v>0</v>
      </c>
      <c r="L80" s="144">
        <f>'FG4'!L91</f>
        <v>0</v>
      </c>
      <c r="M80" s="144">
        <f>'FG4'!M91</f>
        <v>0</v>
      </c>
      <c r="N80" s="144">
        <f>'FG4'!N91</f>
        <v>0</v>
      </c>
      <c r="O80" s="136">
        <f t="shared" si="8"/>
        <v>0</v>
      </c>
      <c r="P80" s="137"/>
    </row>
    <row r="81" spans="1:16" ht="13.5" customHeight="1" thickBot="1">
      <c r="A81" s="867" t="str">
        <f>'BC1'!A82</f>
        <v>Autres frais financiers 3</v>
      </c>
      <c r="B81" s="43"/>
      <c r="C81" s="144">
        <f>'FG4'!C93</f>
        <v>0</v>
      </c>
      <c r="D81" s="144">
        <f>'FG4'!D93</f>
        <v>0</v>
      </c>
      <c r="E81" s="144">
        <f>'FG4'!E93</f>
        <v>0</v>
      </c>
      <c r="F81" s="144">
        <f>'FG4'!F93</f>
        <v>0</v>
      </c>
      <c r="G81" s="144">
        <f>'FG4'!G93</f>
        <v>0</v>
      </c>
      <c r="H81" s="144">
        <f>'FG4'!H93</f>
        <v>0</v>
      </c>
      <c r="I81" s="144">
        <f>'FG4'!I93</f>
        <v>0</v>
      </c>
      <c r="J81" s="144">
        <f>'FG4'!J93</f>
        <v>0</v>
      </c>
      <c r="K81" s="144">
        <f>'FG4'!K93</f>
        <v>0</v>
      </c>
      <c r="L81" s="144">
        <f>'FG4'!L93</f>
        <v>0</v>
      </c>
      <c r="M81" s="144">
        <f>'FG4'!M93</f>
        <v>0</v>
      </c>
      <c r="N81" s="144">
        <f>'FG4'!N93</f>
        <v>0</v>
      </c>
      <c r="O81" s="136">
        <f t="shared" si="8"/>
        <v>0</v>
      </c>
      <c r="P81" s="137"/>
    </row>
    <row r="82" spans="1:16" ht="13.5" customHeight="1" thickBot="1">
      <c r="A82" s="867" t="str">
        <f>'BC1'!A83</f>
        <v>Autres frais financiers 4</v>
      </c>
      <c r="B82" s="43"/>
      <c r="C82" s="144">
        <f>'FG4'!C95</f>
        <v>0</v>
      </c>
      <c r="D82" s="144">
        <f>'FG4'!D95</f>
        <v>0</v>
      </c>
      <c r="E82" s="144">
        <f>'FG4'!E95</f>
        <v>0</v>
      </c>
      <c r="F82" s="144">
        <f>'FG4'!F95</f>
        <v>0</v>
      </c>
      <c r="G82" s="144">
        <f>'FG4'!G95</f>
        <v>0</v>
      </c>
      <c r="H82" s="144">
        <f>'FG4'!H95</f>
        <v>0</v>
      </c>
      <c r="I82" s="144">
        <f>'FG4'!I95</f>
        <v>0</v>
      </c>
      <c r="J82" s="144">
        <f>'FG4'!J95</f>
        <v>0</v>
      </c>
      <c r="K82" s="144">
        <f>'FG4'!K95</f>
        <v>0</v>
      </c>
      <c r="L82" s="144">
        <f>'FG4'!L95</f>
        <v>0</v>
      </c>
      <c r="M82" s="144">
        <f>'FG4'!M95</f>
        <v>0</v>
      </c>
      <c r="N82" s="144">
        <f>'FG4'!N95</f>
        <v>0</v>
      </c>
      <c r="O82" s="136">
        <f t="shared" si="8"/>
        <v>0</v>
      </c>
      <c r="P82" s="137"/>
    </row>
    <row r="83" spans="1:16" ht="13.5" customHeight="1">
      <c r="A83" s="867"/>
      <c r="B83" s="43"/>
      <c r="C83" s="214"/>
      <c r="D83" s="214"/>
      <c r="E83" s="214"/>
      <c r="F83" s="214"/>
      <c r="G83" s="214"/>
      <c r="H83" s="214"/>
      <c r="I83" s="214"/>
      <c r="J83" s="214"/>
      <c r="K83" s="214"/>
      <c r="L83" s="214"/>
      <c r="M83" s="214"/>
      <c r="N83" s="214"/>
      <c r="O83" s="138"/>
      <c r="P83" s="137"/>
    </row>
    <row r="84" spans="1:16" ht="13.5" customHeight="1" thickBot="1">
      <c r="A84" s="43"/>
      <c r="B84" s="43"/>
      <c r="C84" s="214"/>
      <c r="D84" s="214"/>
      <c r="E84" s="214"/>
      <c r="F84" s="214"/>
      <c r="G84" s="214"/>
      <c r="H84" s="214"/>
      <c r="I84" s="214"/>
      <c r="J84" s="214"/>
      <c r="K84" s="214"/>
      <c r="L84" s="214"/>
      <c r="M84" s="214"/>
      <c r="N84" s="214"/>
      <c r="O84" s="138"/>
    </row>
    <row r="85" spans="1:16" ht="13.5" customHeight="1" thickBot="1">
      <c r="A85" s="48" t="s">
        <v>722</v>
      </c>
      <c r="B85" s="48"/>
      <c r="C85" s="140">
        <f>SUM(C86:C119)</f>
        <v>378</v>
      </c>
      <c r="D85" s="140">
        <f t="shared" ref="D85:N85" si="9">SUM(D86:D119)</f>
        <v>377</v>
      </c>
      <c r="E85" s="140">
        <f t="shared" si="9"/>
        <v>377</v>
      </c>
      <c r="F85" s="140">
        <f t="shared" si="9"/>
        <v>378</v>
      </c>
      <c r="G85" s="140">
        <f t="shared" si="9"/>
        <v>377</v>
      </c>
      <c r="H85" s="140">
        <f t="shared" si="9"/>
        <v>378</v>
      </c>
      <c r="I85" s="140">
        <f t="shared" si="9"/>
        <v>377</v>
      </c>
      <c r="J85" s="140">
        <f t="shared" si="9"/>
        <v>378</v>
      </c>
      <c r="K85" s="140">
        <f t="shared" si="9"/>
        <v>377</v>
      </c>
      <c r="L85" s="140">
        <f t="shared" si="9"/>
        <v>378</v>
      </c>
      <c r="M85" s="140">
        <f t="shared" si="9"/>
        <v>377</v>
      </c>
      <c r="N85" s="140">
        <f t="shared" si="9"/>
        <v>378</v>
      </c>
      <c r="O85" s="217">
        <f>SUM(C85:N85)+0.01</f>
        <v>4530.01</v>
      </c>
      <c r="P85" s="117">
        <f>O87+O90+O93+O96+O99+O102+O105+O108+O111+O114+O117+O119</f>
        <v>335.00009999999997</v>
      </c>
    </row>
    <row r="86" spans="1:16" s="143" customFormat="1" ht="13.5" customHeight="1" thickBot="1">
      <c r="A86" s="43" t="str">
        <f>CF!F35</f>
        <v>Billet à payer</v>
      </c>
      <c r="B86" s="65" t="s">
        <v>505</v>
      </c>
      <c r="C86" s="140">
        <f>VLOOKUP(C$13,BP!$A$25:$K$265,9)</f>
        <v>0</v>
      </c>
      <c r="D86" s="140">
        <f>VLOOKUP(D$13,BP!$A$25:$K$265,9)</f>
        <v>0</v>
      </c>
      <c r="E86" s="140">
        <f>VLOOKUP(E$13,BP!$A$25:$K$265,9)</f>
        <v>0</v>
      </c>
      <c r="F86" s="140">
        <f>VLOOKUP(F$13,BP!$A$25:$K$265,9)</f>
        <v>0</v>
      </c>
      <c r="G86" s="140">
        <f>VLOOKUP(G$13,BP!$A$25:$K$265,9)</f>
        <v>0</v>
      </c>
      <c r="H86" s="140">
        <f>VLOOKUP(H$13,BP!$A$25:$K$265,9)</f>
        <v>0</v>
      </c>
      <c r="I86" s="140">
        <f>VLOOKUP(I$13,BP!$A$25:$K$265,9)</f>
        <v>0</v>
      </c>
      <c r="J86" s="140">
        <f>VLOOKUP(J$13,BP!$A$25:$K$265,9)</f>
        <v>0</v>
      </c>
      <c r="K86" s="140">
        <f>VLOOKUP(K$13,BP!$A$25:$K$265,9)</f>
        <v>0</v>
      </c>
      <c r="L86" s="140">
        <f>VLOOKUP(L$13,BP!$A$25:$K$265,9)</f>
        <v>0</v>
      </c>
      <c r="M86" s="140">
        <f>VLOOKUP(M$13,BP!$A$25:$K$265,9)</f>
        <v>0</v>
      </c>
      <c r="N86" s="140">
        <f>VLOOKUP(N$13,BP!$A$25:$K$265,9)</f>
        <v>0</v>
      </c>
      <c r="O86" s="136">
        <f>SUM(C86:N86)</f>
        <v>0</v>
      </c>
    </row>
    <row r="87" spans="1:16" ht="13.5" customHeight="1" thickBot="1">
      <c r="A87" s="65"/>
      <c r="B87" s="65" t="s">
        <v>506</v>
      </c>
      <c r="C87" s="140">
        <f>VLOOKUP(C$13,BP!$A$25:$K$265,10)</f>
        <v>0</v>
      </c>
      <c r="D87" s="140">
        <f>VLOOKUP(D$13,BP!$A$25:$K$265,10)</f>
        <v>0</v>
      </c>
      <c r="E87" s="140">
        <f>VLOOKUP(E$13,BP!$A$25:$K$265,10)</f>
        <v>0</v>
      </c>
      <c r="F87" s="140">
        <f>VLOOKUP(F$13,BP!$A$25:$K$265,10)</f>
        <v>0</v>
      </c>
      <c r="G87" s="140">
        <f>VLOOKUP(G$13,BP!$A$25:$K$265,10)</f>
        <v>0</v>
      </c>
      <c r="H87" s="140">
        <f>VLOOKUP(H$13,BP!$A$25:$K$265,10)</f>
        <v>0</v>
      </c>
      <c r="I87" s="140">
        <f>VLOOKUP(I$13,BP!$A$25:$K$265,10)</f>
        <v>0</v>
      </c>
      <c r="J87" s="140">
        <f>VLOOKUP(J$13,BP!$A$25:$K$265,10)</f>
        <v>0</v>
      </c>
      <c r="K87" s="140">
        <f>VLOOKUP(K$13,BP!$A$25:$K$265,10)</f>
        <v>0</v>
      </c>
      <c r="L87" s="140">
        <f>VLOOKUP(L$13,BP!$A$25:$K$265,10)</f>
        <v>0</v>
      </c>
      <c r="M87" s="140">
        <f>VLOOKUP(M$13,BP!$A$25:$K$265,10)</f>
        <v>0</v>
      </c>
      <c r="N87" s="140">
        <f>VLOOKUP(N$13,BP!$A$25:$K$265,10)</f>
        <v>0</v>
      </c>
      <c r="O87" s="136">
        <f>SUM(C87:N87)</f>
        <v>0</v>
      </c>
    </row>
    <row r="88" spans="1:16" ht="13.5" customHeight="1" thickBot="1">
      <c r="A88" s="43"/>
      <c r="B88" s="149"/>
      <c r="C88" s="211"/>
      <c r="D88" s="211"/>
      <c r="E88" s="211"/>
      <c r="F88" s="211"/>
      <c r="G88" s="211"/>
      <c r="H88" s="211"/>
      <c r="I88" s="211"/>
      <c r="J88" s="211"/>
      <c r="K88" s="211"/>
      <c r="L88" s="211"/>
      <c r="M88" s="211"/>
      <c r="N88" s="211"/>
      <c r="O88" s="159">
        <v>0</v>
      </c>
    </row>
    <row r="89" spans="1:16" ht="13.5" customHeight="1" thickBot="1">
      <c r="A89" s="43" t="str">
        <f>CF!F36</f>
        <v>Emprunt à court terme 1</v>
      </c>
      <c r="B89" s="65" t="s">
        <v>505</v>
      </c>
      <c r="C89" s="140">
        <f>VLOOKUP(C$13,'ECT1'!$A$26:$O$265,14)</f>
        <v>0</v>
      </c>
      <c r="D89" s="140">
        <f>VLOOKUP(D$13,'ECT1'!$A$26:$O$265,14)</f>
        <v>0</v>
      </c>
      <c r="E89" s="140">
        <f>VLOOKUP(E$13,'ECT1'!$A$26:$O$265,14)</f>
        <v>0</v>
      </c>
      <c r="F89" s="140">
        <f>VLOOKUP(F$13,'ECT1'!$A$26:$O$265,14)</f>
        <v>0</v>
      </c>
      <c r="G89" s="140">
        <f>VLOOKUP(G$13,'ECT1'!$A$26:$O$265,14)</f>
        <v>0</v>
      </c>
      <c r="H89" s="140">
        <f>VLOOKUP(H$13,'ECT1'!$A$26:$O$265,14)</f>
        <v>0</v>
      </c>
      <c r="I89" s="140">
        <f>VLOOKUP(I$13,'ECT1'!$A$26:$O$265,14)</f>
        <v>0</v>
      </c>
      <c r="J89" s="140">
        <f>VLOOKUP(J$13,'ECT1'!$A$26:$O$265,14)</f>
        <v>0</v>
      </c>
      <c r="K89" s="140">
        <f>VLOOKUP(K$13,'ECT1'!$A$26:$O$265,14)</f>
        <v>0</v>
      </c>
      <c r="L89" s="140">
        <f>VLOOKUP(L$13,'ECT1'!$A$26:$O$265,14)</f>
        <v>0</v>
      </c>
      <c r="M89" s="140">
        <f>VLOOKUP(M$13,'ECT1'!$A$26:$O$265,14)</f>
        <v>0</v>
      </c>
      <c r="N89" s="140">
        <f>VLOOKUP(N$13,'ECT1'!$A$26:$O$265,14)</f>
        <v>0</v>
      </c>
      <c r="O89" s="136">
        <f>SUM(C89:N89)</f>
        <v>0</v>
      </c>
    </row>
    <row r="90" spans="1:16" ht="13.5" customHeight="1" thickBot="1">
      <c r="A90" s="65"/>
      <c r="B90" s="65" t="s">
        <v>506</v>
      </c>
      <c r="C90" s="140">
        <f>VLOOKUP(C$13,'ECT1'!$A$26:$O$265,15)</f>
        <v>0</v>
      </c>
      <c r="D90" s="140">
        <f>VLOOKUP(D$13,'ECT1'!$A$26:$O$265,15)</f>
        <v>0</v>
      </c>
      <c r="E90" s="140">
        <f>VLOOKUP(E$13,'ECT1'!$A$26:$O$265,15)</f>
        <v>0</v>
      </c>
      <c r="F90" s="140">
        <f>VLOOKUP(F$13,'ECT1'!$A$26:$O$265,15)</f>
        <v>0</v>
      </c>
      <c r="G90" s="140">
        <f>VLOOKUP(G$13,'ECT1'!$A$26:$O$265,15)</f>
        <v>0</v>
      </c>
      <c r="H90" s="140">
        <f>VLOOKUP(H$13,'ECT1'!$A$26:$O$265,15)</f>
        <v>0</v>
      </c>
      <c r="I90" s="140">
        <f>VLOOKUP(I$13,'ECT1'!$A$26:$O$265,15)</f>
        <v>0</v>
      </c>
      <c r="J90" s="140">
        <f>VLOOKUP(J$13,'ECT1'!$A$26:$O$265,15)</f>
        <v>0</v>
      </c>
      <c r="K90" s="140">
        <f>VLOOKUP(K$13,'ECT1'!$A$26:$O$265,15)</f>
        <v>0</v>
      </c>
      <c r="L90" s="140">
        <f>VLOOKUP(L$13,'ECT1'!$A$26:$O$265,15)</f>
        <v>0</v>
      </c>
      <c r="M90" s="140">
        <f>VLOOKUP(M$13,'ECT1'!$A$26:$O$265,15)</f>
        <v>0</v>
      </c>
      <c r="N90" s="140">
        <f>VLOOKUP(N$13,'ECT1'!$A$26:$O$265,15)</f>
        <v>0</v>
      </c>
      <c r="O90" s="136">
        <f>SUM(C90:N90)</f>
        <v>0</v>
      </c>
    </row>
    <row r="91" spans="1:16" ht="13.5" customHeight="1" thickBot="1">
      <c r="A91" s="43"/>
      <c r="B91" s="149"/>
      <c r="C91" s="211"/>
      <c r="D91" s="211"/>
      <c r="E91" s="211"/>
      <c r="F91" s="211"/>
      <c r="G91" s="211"/>
      <c r="H91" s="211"/>
      <c r="I91" s="211"/>
      <c r="J91" s="211"/>
      <c r="K91" s="211"/>
      <c r="L91" s="211"/>
      <c r="M91" s="211"/>
      <c r="N91" s="211"/>
      <c r="O91" s="159">
        <v>0</v>
      </c>
    </row>
    <row r="92" spans="1:16" ht="13.5" customHeight="1" thickBot="1">
      <c r="A92" s="43" t="str">
        <f>CF!F37</f>
        <v>Emprunt à court terme 2</v>
      </c>
      <c r="B92" s="65" t="s">
        <v>505</v>
      </c>
      <c r="C92" s="140">
        <f>VLOOKUP(C$13,'ECT2'!$A$26:$O$265,14)</f>
        <v>0</v>
      </c>
      <c r="D92" s="140">
        <f>VLOOKUP(D$13,'ECT2'!$A$26:$O$265,14)</f>
        <v>0</v>
      </c>
      <c r="E92" s="140">
        <f>VLOOKUP(E$13,'ECT2'!$A$26:$O$265,14)</f>
        <v>0</v>
      </c>
      <c r="F92" s="140">
        <f>VLOOKUP(F$13,'ECT2'!$A$26:$O$265,14)</f>
        <v>0</v>
      </c>
      <c r="G92" s="140">
        <f>VLOOKUP(G$13,'ECT2'!$A$26:$O$265,14)</f>
        <v>0</v>
      </c>
      <c r="H92" s="140">
        <f>VLOOKUP(H$13,'ECT2'!$A$26:$O$265,14)</f>
        <v>0</v>
      </c>
      <c r="I92" s="140">
        <f>VLOOKUP(I$13,'ECT2'!$A$26:$O$265,14)</f>
        <v>0</v>
      </c>
      <c r="J92" s="140">
        <f>VLOOKUP(J$13,'ECT2'!$A$26:$O$265,14)</f>
        <v>0</v>
      </c>
      <c r="K92" s="140">
        <f>VLOOKUP(K$13,'ECT2'!$A$26:$O$265,14)</f>
        <v>0</v>
      </c>
      <c r="L92" s="140">
        <f>VLOOKUP(L$13,'ECT2'!$A$26:$O$265,14)</f>
        <v>0</v>
      </c>
      <c r="M92" s="140">
        <f>VLOOKUP(M$13,'ECT2'!$A$26:$O$265,14)</f>
        <v>0</v>
      </c>
      <c r="N92" s="140">
        <f>VLOOKUP(N$13,'ECT2'!$A$26:$O$265,14)</f>
        <v>0</v>
      </c>
      <c r="O92" s="136">
        <f>SUM(C92:N92)</f>
        <v>0</v>
      </c>
    </row>
    <row r="93" spans="1:16" ht="13.5" customHeight="1" thickBot="1">
      <c r="A93" s="65"/>
      <c r="B93" s="65" t="s">
        <v>506</v>
      </c>
      <c r="C93" s="140">
        <f>VLOOKUP(C$13,'ECT2'!$A$26:$O$265,15)</f>
        <v>0</v>
      </c>
      <c r="D93" s="140">
        <f>VLOOKUP(D$13,'ECT2'!$A$26:$O$265,15)</f>
        <v>0</v>
      </c>
      <c r="E93" s="140">
        <f>VLOOKUP(E$13,'ECT2'!$A$26:$O$265,15)</f>
        <v>0</v>
      </c>
      <c r="F93" s="140">
        <f>VLOOKUP(F$13,'ECT2'!$A$26:$O$265,15)</f>
        <v>0</v>
      </c>
      <c r="G93" s="140">
        <f>VLOOKUP(G$13,'ECT2'!$A$26:$O$265,15)</f>
        <v>0</v>
      </c>
      <c r="H93" s="140">
        <f>VLOOKUP(H$13,'ECT2'!$A$26:$O$265,15)</f>
        <v>0</v>
      </c>
      <c r="I93" s="140">
        <f>VLOOKUP(I$13,'ECT2'!$A$26:$O$265,15)</f>
        <v>0</v>
      </c>
      <c r="J93" s="140">
        <f>VLOOKUP(J$13,'ECT2'!$A$26:$O$265,15)</f>
        <v>0</v>
      </c>
      <c r="K93" s="140">
        <f>VLOOKUP(K$13,'ECT2'!$A$26:$O$265,15)</f>
        <v>0</v>
      </c>
      <c r="L93" s="140">
        <f>VLOOKUP(L$13,'ECT2'!$A$26:$O$265,15)</f>
        <v>0</v>
      </c>
      <c r="M93" s="140">
        <f>VLOOKUP(M$13,'ECT2'!$A$26:$O$265,15)</f>
        <v>0</v>
      </c>
      <c r="N93" s="140">
        <f>VLOOKUP(N$13,'ECT2'!$A$26:$O$265,15)</f>
        <v>0</v>
      </c>
      <c r="O93" s="136">
        <f>SUM(C93:N93)</f>
        <v>0</v>
      </c>
    </row>
    <row r="94" spans="1:16" ht="13.5" customHeight="1" thickBot="1">
      <c r="A94" s="43"/>
      <c r="B94" s="149"/>
      <c r="C94" s="211"/>
      <c r="D94" s="211"/>
      <c r="E94" s="211"/>
      <c r="F94" s="211"/>
      <c r="G94" s="211"/>
      <c r="H94" s="211"/>
      <c r="I94" s="211"/>
      <c r="J94" s="211"/>
      <c r="K94" s="211"/>
      <c r="L94" s="211"/>
      <c r="M94" s="211"/>
      <c r="N94" s="211"/>
      <c r="O94" s="159">
        <v>0</v>
      </c>
    </row>
    <row r="95" spans="1:16" ht="13.5" customHeight="1" thickBot="1">
      <c r="A95" s="43" t="str">
        <f>CF!F40</f>
        <v>Emprunt hypothécaire</v>
      </c>
      <c r="B95" s="65" t="s">
        <v>505</v>
      </c>
      <c r="C95" s="140">
        <f>VLOOKUP(C$13,EH!$A$26:$O$265,14)</f>
        <v>0</v>
      </c>
      <c r="D95" s="140">
        <f>VLOOKUP(D$13,EH!$A$26:$O$265,14)</f>
        <v>0</v>
      </c>
      <c r="E95" s="140">
        <f>VLOOKUP(E$13,EH!$A$26:$O$265,14)</f>
        <v>0</v>
      </c>
      <c r="F95" s="140">
        <f>VLOOKUP(F$13,EH!$A$26:$O$265,14)</f>
        <v>0</v>
      </c>
      <c r="G95" s="140">
        <f>VLOOKUP(G$13,EH!$A$26:$O$265,14)</f>
        <v>0</v>
      </c>
      <c r="H95" s="140">
        <f>VLOOKUP(H$13,EH!$A$26:$O$265,14)</f>
        <v>0</v>
      </c>
      <c r="I95" s="140">
        <f>VLOOKUP(I$13,EH!$A$26:$O$265,14)</f>
        <v>0</v>
      </c>
      <c r="J95" s="140">
        <f>VLOOKUP(J$13,EH!$A$26:$O$265,14)</f>
        <v>0</v>
      </c>
      <c r="K95" s="140">
        <f>VLOOKUP(K$13,EH!$A$26:$O$265,14)</f>
        <v>0</v>
      </c>
      <c r="L95" s="140">
        <f>VLOOKUP(L$13,EH!$A$26:$O$265,14)</f>
        <v>0</v>
      </c>
      <c r="M95" s="140">
        <f>VLOOKUP(M$13,EH!$A$26:$O$265,14)</f>
        <v>0</v>
      </c>
      <c r="N95" s="140">
        <f>VLOOKUP(N$13,EH!$A$26:$O$265,14)</f>
        <v>0</v>
      </c>
      <c r="O95" s="136">
        <f>SUM(C95:N95)</f>
        <v>0</v>
      </c>
    </row>
    <row r="96" spans="1:16" ht="13.5" customHeight="1" thickBot="1">
      <c r="A96" s="65"/>
      <c r="B96" s="65" t="s">
        <v>506</v>
      </c>
      <c r="C96" s="140">
        <f>VLOOKUP(C$13,EH!$A$26:$O$265,15)</f>
        <v>0</v>
      </c>
      <c r="D96" s="140">
        <f>VLOOKUP(D$13,EH!$A$26:$O$265,15)</f>
        <v>0</v>
      </c>
      <c r="E96" s="140">
        <f>VLOOKUP(E$13,EH!$A$26:$O$265,15)</f>
        <v>0</v>
      </c>
      <c r="F96" s="140">
        <f>VLOOKUP(F$13,EH!$A$26:$O$265,15)</f>
        <v>0</v>
      </c>
      <c r="G96" s="140">
        <f>VLOOKUP(G$13,EH!$A$26:$O$265,15)</f>
        <v>0</v>
      </c>
      <c r="H96" s="140">
        <f>VLOOKUP(H$13,EH!$A$26:$O$265,15)</f>
        <v>0</v>
      </c>
      <c r="I96" s="140">
        <f>VLOOKUP(I$13,EH!$A$26:$O$265,15)</f>
        <v>0</v>
      </c>
      <c r="J96" s="140">
        <f>VLOOKUP(J$13,EH!$A$26:$O$265,15)</f>
        <v>0</v>
      </c>
      <c r="K96" s="140">
        <f>VLOOKUP(K$13,EH!$A$26:$O$265,15)</f>
        <v>0</v>
      </c>
      <c r="L96" s="140">
        <f>VLOOKUP(L$13,EH!$A$26:$O$265,15)</f>
        <v>0</v>
      </c>
      <c r="M96" s="140">
        <f>VLOOKUP(M$13,EH!$A$26:$O$265,15)</f>
        <v>0</v>
      </c>
      <c r="N96" s="140">
        <f>VLOOKUP(N$13,EH!$A$26:$O$265,15)</f>
        <v>0</v>
      </c>
      <c r="O96" s="136">
        <f>SUM(C96:N96)</f>
        <v>0</v>
      </c>
    </row>
    <row r="97" spans="1:15" ht="13.5" customHeight="1" thickBot="1">
      <c r="A97" s="43"/>
      <c r="B97" s="149"/>
      <c r="C97" s="211"/>
      <c r="D97" s="211"/>
      <c r="E97" s="211"/>
      <c r="F97" s="211"/>
      <c r="G97" s="211"/>
      <c r="H97" s="211"/>
      <c r="I97" s="211"/>
      <c r="J97" s="211"/>
      <c r="K97" s="211"/>
      <c r="L97" s="211"/>
      <c r="M97" s="211"/>
      <c r="N97" s="211"/>
      <c r="O97" s="159">
        <v>0</v>
      </c>
    </row>
    <row r="98" spans="1:15" ht="13.5" customHeight="1" thickBot="1">
      <c r="A98" s="43" t="str">
        <f>CF!F41</f>
        <v>Emprunt bancaire - Logiciel &amp; Site Web</v>
      </c>
      <c r="B98" s="65" t="s">
        <v>505</v>
      </c>
      <c r="C98" s="140">
        <f>VLOOKUP(C$13,'ELT1'!$A$26:$O$265,14)</f>
        <v>342</v>
      </c>
      <c r="D98" s="140">
        <f>VLOOKUP(D$13,'ELT1'!$A$26:$O$265,14)</f>
        <v>343</v>
      </c>
      <c r="E98" s="140">
        <f>VLOOKUP(E$13,'ELT1'!$A$26:$O$265,14)</f>
        <v>344</v>
      </c>
      <c r="F98" s="140">
        <f>VLOOKUP(F$13,'ELT1'!$A$26:$O$265,14)</f>
        <v>346</v>
      </c>
      <c r="G98" s="140">
        <f>VLOOKUP(G$13,'ELT1'!$A$26:$O$265,14)</f>
        <v>347</v>
      </c>
      <c r="H98" s="140">
        <f>VLOOKUP(H$13,'ELT1'!$A$26:$O$265,14)</f>
        <v>349</v>
      </c>
      <c r="I98" s="140">
        <f>VLOOKUP(I$13,'ELT1'!$A$26:$O$265,14)</f>
        <v>350</v>
      </c>
      <c r="J98" s="140">
        <f>VLOOKUP(J$13,'ELT1'!$A$26:$O$265,14)</f>
        <v>352</v>
      </c>
      <c r="K98" s="140">
        <f>VLOOKUP(K$13,'ELT1'!$A$26:$O$265,14)</f>
        <v>353</v>
      </c>
      <c r="L98" s="140">
        <f>VLOOKUP(L$13,'ELT1'!$A$26:$O$265,14)</f>
        <v>355</v>
      </c>
      <c r="M98" s="140">
        <f>VLOOKUP(M$13,'ELT1'!$A$26:$O$265,14)</f>
        <v>356</v>
      </c>
      <c r="N98" s="140">
        <f>VLOOKUP(N$13,'ELT1'!$A$26:$O$265,14)</f>
        <v>358</v>
      </c>
      <c r="O98" s="136">
        <f>SUM(C98:N98)</f>
        <v>4195</v>
      </c>
    </row>
    <row r="99" spans="1:15" ht="13.5" customHeight="1" thickBot="1">
      <c r="A99" s="65"/>
      <c r="B99" s="65" t="s">
        <v>506</v>
      </c>
      <c r="C99" s="140">
        <f>VLOOKUP(C$13,'ELT1'!$A$26:$O$265,15)</f>
        <v>36</v>
      </c>
      <c r="D99" s="140">
        <f>VLOOKUP(D$13,'ELT1'!$A$26:$O$265,15)</f>
        <v>34</v>
      </c>
      <c r="E99" s="140">
        <f>VLOOKUP(E$13,'ELT1'!$A$26:$O$265,15)</f>
        <v>33</v>
      </c>
      <c r="F99" s="140">
        <f>VLOOKUP(F$13,'ELT1'!$A$26:$O$265,15)</f>
        <v>32</v>
      </c>
      <c r="G99" s="140">
        <f>VLOOKUP(G$13,'ELT1'!$A$26:$O$265,15)</f>
        <v>30</v>
      </c>
      <c r="H99" s="140">
        <f>VLOOKUP(H$13,'ELT1'!$A$26:$O$265,15)</f>
        <v>29</v>
      </c>
      <c r="I99" s="140">
        <f>VLOOKUP(I$13,'ELT1'!$A$26:$O$265,15)</f>
        <v>27</v>
      </c>
      <c r="J99" s="140">
        <f>VLOOKUP(J$13,'ELT1'!$A$26:$O$265,15)</f>
        <v>26</v>
      </c>
      <c r="K99" s="140">
        <f>VLOOKUP(K$13,'ELT1'!$A$26:$O$265,15)</f>
        <v>24</v>
      </c>
      <c r="L99" s="140">
        <f>VLOOKUP(L$13,'ELT1'!$A$26:$O$265,15)</f>
        <v>23</v>
      </c>
      <c r="M99" s="140">
        <f>VLOOKUP(M$13,'ELT1'!$A$26:$O$265,15)</f>
        <v>21</v>
      </c>
      <c r="N99" s="140">
        <f>VLOOKUP(N$13,'ELT1'!$A$26:$O$265,15)</f>
        <v>20</v>
      </c>
      <c r="O99" s="136">
        <f>SUM(C99:N99)</f>
        <v>335</v>
      </c>
    </row>
    <row r="100" spans="1:15" ht="13.5" customHeight="1" thickBot="1">
      <c r="A100" s="43"/>
      <c r="B100" s="149"/>
      <c r="C100" s="211"/>
      <c r="D100" s="211"/>
      <c r="E100" s="211"/>
      <c r="F100" s="211"/>
      <c r="G100" s="211"/>
      <c r="H100" s="211"/>
      <c r="I100" s="211"/>
      <c r="J100" s="211"/>
      <c r="K100" s="211"/>
      <c r="L100" s="211"/>
      <c r="M100" s="211"/>
      <c r="N100" s="211"/>
      <c r="O100" s="159">
        <v>0</v>
      </c>
    </row>
    <row r="101" spans="1:15" ht="13.5" customHeight="1" thickBot="1">
      <c r="A101" s="43" t="str">
        <f>CF!F42</f>
        <v>Emprunt à long terme 2</v>
      </c>
      <c r="B101" s="65" t="s">
        <v>505</v>
      </c>
      <c r="C101" s="140">
        <f>VLOOKUP(C$13,'ELT2'!$A$26:$O$265,14)</f>
        <v>0</v>
      </c>
      <c r="D101" s="140">
        <f>VLOOKUP(D$13,'ELT2'!$A$26:$O$265,14)</f>
        <v>0</v>
      </c>
      <c r="E101" s="140">
        <f>VLOOKUP(E$13,'ELT2'!$A$26:$O$265,14)</f>
        <v>0</v>
      </c>
      <c r="F101" s="140">
        <f>VLOOKUP(F$13,'ELT2'!$A$26:$O$265,14)</f>
        <v>0</v>
      </c>
      <c r="G101" s="140">
        <f>VLOOKUP(G$13,'ELT2'!$A$26:$O$265,14)</f>
        <v>0</v>
      </c>
      <c r="H101" s="140">
        <f>VLOOKUP(H$13,'ELT2'!$A$26:$O$265,14)</f>
        <v>0</v>
      </c>
      <c r="I101" s="140">
        <f>VLOOKUP(I$13,'ELT2'!$A$26:$O$265,14)</f>
        <v>0</v>
      </c>
      <c r="J101" s="140">
        <f>VLOOKUP(J$13,'ELT2'!$A$26:$O$265,14)</f>
        <v>0</v>
      </c>
      <c r="K101" s="140">
        <f>VLOOKUP(K$13,'ELT2'!$A$26:$O$265,14)</f>
        <v>0</v>
      </c>
      <c r="L101" s="140">
        <f>VLOOKUP(L$13,'ELT2'!$A$26:$O$265,14)</f>
        <v>0</v>
      </c>
      <c r="M101" s="140">
        <f>VLOOKUP(M$13,'ELT2'!$A$26:$O$265,14)</f>
        <v>0</v>
      </c>
      <c r="N101" s="140">
        <f>VLOOKUP(N$13,'ELT2'!$A$26:$O$265,14)</f>
        <v>0</v>
      </c>
      <c r="O101" s="136">
        <f>SUM(C101:N101)</f>
        <v>0</v>
      </c>
    </row>
    <row r="102" spans="1:15" ht="13.5" customHeight="1" thickBot="1">
      <c r="A102" s="65"/>
      <c r="B102" s="65" t="s">
        <v>506</v>
      </c>
      <c r="C102" s="140">
        <f>VLOOKUP(C$13,'ELT2'!$A$26:$O$265,15)</f>
        <v>0</v>
      </c>
      <c r="D102" s="140">
        <f>VLOOKUP(D$13,'ELT2'!$A$26:$O$265,15)</f>
        <v>0</v>
      </c>
      <c r="E102" s="140">
        <f>VLOOKUP(E$13,'ELT2'!$A$26:$O$265,15)</f>
        <v>0</v>
      </c>
      <c r="F102" s="140">
        <f>VLOOKUP(F$13,'ELT2'!$A$26:$O$265,15)</f>
        <v>0</v>
      </c>
      <c r="G102" s="140">
        <f>VLOOKUP(G$13,'ELT2'!$A$26:$O$265,15)</f>
        <v>0</v>
      </c>
      <c r="H102" s="140">
        <f>VLOOKUP(H$13,'ELT2'!$A$26:$O$265,15)</f>
        <v>0</v>
      </c>
      <c r="I102" s="140">
        <f>VLOOKUP(I$13,'ELT2'!$A$26:$O$265,15)</f>
        <v>0</v>
      </c>
      <c r="J102" s="140">
        <f>VLOOKUP(J$13,'ELT2'!$A$26:$O$265,15)</f>
        <v>0</v>
      </c>
      <c r="K102" s="140">
        <f>VLOOKUP(K$13,'ELT2'!$A$26:$O$265,15)</f>
        <v>0</v>
      </c>
      <c r="L102" s="140">
        <f>VLOOKUP(L$13,'ELT2'!$A$26:$O$265,15)</f>
        <v>0</v>
      </c>
      <c r="M102" s="140">
        <f>VLOOKUP(M$13,'ELT2'!$A$26:$O$265,15)</f>
        <v>0</v>
      </c>
      <c r="N102" s="140">
        <f>VLOOKUP(N$13,'ELT2'!$A$26:$O$265,15)</f>
        <v>0</v>
      </c>
      <c r="O102" s="136">
        <f>SUM(C102:N102)</f>
        <v>0</v>
      </c>
    </row>
    <row r="103" spans="1:15" ht="13.5" customHeight="1" thickBot="1">
      <c r="A103" s="43"/>
      <c r="B103" s="149"/>
      <c r="C103" s="211"/>
      <c r="D103" s="211"/>
      <c r="E103" s="211"/>
      <c r="F103" s="211"/>
      <c r="G103" s="211"/>
      <c r="H103" s="211"/>
      <c r="I103" s="211"/>
      <c r="J103" s="211"/>
      <c r="K103" s="211"/>
      <c r="L103" s="211"/>
      <c r="M103" s="211"/>
      <c r="N103" s="211"/>
      <c r="O103" s="159">
        <v>0</v>
      </c>
    </row>
    <row r="104" spans="1:15" ht="13.5" customHeight="1" thickBot="1">
      <c r="A104" s="43" t="str">
        <f>CF!F43</f>
        <v>Emprunt à long terme 3</v>
      </c>
      <c r="B104" s="65" t="s">
        <v>505</v>
      </c>
      <c r="C104" s="140">
        <f>VLOOKUP(C$13,'ELT3'!$A$26:$O$265,14)</f>
        <v>0</v>
      </c>
      <c r="D104" s="140">
        <f>VLOOKUP(D$13,'ELT3'!$A$26:$O$265,14)</f>
        <v>0</v>
      </c>
      <c r="E104" s="140">
        <f>VLOOKUP(E$13,'ELT3'!$A$26:$O$265,14)</f>
        <v>0</v>
      </c>
      <c r="F104" s="140">
        <f>VLOOKUP(F$13,'ELT3'!$A$26:$O$265,14)</f>
        <v>0</v>
      </c>
      <c r="G104" s="140">
        <f>VLOOKUP(G$13,'ELT3'!$A$26:$O$265,14)</f>
        <v>0</v>
      </c>
      <c r="H104" s="140">
        <f>VLOOKUP(H$13,'ELT3'!$A$26:$O$265,14)</f>
        <v>0</v>
      </c>
      <c r="I104" s="140">
        <f>VLOOKUP(I$13,'ELT3'!$A$26:$O$265,14)</f>
        <v>0</v>
      </c>
      <c r="J104" s="140">
        <f>VLOOKUP(J$13,'ELT3'!$A$26:$O$265,14)</f>
        <v>0</v>
      </c>
      <c r="K104" s="140">
        <f>VLOOKUP(K$13,'ELT3'!$A$26:$O$265,14)</f>
        <v>0</v>
      </c>
      <c r="L104" s="140">
        <f>VLOOKUP(L$13,'ELT3'!$A$26:$O$265,14)</f>
        <v>0</v>
      </c>
      <c r="M104" s="140">
        <f>VLOOKUP(M$13,'ELT3'!$A$26:$O$265,14)</f>
        <v>0</v>
      </c>
      <c r="N104" s="140">
        <f>VLOOKUP(N$13,'ELT3'!$A$26:$O$265,14)</f>
        <v>0</v>
      </c>
      <c r="O104" s="136">
        <f>SUM(C104:N104)</f>
        <v>0</v>
      </c>
    </row>
    <row r="105" spans="1:15" ht="13.5" customHeight="1" thickBot="1">
      <c r="A105" s="65"/>
      <c r="B105" s="65" t="s">
        <v>506</v>
      </c>
      <c r="C105" s="140">
        <f>VLOOKUP(C$13,'ELT3'!$A$26:$O$265,15)</f>
        <v>0</v>
      </c>
      <c r="D105" s="140">
        <f>VLOOKUP(D$13,'ELT3'!$A$26:$O$265,15)</f>
        <v>0</v>
      </c>
      <c r="E105" s="140">
        <f>VLOOKUP(E$13,'ELT3'!$A$26:$O$265,15)</f>
        <v>0</v>
      </c>
      <c r="F105" s="140">
        <f>VLOOKUP(F$13,'ELT3'!$A$26:$O$265,15)</f>
        <v>0</v>
      </c>
      <c r="G105" s="140">
        <f>VLOOKUP(G$13,'ELT3'!$A$26:$O$265,15)</f>
        <v>0</v>
      </c>
      <c r="H105" s="140">
        <f>VLOOKUP(H$13,'ELT3'!$A$26:$O$265,15)</f>
        <v>0</v>
      </c>
      <c r="I105" s="140">
        <f>VLOOKUP(I$13,'ELT3'!$A$26:$O$265,15)</f>
        <v>0</v>
      </c>
      <c r="J105" s="140">
        <f>VLOOKUP(J$13,'ELT3'!$A$26:$O$265,15)</f>
        <v>0</v>
      </c>
      <c r="K105" s="140">
        <f>VLOOKUP(K$13,'ELT3'!$A$26:$O$265,15)</f>
        <v>0</v>
      </c>
      <c r="L105" s="140">
        <f>VLOOKUP(L$13,'ELT3'!$A$26:$O$265,15)</f>
        <v>0</v>
      </c>
      <c r="M105" s="140">
        <f>VLOOKUP(M$13,'ELT3'!$A$26:$O$265,15)</f>
        <v>0</v>
      </c>
      <c r="N105" s="140">
        <f>VLOOKUP(N$13,'ELT3'!$A$26:$O$265,15)</f>
        <v>0</v>
      </c>
      <c r="O105" s="136">
        <f>SUM(C105:N105)</f>
        <v>0</v>
      </c>
    </row>
    <row r="106" spans="1:15" ht="13.5" customHeight="1" thickBot="1">
      <c r="A106" s="43"/>
      <c r="B106" s="149"/>
      <c r="C106" s="211"/>
      <c r="D106" s="211"/>
      <c r="E106" s="211"/>
      <c r="F106" s="211"/>
      <c r="G106" s="211"/>
      <c r="H106" s="211"/>
      <c r="I106" s="211"/>
      <c r="J106" s="211"/>
      <c r="K106" s="211"/>
      <c r="L106" s="211"/>
      <c r="M106" s="211"/>
      <c r="N106" s="211"/>
      <c r="O106" s="159">
        <v>0</v>
      </c>
    </row>
    <row r="107" spans="1:15" ht="13.5" customHeight="1" thickBot="1">
      <c r="A107" s="43" t="str">
        <f>CF!F44</f>
        <v>Emprunt à long terme 4</v>
      </c>
      <c r="B107" s="65" t="s">
        <v>505</v>
      </c>
      <c r="C107" s="140">
        <f>VLOOKUP(C$13,'ELT4'!$A$26:$O$73,14)</f>
        <v>0</v>
      </c>
      <c r="D107" s="140">
        <f>VLOOKUP(D$13,'ELT4'!$A$26:$O$73,14)</f>
        <v>0</v>
      </c>
      <c r="E107" s="140">
        <f>VLOOKUP(E$13,'ELT4'!$A$26:$O$73,14)</f>
        <v>0</v>
      </c>
      <c r="F107" s="140">
        <f>VLOOKUP(F$13,'ELT4'!$A$26:$O$73,14)</f>
        <v>0</v>
      </c>
      <c r="G107" s="140">
        <f>VLOOKUP(G$13,'ELT4'!$A$26:$O$73,14)</f>
        <v>0</v>
      </c>
      <c r="H107" s="140">
        <f>VLOOKUP(H$13,'ELT4'!$A$26:$O$73,14)</f>
        <v>0</v>
      </c>
      <c r="I107" s="140">
        <f>VLOOKUP(I$13,'ELT4'!$A$26:$O$73,14)</f>
        <v>0</v>
      </c>
      <c r="J107" s="140">
        <f>VLOOKUP(J$13,'ELT4'!$A$26:$O$73,14)</f>
        <v>0</v>
      </c>
      <c r="K107" s="140">
        <f>VLOOKUP(K$13,'ELT4'!$A$26:$O$73,14)</f>
        <v>0</v>
      </c>
      <c r="L107" s="140">
        <f>VLOOKUP(L$13,'ELT4'!$A$26:$O$73,14)</f>
        <v>0</v>
      </c>
      <c r="M107" s="140">
        <f>VLOOKUP(M$13,'ELT4'!$A$26:$O$73,14)</f>
        <v>0</v>
      </c>
      <c r="N107" s="140">
        <f>VLOOKUP(N$13,'ELT4'!$A$26:$O$73,14)</f>
        <v>0</v>
      </c>
      <c r="O107" s="136">
        <f>SUM(C107:N107)</f>
        <v>0</v>
      </c>
    </row>
    <row r="108" spans="1:15" ht="13.5" customHeight="1" thickBot="1">
      <c r="A108" s="65"/>
      <c r="B108" s="65" t="s">
        <v>506</v>
      </c>
      <c r="C108" s="140">
        <f>VLOOKUP(C$13,'ELT4'!$A$26:$O$73,15)</f>
        <v>0</v>
      </c>
      <c r="D108" s="140">
        <f>VLOOKUP(D$13,'ELT4'!$A$26:$O$73,15)</f>
        <v>0</v>
      </c>
      <c r="E108" s="140">
        <f>VLOOKUP(E$13,'ELT4'!$A$26:$O$73,15)</f>
        <v>0</v>
      </c>
      <c r="F108" s="140">
        <f>VLOOKUP(F$13,'ELT4'!$A$26:$O$73,15)</f>
        <v>0</v>
      </c>
      <c r="G108" s="140">
        <f>VLOOKUP(G$13,'ELT4'!$A$26:$O$73,15)</f>
        <v>0</v>
      </c>
      <c r="H108" s="140">
        <f>VLOOKUP(H$13,'ELT4'!$A$26:$O$73,15)</f>
        <v>0</v>
      </c>
      <c r="I108" s="140">
        <f>VLOOKUP(I$13,'ELT4'!$A$26:$O$73,15)</f>
        <v>0</v>
      </c>
      <c r="J108" s="140">
        <f>VLOOKUP(J$13,'ELT4'!$A$26:$O$73,15)</f>
        <v>0</v>
      </c>
      <c r="K108" s="140">
        <f>VLOOKUP(K$13,'ELT4'!$A$26:$O$73,15)</f>
        <v>0</v>
      </c>
      <c r="L108" s="140">
        <f>VLOOKUP(L$13,'ELT4'!$A$26:$O$73,15)</f>
        <v>0</v>
      </c>
      <c r="M108" s="140">
        <f>VLOOKUP(M$13,'ELT4'!$A$26:$O$73,15)</f>
        <v>0</v>
      </c>
      <c r="N108" s="140">
        <f>VLOOKUP(N$13,'ELT4'!$A$26:$O$73,15)</f>
        <v>0</v>
      </c>
      <c r="O108" s="136">
        <f>SUM(C108:N108)</f>
        <v>0</v>
      </c>
    </row>
    <row r="109" spans="1:15" ht="13.5" customHeight="1" thickBot="1">
      <c r="A109" s="43"/>
      <c r="B109" s="149"/>
      <c r="C109" s="211"/>
      <c r="D109" s="211"/>
      <c r="E109" s="211"/>
      <c r="F109" s="211"/>
      <c r="G109" s="211"/>
      <c r="H109" s="211"/>
      <c r="I109" s="211"/>
      <c r="J109" s="211"/>
      <c r="K109" s="211"/>
      <c r="L109" s="211"/>
      <c r="M109" s="211"/>
      <c r="N109" s="211"/>
      <c r="O109" s="159">
        <v>0</v>
      </c>
    </row>
    <row r="110" spans="1:15" ht="13.5" customHeight="1" thickBot="1">
      <c r="A110" s="43" t="str">
        <f>CF!F45</f>
        <v>Emprunt à long terme 5</v>
      </c>
      <c r="B110" s="65" t="s">
        <v>505</v>
      </c>
      <c r="C110" s="140">
        <f>VLOOKUP(C$13,'ELT5'!$A$26:$O$265,14)</f>
        <v>0</v>
      </c>
      <c r="D110" s="140">
        <f>VLOOKUP(D$13,'ELT5'!$A$26:$O$265,14)</f>
        <v>0</v>
      </c>
      <c r="E110" s="140">
        <f>VLOOKUP(E$13,'ELT5'!$A$26:$O$265,14)</f>
        <v>0</v>
      </c>
      <c r="F110" s="140">
        <f>VLOOKUP(F$13,'ELT5'!$A$26:$O$265,14)</f>
        <v>0</v>
      </c>
      <c r="G110" s="140">
        <f>VLOOKUP(G$13,'ELT5'!$A$26:$O$265,14)</f>
        <v>0</v>
      </c>
      <c r="H110" s="140">
        <f>VLOOKUP(H$13,'ELT5'!$A$26:$O$265,14)</f>
        <v>0</v>
      </c>
      <c r="I110" s="140">
        <f>VLOOKUP(I$13,'ELT5'!$A$26:$O$265,14)</f>
        <v>0</v>
      </c>
      <c r="J110" s="140">
        <f>VLOOKUP(J$13,'ELT5'!$A$26:$O$265,14)</f>
        <v>0</v>
      </c>
      <c r="K110" s="140">
        <f>VLOOKUP(K$13,'ELT5'!$A$26:$O$265,14)</f>
        <v>0</v>
      </c>
      <c r="L110" s="140">
        <f>VLOOKUP(L$13,'ELT5'!$A$26:$O$265,14)</f>
        <v>0</v>
      </c>
      <c r="M110" s="140">
        <f>VLOOKUP(M$13,'ELT5'!$A$26:$O$265,14)</f>
        <v>0</v>
      </c>
      <c r="N110" s="140">
        <f>VLOOKUP(N$13,'ELT5'!$A$26:$O$265,14)</f>
        <v>0</v>
      </c>
      <c r="O110" s="136">
        <f>SUM(C110:N110)</f>
        <v>0</v>
      </c>
    </row>
    <row r="111" spans="1:15" ht="13.5" customHeight="1" thickBot="1">
      <c r="A111" s="65"/>
      <c r="B111" s="65" t="s">
        <v>506</v>
      </c>
      <c r="C111" s="140">
        <f>VLOOKUP(C$13,'ELT5'!$A$26:$O$265,15)</f>
        <v>0</v>
      </c>
      <c r="D111" s="140">
        <f>VLOOKUP(D$13,'ELT5'!$A$26:$O$265,15)</f>
        <v>0</v>
      </c>
      <c r="E111" s="140">
        <f>VLOOKUP(E$13,'ELT5'!$A$26:$O$265,15)</f>
        <v>0</v>
      </c>
      <c r="F111" s="140">
        <f>VLOOKUP(F$13,'ELT5'!$A$26:$O$265,15)</f>
        <v>0</v>
      </c>
      <c r="G111" s="140">
        <f>VLOOKUP(G$13,'ELT5'!$A$26:$O$265,15)</f>
        <v>0</v>
      </c>
      <c r="H111" s="140">
        <f>VLOOKUP(H$13,'ELT5'!$A$26:$O$265,15)</f>
        <v>0</v>
      </c>
      <c r="I111" s="140">
        <f>VLOOKUP(I$13,'ELT5'!$A$26:$O$265,15)</f>
        <v>0</v>
      </c>
      <c r="J111" s="140">
        <f>VLOOKUP(J$13,'ELT5'!$A$26:$O$265,15)</f>
        <v>0</v>
      </c>
      <c r="K111" s="140">
        <f>VLOOKUP(K$13,'ELT5'!$A$26:$O$265,15)</f>
        <v>0</v>
      </c>
      <c r="L111" s="140">
        <f>VLOOKUP(L$13,'ELT5'!$A$26:$O$265,15)</f>
        <v>0</v>
      </c>
      <c r="M111" s="140">
        <f>VLOOKUP(M$13,'ELT5'!$A$26:$O$265,15)</f>
        <v>0</v>
      </c>
      <c r="N111" s="140">
        <f>VLOOKUP(N$13,'ELT5'!$A$26:$O$265,15)</f>
        <v>0</v>
      </c>
      <c r="O111" s="136">
        <f>SUM(C111:N111)</f>
        <v>0</v>
      </c>
    </row>
    <row r="112" spans="1:15" ht="13.5" customHeight="1" thickBot="1">
      <c r="A112" s="43"/>
      <c r="B112" s="149"/>
      <c r="C112" s="211"/>
      <c r="D112" s="211"/>
      <c r="E112" s="211"/>
      <c r="F112" s="211"/>
      <c r="G112" s="211"/>
      <c r="H112" s="211"/>
      <c r="I112" s="211"/>
      <c r="J112" s="211"/>
      <c r="K112" s="211"/>
      <c r="L112" s="211"/>
      <c r="M112" s="211"/>
      <c r="N112" s="211"/>
      <c r="O112" s="159">
        <v>0</v>
      </c>
    </row>
    <row r="113" spans="1:16" ht="13.5" customHeight="1" thickBot="1">
      <c r="A113" s="43" t="str">
        <f>CF!F46</f>
        <v>Emprunt à long terme 6</v>
      </c>
      <c r="B113" s="65" t="s">
        <v>505</v>
      </c>
      <c r="C113" s="140">
        <f>VLOOKUP(C$13,'ELT6'!$A$26:$O$265,14)</f>
        <v>0</v>
      </c>
      <c r="D113" s="140">
        <f>VLOOKUP(D$13,'ELT6'!$A$26:$O$265,14)</f>
        <v>0</v>
      </c>
      <c r="E113" s="140">
        <f>VLOOKUP(E$13,'ELT6'!$A$26:$O$265,14)</f>
        <v>0</v>
      </c>
      <c r="F113" s="140">
        <f>VLOOKUP(F$13,'ELT6'!$A$26:$O$265,14)</f>
        <v>0</v>
      </c>
      <c r="G113" s="140">
        <f>VLOOKUP(G$13,'ELT6'!$A$26:$O$265,14)</f>
        <v>0</v>
      </c>
      <c r="H113" s="140">
        <f>VLOOKUP(H$13,'ELT6'!$A$26:$O$265,14)</f>
        <v>0</v>
      </c>
      <c r="I113" s="140">
        <f>VLOOKUP(I$13,'ELT6'!$A$26:$O$265,14)</f>
        <v>0</v>
      </c>
      <c r="J113" s="140">
        <f>VLOOKUP(J$13,'ELT6'!$A$26:$O$265,14)</f>
        <v>0</v>
      </c>
      <c r="K113" s="140">
        <f>VLOOKUP(K$13,'ELT6'!$A$26:$O$265,14)</f>
        <v>0</v>
      </c>
      <c r="L113" s="140">
        <f>VLOOKUP(L$13,'ELT6'!$A$26:$O$265,14)</f>
        <v>0</v>
      </c>
      <c r="M113" s="140">
        <f>VLOOKUP(M$13,'ELT6'!$A$26:$O$265,14)</f>
        <v>0</v>
      </c>
      <c r="N113" s="140">
        <f>VLOOKUP(N$13,'ELT6'!$A$26:$O$265,14)</f>
        <v>0</v>
      </c>
      <c r="O113" s="136">
        <f>SUM(C113:N113)</f>
        <v>0</v>
      </c>
    </row>
    <row r="114" spans="1:16" ht="13.5" customHeight="1" thickBot="1">
      <c r="A114" s="65"/>
      <c r="B114" s="65" t="s">
        <v>506</v>
      </c>
      <c r="C114" s="140">
        <f>VLOOKUP(C$13,'ELT6'!$A$26:$O$265,15)</f>
        <v>0</v>
      </c>
      <c r="D114" s="140">
        <f>VLOOKUP(D$13,'ELT6'!$A$26:$O$265,15)</f>
        <v>0</v>
      </c>
      <c r="E114" s="140">
        <f>VLOOKUP(E$13,'ELT6'!$A$26:$O$265,15)</f>
        <v>0</v>
      </c>
      <c r="F114" s="140">
        <f>VLOOKUP(F$13,'ELT6'!$A$26:$O$265,15)</f>
        <v>0</v>
      </c>
      <c r="G114" s="140">
        <f>VLOOKUP(G$13,'ELT6'!$A$26:$O$265,15)</f>
        <v>0</v>
      </c>
      <c r="H114" s="140">
        <f>VLOOKUP(H$13,'ELT6'!$A$26:$O$265,15)</f>
        <v>0</v>
      </c>
      <c r="I114" s="140">
        <f>VLOOKUP(I$13,'ELT6'!$A$26:$O$265,15)</f>
        <v>0</v>
      </c>
      <c r="J114" s="140">
        <f>VLOOKUP(J$13,'ELT6'!$A$26:$O$265,15)</f>
        <v>0</v>
      </c>
      <c r="K114" s="140">
        <f>VLOOKUP(K$13,'ELT6'!$A$26:$O$265,15)</f>
        <v>0</v>
      </c>
      <c r="L114" s="140">
        <f>VLOOKUP(L$13,'ELT6'!$A$26:$O$265,15)</f>
        <v>0</v>
      </c>
      <c r="M114" s="140">
        <f>VLOOKUP(M$13,'ELT6'!$A$26:$O$265,15)</f>
        <v>0</v>
      </c>
      <c r="N114" s="140">
        <f>VLOOKUP(N$13,'ELT6'!$A$26:$O$265,15)</f>
        <v>0</v>
      </c>
      <c r="O114" s="136">
        <f>SUM(C114:N114)</f>
        <v>0</v>
      </c>
    </row>
    <row r="115" spans="1:16" ht="13.5" customHeight="1" thickBot="1">
      <c r="A115" s="43"/>
      <c r="B115" s="149"/>
      <c r="C115" s="211"/>
      <c r="D115" s="211"/>
      <c r="E115" s="211"/>
      <c r="F115" s="211"/>
      <c r="G115" s="211"/>
      <c r="H115" s="211"/>
      <c r="I115" s="211"/>
      <c r="J115" s="211"/>
      <c r="K115" s="211"/>
      <c r="L115" s="211"/>
      <c r="M115" s="211"/>
      <c r="N115" s="211"/>
      <c r="O115" s="159">
        <v>0</v>
      </c>
    </row>
    <row r="116" spans="1:16" ht="13.5" customHeight="1" thickBot="1">
      <c r="A116" s="43" t="str">
        <f>CF!F47</f>
        <v>Emprunt à long terme 7</v>
      </c>
      <c r="B116" s="65" t="s">
        <v>505</v>
      </c>
      <c r="C116" s="140">
        <f>VLOOKUP(C$13,'ELT7'!$A$26:$O$265,14)</f>
        <v>0</v>
      </c>
      <c r="D116" s="140">
        <f>VLOOKUP(D$13,'ELT7'!$A$26:$O$265,14)</f>
        <v>0</v>
      </c>
      <c r="E116" s="140">
        <f>VLOOKUP(E$13,'ELT7'!$A$26:$O$265,14)</f>
        <v>0</v>
      </c>
      <c r="F116" s="140">
        <f>VLOOKUP(F$13,'ELT7'!$A$26:$O$265,14)</f>
        <v>0</v>
      </c>
      <c r="G116" s="140">
        <f>VLOOKUP(G$13,'ELT7'!$A$26:$O$265,14)</f>
        <v>0</v>
      </c>
      <c r="H116" s="140">
        <f>VLOOKUP(H$13,'ELT7'!$A$26:$O$265,14)</f>
        <v>0</v>
      </c>
      <c r="I116" s="140">
        <f>VLOOKUP(I$13,'ELT7'!$A$26:$O$265,14)</f>
        <v>0</v>
      </c>
      <c r="J116" s="140">
        <f>VLOOKUP(J$13,'ELT7'!$A$26:$O$265,14)</f>
        <v>0</v>
      </c>
      <c r="K116" s="140">
        <f>VLOOKUP(K$13,'ELT7'!$A$26:$O$265,14)</f>
        <v>0</v>
      </c>
      <c r="L116" s="140">
        <f>VLOOKUP(L$13,'ELT7'!$A$26:$O$265,14)</f>
        <v>0</v>
      </c>
      <c r="M116" s="140">
        <f>VLOOKUP(M$13,'ELT7'!$A$26:$O$265,14)</f>
        <v>0</v>
      </c>
      <c r="N116" s="140">
        <f>VLOOKUP(N$13,'ELT7'!$A$26:$O$265,14)</f>
        <v>0</v>
      </c>
      <c r="O116" s="136">
        <f>SUM(C116:N116)</f>
        <v>0</v>
      </c>
    </row>
    <row r="117" spans="1:16" ht="13.5" customHeight="1" thickBot="1">
      <c r="A117" s="65"/>
      <c r="B117" s="65" t="s">
        <v>506</v>
      </c>
      <c r="C117" s="140">
        <f>VLOOKUP(C$13,'ELT7'!$A$26:$O$265,15)</f>
        <v>0</v>
      </c>
      <c r="D117" s="140">
        <f>VLOOKUP(D$13,'ELT7'!$A$26:$O$265,15)</f>
        <v>0</v>
      </c>
      <c r="E117" s="140">
        <f>VLOOKUP(E$13,'ELT7'!$A$26:$O$265,15)</f>
        <v>0</v>
      </c>
      <c r="F117" s="140">
        <f>VLOOKUP(F$13,'ELT7'!$A$26:$O$265,15)</f>
        <v>0</v>
      </c>
      <c r="G117" s="140">
        <f>VLOOKUP(G$13,'ELT7'!$A$26:$O$265,15)</f>
        <v>0</v>
      </c>
      <c r="H117" s="140">
        <f>VLOOKUP(H$13,'ELT7'!$A$26:$O$265,15)</f>
        <v>0</v>
      </c>
      <c r="I117" s="140">
        <f>VLOOKUP(I$13,'ELT7'!$A$26:$O$265,15)</f>
        <v>0</v>
      </c>
      <c r="J117" s="140">
        <f>VLOOKUP(J$13,'ELT7'!$A$26:$O$265,15)</f>
        <v>0</v>
      </c>
      <c r="K117" s="140">
        <f>VLOOKUP(K$13,'ELT7'!$A$26:$O$265,15)</f>
        <v>0</v>
      </c>
      <c r="L117" s="140">
        <f>VLOOKUP(L$13,'ELT7'!$A$26:$O$265,15)</f>
        <v>0</v>
      </c>
      <c r="M117" s="140">
        <f>VLOOKUP(M$13,'ELT7'!$A$26:$O$265,15)</f>
        <v>0</v>
      </c>
      <c r="N117" s="791">
        <f>VLOOKUP(N$13,'ELT7'!$A$26:$O$265,15)</f>
        <v>0</v>
      </c>
      <c r="O117" s="136">
        <f>SUM(C117:N117)</f>
        <v>0</v>
      </c>
    </row>
    <row r="118" spans="1:16" ht="13.5" customHeight="1" thickBot="1">
      <c r="A118" s="65"/>
      <c r="B118" s="65"/>
      <c r="C118" s="211"/>
      <c r="D118" s="211"/>
      <c r="E118" s="211"/>
      <c r="F118" s="211"/>
      <c r="G118" s="211"/>
      <c r="H118" s="211"/>
      <c r="I118" s="211"/>
      <c r="J118" s="211"/>
      <c r="K118" s="211"/>
      <c r="L118" s="211"/>
      <c r="M118" s="211"/>
      <c r="N118" s="211"/>
      <c r="O118" s="138"/>
    </row>
    <row r="119" spans="1:16" ht="13.5" customHeight="1" thickBot="1">
      <c r="A119" s="867" t="s">
        <v>337</v>
      </c>
      <c r="B119" s="48"/>
      <c r="C119" s="133">
        <f>IF('BC3'!O142&gt;0,'BC3'!O142*C131,0)</f>
        <v>0</v>
      </c>
      <c r="D119" s="133">
        <f>IF(C142&gt;0,C142*D131,0)</f>
        <v>0</v>
      </c>
      <c r="E119" s="133">
        <f t="shared" ref="E119:N119" si="10">IF(D142&gt;0,D142*E131,0)</f>
        <v>0</v>
      </c>
      <c r="F119" s="133">
        <f t="shared" si="10"/>
        <v>0</v>
      </c>
      <c r="G119" s="133">
        <f t="shared" si="10"/>
        <v>0</v>
      </c>
      <c r="H119" s="133">
        <f t="shared" si="10"/>
        <v>0</v>
      </c>
      <c r="I119" s="133">
        <f t="shared" si="10"/>
        <v>0</v>
      </c>
      <c r="J119" s="133">
        <f t="shared" si="10"/>
        <v>0</v>
      </c>
      <c r="K119" s="133">
        <f t="shared" si="10"/>
        <v>0</v>
      </c>
      <c r="L119" s="133">
        <f t="shared" si="10"/>
        <v>0</v>
      </c>
      <c r="M119" s="133">
        <f t="shared" si="10"/>
        <v>0</v>
      </c>
      <c r="N119" s="133">
        <f t="shared" si="10"/>
        <v>0</v>
      </c>
      <c r="O119" s="136">
        <f>SUM(C119:N119)+(0.0001)</f>
        <v>1E-4</v>
      </c>
    </row>
    <row r="120" spans="1:16" ht="13.5" customHeight="1">
      <c r="A120" s="65"/>
      <c r="B120" s="65"/>
      <c r="C120" s="211"/>
      <c r="D120" s="211"/>
      <c r="E120" s="211"/>
      <c r="F120" s="211"/>
      <c r="G120" s="211"/>
      <c r="H120" s="211"/>
      <c r="I120" s="211"/>
      <c r="J120" s="211"/>
      <c r="K120" s="211"/>
      <c r="L120" s="211"/>
      <c r="M120" s="211"/>
      <c r="N120" s="211"/>
      <c r="O120" s="138"/>
    </row>
    <row r="121" spans="1:16" ht="13.5" customHeight="1" thickBot="1">
      <c r="A121" s="43"/>
      <c r="B121" s="43"/>
      <c r="C121" s="790"/>
      <c r="D121" s="790"/>
      <c r="E121" s="790"/>
      <c r="F121" s="790"/>
      <c r="G121" s="790"/>
      <c r="H121" s="790"/>
      <c r="I121" s="790"/>
      <c r="J121" s="790"/>
      <c r="K121" s="790"/>
      <c r="L121" s="790"/>
      <c r="M121" s="790"/>
      <c r="N121" s="790"/>
      <c r="O121" s="159">
        <v>0</v>
      </c>
    </row>
    <row r="122" spans="1:16" ht="13.5" customHeight="1" thickBot="1">
      <c r="A122" s="48" t="str">
        <f>'BC1'!A124</f>
        <v>Acquisitions d'immobilisations</v>
      </c>
      <c r="B122" s="48"/>
      <c r="C122" s="133">
        <f>'FG4'!C101</f>
        <v>0</v>
      </c>
      <c r="D122" s="133">
        <f>'FG4'!D101</f>
        <v>0</v>
      </c>
      <c r="E122" s="133">
        <f>'FG4'!E101</f>
        <v>0</v>
      </c>
      <c r="F122" s="133">
        <f>'FG4'!F101</f>
        <v>0</v>
      </c>
      <c r="G122" s="133">
        <f>'FG4'!G101</f>
        <v>0</v>
      </c>
      <c r="H122" s="133">
        <f>'FG4'!H101</f>
        <v>0</v>
      </c>
      <c r="I122" s="133">
        <f>'FG4'!I101</f>
        <v>0</v>
      </c>
      <c r="J122" s="133">
        <f>'FG4'!J101</f>
        <v>0</v>
      </c>
      <c r="K122" s="133">
        <f>'FG4'!K101</f>
        <v>0</v>
      </c>
      <c r="L122" s="133">
        <f>'FG4'!L101</f>
        <v>0</v>
      </c>
      <c r="M122" s="133">
        <f>'FG4'!M101</f>
        <v>0</v>
      </c>
      <c r="N122" s="134">
        <f>'FG4'!N101</f>
        <v>0</v>
      </c>
      <c r="O122" s="136">
        <f>SUM(C122:N122)</f>
        <v>0</v>
      </c>
    </row>
    <row r="123" spans="1:16" ht="13.5" customHeight="1" thickBot="1">
      <c r="A123" s="43"/>
      <c r="B123" s="43"/>
      <c r="C123" s="150"/>
      <c r="D123" s="150"/>
      <c r="E123" s="150"/>
      <c r="F123" s="150"/>
      <c r="G123" s="150"/>
      <c r="H123" s="150"/>
      <c r="I123" s="150"/>
      <c r="J123" s="150"/>
      <c r="K123" s="150"/>
      <c r="L123" s="150"/>
      <c r="M123" s="150"/>
      <c r="N123" s="150"/>
      <c r="O123" s="159">
        <v>0</v>
      </c>
    </row>
    <row r="124" spans="1:16" ht="13.5" customHeight="1" thickBot="1">
      <c r="A124" s="48" t="str">
        <f>'BC1'!A128</f>
        <v>Dividendes versés</v>
      </c>
      <c r="B124" s="48"/>
      <c r="C124" s="133">
        <f>'FG4'!C103</f>
        <v>0</v>
      </c>
      <c r="D124" s="133">
        <f>'FG4'!D103</f>
        <v>0</v>
      </c>
      <c r="E124" s="133">
        <f>'FG4'!E103</f>
        <v>0</v>
      </c>
      <c r="F124" s="133">
        <f>'FG4'!F103</f>
        <v>0</v>
      </c>
      <c r="G124" s="133">
        <f>'FG4'!G103</f>
        <v>0</v>
      </c>
      <c r="H124" s="133">
        <f>'FG4'!H103</f>
        <v>0</v>
      </c>
      <c r="I124" s="133">
        <f>'FG4'!I103</f>
        <v>0</v>
      </c>
      <c r="J124" s="133">
        <f>'FG4'!J103</f>
        <v>0</v>
      </c>
      <c r="K124" s="133">
        <f>'FG4'!K103</f>
        <v>0</v>
      </c>
      <c r="L124" s="133">
        <f>'FG4'!L103</f>
        <v>0</v>
      </c>
      <c r="M124" s="133">
        <f>'FG4'!M103</f>
        <v>0</v>
      </c>
      <c r="N124" s="134">
        <f>'FG4'!N103</f>
        <v>0</v>
      </c>
      <c r="O124" s="136">
        <f>SUM(C124:N124)</f>
        <v>0</v>
      </c>
    </row>
    <row r="125" spans="1:16" ht="13.5" customHeight="1" thickBot="1">
      <c r="A125" s="43"/>
      <c r="B125" s="43"/>
      <c r="C125" s="150"/>
      <c r="D125" s="150"/>
      <c r="E125" s="150"/>
      <c r="F125" s="150"/>
      <c r="G125" s="150"/>
      <c r="H125" s="150"/>
      <c r="I125" s="150"/>
      <c r="J125" s="150"/>
      <c r="K125" s="150"/>
      <c r="L125" s="150"/>
      <c r="M125" s="150"/>
      <c r="N125" s="150"/>
      <c r="O125" s="159">
        <v>0</v>
      </c>
    </row>
    <row r="126" spans="1:16" ht="13.5" thickBot="1">
      <c r="A126" s="48" t="s">
        <v>923</v>
      </c>
      <c r="B126" s="48"/>
      <c r="C126" s="552"/>
      <c r="D126" s="895">
        <f>-ER!G98+ER!E98-'BC3'!E129-'BC3'!H129-'BC3'!K129-'BC3'!N129</f>
        <v>0</v>
      </c>
      <c r="E126" s="552">
        <f>IF(ER!$G$98&lt;0,MROUND(-ER!$G$98/4,1),0)</f>
        <v>0</v>
      </c>
      <c r="F126" s="552"/>
      <c r="G126" s="552"/>
      <c r="H126" s="552">
        <f>IF(ER!$G$98&lt;0,MROUND(-ER!$G$98/4,1),0)</f>
        <v>0</v>
      </c>
      <c r="I126" s="552"/>
      <c r="J126" s="552"/>
      <c r="K126" s="552">
        <f>IF(ER!$G$98&lt;0,MROUND(-ER!$G$98/4,1),0)</f>
        <v>0</v>
      </c>
      <c r="L126" s="552"/>
      <c r="M126" s="552"/>
      <c r="N126" s="552">
        <f>IF(ER!$G$98&lt;0,MROUND(-ER!$G$98/4,1),0)</f>
        <v>0</v>
      </c>
      <c r="O126" s="136">
        <f>SUM(C126:N126)</f>
        <v>0</v>
      </c>
      <c r="P126" s="137"/>
    </row>
    <row r="127" spans="1:16" ht="13.5" customHeight="1" thickBot="1">
      <c r="A127" s="43"/>
      <c r="B127" s="43"/>
      <c r="C127" s="148"/>
      <c r="D127" s="148"/>
      <c r="E127" s="148"/>
      <c r="F127" s="148"/>
      <c r="G127" s="148"/>
      <c r="H127" s="148"/>
      <c r="I127" s="148"/>
      <c r="J127" s="148"/>
      <c r="K127" s="148"/>
      <c r="L127" s="148"/>
      <c r="M127" s="148"/>
      <c r="N127" s="148"/>
      <c r="O127" s="159">
        <v>0</v>
      </c>
    </row>
    <row r="128" spans="1:16" ht="13.5" customHeight="1" thickBot="1">
      <c r="A128" s="48" t="s">
        <v>507</v>
      </c>
      <c r="B128" s="48"/>
      <c r="C128" s="133">
        <f>-SUM(C28:C85)-C124-C126-C122</f>
        <v>-5071.7796799999996</v>
      </c>
      <c r="D128" s="133">
        <f t="shared" ref="D128:O128" si="11">-SUM(D28:D85)-D124-D126-D122</f>
        <v>-5093.7796799999996</v>
      </c>
      <c r="E128" s="133">
        <f t="shared" si="11"/>
        <v>-5098.7796799999996</v>
      </c>
      <c r="F128" s="133">
        <f t="shared" si="11"/>
        <v>-5102.7796799999996</v>
      </c>
      <c r="G128" s="133">
        <f t="shared" si="11"/>
        <v>-5106.7796799999996</v>
      </c>
      <c r="H128" s="133">
        <f t="shared" si="11"/>
        <v>-5111.7796799999996</v>
      </c>
      <c r="I128" s="133">
        <f t="shared" si="11"/>
        <v>-5113.7796799999996</v>
      </c>
      <c r="J128" s="133">
        <f t="shared" si="11"/>
        <v>-5119.7796799999996</v>
      </c>
      <c r="K128" s="133">
        <f t="shared" si="11"/>
        <v>-5122.7796799999996</v>
      </c>
      <c r="L128" s="133">
        <f t="shared" si="11"/>
        <v>-5126.7796799999996</v>
      </c>
      <c r="M128" s="133">
        <f t="shared" si="11"/>
        <v>-5131.7796799999996</v>
      </c>
      <c r="N128" s="133">
        <f t="shared" si="11"/>
        <v>-5136.7796799999996</v>
      </c>
      <c r="O128" s="136">
        <f t="shared" si="11"/>
        <v>-61337.366160000005</v>
      </c>
      <c r="P128" s="137"/>
    </row>
    <row r="129" spans="1:17" ht="13.5" customHeight="1" thickBot="1">
      <c r="A129" s="48"/>
      <c r="B129" s="48"/>
      <c r="C129" s="148"/>
      <c r="D129" s="148"/>
      <c r="E129" s="148"/>
      <c r="F129" s="148"/>
      <c r="G129" s="148"/>
      <c r="H129" s="148"/>
      <c r="I129" s="148"/>
      <c r="J129" s="148"/>
      <c r="K129" s="148"/>
      <c r="L129" s="148"/>
      <c r="M129" s="148"/>
      <c r="N129" s="148"/>
      <c r="O129" s="151"/>
    </row>
    <row r="130" spans="1:17" ht="13.5" customHeight="1" thickBot="1">
      <c r="A130" s="48" t="s">
        <v>446</v>
      </c>
      <c r="B130" s="48"/>
      <c r="C130" s="133">
        <f t="shared" ref="C130:O130" si="12">+C25+C128</f>
        <v>-1488.6546799999996</v>
      </c>
      <c r="D130" s="133">
        <f t="shared" si="12"/>
        <v>-1345.2796799999996</v>
      </c>
      <c r="E130" s="133">
        <f t="shared" si="12"/>
        <v>-1184.9046799999996</v>
      </c>
      <c r="F130" s="133">
        <f t="shared" si="12"/>
        <v>-1023.5296799999996</v>
      </c>
      <c r="G130" s="133">
        <f t="shared" si="12"/>
        <v>-862.15467999999964</v>
      </c>
      <c r="H130" s="133">
        <f t="shared" si="12"/>
        <v>-701.77967999999964</v>
      </c>
      <c r="I130" s="133">
        <f t="shared" si="12"/>
        <v>-538.40467999999873</v>
      </c>
      <c r="J130" s="133">
        <f t="shared" si="12"/>
        <v>-379.02967999999964</v>
      </c>
      <c r="K130" s="133">
        <f t="shared" si="12"/>
        <v>-216.65467999999964</v>
      </c>
      <c r="L130" s="133">
        <f t="shared" si="12"/>
        <v>-55.279679999999644</v>
      </c>
      <c r="M130" s="133">
        <f t="shared" si="12"/>
        <v>105.09532000000036</v>
      </c>
      <c r="N130" s="134">
        <f t="shared" si="12"/>
        <v>265.47032000000127</v>
      </c>
      <c r="O130" s="136">
        <f t="shared" si="12"/>
        <v>-7425.116160000005</v>
      </c>
      <c r="P130" s="137"/>
    </row>
    <row r="131" spans="1:17" ht="13.5" customHeight="1">
      <c r="A131" s="48"/>
      <c r="B131" s="48"/>
      <c r="C131" s="222">
        <f>IF(RG!$A$91&lt;16,DG!$D$27/12,DG!$D$28/12)</f>
        <v>0</v>
      </c>
      <c r="D131" s="222">
        <f>IF(RG!$A$91&lt;16,DG!$D$27/12,DG!$D$28/12)</f>
        <v>0</v>
      </c>
      <c r="E131" s="222">
        <f>IF(RG!$A$91&lt;16,DG!$D$27/12,DG!$D$28/12)</f>
        <v>0</v>
      </c>
      <c r="F131" s="222">
        <f>IF(RG!$A$91&lt;16,DG!$D$27/12,DG!$D$28/12)</f>
        <v>0</v>
      </c>
      <c r="G131" s="222">
        <f>IF(RG!$A$91&lt;16,DG!$D$27/12,DG!$D$28/12)</f>
        <v>0</v>
      </c>
      <c r="H131" s="222">
        <f>IF(RG!$A$91&lt;16,DG!$D$27/12,DG!$D$28/12)</f>
        <v>0</v>
      </c>
      <c r="I131" s="222">
        <f>IF(RG!$A$91&lt;16,DG!$D$27/12,DG!$D$28/12)</f>
        <v>0</v>
      </c>
      <c r="J131" s="222">
        <f>IF(RG!$A$91&lt;16,DG!$D$27/12,DG!$D$28/12)</f>
        <v>0</v>
      </c>
      <c r="K131" s="222">
        <f>IF(RG!$A$91&lt;16,DG!$D$27/12,DG!$D$28/12)</f>
        <v>0</v>
      </c>
      <c r="L131" s="222">
        <f>IF(RG!$A$91&lt;16,DG!$D$27/12,DG!$D$28/12)</f>
        <v>0</v>
      </c>
      <c r="M131" s="222">
        <f>IF(RG!$A$91&lt;16,DG!$D$27/12,DG!$D$28/12)</f>
        <v>0</v>
      </c>
      <c r="N131" s="222">
        <f>IF(RG!$A$91&lt;16,DG!$D$27/12,DG!$D$28/12)</f>
        <v>0</v>
      </c>
      <c r="O131" s="222">
        <f>IF(RG!$A$91&lt;8.5,DG!$D$27/12,DG!$D$28/12)</f>
        <v>7.0833333333333338E-3</v>
      </c>
      <c r="P131" s="137"/>
    </row>
    <row r="132" spans="1:17" ht="13.5" customHeight="1" thickBot="1">
      <c r="A132" s="78" t="s">
        <v>200</v>
      </c>
      <c r="B132" s="48"/>
      <c r="C132" s="148"/>
      <c r="D132" s="148"/>
      <c r="E132" s="148"/>
      <c r="F132" s="148"/>
      <c r="G132" s="148"/>
      <c r="H132" s="148"/>
      <c r="I132" s="148"/>
      <c r="J132" s="148"/>
      <c r="K132" s="148"/>
      <c r="L132" s="148"/>
      <c r="M132" s="148"/>
      <c r="N132" s="148"/>
      <c r="O132" s="138"/>
      <c r="P132" s="137"/>
    </row>
    <row r="133" spans="1:17" ht="13.5" customHeight="1" thickBot="1">
      <c r="A133" s="162" t="s">
        <v>188</v>
      </c>
      <c r="B133" s="48"/>
      <c r="C133" s="642">
        <f>IF(RG!$A$82=2,0,INT(('V4'!F99+'AE4'!D21)*0.14975))</f>
        <v>536</v>
      </c>
      <c r="D133" s="642">
        <f>IF(RG!$A$82=2,0,INT(('V4'!G99+'AE4'!E21)*0.14975))</f>
        <v>561</v>
      </c>
      <c r="E133" s="642">
        <f>IF(RG!$A$82=2,0,INT(('V4'!H99+'AE4'!F21)*0.14975))</f>
        <v>586</v>
      </c>
      <c r="F133" s="642">
        <f>IF(RG!$A$82=2,0,INT(('V4'!I99+'AE4'!G21)*0.14975))</f>
        <v>610</v>
      </c>
      <c r="G133" s="642">
        <f>IF(RG!$A$82=2,0,INT(('V4'!J99+'AE4'!H21)*0.14975))</f>
        <v>635</v>
      </c>
      <c r="H133" s="642">
        <f>IF(RG!$A$82=2,0,INT(('V4'!K99+'AE4'!I21)*0.14975))</f>
        <v>660</v>
      </c>
      <c r="I133" s="642">
        <f>IF(RG!$A$82=2,0,INT(('V4'!L99+'AE4'!J21)*0.14975))</f>
        <v>685</v>
      </c>
      <c r="J133" s="642">
        <f>IF(RG!$A$82=2,0,INT(('V4'!M99+'AE4'!K21)*0.14975))</f>
        <v>709</v>
      </c>
      <c r="K133" s="642">
        <f>IF(RG!$A$82=2,0,INT(('V4'!N99+'AE4'!L21)*0.14975))</f>
        <v>734</v>
      </c>
      <c r="L133" s="642">
        <f>IF(RG!$A$82=2,0,INT(('V4'!O99+'AE4'!M21)*0.14975))</f>
        <v>759</v>
      </c>
      <c r="M133" s="642">
        <f>IF(RG!$A$82=2,0,INT(('V4'!P99+'AE4'!N21)*0.14975))</f>
        <v>784</v>
      </c>
      <c r="N133" s="642">
        <f>IF(RG!$A$82=2,0,INT(('V4'!Q99+'AE4'!O21)*0.14975))</f>
        <v>808</v>
      </c>
      <c r="O133" s="216">
        <f>SUM(C133:N133)</f>
        <v>8067</v>
      </c>
      <c r="P133" s="137"/>
    </row>
    <row r="134" spans="1:17" ht="13.5" customHeight="1" thickBot="1">
      <c r="A134" s="162" t="s">
        <v>189</v>
      </c>
      <c r="B134" s="48"/>
      <c r="C134" s="551">
        <f>IF(RG!$A$82=2,0,INT((SUM(C31:C61)+SUM(C65:C75)+C122+'A4'!E94)*0.14975))</f>
        <v>13</v>
      </c>
      <c r="D134" s="551">
        <f>IF(RG!$A$82=2,0,INT((SUM(D31:D61)+SUM(D65:D75)+D122+'A4'!F94)*0.14975))</f>
        <v>13</v>
      </c>
      <c r="E134" s="551">
        <f>IF(RG!$A$82=2,0,INT((SUM(E31:E61)+SUM(E65:E75)+E122+'A4'!G94)*0.14975))</f>
        <v>14</v>
      </c>
      <c r="F134" s="551">
        <f>IF(RG!$A$82=2,0,INT((SUM(F31:F61)+SUM(F65:F75)+F122+'A4'!H94)*0.14975))</f>
        <v>14</v>
      </c>
      <c r="G134" s="551">
        <f>IF(RG!$A$82=2,0,INT((SUM(G31:G61)+SUM(G65:G75)+G122+'A4'!I94)*0.14975))</f>
        <v>15</v>
      </c>
      <c r="H134" s="551">
        <f>IF(RG!$A$82=2,0,INT((SUM(H31:H61)+SUM(H65:H75)+H122+'A4'!J94)*0.14975))</f>
        <v>16</v>
      </c>
      <c r="I134" s="551">
        <f>IF(RG!$A$82=2,0,INT((SUM(I31:I61)+SUM(I65:I75)+I122+'A4'!K94)*0.14975))</f>
        <v>16</v>
      </c>
      <c r="J134" s="551">
        <f>IF(RG!$A$82=2,0,INT((SUM(J31:J61)+SUM(J65:J75)+J122+'A4'!L94)*0.14975))</f>
        <v>17</v>
      </c>
      <c r="K134" s="551">
        <f>IF(RG!$A$82=2,0,INT((SUM(K31:K61)+SUM(K65:K75)+K122+'A4'!M94)*0.14975))</f>
        <v>18</v>
      </c>
      <c r="L134" s="551">
        <f>IF(RG!$A$82=2,0,INT((SUM(L31:L61)+SUM(L65:L75)+L122+'A4'!N94)*0.14975))</f>
        <v>18</v>
      </c>
      <c r="M134" s="551">
        <f>IF(RG!$A$82=2,0,INT((SUM(M31:M61)+SUM(M65:M75)+M122+'A4'!O94)*0.14975))</f>
        <v>19</v>
      </c>
      <c r="N134" s="551">
        <f>IF(RG!$A$82=2,0,INT((SUM(N31:N61)+SUM(N65:N75)+N122+'A4'!P94)*0.14975))</f>
        <v>20</v>
      </c>
      <c r="O134" s="217">
        <f>SUM(C134:N134)</f>
        <v>193</v>
      </c>
      <c r="P134" s="137"/>
    </row>
    <row r="135" spans="1:17" ht="13.5" customHeight="1" thickBot="1">
      <c r="A135" s="544" t="s">
        <v>201</v>
      </c>
      <c r="B135" s="48"/>
      <c r="C135" s="648">
        <f>'BC3'!N133-'BC3'!N134</f>
        <v>788</v>
      </c>
      <c r="D135" s="648">
        <f>C133-C134</f>
        <v>523</v>
      </c>
      <c r="E135" s="648">
        <f t="shared" ref="E135:N135" si="13">D133-D134</f>
        <v>548</v>
      </c>
      <c r="F135" s="648">
        <f t="shared" si="13"/>
        <v>572</v>
      </c>
      <c r="G135" s="648">
        <f t="shared" si="13"/>
        <v>596</v>
      </c>
      <c r="H135" s="648">
        <f t="shared" si="13"/>
        <v>620</v>
      </c>
      <c r="I135" s="648">
        <f t="shared" si="13"/>
        <v>644</v>
      </c>
      <c r="J135" s="648">
        <f t="shared" si="13"/>
        <v>669</v>
      </c>
      <c r="K135" s="648">
        <f t="shared" si="13"/>
        <v>692</v>
      </c>
      <c r="L135" s="648">
        <f t="shared" si="13"/>
        <v>716</v>
      </c>
      <c r="M135" s="648">
        <f t="shared" si="13"/>
        <v>741</v>
      </c>
      <c r="N135" s="649">
        <f t="shared" si="13"/>
        <v>765</v>
      </c>
      <c r="O135" s="136">
        <f>SUM(C135:N135)</f>
        <v>7874</v>
      </c>
      <c r="P135" s="137"/>
    </row>
    <row r="136" spans="1:17" s="143" customFormat="1" ht="13.5" customHeight="1" thickBot="1">
      <c r="A136" s="48"/>
      <c r="B136" s="48"/>
      <c r="C136" s="148"/>
      <c r="D136" s="148"/>
      <c r="E136" s="148"/>
      <c r="F136" s="148"/>
      <c r="G136" s="148"/>
      <c r="H136" s="148"/>
      <c r="I136" s="148"/>
      <c r="J136" s="148"/>
      <c r="K136" s="148"/>
      <c r="L136" s="148"/>
      <c r="M136" s="148"/>
      <c r="N136" s="148"/>
      <c r="O136" s="151"/>
    </row>
    <row r="137" spans="1:17" s="143" customFormat="1" ht="13.5" customHeight="1" thickBot="1">
      <c r="A137" s="43" t="s">
        <v>447</v>
      </c>
      <c r="B137" s="43"/>
      <c r="C137" s="133">
        <f>C15+C130+C133-C134-C135</f>
        <v>-1315.2437799999752</v>
      </c>
      <c r="D137" s="133">
        <f t="shared" ref="D137:N137" si="14">D15+D130+D133-D134-D135</f>
        <v>-1135.5234599999749</v>
      </c>
      <c r="E137" s="133">
        <f t="shared" si="14"/>
        <v>-796.42813999997452</v>
      </c>
      <c r="F137" s="133">
        <f t="shared" si="14"/>
        <v>-795.95781999997416</v>
      </c>
      <c r="G137" s="133">
        <f t="shared" si="14"/>
        <v>-634.11249999997381</v>
      </c>
      <c r="H137" s="133">
        <f t="shared" si="14"/>
        <v>-311.89217999997345</v>
      </c>
      <c r="I137" s="133">
        <f t="shared" si="14"/>
        <v>-325.29685999997218</v>
      </c>
      <c r="J137" s="133">
        <f t="shared" si="14"/>
        <v>-181.32653999997183</v>
      </c>
      <c r="K137" s="133">
        <f t="shared" si="14"/>
        <v>126.01878000002853</v>
      </c>
      <c r="L137" s="133">
        <f t="shared" si="14"/>
        <v>95.739100000028884</v>
      </c>
      <c r="M137" s="133">
        <f t="shared" si="14"/>
        <v>224.83442000002924</v>
      </c>
      <c r="N137" s="133">
        <f t="shared" si="14"/>
        <v>513.30474000003051</v>
      </c>
      <c r="O137" s="136">
        <f>O15+O130+O133-O134-O135</f>
        <v>-6986.7052599999806</v>
      </c>
      <c r="P137" s="137"/>
    </row>
    <row r="138" spans="1:17" s="143" customFormat="1" ht="13.5" customHeight="1" thickBot="1">
      <c r="A138" s="43"/>
      <c r="B138" s="43"/>
      <c r="C138" s="148"/>
      <c r="D138" s="148"/>
      <c r="E138" s="148"/>
      <c r="F138" s="148"/>
      <c r="G138" s="148"/>
      <c r="H138" s="148"/>
      <c r="I138" s="148"/>
      <c r="J138" s="148"/>
      <c r="K138" s="148"/>
      <c r="L138" s="148"/>
      <c r="M138" s="148"/>
      <c r="N138" s="148"/>
      <c r="O138" s="151"/>
    </row>
    <row r="139" spans="1:17" s="143" customFormat="1" ht="13.5" customHeight="1" thickBot="1">
      <c r="A139" s="43" t="s">
        <v>279</v>
      </c>
      <c r="B139" s="43"/>
      <c r="C139" s="133">
        <f>'BC3'!N142</f>
        <v>15000</v>
      </c>
      <c r="D139" s="133">
        <f t="shared" ref="D139:N139" si="15">C139+C140+C141</f>
        <v>16500</v>
      </c>
      <c r="E139" s="133">
        <f t="shared" si="15"/>
        <v>18000</v>
      </c>
      <c r="F139" s="133">
        <f t="shared" si="15"/>
        <v>19000</v>
      </c>
      <c r="G139" s="133">
        <f t="shared" si="15"/>
        <v>20000</v>
      </c>
      <c r="H139" s="133">
        <f t="shared" si="15"/>
        <v>21000</v>
      </c>
      <c r="I139" s="133">
        <f t="shared" si="15"/>
        <v>21500</v>
      </c>
      <c r="J139" s="133">
        <f t="shared" si="15"/>
        <v>22000</v>
      </c>
      <c r="K139" s="133">
        <f t="shared" si="15"/>
        <v>22500</v>
      </c>
      <c r="L139" s="133">
        <f t="shared" si="15"/>
        <v>22500</v>
      </c>
      <c r="M139" s="133">
        <f t="shared" si="15"/>
        <v>22500</v>
      </c>
      <c r="N139" s="133">
        <f t="shared" si="15"/>
        <v>22500</v>
      </c>
      <c r="O139" s="136">
        <f>C139</f>
        <v>15000</v>
      </c>
    </row>
    <row r="140" spans="1:17" ht="13.5" customHeight="1" thickBot="1">
      <c r="A140" s="43" t="s">
        <v>280</v>
      </c>
      <c r="B140" s="48"/>
      <c r="C140" s="133">
        <f>IF(RG!$A$90=1,DG!C301,IF(RG!$A$90=2,DG!C306,DG!C311))</f>
        <v>1500</v>
      </c>
      <c r="D140" s="133">
        <f>IF(RG!$A$90=1,DG!D301,IF(RG!$A$90=2,DG!D306,DG!D311))</f>
        <v>1500</v>
      </c>
      <c r="E140" s="133">
        <f>IF(RG!$A$90=1,DG!E301,IF(RG!$A$90=2,DG!E306,DG!E311))</f>
        <v>1000</v>
      </c>
      <c r="F140" s="133">
        <f>IF(RG!$A$90=1,DG!F301,IF(RG!$A$90=2,DG!F306,DG!F311))</f>
        <v>1000</v>
      </c>
      <c r="G140" s="133">
        <f>IF(RG!$A$90=1,DG!G301,IF(RG!$A$90=2,DG!G306,DG!G311))</f>
        <v>1000</v>
      </c>
      <c r="H140" s="133">
        <f>IF(RG!$A$90=1,DG!H301,IF(RG!$A$90=2,DG!H306,DG!H311))</f>
        <v>500</v>
      </c>
      <c r="I140" s="133">
        <f>IF(RG!$A$90=1,DG!I301,IF(RG!$A$90=2,DG!I306,DG!I311))</f>
        <v>500</v>
      </c>
      <c r="J140" s="133">
        <f>IF(RG!$A$90=1,DG!J301,IF(RG!$A$90=2,DG!J306,DG!J311))</f>
        <v>500</v>
      </c>
      <c r="K140" s="133">
        <f>IF(RG!$A$90=1,DG!K301,IF(RG!$A$90=2,DG!K306,DG!K311))</f>
        <v>0</v>
      </c>
      <c r="L140" s="133">
        <f>IF(RG!$A$90=1,DG!L301,IF(RG!$A$90=2,DG!L306,DG!L311))</f>
        <v>0</v>
      </c>
      <c r="M140" s="133">
        <f>IF(RG!$A$90=1,DG!M301,IF(RG!$A$90=2,DG!M306,DG!M311))</f>
        <v>0</v>
      </c>
      <c r="N140" s="133">
        <f>IF(RG!$A$90=1,DG!N301,IF(RG!$A$90=2,DG!N306,DG!N311))</f>
        <v>0</v>
      </c>
      <c r="O140" s="136">
        <f>SUM(C140:N140)</f>
        <v>7500</v>
      </c>
    </row>
    <row r="141" spans="1:17" ht="13.5" customHeight="1" thickBot="1">
      <c r="A141" s="43" t="s">
        <v>227</v>
      </c>
      <c r="B141" s="48"/>
      <c r="C141" s="133">
        <f>IF(RG!$A$90=1,DG!C303,IF(RG!$A$90=2,DG!C308,DG!C313))</f>
        <v>0</v>
      </c>
      <c r="D141" s="133">
        <f>IF(RG!$A$90=1,DG!D303,IF(RG!$A$90=2,DG!D308,DG!D313))</f>
        <v>0</v>
      </c>
      <c r="E141" s="133">
        <f>IF(RG!$A$90=1,DG!E303,IF(RG!$A$90=2,DG!E308,DG!E313))</f>
        <v>0</v>
      </c>
      <c r="F141" s="133">
        <f>IF(RG!$A$90=1,DG!F303,IF(RG!$A$90=2,DG!F308,DG!F313))</f>
        <v>0</v>
      </c>
      <c r="G141" s="133">
        <f>IF(RG!$A$90=1,DG!G303,IF(RG!$A$90=2,DG!G308,DG!G313))</f>
        <v>0</v>
      </c>
      <c r="H141" s="133">
        <f>IF(RG!$A$90=1,DG!H303,IF(RG!$A$90=2,DG!H308,DG!H313))</f>
        <v>0</v>
      </c>
      <c r="I141" s="133">
        <f>IF(RG!$A$90=1,DG!I303,IF(RG!$A$90=2,DG!I308,DG!I313))</f>
        <v>0</v>
      </c>
      <c r="J141" s="133">
        <f>IF(RG!$A$90=1,DG!J303,IF(RG!$A$90=2,DG!J308,DG!J313))</f>
        <v>0</v>
      </c>
      <c r="K141" s="133">
        <f>IF(RG!$A$90=1,DG!K303,IF(RG!$A$90=2,DG!K308,DG!K313))</f>
        <v>0</v>
      </c>
      <c r="L141" s="133">
        <f>IF(RG!$A$90=1,DG!L303,IF(RG!$A$90=2,DG!L308,DG!L313))</f>
        <v>0</v>
      </c>
      <c r="M141" s="133">
        <f>IF(RG!$A$90=1,DG!M303,IF(RG!$A$90=2,DG!M308,DG!M313))</f>
        <v>0</v>
      </c>
      <c r="N141" s="133">
        <f>IF(RG!$A$90=1,DG!N303,IF(RG!$A$90=2,DG!N308,DG!N313))</f>
        <v>-500</v>
      </c>
      <c r="O141" s="136">
        <f>SUM(C141:N141)</f>
        <v>-500</v>
      </c>
    </row>
    <row r="142" spans="1:17" ht="13.5" customHeight="1" thickBot="1">
      <c r="A142" s="43" t="s">
        <v>723</v>
      </c>
      <c r="B142" s="48"/>
      <c r="C142" s="133">
        <f>C139+C140+C141</f>
        <v>16500</v>
      </c>
      <c r="D142" s="133">
        <f t="shared" ref="D142:O142" si="16">D139+D140+D141</f>
        <v>18000</v>
      </c>
      <c r="E142" s="133">
        <f t="shared" si="16"/>
        <v>19000</v>
      </c>
      <c r="F142" s="133">
        <f t="shared" si="16"/>
        <v>20000</v>
      </c>
      <c r="G142" s="133">
        <f t="shared" si="16"/>
        <v>21000</v>
      </c>
      <c r="H142" s="133">
        <f t="shared" si="16"/>
        <v>21500</v>
      </c>
      <c r="I142" s="133">
        <f t="shared" si="16"/>
        <v>22000</v>
      </c>
      <c r="J142" s="133">
        <f t="shared" si="16"/>
        <v>22500</v>
      </c>
      <c r="K142" s="133">
        <f t="shared" si="16"/>
        <v>22500</v>
      </c>
      <c r="L142" s="133">
        <f t="shared" si="16"/>
        <v>22500</v>
      </c>
      <c r="M142" s="133">
        <f t="shared" si="16"/>
        <v>22500</v>
      </c>
      <c r="N142" s="134">
        <f t="shared" si="16"/>
        <v>22000</v>
      </c>
      <c r="O142" s="122">
        <f t="shared" si="16"/>
        <v>22000</v>
      </c>
    </row>
    <row r="143" spans="1:17" ht="13.5" customHeight="1" thickBot="1">
      <c r="A143" s="48"/>
      <c r="B143" s="48"/>
      <c r="C143" s="126"/>
      <c r="D143" s="126"/>
      <c r="E143" s="126"/>
      <c r="F143" s="126"/>
      <c r="G143" s="126"/>
      <c r="H143" s="126"/>
      <c r="I143" s="126"/>
      <c r="J143" s="126"/>
      <c r="K143" s="126"/>
      <c r="L143" s="126"/>
      <c r="M143" s="126"/>
      <c r="N143" s="126"/>
      <c r="O143" s="126"/>
    </row>
    <row r="144" spans="1:17" ht="13.5" customHeight="1" thickBot="1">
      <c r="A144" s="48" t="s">
        <v>591</v>
      </c>
      <c r="B144" s="48"/>
      <c r="C144" s="133">
        <f>C137+C140+C141</f>
        <v>184.75622000002477</v>
      </c>
      <c r="D144" s="133">
        <f t="shared" ref="D144:N144" si="17">D137+D140+D141</f>
        <v>364.47654000002512</v>
      </c>
      <c r="E144" s="133">
        <f t="shared" si="17"/>
        <v>203.57186000002548</v>
      </c>
      <c r="F144" s="133">
        <f t="shared" si="17"/>
        <v>204.04218000002584</v>
      </c>
      <c r="G144" s="133">
        <f t="shared" si="17"/>
        <v>365.88750000002619</v>
      </c>
      <c r="H144" s="133">
        <f t="shared" si="17"/>
        <v>188.10782000002655</v>
      </c>
      <c r="I144" s="133">
        <f t="shared" si="17"/>
        <v>174.70314000002782</v>
      </c>
      <c r="J144" s="133">
        <f t="shared" si="17"/>
        <v>318.67346000002817</v>
      </c>
      <c r="K144" s="133">
        <f t="shared" si="17"/>
        <v>126.01878000002853</v>
      </c>
      <c r="L144" s="133">
        <f t="shared" si="17"/>
        <v>95.739100000028884</v>
      </c>
      <c r="M144" s="133">
        <f t="shared" si="17"/>
        <v>224.83442000002924</v>
      </c>
      <c r="N144" s="133">
        <f t="shared" si="17"/>
        <v>13.304740000030506</v>
      </c>
      <c r="O144" s="122">
        <f>O137+O140+O141</f>
        <v>13.294740000019374</v>
      </c>
      <c r="P144" s="890">
        <f>-BILAN!L17</f>
        <v>-13.385930000002846</v>
      </c>
      <c r="Q144" s="137">
        <f>SUM(O144:P144)</f>
        <v>-9.1189999983471992E-2</v>
      </c>
    </row>
    <row r="145" spans="12:14">
      <c r="L145" s="152"/>
    </row>
    <row r="147" spans="12:14" ht="12" customHeight="1"/>
    <row r="149" spans="12:14">
      <c r="N149" s="157"/>
    </row>
  </sheetData>
  <sheetProtection password="E242" sheet="1" objects="1" scenarios="1"/>
  <autoFilter ref="A15:O136" xr:uid="{00000000-0009-0000-0000-00003A000000}"/>
  <customSheetViews>
    <customSheetView guid="{30D0538C-360A-4CDF-8D89-584CED1967CC}"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5FCBE6A7-C26E-4283-A883-9B20BF1B41D4}"/>
    </customSheetView>
    <customSheetView guid="{4F3169C3-3348-49DE-A6DC-8AA4D2A9D7A1}"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3B4E553-3B7D-4E3D-93E1-17410A8FC96B}"/>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45">
    <pageSetUpPr fitToPage="1"/>
  </sheetPr>
  <dimension ref="A1:R149"/>
  <sheetViews>
    <sheetView showGridLines="0" showOutlineSymbols="0" zoomScaleNormal="125" workbookViewId="0">
      <pane ySplit="15" topLeftCell="A133" activePane="bottomLeft" state="frozen"/>
      <selection pane="bottomLeft" activeCell="M149" sqref="M149"/>
    </sheetView>
  </sheetViews>
  <sheetFormatPr baseColWidth="10" defaultColWidth="11.453125" defaultRowHeight="10.5"/>
  <cols>
    <col min="1" max="1" width="27.08984375" style="116" customWidth="1"/>
    <col min="2" max="2" width="7.36328125" style="116" customWidth="1"/>
    <col min="3" max="6" width="11.453125" style="116"/>
    <col min="7" max="7" width="11.453125" style="117"/>
    <col min="8" max="8" width="11.453125" style="118"/>
    <col min="9" max="9" width="11.453125" style="119"/>
    <col min="10" max="10" width="11.453125" style="116"/>
    <col min="11" max="12" width="11.453125" style="119"/>
    <col min="13" max="13" width="11.453125" style="116"/>
    <col min="14" max="15" width="11.453125" style="119"/>
    <col min="16" max="16" width="13.08984375" style="116" hidden="1" customWidth="1"/>
    <col min="17" max="18" width="10.453125" style="116" hidden="1" customWidth="1"/>
    <col min="19" max="20" width="9.6328125" style="116" customWidth="1"/>
    <col min="21" max="21" width="12.6328125" style="116" customWidth="1"/>
    <col min="22" max="23" width="7.6328125" style="116" customWidth="1"/>
    <col min="24" max="24" width="12.6328125" style="116" customWidth="1"/>
    <col min="25" max="26" width="7.6328125" style="116" customWidth="1"/>
    <col min="27" max="27" width="12.6328125" style="116" customWidth="1"/>
    <col min="28" max="29" width="7.6328125" style="116" customWidth="1"/>
    <col min="30" max="16384" width="11.453125" style="116"/>
  </cols>
  <sheetData>
    <row r="1" spans="1:15" customFormat="1" ht="12.5"/>
    <row r="2" spans="1:15" customFormat="1" ht="12.5"/>
    <row r="3" spans="1:15" customFormat="1" ht="12.5"/>
    <row r="4" spans="1:15" s="261" customFormat="1" ht="12.5"/>
    <row r="5" spans="1:15" s="261" customFormat="1" ht="12.5"/>
    <row r="6" spans="1:15" s="261" customFormat="1" ht="12.5"/>
    <row r="7" spans="1:15" s="261" customFormat="1" ht="12.5"/>
    <row r="8" spans="1:15" ht="33">
      <c r="A8" s="42" t="str">
        <f>RG!D17</f>
        <v>Jhon Wesly inc.</v>
      </c>
      <c r="B8" s="120"/>
    </row>
    <row r="9" spans="1:15" ht="13">
      <c r="A9" s="44"/>
      <c r="B9" s="44"/>
    </row>
    <row r="10" spans="1:15" ht="15">
      <c r="A10" s="59" t="s">
        <v>470</v>
      </c>
      <c r="B10" s="59"/>
      <c r="D10" s="45"/>
    </row>
    <row r="11" spans="1:15" ht="13">
      <c r="A11" s="46" t="s">
        <v>877</v>
      </c>
      <c r="B11" s="46"/>
    </row>
    <row r="12" spans="1:15" ht="13.5" thickBot="1">
      <c r="A12" s="46"/>
      <c r="B12" s="46"/>
      <c r="C12" s="783">
        <f>C13+31</f>
        <v>46784</v>
      </c>
      <c r="D12" s="783">
        <f t="shared" ref="D12:N12" si="0">D13+31</f>
        <v>46815</v>
      </c>
      <c r="E12" s="783">
        <f t="shared" si="0"/>
        <v>46844</v>
      </c>
      <c r="F12" s="783">
        <f t="shared" si="0"/>
        <v>46875</v>
      </c>
      <c r="G12" s="783">
        <f t="shared" si="0"/>
        <v>46905</v>
      </c>
      <c r="H12" s="783">
        <f t="shared" si="0"/>
        <v>46936</v>
      </c>
      <c r="I12" s="783">
        <f t="shared" si="0"/>
        <v>46966</v>
      </c>
      <c r="J12" s="783">
        <f t="shared" si="0"/>
        <v>46997</v>
      </c>
      <c r="K12" s="783">
        <f t="shared" si="0"/>
        <v>47028</v>
      </c>
      <c r="L12" s="783">
        <f t="shared" si="0"/>
        <v>47058</v>
      </c>
      <c r="M12" s="783">
        <f t="shared" si="0"/>
        <v>47089</v>
      </c>
      <c r="N12" s="783">
        <f t="shared" si="0"/>
        <v>47119</v>
      </c>
    </row>
    <row r="13" spans="1:15" ht="13.5" customHeight="1" thickBot="1">
      <c r="C13" s="207">
        <f>EDATE('BC4'!N13,1)</f>
        <v>46753</v>
      </c>
      <c r="D13" s="207">
        <f>EDATE(C13,1)</f>
        <v>46784</v>
      </c>
      <c r="E13" s="207">
        <f t="shared" ref="E13:N13" si="1">EDATE(D13,1)</f>
        <v>46813</v>
      </c>
      <c r="F13" s="207">
        <f t="shared" si="1"/>
        <v>46844</v>
      </c>
      <c r="G13" s="207">
        <f t="shared" si="1"/>
        <v>46874</v>
      </c>
      <c r="H13" s="207">
        <f t="shared" si="1"/>
        <v>46905</v>
      </c>
      <c r="I13" s="207">
        <f t="shared" si="1"/>
        <v>46935</v>
      </c>
      <c r="J13" s="207">
        <f t="shared" si="1"/>
        <v>46966</v>
      </c>
      <c r="K13" s="207">
        <f t="shared" si="1"/>
        <v>46997</v>
      </c>
      <c r="L13" s="207">
        <f t="shared" si="1"/>
        <v>47027</v>
      </c>
      <c r="M13" s="207">
        <f t="shared" si="1"/>
        <v>47058</v>
      </c>
      <c r="N13" s="207">
        <f t="shared" si="1"/>
        <v>47088</v>
      </c>
      <c r="O13" s="75" t="s">
        <v>498</v>
      </c>
    </row>
    <row r="14" spans="1:15" ht="13.5" customHeight="1" thickBot="1">
      <c r="C14" s="117"/>
      <c r="D14" s="117"/>
      <c r="E14" s="117"/>
      <c r="F14" s="121"/>
      <c r="G14" s="121"/>
      <c r="H14" s="117"/>
      <c r="I14" s="121"/>
      <c r="J14" s="121"/>
      <c r="K14" s="117"/>
      <c r="L14" s="121"/>
      <c r="M14" s="121"/>
      <c r="N14" s="117"/>
      <c r="O14" s="117"/>
    </row>
    <row r="15" spans="1:15" ht="13.5" customHeight="1" thickBot="1">
      <c r="A15" s="48" t="s">
        <v>499</v>
      </c>
      <c r="B15" s="48"/>
      <c r="C15" s="122">
        <f>'BC4'!O144</f>
        <v>13.294740000019374</v>
      </c>
      <c r="D15" s="122">
        <f>C144</f>
        <v>168.20446640001865</v>
      </c>
      <c r="E15" s="122">
        <f t="shared" ref="E15:N15" si="2">D144</f>
        <v>254.48919280001792</v>
      </c>
      <c r="F15" s="122">
        <f t="shared" si="2"/>
        <v>1.1489192000171897</v>
      </c>
      <c r="G15" s="122">
        <f t="shared" si="2"/>
        <v>409.18364560001646</v>
      </c>
      <c r="H15" s="122">
        <f t="shared" si="2"/>
        <v>478.59337200001573</v>
      </c>
      <c r="I15" s="122">
        <f t="shared" si="2"/>
        <v>208.37809840001501</v>
      </c>
      <c r="J15" s="122">
        <f t="shared" si="2"/>
        <v>102.53782480001519</v>
      </c>
      <c r="K15" s="122">
        <f t="shared" si="2"/>
        <v>154.07255120001446</v>
      </c>
      <c r="L15" s="122">
        <f t="shared" si="2"/>
        <v>368.98227760001373</v>
      </c>
      <c r="M15" s="122">
        <f t="shared" si="2"/>
        <v>246.267004000013</v>
      </c>
      <c r="N15" s="122">
        <f t="shared" si="2"/>
        <v>282.92673040001227</v>
      </c>
      <c r="O15" s="123">
        <f>C15</f>
        <v>13.294740000019374</v>
      </c>
    </row>
    <row r="16" spans="1:15" ht="13.5" customHeight="1">
      <c r="A16" s="124"/>
      <c r="B16" s="124"/>
      <c r="C16" s="125"/>
      <c r="D16" s="125"/>
      <c r="E16" s="125"/>
      <c r="F16" s="125"/>
      <c r="G16" s="125"/>
      <c r="H16" s="125"/>
      <c r="I16" s="125"/>
      <c r="J16" s="125"/>
      <c r="K16" s="125"/>
      <c r="L16" s="125"/>
      <c r="M16" s="125"/>
      <c r="N16" s="125"/>
      <c r="O16" s="126"/>
    </row>
    <row r="17" spans="1:16" ht="13.5" customHeight="1" thickBot="1">
      <c r="A17" s="127" t="s">
        <v>500</v>
      </c>
      <c r="B17" s="127"/>
      <c r="C17" s="128"/>
      <c r="D17" s="128"/>
      <c r="E17" s="128"/>
      <c r="F17" s="128"/>
      <c r="G17" s="128"/>
      <c r="H17" s="128"/>
      <c r="I17" s="128"/>
      <c r="J17" s="128"/>
      <c r="K17" s="128"/>
      <c r="L17" s="128"/>
      <c r="M17" s="128"/>
      <c r="N17" s="128"/>
      <c r="O17" s="129"/>
    </row>
    <row r="18" spans="1:16" ht="13.5" customHeight="1" thickBot="1">
      <c r="A18" s="53" t="str">
        <f>'BC1'!A18</f>
        <v>RECETTES</v>
      </c>
      <c r="B18" s="53"/>
      <c r="C18" s="130">
        <f>'V5'!F97</f>
        <v>3583.125</v>
      </c>
      <c r="D18" s="130">
        <f>'V5'!G97</f>
        <v>3748.5</v>
      </c>
      <c r="E18" s="130">
        <f>'V5'!H97</f>
        <v>3913.875</v>
      </c>
      <c r="F18" s="130">
        <f>'V5'!I97</f>
        <v>4079.25</v>
      </c>
      <c r="G18" s="130">
        <f>'V5'!J97</f>
        <v>4244.625</v>
      </c>
      <c r="H18" s="130">
        <f>'V5'!K97</f>
        <v>4410</v>
      </c>
      <c r="I18" s="130">
        <f>'V5'!L97</f>
        <v>4575.3750000000009</v>
      </c>
      <c r="J18" s="130">
        <f>'V5'!M97</f>
        <v>4740.75</v>
      </c>
      <c r="K18" s="130">
        <f>'V5'!N97</f>
        <v>4906.125</v>
      </c>
      <c r="L18" s="130">
        <f>'V5'!O97</f>
        <v>5071.5</v>
      </c>
      <c r="M18" s="130">
        <f>'V5'!P97</f>
        <v>5236.875</v>
      </c>
      <c r="N18" s="131">
        <f>'V5'!Q97</f>
        <v>5402.2500000000009</v>
      </c>
      <c r="O18" s="132">
        <f t="shared" ref="O18:O23" si="3">SUM(C18:N18)</f>
        <v>53912.25</v>
      </c>
    </row>
    <row r="19" spans="1:16" ht="13.5" customHeight="1" thickBot="1">
      <c r="A19" s="53" t="str">
        <f>'BC1'!A19</f>
        <v>Autres revenus</v>
      </c>
      <c r="B19" s="53"/>
      <c r="C19" s="133">
        <f>'AE5'!D21</f>
        <v>0</v>
      </c>
      <c r="D19" s="133">
        <f>'AE5'!E21</f>
        <v>0</v>
      </c>
      <c r="E19" s="133">
        <f>'AE5'!F21</f>
        <v>0</v>
      </c>
      <c r="F19" s="133">
        <f>'AE5'!G21</f>
        <v>0</v>
      </c>
      <c r="G19" s="133">
        <f>'AE5'!H21</f>
        <v>0</v>
      </c>
      <c r="H19" s="133">
        <f>'AE5'!I21</f>
        <v>0</v>
      </c>
      <c r="I19" s="133">
        <f>'AE5'!J21</f>
        <v>0</v>
      </c>
      <c r="J19" s="133">
        <f>'AE5'!K21</f>
        <v>0</v>
      </c>
      <c r="K19" s="133">
        <f>'AE5'!L21</f>
        <v>0</v>
      </c>
      <c r="L19" s="133">
        <f>'AE5'!M21</f>
        <v>0</v>
      </c>
      <c r="M19" s="133">
        <f>'AE5'!N21</f>
        <v>0</v>
      </c>
      <c r="N19" s="133">
        <f>'AE5'!O21</f>
        <v>0</v>
      </c>
      <c r="O19" s="132">
        <f t="shared" si="3"/>
        <v>0</v>
      </c>
    </row>
    <row r="20" spans="1:16" ht="13.5" customHeight="1" thickBot="1">
      <c r="A20" s="53" t="str">
        <f>IF(RG!A74=3,"Émission d'actions","Apports")</f>
        <v>Émission d'actions</v>
      </c>
      <c r="B20" s="53"/>
      <c r="C20" s="135">
        <f>'AE5'!D25</f>
        <v>0</v>
      </c>
      <c r="D20" s="135">
        <f>'AE5'!E25</f>
        <v>0</v>
      </c>
      <c r="E20" s="135">
        <f>'AE5'!F25</f>
        <v>0</v>
      </c>
      <c r="F20" s="135">
        <f>'AE5'!G25</f>
        <v>0</v>
      </c>
      <c r="G20" s="135">
        <f>'AE5'!H25</f>
        <v>0</v>
      </c>
      <c r="H20" s="135">
        <f>'AE5'!I25</f>
        <v>0</v>
      </c>
      <c r="I20" s="135">
        <f>'AE5'!J25</f>
        <v>0</v>
      </c>
      <c r="J20" s="135">
        <f>'AE5'!K25</f>
        <v>0</v>
      </c>
      <c r="K20" s="135">
        <f>'AE5'!L25</f>
        <v>0</v>
      </c>
      <c r="L20" s="135">
        <f>'AE5'!M25</f>
        <v>0</v>
      </c>
      <c r="M20" s="135">
        <f>'AE5'!N25</f>
        <v>0</v>
      </c>
      <c r="N20" s="135">
        <f>'AE5'!O25</f>
        <v>0</v>
      </c>
      <c r="O20" s="132">
        <f t="shared" si="3"/>
        <v>0</v>
      </c>
    </row>
    <row r="21" spans="1:16" ht="13.5" customHeight="1" thickBot="1">
      <c r="A21" s="53" t="str">
        <f>'BC1'!A21</f>
        <v>Emprunts</v>
      </c>
      <c r="B21" s="53"/>
      <c r="C21" s="133">
        <f>'AE5'!D24</f>
        <v>0</v>
      </c>
      <c r="D21" s="133">
        <f>'AE5'!E24</f>
        <v>0</v>
      </c>
      <c r="E21" s="133">
        <f>'AE5'!F24</f>
        <v>0</v>
      </c>
      <c r="F21" s="133">
        <f>'AE5'!G24</f>
        <v>0</v>
      </c>
      <c r="G21" s="133">
        <f>'AE5'!H24</f>
        <v>0</v>
      </c>
      <c r="H21" s="133">
        <f>'AE5'!I24</f>
        <v>0</v>
      </c>
      <c r="I21" s="133">
        <f>'AE5'!J24</f>
        <v>0</v>
      </c>
      <c r="J21" s="133">
        <f>'AE5'!K24</f>
        <v>0</v>
      </c>
      <c r="K21" s="133">
        <f>'AE5'!L24</f>
        <v>0</v>
      </c>
      <c r="L21" s="133">
        <f>'AE5'!M24</f>
        <v>0</v>
      </c>
      <c r="M21" s="133">
        <f>'AE5'!N24</f>
        <v>0</v>
      </c>
      <c r="N21" s="133">
        <f>'AE5'!O24</f>
        <v>0</v>
      </c>
      <c r="O21" s="132">
        <f t="shared" si="3"/>
        <v>0</v>
      </c>
    </row>
    <row r="22" spans="1:16" ht="13.5" customHeight="1" thickBot="1">
      <c r="A22" s="53" t="str">
        <f>'BC1'!A22</f>
        <v>Comptes à recevoir</v>
      </c>
      <c r="B22" s="53"/>
      <c r="C22" s="133"/>
      <c r="D22" s="133"/>
      <c r="E22" s="133"/>
      <c r="F22" s="133"/>
      <c r="G22" s="133"/>
      <c r="H22" s="133"/>
      <c r="I22" s="133"/>
      <c r="J22" s="133"/>
      <c r="K22" s="133"/>
      <c r="L22" s="133"/>
      <c r="M22" s="133"/>
      <c r="N22" s="134"/>
      <c r="O22" s="132">
        <f t="shared" si="3"/>
        <v>0</v>
      </c>
    </row>
    <row r="23" spans="1:16" ht="13.5" customHeight="1" thickBot="1">
      <c r="A23" s="53" t="str">
        <f>'BC1'!A24</f>
        <v>Subventions</v>
      </c>
      <c r="B23" s="53"/>
      <c r="C23" s="133">
        <f>'AE5'!D26</f>
        <v>0</v>
      </c>
      <c r="D23" s="133">
        <f>'AE5'!E26</f>
        <v>0</v>
      </c>
      <c r="E23" s="133">
        <f>'AE5'!F26</f>
        <v>0</v>
      </c>
      <c r="F23" s="133">
        <f>'AE5'!G26</f>
        <v>0</v>
      </c>
      <c r="G23" s="133">
        <f>'AE5'!H26</f>
        <v>0</v>
      </c>
      <c r="H23" s="133">
        <f>'AE5'!I26</f>
        <v>0</v>
      </c>
      <c r="I23" s="133">
        <f>'AE5'!J26</f>
        <v>0</v>
      </c>
      <c r="J23" s="133">
        <f>'AE5'!K26</f>
        <v>0</v>
      </c>
      <c r="K23" s="133">
        <f>'AE5'!L26</f>
        <v>0</v>
      </c>
      <c r="L23" s="133">
        <f>'AE5'!M26</f>
        <v>0</v>
      </c>
      <c r="M23" s="133">
        <f>'AE5'!N26</f>
        <v>0</v>
      </c>
      <c r="N23" s="133">
        <f>'AE5'!O26</f>
        <v>0</v>
      </c>
      <c r="O23" s="132">
        <f t="shared" si="3"/>
        <v>0</v>
      </c>
    </row>
    <row r="24" spans="1:16" ht="13.5" thickBot="1">
      <c r="A24" s="43"/>
      <c r="B24" s="43"/>
      <c r="O24" s="158">
        <v>0</v>
      </c>
    </row>
    <row r="25" spans="1:16" ht="13.5" customHeight="1" thickBot="1">
      <c r="A25" s="48" t="s">
        <v>501</v>
      </c>
      <c r="B25" s="48"/>
      <c r="C25" s="133">
        <f t="shared" ref="C25:O25" si="4">SUM(C18:C23)</f>
        <v>3583.125</v>
      </c>
      <c r="D25" s="133">
        <f t="shared" si="4"/>
        <v>3748.5</v>
      </c>
      <c r="E25" s="133">
        <f t="shared" si="4"/>
        <v>3913.875</v>
      </c>
      <c r="F25" s="133">
        <f t="shared" si="4"/>
        <v>4079.25</v>
      </c>
      <c r="G25" s="133">
        <f t="shared" si="4"/>
        <v>4244.625</v>
      </c>
      <c r="H25" s="133">
        <f t="shared" si="4"/>
        <v>4410</v>
      </c>
      <c r="I25" s="133">
        <f t="shared" si="4"/>
        <v>4575.3750000000009</v>
      </c>
      <c r="J25" s="133">
        <f t="shared" si="4"/>
        <v>4740.75</v>
      </c>
      <c r="K25" s="133">
        <f t="shared" si="4"/>
        <v>4906.125</v>
      </c>
      <c r="L25" s="133">
        <f t="shared" si="4"/>
        <v>5071.5</v>
      </c>
      <c r="M25" s="133">
        <f t="shared" si="4"/>
        <v>5236.875</v>
      </c>
      <c r="N25" s="134">
        <f t="shared" si="4"/>
        <v>5402.2500000000009</v>
      </c>
      <c r="O25" s="136">
        <f t="shared" si="4"/>
        <v>53912.25</v>
      </c>
      <c r="P25" s="137"/>
    </row>
    <row r="26" spans="1:16" ht="13.5" customHeight="1">
      <c r="A26" s="48"/>
      <c r="B26" s="48"/>
      <c r="C26" s="138"/>
      <c r="D26" s="138"/>
      <c r="E26" s="138"/>
      <c r="F26" s="139"/>
      <c r="G26" s="139"/>
      <c r="H26" s="138"/>
      <c r="I26" s="139"/>
      <c r="J26" s="139"/>
      <c r="K26" s="138"/>
      <c r="L26" s="139"/>
      <c r="M26" s="139"/>
      <c r="N26" s="138"/>
      <c r="O26" s="159">
        <v>0</v>
      </c>
    </row>
    <row r="27" spans="1:16" ht="13.5" customHeight="1" thickBot="1">
      <c r="A27" s="48" t="str">
        <f>'BC1'!A28</f>
        <v>DÉBOURSÉS</v>
      </c>
      <c r="B27" s="48"/>
      <c r="C27" s="138"/>
      <c r="D27" s="138"/>
      <c r="E27" s="138"/>
      <c r="F27" s="139"/>
      <c r="G27" s="139"/>
      <c r="H27" s="138"/>
      <c r="I27" s="139"/>
      <c r="J27" s="139"/>
      <c r="K27" s="138"/>
      <c r="L27" s="139"/>
      <c r="M27" s="139"/>
      <c r="N27" s="138"/>
      <c r="O27" s="126"/>
    </row>
    <row r="28" spans="1:16" s="143" customFormat="1" ht="13.5" customHeight="1" thickBot="1">
      <c r="A28" s="867" t="str">
        <f>'BC1'!A29</f>
        <v xml:space="preserve">Achats </v>
      </c>
      <c r="B28" s="48"/>
      <c r="C28" s="140">
        <f>'A5'!E95</f>
        <v>0</v>
      </c>
      <c r="D28" s="140">
        <f>'A5'!F95</f>
        <v>0</v>
      </c>
      <c r="E28" s="140">
        <f>'A5'!G95</f>
        <v>0</v>
      </c>
      <c r="F28" s="140">
        <f>'A5'!H95</f>
        <v>0</v>
      </c>
      <c r="G28" s="140">
        <f>'A5'!I95</f>
        <v>0</v>
      </c>
      <c r="H28" s="140">
        <f>'A5'!J95</f>
        <v>0</v>
      </c>
      <c r="I28" s="140">
        <f>'A5'!K95</f>
        <v>0</v>
      </c>
      <c r="J28" s="140">
        <f>'A5'!L95</f>
        <v>0</v>
      </c>
      <c r="K28" s="140">
        <f>'A5'!M95</f>
        <v>0</v>
      </c>
      <c r="L28" s="140">
        <f>'A5'!N95</f>
        <v>0</v>
      </c>
      <c r="M28" s="140">
        <f>'A5'!O95</f>
        <v>0</v>
      </c>
      <c r="N28" s="140">
        <f>'A5'!P95</f>
        <v>0</v>
      </c>
      <c r="O28" s="132">
        <f t="shared" ref="O28:O36" si="5">SUM(C28:N28)</f>
        <v>0</v>
      </c>
      <c r="P28" s="142"/>
    </row>
    <row r="29" spans="1:16" s="143" customFormat="1" ht="13.5" customHeight="1" thickBot="1">
      <c r="A29" s="867" t="str">
        <f>'BC1'!A30</f>
        <v>Salaires de production</v>
      </c>
      <c r="B29" s="48"/>
      <c r="C29" s="144">
        <f>TE!C176+TE!C178</f>
        <v>0</v>
      </c>
      <c r="D29" s="144">
        <f>TE!D176+TE!D178</f>
        <v>0</v>
      </c>
      <c r="E29" s="144">
        <f>TE!E176+TE!E178</f>
        <v>0</v>
      </c>
      <c r="F29" s="144">
        <f>TE!F176+TE!F178</f>
        <v>0</v>
      </c>
      <c r="G29" s="144">
        <f>TE!G176+TE!G178</f>
        <v>0</v>
      </c>
      <c r="H29" s="144">
        <f>TE!H176+TE!H178</f>
        <v>0</v>
      </c>
      <c r="I29" s="144">
        <f>TE!I176+TE!I178</f>
        <v>0</v>
      </c>
      <c r="J29" s="144">
        <f>TE!J176+TE!J178</f>
        <v>0</v>
      </c>
      <c r="K29" s="144">
        <f>TE!K176+TE!K178</f>
        <v>0</v>
      </c>
      <c r="L29" s="144">
        <f>TE!L176+TE!L178</f>
        <v>0</v>
      </c>
      <c r="M29" s="144">
        <f>TE!M176+TE!M178</f>
        <v>0</v>
      </c>
      <c r="N29" s="144">
        <f>TE!N176+TE!N178</f>
        <v>0</v>
      </c>
      <c r="O29" s="136">
        <f t="shared" si="5"/>
        <v>0</v>
      </c>
      <c r="P29" s="145"/>
    </row>
    <row r="30" spans="1:16" s="143" customFormat="1" ht="13.5" customHeight="1" thickBot="1">
      <c r="A30" s="867" t="str">
        <f>'BC1'!A31</f>
        <v xml:space="preserve">   avantages</v>
      </c>
      <c r="B30" s="48"/>
      <c r="C30" s="146">
        <f>TE!N165+TE!N167</f>
        <v>0</v>
      </c>
      <c r="D30" s="146">
        <f>TE!C177+TE!C179</f>
        <v>0</v>
      </c>
      <c r="E30" s="146">
        <f>TE!D177+TE!D179</f>
        <v>0</v>
      </c>
      <c r="F30" s="146">
        <f>TE!E177+TE!E179</f>
        <v>0</v>
      </c>
      <c r="G30" s="146">
        <f>TE!F177+TE!F179</f>
        <v>0</v>
      </c>
      <c r="H30" s="146">
        <f>TE!G177+TE!G179</f>
        <v>0</v>
      </c>
      <c r="I30" s="146">
        <f>TE!H177+TE!H179</f>
        <v>0</v>
      </c>
      <c r="J30" s="146">
        <f>TE!I177+TE!I179</f>
        <v>0</v>
      </c>
      <c r="K30" s="146">
        <f>TE!J177+TE!J179</f>
        <v>0</v>
      </c>
      <c r="L30" s="146">
        <f>TE!K177+TE!K179</f>
        <v>0</v>
      </c>
      <c r="M30" s="146">
        <f>TE!L177+TE!L179</f>
        <v>0</v>
      </c>
      <c r="N30" s="146">
        <f>TE!M177+TE!M179</f>
        <v>0</v>
      </c>
      <c r="O30" s="147">
        <f t="shared" si="5"/>
        <v>0</v>
      </c>
    </row>
    <row r="31" spans="1:16" ht="13.5" customHeight="1" thickBot="1">
      <c r="A31" s="867" t="str">
        <f>'BC1'!A32</f>
        <v>Frais de variable 1</v>
      </c>
      <c r="B31" s="48"/>
      <c r="C31" s="144">
        <f>'FD5'!C18+'FD5'!C29+'FD5'!C40+'FD5'!C51+'FD5'!C62+'FD5'!C73</f>
        <v>88</v>
      </c>
      <c r="D31" s="144">
        <f>'FD5'!D18+'FD5'!D29+'FD5'!D40+'FD5'!D51+'FD5'!D62+'FD5'!D73</f>
        <v>92</v>
      </c>
      <c r="E31" s="144">
        <f>'FD5'!E18+'FD5'!E29+'FD5'!E40+'FD5'!E51+'FD5'!E62+'FD5'!E73</f>
        <v>97</v>
      </c>
      <c r="F31" s="144">
        <f>'FD5'!F18+'FD5'!F29+'FD5'!F40+'FD5'!F51+'FD5'!F62+'FD5'!F73</f>
        <v>100</v>
      </c>
      <c r="G31" s="144">
        <f>'FD5'!G18+'FD5'!G29+'FD5'!G40+'FD5'!G51+'FD5'!G62+'FD5'!G73</f>
        <v>105</v>
      </c>
      <c r="H31" s="144">
        <f>'FD5'!H18+'FD5'!H29+'FD5'!H40+'FD5'!H51+'FD5'!H62+'FD5'!H73</f>
        <v>109</v>
      </c>
      <c r="I31" s="144">
        <f>'FD5'!I18+'FD5'!I29+'FD5'!I40+'FD5'!I51+'FD5'!I62+'FD5'!I73</f>
        <v>112</v>
      </c>
      <c r="J31" s="144">
        <f>'FD5'!J18+'FD5'!J29+'FD5'!J40+'FD5'!J51+'FD5'!J62+'FD5'!J73</f>
        <v>117</v>
      </c>
      <c r="K31" s="144">
        <f>'FD5'!K18+'FD5'!K29+'FD5'!K40+'FD5'!K51+'FD5'!K62+'FD5'!K73</f>
        <v>121</v>
      </c>
      <c r="L31" s="144">
        <f>'FD5'!L18+'FD5'!L29+'FD5'!L40+'FD5'!L51+'FD5'!L62+'FD5'!L73</f>
        <v>124</v>
      </c>
      <c r="M31" s="144">
        <f>'FD5'!M18+'FD5'!M29+'FD5'!M40+'FD5'!M51+'FD5'!M62+'FD5'!M73</f>
        <v>130</v>
      </c>
      <c r="N31" s="144">
        <f>'FD5'!N18+'FD5'!N29+'FD5'!N40+'FD5'!N51+'FD5'!N62+'FD5'!N73</f>
        <v>134</v>
      </c>
      <c r="O31" s="132">
        <f t="shared" si="5"/>
        <v>1329</v>
      </c>
    </row>
    <row r="32" spans="1:16" ht="13.5" customHeight="1" thickBot="1">
      <c r="A32" s="867" t="str">
        <f>'BC1'!A33</f>
        <v>Frais de variable 2</v>
      </c>
      <c r="B32" s="48"/>
      <c r="C32" s="144">
        <f>'FD5'!C19+'FD5'!C30+'FD5'!C41+'FD5'!C52+'FD5'!C63+'FD5'!C74</f>
        <v>0</v>
      </c>
      <c r="D32" s="144">
        <f>'FD5'!D19+'FD5'!D30+'FD5'!D41+'FD5'!D52+'FD5'!D63+'FD5'!D74</f>
        <v>0</v>
      </c>
      <c r="E32" s="144">
        <f>'FD5'!E19+'FD5'!E30+'FD5'!E41+'FD5'!E52+'FD5'!E63+'FD5'!E74</f>
        <v>0</v>
      </c>
      <c r="F32" s="144">
        <f>'FD5'!F19+'FD5'!F30+'FD5'!F41+'FD5'!F52+'FD5'!F63+'FD5'!F74</f>
        <v>0</v>
      </c>
      <c r="G32" s="144">
        <f>'FD5'!G19+'FD5'!G30+'FD5'!G41+'FD5'!G52+'FD5'!G63+'FD5'!G74</f>
        <v>0</v>
      </c>
      <c r="H32" s="144">
        <f>'FD5'!H19+'FD5'!H30+'FD5'!H41+'FD5'!H52+'FD5'!H63+'FD5'!H74</f>
        <v>0</v>
      </c>
      <c r="I32" s="144">
        <f>'FD5'!I19+'FD5'!I30+'FD5'!I41+'FD5'!I52+'FD5'!I63+'FD5'!I74</f>
        <v>0</v>
      </c>
      <c r="J32" s="144">
        <f>'FD5'!J19+'FD5'!J30+'FD5'!J41+'FD5'!J52+'FD5'!J63+'FD5'!J74</f>
        <v>0</v>
      </c>
      <c r="K32" s="144">
        <f>'FD5'!K19+'FD5'!K30+'FD5'!K41+'FD5'!K52+'FD5'!K63+'FD5'!K74</f>
        <v>0</v>
      </c>
      <c r="L32" s="144">
        <f>'FD5'!L19+'FD5'!L30+'FD5'!L41+'FD5'!L52+'FD5'!L63+'FD5'!L74</f>
        <v>0</v>
      </c>
      <c r="M32" s="144">
        <f>'FD5'!M19+'FD5'!M30+'FD5'!M41+'FD5'!M52+'FD5'!M63+'FD5'!M74</f>
        <v>0</v>
      </c>
      <c r="N32" s="144">
        <f>'FD5'!N19+'FD5'!N30+'FD5'!N41+'FD5'!N52+'FD5'!N63+'FD5'!N74</f>
        <v>0</v>
      </c>
      <c r="O32" s="132">
        <f t="shared" si="5"/>
        <v>0</v>
      </c>
    </row>
    <row r="33" spans="1:15" ht="13.5" customHeight="1" thickBot="1">
      <c r="A33" s="867" t="str">
        <f>'BC1'!A34</f>
        <v>Frais de variable 3</v>
      </c>
      <c r="B33" s="48"/>
      <c r="C33" s="144">
        <f>'FD5'!C20+'FD5'!C31+'FD5'!C42+'FD5'!C53+'FD5'!C64+'FD5'!C75</f>
        <v>0</v>
      </c>
      <c r="D33" s="144">
        <f>'FD5'!D20+'FD5'!D31+'FD5'!D42+'FD5'!D53+'FD5'!D64+'FD5'!D75</f>
        <v>0</v>
      </c>
      <c r="E33" s="144">
        <f>'FD5'!E20+'FD5'!E31+'FD5'!E42+'FD5'!E53+'FD5'!E64+'FD5'!E75</f>
        <v>0</v>
      </c>
      <c r="F33" s="144">
        <f>'FD5'!F20+'FD5'!F31+'FD5'!F42+'FD5'!F53+'FD5'!F64+'FD5'!F75</f>
        <v>0</v>
      </c>
      <c r="G33" s="144">
        <f>'FD5'!G20+'FD5'!G31+'FD5'!G42+'FD5'!G53+'FD5'!G64+'FD5'!G75</f>
        <v>0</v>
      </c>
      <c r="H33" s="144">
        <f>'FD5'!H20+'FD5'!H31+'FD5'!H42+'FD5'!H53+'FD5'!H64+'FD5'!H75</f>
        <v>0</v>
      </c>
      <c r="I33" s="144">
        <f>'FD5'!I20+'FD5'!I31+'FD5'!I42+'FD5'!I53+'FD5'!I64+'FD5'!I75</f>
        <v>0</v>
      </c>
      <c r="J33" s="144">
        <f>'FD5'!J20+'FD5'!J31+'FD5'!J42+'FD5'!J53+'FD5'!J64+'FD5'!J75</f>
        <v>0</v>
      </c>
      <c r="K33" s="144">
        <f>'FD5'!K20+'FD5'!K31+'FD5'!K42+'FD5'!K53+'FD5'!K64+'FD5'!K75</f>
        <v>0</v>
      </c>
      <c r="L33" s="144">
        <f>'FD5'!L20+'FD5'!L31+'FD5'!L42+'FD5'!L53+'FD5'!L64+'FD5'!L75</f>
        <v>0</v>
      </c>
      <c r="M33" s="144">
        <f>'FD5'!M20+'FD5'!M31+'FD5'!M42+'FD5'!M53+'FD5'!M64+'FD5'!M75</f>
        <v>0</v>
      </c>
      <c r="N33" s="144">
        <f>'FD5'!N20+'FD5'!N31+'FD5'!N42+'FD5'!N53+'FD5'!N64+'FD5'!N75</f>
        <v>0</v>
      </c>
      <c r="O33" s="132">
        <f t="shared" si="5"/>
        <v>0</v>
      </c>
    </row>
    <row r="34" spans="1:15" ht="13.5" customHeight="1" thickBot="1">
      <c r="A34" s="867" t="str">
        <f>'BC1'!A35</f>
        <v>Frais de variable 4</v>
      </c>
      <c r="B34" s="48"/>
      <c r="C34" s="144">
        <f>'FD5'!C21+'FD5'!C32+'FD5'!C43+'FD5'!C54+'FD5'!C65+'FD5'!C76</f>
        <v>0</v>
      </c>
      <c r="D34" s="144">
        <f>'FD5'!D21+'FD5'!D32+'FD5'!D43+'FD5'!D54+'FD5'!D65+'FD5'!D76</f>
        <v>0</v>
      </c>
      <c r="E34" s="144">
        <f>'FD5'!E21+'FD5'!E32+'FD5'!E43+'FD5'!E54+'FD5'!E65+'FD5'!E76</f>
        <v>0</v>
      </c>
      <c r="F34" s="144">
        <f>'FD5'!F21+'FD5'!F32+'FD5'!F43+'FD5'!F54+'FD5'!F65+'FD5'!F76</f>
        <v>0</v>
      </c>
      <c r="G34" s="144">
        <f>'FD5'!G21+'FD5'!G32+'FD5'!G43+'FD5'!G54+'FD5'!G65+'FD5'!G76</f>
        <v>0</v>
      </c>
      <c r="H34" s="144">
        <f>'FD5'!H21+'FD5'!H32+'FD5'!H43+'FD5'!H54+'FD5'!H65+'FD5'!H76</f>
        <v>0</v>
      </c>
      <c r="I34" s="144">
        <f>'FD5'!I21+'FD5'!I32+'FD5'!I43+'FD5'!I54+'FD5'!I65+'FD5'!I76</f>
        <v>0</v>
      </c>
      <c r="J34" s="144">
        <f>'FD5'!J21+'FD5'!J32+'FD5'!J43+'FD5'!J54+'FD5'!J65+'FD5'!J76</f>
        <v>0</v>
      </c>
      <c r="K34" s="144">
        <f>'FD5'!K21+'FD5'!K32+'FD5'!K43+'FD5'!K54+'FD5'!K65+'FD5'!K76</f>
        <v>0</v>
      </c>
      <c r="L34" s="144">
        <f>'FD5'!L21+'FD5'!L32+'FD5'!L43+'FD5'!L54+'FD5'!L65+'FD5'!L76</f>
        <v>0</v>
      </c>
      <c r="M34" s="144">
        <f>'FD5'!M21+'FD5'!M32+'FD5'!M43+'FD5'!M54+'FD5'!M65+'FD5'!M76</f>
        <v>0</v>
      </c>
      <c r="N34" s="144">
        <f>'FD5'!N21+'FD5'!N32+'FD5'!N43+'FD5'!N54+'FD5'!N65+'FD5'!N76</f>
        <v>0</v>
      </c>
      <c r="O34" s="132">
        <f t="shared" si="5"/>
        <v>0</v>
      </c>
    </row>
    <row r="35" spans="1:15" ht="13.5" customHeight="1" thickBot="1">
      <c r="A35" s="867" t="str">
        <f>'BC1'!A36</f>
        <v>Frais de variable 5</v>
      </c>
      <c r="B35" s="48"/>
      <c r="C35" s="144">
        <f>'FD5'!C22+'FD5'!C33+'FD5'!C44+'FD5'!C55+'FD5'!C66+'FD5'!C77</f>
        <v>0</v>
      </c>
      <c r="D35" s="144">
        <f>'FD5'!D22+'FD5'!D33+'FD5'!D44+'FD5'!D55+'FD5'!D66+'FD5'!D77</f>
        <v>0</v>
      </c>
      <c r="E35" s="144">
        <f>'FD5'!E22+'FD5'!E33+'FD5'!E44+'FD5'!E55+'FD5'!E66+'FD5'!E77</f>
        <v>0</v>
      </c>
      <c r="F35" s="144">
        <f>'FD5'!F22+'FD5'!F33+'FD5'!F44+'FD5'!F55+'FD5'!F66+'FD5'!F77</f>
        <v>0</v>
      </c>
      <c r="G35" s="144">
        <f>'FD5'!G22+'FD5'!G33+'FD5'!G44+'FD5'!G55+'FD5'!G66+'FD5'!G77</f>
        <v>0</v>
      </c>
      <c r="H35" s="144">
        <f>'FD5'!H22+'FD5'!H33+'FD5'!H44+'FD5'!H55+'FD5'!H66+'FD5'!H77</f>
        <v>0</v>
      </c>
      <c r="I35" s="144">
        <f>'FD5'!I22+'FD5'!I33+'FD5'!I44+'FD5'!I55+'FD5'!I66+'FD5'!I77</f>
        <v>0</v>
      </c>
      <c r="J35" s="144">
        <f>'FD5'!J22+'FD5'!J33+'FD5'!J44+'FD5'!J55+'FD5'!J66+'FD5'!J77</f>
        <v>0</v>
      </c>
      <c r="K35" s="144">
        <f>'FD5'!K22+'FD5'!K33+'FD5'!K44+'FD5'!K55+'FD5'!K66+'FD5'!K77</f>
        <v>0</v>
      </c>
      <c r="L35" s="144">
        <f>'FD5'!L22+'FD5'!L33+'FD5'!L44+'FD5'!L55+'FD5'!L66+'FD5'!L77</f>
        <v>0</v>
      </c>
      <c r="M35" s="144">
        <f>'FD5'!M22+'FD5'!M33+'FD5'!M44+'FD5'!M55+'FD5'!M66+'FD5'!M77</f>
        <v>0</v>
      </c>
      <c r="N35" s="144">
        <f>'FD5'!N22+'FD5'!N33+'FD5'!N44+'FD5'!N55+'FD5'!N66+'FD5'!N77</f>
        <v>0</v>
      </c>
      <c r="O35" s="132">
        <f t="shared" si="5"/>
        <v>0</v>
      </c>
    </row>
    <row r="36" spans="1:15" ht="13.5" customHeight="1" thickBot="1">
      <c r="A36" s="867" t="str">
        <f>'BC1'!A37</f>
        <v>Frais de variable 6</v>
      </c>
      <c r="B36" s="48"/>
      <c r="C36" s="144">
        <f>'FD5'!C23+'FD5'!C34+'FD5'!C45+'FD5'!C56+'FD5'!C67+'FD5'!C78</f>
        <v>0</v>
      </c>
      <c r="D36" s="144">
        <f>'FD5'!D23+'FD5'!D34+'FD5'!D45+'FD5'!D56+'FD5'!D67+'FD5'!D78</f>
        <v>0</v>
      </c>
      <c r="E36" s="144">
        <f>'FD5'!E23+'FD5'!E34+'FD5'!E45+'FD5'!E56+'FD5'!E67+'FD5'!E78</f>
        <v>0</v>
      </c>
      <c r="F36" s="144">
        <f>'FD5'!F23+'FD5'!F34+'FD5'!F45+'FD5'!F56+'FD5'!F67+'FD5'!F78</f>
        <v>0</v>
      </c>
      <c r="G36" s="144">
        <f>'FD5'!G23+'FD5'!G34+'FD5'!G45+'FD5'!G56+'FD5'!G67+'FD5'!G78</f>
        <v>0</v>
      </c>
      <c r="H36" s="144">
        <f>'FD5'!H23+'FD5'!H34+'FD5'!H45+'FD5'!H56+'FD5'!H67+'FD5'!H78</f>
        <v>0</v>
      </c>
      <c r="I36" s="144">
        <f>'FD5'!I23+'FD5'!I34+'FD5'!I45+'FD5'!I56+'FD5'!I67+'FD5'!I78</f>
        <v>0</v>
      </c>
      <c r="J36" s="144">
        <f>'FD5'!J23+'FD5'!J34+'FD5'!J45+'FD5'!J56+'FD5'!J67+'FD5'!J78</f>
        <v>0</v>
      </c>
      <c r="K36" s="144">
        <f>'FD5'!K23+'FD5'!K34+'FD5'!K45+'FD5'!K56+'FD5'!K67+'FD5'!K78</f>
        <v>0</v>
      </c>
      <c r="L36" s="144">
        <f>'FD5'!L23+'FD5'!L34+'FD5'!L45+'FD5'!L56+'FD5'!L67+'FD5'!L78</f>
        <v>0</v>
      </c>
      <c r="M36" s="144">
        <f>'FD5'!M23+'FD5'!M34+'FD5'!M45+'FD5'!M56+'FD5'!M67+'FD5'!M78</f>
        <v>0</v>
      </c>
      <c r="N36" s="144">
        <f>'FD5'!N23+'FD5'!N34+'FD5'!N45+'FD5'!N56+'FD5'!N67+'FD5'!N78</f>
        <v>0</v>
      </c>
      <c r="O36" s="132">
        <f t="shared" si="5"/>
        <v>0</v>
      </c>
    </row>
    <row r="37" spans="1:15" ht="13.5" customHeight="1" thickBot="1">
      <c r="A37" s="48" t="str">
        <f>'BC1'!A38</f>
        <v>FRAIS D'EXPLOITATION</v>
      </c>
      <c r="B37" s="43"/>
      <c r="C37" s="214"/>
      <c r="D37" s="214"/>
      <c r="E37" s="214"/>
      <c r="F37" s="214"/>
      <c r="G37" s="214"/>
      <c r="H37" s="214"/>
      <c r="I37" s="214"/>
      <c r="J37" s="214"/>
      <c r="K37" s="214"/>
      <c r="L37" s="214"/>
      <c r="M37" s="214"/>
      <c r="N37" s="214"/>
      <c r="O37" s="864"/>
    </row>
    <row r="38" spans="1:15" ht="13.5" customHeight="1" thickBot="1">
      <c r="A38" s="867" t="str">
        <f>'BC1'!A39</f>
        <v>Loyer</v>
      </c>
      <c r="B38" s="43"/>
      <c r="C38" s="144">
        <f>'FG5'!C14</f>
        <v>0</v>
      </c>
      <c r="D38" s="144">
        <f>'FG5'!D14</f>
        <v>0</v>
      </c>
      <c r="E38" s="144">
        <f>'FG5'!E14</f>
        <v>0</v>
      </c>
      <c r="F38" s="144">
        <f>'FG5'!F14</f>
        <v>0</v>
      </c>
      <c r="G38" s="144">
        <f>'FG5'!G14</f>
        <v>0</v>
      </c>
      <c r="H38" s="144">
        <f>'FG5'!H14</f>
        <v>0</v>
      </c>
      <c r="I38" s="144">
        <f>'FG5'!I14</f>
        <v>0</v>
      </c>
      <c r="J38" s="144">
        <f>'FG5'!J14</f>
        <v>0</v>
      </c>
      <c r="K38" s="144">
        <f>'FG5'!K14</f>
        <v>0</v>
      </c>
      <c r="L38" s="144">
        <f>'FG5'!L14</f>
        <v>0</v>
      </c>
      <c r="M38" s="144">
        <f>'FG5'!M14</f>
        <v>0</v>
      </c>
      <c r="N38" s="144">
        <f>'FG5'!N14</f>
        <v>0</v>
      </c>
      <c r="O38" s="217">
        <f>SUM(C38:N38)</f>
        <v>0</v>
      </c>
    </row>
    <row r="39" spans="1:15" ht="13.5" customHeight="1" thickBot="1">
      <c r="A39" s="867" t="str">
        <f>'BC1'!A40</f>
        <v>Coût d'énergie</v>
      </c>
      <c r="B39" s="43"/>
      <c r="C39" s="144">
        <f>'FG5'!C16</f>
        <v>0</v>
      </c>
      <c r="D39" s="144">
        <f>'FG5'!D16</f>
        <v>0</v>
      </c>
      <c r="E39" s="144">
        <f>'FG5'!E16</f>
        <v>0</v>
      </c>
      <c r="F39" s="144">
        <f>'FG5'!F16</f>
        <v>0</v>
      </c>
      <c r="G39" s="144">
        <f>'FG5'!G16</f>
        <v>0</v>
      </c>
      <c r="H39" s="144">
        <f>'FG5'!H16</f>
        <v>0</v>
      </c>
      <c r="I39" s="144">
        <f>'FG5'!I16</f>
        <v>0</v>
      </c>
      <c r="J39" s="144">
        <f>'FG5'!J16</f>
        <v>0</v>
      </c>
      <c r="K39" s="144">
        <f>'FG5'!K16</f>
        <v>0</v>
      </c>
      <c r="L39" s="144">
        <f>'FG5'!L16</f>
        <v>0</v>
      </c>
      <c r="M39" s="144">
        <f>'FG5'!M16</f>
        <v>0</v>
      </c>
      <c r="N39" s="144">
        <f>'FG5'!N16</f>
        <v>0</v>
      </c>
      <c r="O39" s="217">
        <f t="shared" ref="O39:O61" si="6">SUM(C39:N39)</f>
        <v>0</v>
      </c>
    </row>
    <row r="40" spans="1:15" ht="13.5" customHeight="1" thickBot="1">
      <c r="A40" s="867" t="str">
        <f>'BC1'!A41</f>
        <v>Entretien / réparation</v>
      </c>
      <c r="B40" s="43"/>
      <c r="C40" s="144">
        <f>'FG5'!C18</f>
        <v>0</v>
      </c>
      <c r="D40" s="144">
        <f>'FG5'!D18</f>
        <v>0</v>
      </c>
      <c r="E40" s="144">
        <f>'FG5'!E18</f>
        <v>0</v>
      </c>
      <c r="F40" s="144">
        <f>'FG5'!F18</f>
        <v>0</v>
      </c>
      <c r="G40" s="144">
        <f>'FG5'!G18</f>
        <v>0</v>
      </c>
      <c r="H40" s="144">
        <f>'FG5'!H18</f>
        <v>0</v>
      </c>
      <c r="I40" s="144">
        <f>'FG5'!I18</f>
        <v>0</v>
      </c>
      <c r="J40" s="144">
        <f>'FG5'!J18</f>
        <v>0</v>
      </c>
      <c r="K40" s="144">
        <f>'FG5'!K18</f>
        <v>0</v>
      </c>
      <c r="L40" s="144">
        <f>'FG5'!L18</f>
        <v>0</v>
      </c>
      <c r="M40" s="144">
        <f>'FG5'!M18</f>
        <v>0</v>
      </c>
      <c r="N40" s="144">
        <f>'FG5'!N18</f>
        <v>0</v>
      </c>
      <c r="O40" s="217">
        <f t="shared" si="6"/>
        <v>0</v>
      </c>
    </row>
    <row r="41" spans="1:15" ht="13.5" customHeight="1" thickBot="1">
      <c r="A41" s="867" t="str">
        <f>'BC1'!A42</f>
        <v>Services sanitaires</v>
      </c>
      <c r="B41" s="43"/>
      <c r="C41" s="144">
        <f>'FG5'!C20</f>
        <v>0</v>
      </c>
      <c r="D41" s="144">
        <f>'FG5'!D20</f>
        <v>0</v>
      </c>
      <c r="E41" s="144">
        <f>'FG5'!E20</f>
        <v>0</v>
      </c>
      <c r="F41" s="144">
        <f>'FG5'!F20</f>
        <v>0</v>
      </c>
      <c r="G41" s="144">
        <f>'FG5'!G20</f>
        <v>0</v>
      </c>
      <c r="H41" s="144">
        <f>'FG5'!H20</f>
        <v>0</v>
      </c>
      <c r="I41" s="144">
        <f>'FG5'!I20</f>
        <v>0</v>
      </c>
      <c r="J41" s="144">
        <f>'FG5'!J20</f>
        <v>0</v>
      </c>
      <c r="K41" s="144">
        <f>'FG5'!K20</f>
        <v>0</v>
      </c>
      <c r="L41" s="144">
        <f>'FG5'!L20</f>
        <v>0</v>
      </c>
      <c r="M41" s="144">
        <f>'FG5'!M20</f>
        <v>0</v>
      </c>
      <c r="N41" s="144">
        <f>'FG5'!N20</f>
        <v>0</v>
      </c>
      <c r="O41" s="217">
        <f t="shared" si="6"/>
        <v>0</v>
      </c>
    </row>
    <row r="42" spans="1:15" ht="13.5" customHeight="1" thickBot="1">
      <c r="A42" s="867" t="str">
        <f>'BC1'!A43</f>
        <v>Frais de déplacement</v>
      </c>
      <c r="B42" s="43"/>
      <c r="C42" s="144">
        <f>'FG5'!C22</f>
        <v>0</v>
      </c>
      <c r="D42" s="144">
        <f>'FG5'!D22</f>
        <v>0</v>
      </c>
      <c r="E42" s="144">
        <f>'FG5'!E22</f>
        <v>0</v>
      </c>
      <c r="F42" s="144">
        <f>'FG5'!F22</f>
        <v>0</v>
      </c>
      <c r="G42" s="144">
        <f>'FG5'!G22</f>
        <v>0</v>
      </c>
      <c r="H42" s="144">
        <f>'FG5'!H22</f>
        <v>0</v>
      </c>
      <c r="I42" s="144">
        <f>'FG5'!I22</f>
        <v>0</v>
      </c>
      <c r="J42" s="144">
        <f>'FG5'!J22</f>
        <v>0</v>
      </c>
      <c r="K42" s="144">
        <f>'FG5'!K22</f>
        <v>0</v>
      </c>
      <c r="L42" s="144">
        <f>'FG5'!L22</f>
        <v>0</v>
      </c>
      <c r="M42" s="144">
        <f>'FG5'!M22</f>
        <v>0</v>
      </c>
      <c r="N42" s="144">
        <f>'FG5'!N22</f>
        <v>0</v>
      </c>
      <c r="O42" s="217">
        <f t="shared" si="6"/>
        <v>0</v>
      </c>
    </row>
    <row r="43" spans="1:15" ht="13.5" customHeight="1" thickBot="1">
      <c r="A43" s="867" t="str">
        <f>'BC1'!A44</f>
        <v>Immatriculation et permis</v>
      </c>
      <c r="B43" s="43"/>
      <c r="C43" s="144">
        <f>'FG5'!C24</f>
        <v>0</v>
      </c>
      <c r="D43" s="144">
        <f>'FG5'!D24</f>
        <v>0</v>
      </c>
      <c r="E43" s="144">
        <f>'FG5'!E24</f>
        <v>0</v>
      </c>
      <c r="F43" s="144">
        <f>'FG5'!F24</f>
        <v>0</v>
      </c>
      <c r="G43" s="144">
        <f>'FG5'!G24</f>
        <v>0</v>
      </c>
      <c r="H43" s="144">
        <f>'FG5'!H24</f>
        <v>0</v>
      </c>
      <c r="I43" s="144">
        <f>'FG5'!I24</f>
        <v>0</v>
      </c>
      <c r="J43" s="144">
        <f>'FG5'!J24</f>
        <v>0</v>
      </c>
      <c r="K43" s="144">
        <f>'FG5'!K24</f>
        <v>0</v>
      </c>
      <c r="L43" s="144">
        <f>'FG5'!L24</f>
        <v>0</v>
      </c>
      <c r="M43" s="144">
        <f>'FG5'!M24</f>
        <v>0</v>
      </c>
      <c r="N43" s="144">
        <f>'FG5'!N24</f>
        <v>0</v>
      </c>
      <c r="O43" s="217">
        <f t="shared" si="6"/>
        <v>0</v>
      </c>
    </row>
    <row r="44" spans="1:15" ht="13.5" customHeight="1" thickBot="1">
      <c r="A44" s="867" t="str">
        <f>'BC1'!A45</f>
        <v>Assurances</v>
      </c>
      <c r="B44" s="43"/>
      <c r="C44" s="144">
        <f>'FG5'!C26</f>
        <v>0</v>
      </c>
      <c r="D44" s="144">
        <f>'FG5'!D26</f>
        <v>0</v>
      </c>
      <c r="E44" s="144">
        <f>'FG5'!E26</f>
        <v>0</v>
      </c>
      <c r="F44" s="144">
        <f>'FG5'!F26</f>
        <v>0</v>
      </c>
      <c r="G44" s="144">
        <f>'FG5'!G26</f>
        <v>0</v>
      </c>
      <c r="H44" s="144">
        <f>'FG5'!H26</f>
        <v>0</v>
      </c>
      <c r="I44" s="144">
        <f>'FG5'!I26</f>
        <v>0</v>
      </c>
      <c r="J44" s="144">
        <f>'FG5'!J26</f>
        <v>0</v>
      </c>
      <c r="K44" s="144">
        <f>'FG5'!K26</f>
        <v>0</v>
      </c>
      <c r="L44" s="144">
        <f>'FG5'!L26</f>
        <v>0</v>
      </c>
      <c r="M44" s="144">
        <f>'FG5'!M26</f>
        <v>0</v>
      </c>
      <c r="N44" s="144">
        <f>'FG5'!N26</f>
        <v>0</v>
      </c>
      <c r="O44" s="217">
        <f t="shared" si="6"/>
        <v>0</v>
      </c>
    </row>
    <row r="45" spans="1:15" ht="13.5" customHeight="1" thickBot="1">
      <c r="A45" s="867" t="str">
        <f>'BC1'!A46</f>
        <v>Dépenses R&amp;D</v>
      </c>
      <c r="B45" s="43"/>
      <c r="C45" s="144">
        <f>'FG5'!C28</f>
        <v>0</v>
      </c>
      <c r="D45" s="144">
        <f>'FG5'!D28</f>
        <v>0</v>
      </c>
      <c r="E45" s="144">
        <f>'FG5'!E28</f>
        <v>0</v>
      </c>
      <c r="F45" s="144">
        <f>'FG5'!F28</f>
        <v>0</v>
      </c>
      <c r="G45" s="144">
        <f>'FG5'!G28</f>
        <v>0</v>
      </c>
      <c r="H45" s="144">
        <f>'FG5'!H28</f>
        <v>0</v>
      </c>
      <c r="I45" s="144">
        <f>'FG5'!I28</f>
        <v>0</v>
      </c>
      <c r="J45" s="144">
        <f>'FG5'!J28</f>
        <v>0</v>
      </c>
      <c r="K45" s="144">
        <f>'FG5'!K28</f>
        <v>0</v>
      </c>
      <c r="L45" s="144">
        <f>'FG5'!L28</f>
        <v>0</v>
      </c>
      <c r="M45" s="144">
        <f>'FG5'!M28</f>
        <v>0</v>
      </c>
      <c r="N45" s="144">
        <f>'FG5'!N28</f>
        <v>0</v>
      </c>
      <c r="O45" s="217">
        <f t="shared" si="6"/>
        <v>0</v>
      </c>
    </row>
    <row r="46" spans="1:15" ht="13.5" customHeight="1" thickBot="1">
      <c r="A46" s="867" t="str">
        <f>'BC1'!A47</f>
        <v>Autre frais d'exploitation 1</v>
      </c>
      <c r="B46" s="43"/>
      <c r="C46" s="144">
        <f>'FG5'!C30</f>
        <v>0</v>
      </c>
      <c r="D46" s="144">
        <f>'FG5'!D30</f>
        <v>0</v>
      </c>
      <c r="E46" s="144">
        <f>'FG5'!E30</f>
        <v>0</v>
      </c>
      <c r="F46" s="144">
        <f>'FG5'!F30</f>
        <v>0</v>
      </c>
      <c r="G46" s="144">
        <f>'FG5'!G30</f>
        <v>0</v>
      </c>
      <c r="H46" s="144">
        <f>'FG5'!H30</f>
        <v>0</v>
      </c>
      <c r="I46" s="144">
        <f>'FG5'!I30</f>
        <v>0</v>
      </c>
      <c r="J46" s="144">
        <f>'FG5'!J30</f>
        <v>0</v>
      </c>
      <c r="K46" s="144">
        <f>'FG5'!K30</f>
        <v>0</v>
      </c>
      <c r="L46" s="144">
        <f>'FG5'!L30</f>
        <v>0</v>
      </c>
      <c r="M46" s="144">
        <f>'FG5'!M30</f>
        <v>0</v>
      </c>
      <c r="N46" s="144">
        <f>'FG5'!N30</f>
        <v>0</v>
      </c>
      <c r="O46" s="217">
        <f t="shared" si="6"/>
        <v>0</v>
      </c>
    </row>
    <row r="47" spans="1:15" ht="13.5" customHeight="1" thickBot="1">
      <c r="A47" s="867" t="str">
        <f>'BC1'!A48</f>
        <v>Autre frais d'exploitation 2</v>
      </c>
      <c r="B47" s="43"/>
      <c r="C47" s="144">
        <f>'FG5'!C32</f>
        <v>0</v>
      </c>
      <c r="D47" s="144">
        <f>'FG5'!D32</f>
        <v>0</v>
      </c>
      <c r="E47" s="144">
        <f>'FG5'!E32</f>
        <v>0</v>
      </c>
      <c r="F47" s="144">
        <f>'FG5'!F32</f>
        <v>0</v>
      </c>
      <c r="G47" s="144">
        <f>'FG5'!G32</f>
        <v>0</v>
      </c>
      <c r="H47" s="144">
        <f>'FG5'!H32</f>
        <v>0</v>
      </c>
      <c r="I47" s="144">
        <f>'FG5'!I32</f>
        <v>0</v>
      </c>
      <c r="J47" s="144">
        <f>'FG5'!J32</f>
        <v>0</v>
      </c>
      <c r="K47" s="144">
        <f>'FG5'!K32</f>
        <v>0</v>
      </c>
      <c r="L47" s="144">
        <f>'FG5'!L32</f>
        <v>0</v>
      </c>
      <c r="M47" s="144">
        <f>'FG5'!M32</f>
        <v>0</v>
      </c>
      <c r="N47" s="144">
        <f>'FG5'!N32</f>
        <v>0</v>
      </c>
      <c r="O47" s="217">
        <f t="shared" si="6"/>
        <v>0</v>
      </c>
    </row>
    <row r="48" spans="1:15" ht="13.5" customHeight="1" thickBot="1">
      <c r="A48" s="867" t="str">
        <f>'BC1'!A49</f>
        <v>Autre frais d'exploitation 3</v>
      </c>
      <c r="B48" s="43"/>
      <c r="C48" s="144">
        <f>'FG5'!C34</f>
        <v>0</v>
      </c>
      <c r="D48" s="144">
        <f>'FG5'!D34</f>
        <v>0</v>
      </c>
      <c r="E48" s="144">
        <f>'FG5'!E34</f>
        <v>0</v>
      </c>
      <c r="F48" s="144">
        <f>'FG5'!F34</f>
        <v>0</v>
      </c>
      <c r="G48" s="144">
        <f>'FG5'!G34</f>
        <v>0</v>
      </c>
      <c r="H48" s="144">
        <f>'FG5'!H34</f>
        <v>0</v>
      </c>
      <c r="I48" s="144">
        <f>'FG5'!I34</f>
        <v>0</v>
      </c>
      <c r="J48" s="144">
        <f>'FG5'!J34</f>
        <v>0</v>
      </c>
      <c r="K48" s="144">
        <f>'FG5'!K34</f>
        <v>0</v>
      </c>
      <c r="L48" s="144">
        <f>'FG5'!L34</f>
        <v>0</v>
      </c>
      <c r="M48" s="144">
        <f>'FG5'!M34</f>
        <v>0</v>
      </c>
      <c r="N48" s="144">
        <f>'FG5'!N34</f>
        <v>0</v>
      </c>
      <c r="O48" s="217">
        <f t="shared" si="6"/>
        <v>0</v>
      </c>
    </row>
    <row r="49" spans="1:16" ht="13.5" customHeight="1" thickBot="1">
      <c r="A49" s="867" t="str">
        <f>'BC1'!A50</f>
        <v>Autre frais d'exploitation 4</v>
      </c>
      <c r="B49" s="43"/>
      <c r="C49" s="144">
        <f>'FG5'!C36</f>
        <v>0</v>
      </c>
      <c r="D49" s="144">
        <f>'FG5'!D36</f>
        <v>0</v>
      </c>
      <c r="E49" s="144">
        <f>'FG5'!E36</f>
        <v>0</v>
      </c>
      <c r="F49" s="144">
        <f>'FG5'!F36</f>
        <v>0</v>
      </c>
      <c r="G49" s="144">
        <f>'FG5'!G36</f>
        <v>0</v>
      </c>
      <c r="H49" s="144">
        <f>'FG5'!H36</f>
        <v>0</v>
      </c>
      <c r="I49" s="144">
        <f>'FG5'!I36</f>
        <v>0</v>
      </c>
      <c r="J49" s="144">
        <f>'FG5'!J36</f>
        <v>0</v>
      </c>
      <c r="K49" s="144">
        <f>'FG5'!K36</f>
        <v>0</v>
      </c>
      <c r="L49" s="144">
        <f>'FG5'!L36</f>
        <v>0</v>
      </c>
      <c r="M49" s="144">
        <f>'FG5'!M36</f>
        <v>0</v>
      </c>
      <c r="N49" s="144">
        <f>'FG5'!N36</f>
        <v>0</v>
      </c>
      <c r="O49" s="217">
        <f t="shared" si="6"/>
        <v>0</v>
      </c>
    </row>
    <row r="50" spans="1:16" ht="13.5" customHeight="1" thickBot="1">
      <c r="A50" s="867" t="str">
        <f>'BC1'!A51</f>
        <v>Autre frais d'exploitation 5</v>
      </c>
      <c r="B50" s="43"/>
      <c r="C50" s="144">
        <f>'FG5'!C38</f>
        <v>0</v>
      </c>
      <c r="D50" s="144">
        <f>'FG5'!D38</f>
        <v>0</v>
      </c>
      <c r="E50" s="144">
        <f>'FG5'!E38</f>
        <v>0</v>
      </c>
      <c r="F50" s="144">
        <f>'FG5'!F38</f>
        <v>0</v>
      </c>
      <c r="G50" s="144">
        <f>'FG5'!G38</f>
        <v>0</v>
      </c>
      <c r="H50" s="144">
        <f>'FG5'!H38</f>
        <v>0</v>
      </c>
      <c r="I50" s="144">
        <f>'FG5'!I38</f>
        <v>0</v>
      </c>
      <c r="J50" s="144">
        <f>'FG5'!J38</f>
        <v>0</v>
      </c>
      <c r="K50" s="144">
        <f>'FG5'!K38</f>
        <v>0</v>
      </c>
      <c r="L50" s="144">
        <f>'FG5'!L38</f>
        <v>0</v>
      </c>
      <c r="M50" s="144">
        <f>'FG5'!M38</f>
        <v>0</v>
      </c>
      <c r="N50" s="144">
        <f>'FG5'!N38</f>
        <v>0</v>
      </c>
      <c r="O50" s="217">
        <f t="shared" si="6"/>
        <v>0</v>
      </c>
    </row>
    <row r="51" spans="1:16" ht="13.5" customHeight="1" thickBot="1">
      <c r="A51" s="867" t="str">
        <f>'BC1'!A52</f>
        <v>Autre frais d'exploitation 6</v>
      </c>
      <c r="B51" s="43"/>
      <c r="C51" s="144">
        <f>'FG5'!C40</f>
        <v>0</v>
      </c>
      <c r="D51" s="144">
        <f>'FG5'!D40</f>
        <v>0</v>
      </c>
      <c r="E51" s="144">
        <f>'FG5'!E40</f>
        <v>0</v>
      </c>
      <c r="F51" s="144">
        <f>'FG5'!F40</f>
        <v>0</v>
      </c>
      <c r="G51" s="144">
        <f>'FG5'!G40</f>
        <v>0</v>
      </c>
      <c r="H51" s="144">
        <f>'FG5'!H40</f>
        <v>0</v>
      </c>
      <c r="I51" s="144">
        <f>'FG5'!I40</f>
        <v>0</v>
      </c>
      <c r="J51" s="144">
        <f>'FG5'!J40</f>
        <v>0</v>
      </c>
      <c r="K51" s="144">
        <f>'FG5'!K40</f>
        <v>0</v>
      </c>
      <c r="L51" s="144">
        <f>'FG5'!L40</f>
        <v>0</v>
      </c>
      <c r="M51" s="144">
        <f>'FG5'!M40</f>
        <v>0</v>
      </c>
      <c r="N51" s="144">
        <f>'FG5'!N40</f>
        <v>0</v>
      </c>
      <c r="O51" s="217">
        <f t="shared" si="6"/>
        <v>0</v>
      </c>
    </row>
    <row r="52" spans="1:16" ht="13.5" customHeight="1" thickBot="1">
      <c r="A52" s="867" t="str">
        <f>'BC1'!A53</f>
        <v>Autre frais d'exploitation 7</v>
      </c>
      <c r="B52" s="43"/>
      <c r="C52" s="144">
        <f>'FG5'!C42</f>
        <v>0</v>
      </c>
      <c r="D52" s="144">
        <f>'FG5'!D42</f>
        <v>0</v>
      </c>
      <c r="E52" s="144">
        <f>'FG5'!E42</f>
        <v>0</v>
      </c>
      <c r="F52" s="144">
        <f>'FG5'!F42</f>
        <v>0</v>
      </c>
      <c r="G52" s="144">
        <f>'FG5'!G42</f>
        <v>0</v>
      </c>
      <c r="H52" s="144">
        <f>'FG5'!H42</f>
        <v>0</v>
      </c>
      <c r="I52" s="144">
        <f>'FG5'!I42</f>
        <v>0</v>
      </c>
      <c r="J52" s="144">
        <f>'FG5'!J42</f>
        <v>0</v>
      </c>
      <c r="K52" s="144">
        <f>'FG5'!K42</f>
        <v>0</v>
      </c>
      <c r="L52" s="144">
        <f>'FG5'!L42</f>
        <v>0</v>
      </c>
      <c r="M52" s="144">
        <f>'FG5'!M42</f>
        <v>0</v>
      </c>
      <c r="N52" s="144">
        <f>'FG5'!N42</f>
        <v>0</v>
      </c>
      <c r="O52" s="217">
        <f t="shared" si="6"/>
        <v>0</v>
      </c>
    </row>
    <row r="53" spans="1:16" ht="13.5" customHeight="1" thickBot="1">
      <c r="A53" s="867" t="str">
        <f>'BC1'!A54</f>
        <v>Autre frais d'exploitation 8</v>
      </c>
      <c r="B53" s="43"/>
      <c r="C53" s="144">
        <f>'FG5'!C44</f>
        <v>0</v>
      </c>
      <c r="D53" s="144">
        <f>'FG5'!D44</f>
        <v>0</v>
      </c>
      <c r="E53" s="144">
        <f>'FG5'!E44</f>
        <v>0</v>
      </c>
      <c r="F53" s="144">
        <f>'FG5'!F44</f>
        <v>0</v>
      </c>
      <c r="G53" s="144">
        <f>'FG5'!G44</f>
        <v>0</v>
      </c>
      <c r="H53" s="144">
        <f>'FG5'!H44</f>
        <v>0</v>
      </c>
      <c r="I53" s="144">
        <f>'FG5'!I44</f>
        <v>0</v>
      </c>
      <c r="J53" s="144">
        <f>'FG5'!J44</f>
        <v>0</v>
      </c>
      <c r="K53" s="144">
        <f>'FG5'!K44</f>
        <v>0</v>
      </c>
      <c r="L53" s="144">
        <f>'FG5'!L44</f>
        <v>0</v>
      </c>
      <c r="M53" s="144">
        <f>'FG5'!M44</f>
        <v>0</v>
      </c>
      <c r="N53" s="144">
        <f>'FG5'!N44</f>
        <v>0</v>
      </c>
      <c r="O53" s="217">
        <f t="shared" si="6"/>
        <v>0</v>
      </c>
    </row>
    <row r="54" spans="1:16" ht="13.5" customHeight="1" thickBot="1">
      <c r="A54" s="48" t="str">
        <f>'BC1'!A55</f>
        <v>FRAIS DE VENTE</v>
      </c>
      <c r="B54" s="43"/>
      <c r="C54" s="214"/>
      <c r="D54" s="214"/>
      <c r="E54" s="214"/>
      <c r="F54" s="214"/>
      <c r="G54" s="214"/>
      <c r="H54" s="214"/>
      <c r="I54" s="214"/>
      <c r="J54" s="214"/>
      <c r="K54" s="214"/>
      <c r="L54" s="214"/>
      <c r="M54" s="214"/>
      <c r="N54" s="214"/>
      <c r="O54" s="864"/>
      <c r="P54" s="117"/>
    </row>
    <row r="55" spans="1:16" ht="13.5" customHeight="1" thickBot="1">
      <c r="A55" s="867" t="str">
        <f>'BC1'!A56</f>
        <v>Frais de représentation</v>
      </c>
      <c r="B55" s="43"/>
      <c r="C55" s="144">
        <f>'FG5'!C47</f>
        <v>0</v>
      </c>
      <c r="D55" s="144">
        <f>'FG5'!D47</f>
        <v>0</v>
      </c>
      <c r="E55" s="144">
        <f>'FG5'!E47</f>
        <v>0</v>
      </c>
      <c r="F55" s="144">
        <f>'FG5'!F47</f>
        <v>0</v>
      </c>
      <c r="G55" s="144">
        <f>'FG5'!G47</f>
        <v>0</v>
      </c>
      <c r="H55" s="144">
        <f>'FG5'!H47</f>
        <v>0</v>
      </c>
      <c r="I55" s="144">
        <f>'FG5'!I47</f>
        <v>0</v>
      </c>
      <c r="J55" s="144">
        <f>'FG5'!J47</f>
        <v>0</v>
      </c>
      <c r="K55" s="144">
        <f>'FG5'!K47</f>
        <v>0</v>
      </c>
      <c r="L55" s="144">
        <f>'FG5'!L47</f>
        <v>0</v>
      </c>
      <c r="M55" s="144">
        <f>'FG5'!M47</f>
        <v>0</v>
      </c>
      <c r="N55" s="144">
        <f>'FG5'!N47</f>
        <v>0</v>
      </c>
      <c r="O55" s="217">
        <f t="shared" si="6"/>
        <v>0</v>
      </c>
      <c r="P55" s="117"/>
    </row>
    <row r="56" spans="1:16" ht="13.5" customHeight="1" thickBot="1">
      <c r="A56" s="867" t="str">
        <f>'BC1'!A57</f>
        <v>Publicité</v>
      </c>
      <c r="B56" s="43"/>
      <c r="C56" s="144">
        <f>'FG5'!C49</f>
        <v>0</v>
      </c>
      <c r="D56" s="144">
        <f>'FG5'!D49</f>
        <v>0</v>
      </c>
      <c r="E56" s="144">
        <f>'FG5'!E49</f>
        <v>0</v>
      </c>
      <c r="F56" s="144">
        <f>'FG5'!F49</f>
        <v>0</v>
      </c>
      <c r="G56" s="144">
        <f>'FG5'!G49</f>
        <v>0</v>
      </c>
      <c r="H56" s="144">
        <f>'FG5'!H49</f>
        <v>0</v>
      </c>
      <c r="I56" s="144">
        <f>'FG5'!I49</f>
        <v>0</v>
      </c>
      <c r="J56" s="144">
        <f>'FG5'!J49</f>
        <v>0</v>
      </c>
      <c r="K56" s="144">
        <f>'FG5'!K49</f>
        <v>0</v>
      </c>
      <c r="L56" s="144">
        <f>'FG5'!L49</f>
        <v>0</v>
      </c>
      <c r="M56" s="144">
        <f>'FG5'!M49</f>
        <v>0</v>
      </c>
      <c r="N56" s="144">
        <f>'FG5'!N49</f>
        <v>0</v>
      </c>
      <c r="O56" s="217">
        <f t="shared" si="6"/>
        <v>0</v>
      </c>
      <c r="P56" s="117"/>
    </row>
    <row r="57" spans="1:16" ht="13.5" customHeight="1" thickBot="1">
      <c r="A57" s="867" t="str">
        <f>'BC1'!A58</f>
        <v>Autres frais de vente 1</v>
      </c>
      <c r="B57" s="43"/>
      <c r="C57" s="144">
        <f>'FG5'!C51</f>
        <v>0</v>
      </c>
      <c r="D57" s="144">
        <f>'FG5'!D51</f>
        <v>0</v>
      </c>
      <c r="E57" s="144">
        <f>'FG5'!E51</f>
        <v>0</v>
      </c>
      <c r="F57" s="144">
        <f>'FG5'!F51</f>
        <v>0</v>
      </c>
      <c r="G57" s="144">
        <f>'FG5'!G51</f>
        <v>0</v>
      </c>
      <c r="H57" s="144">
        <f>'FG5'!H51</f>
        <v>0</v>
      </c>
      <c r="I57" s="144">
        <f>'FG5'!I51</f>
        <v>0</v>
      </c>
      <c r="J57" s="144">
        <f>'FG5'!J51</f>
        <v>0</v>
      </c>
      <c r="K57" s="144">
        <f>'FG5'!K51</f>
        <v>0</v>
      </c>
      <c r="L57" s="144">
        <f>'FG5'!L51</f>
        <v>0</v>
      </c>
      <c r="M57" s="144">
        <f>'FG5'!M51</f>
        <v>0</v>
      </c>
      <c r="N57" s="144">
        <f>'FG5'!N51</f>
        <v>0</v>
      </c>
      <c r="O57" s="217">
        <f t="shared" si="6"/>
        <v>0</v>
      </c>
      <c r="P57" s="117"/>
    </row>
    <row r="58" spans="1:16" ht="13.5" customHeight="1" thickBot="1">
      <c r="A58" s="867" t="str">
        <f>'BC1'!A59</f>
        <v>Autres frais de vente 2</v>
      </c>
      <c r="B58" s="43"/>
      <c r="C58" s="144">
        <f>'FG5'!C53</f>
        <v>0</v>
      </c>
      <c r="D58" s="144">
        <f>'FG5'!D53</f>
        <v>0</v>
      </c>
      <c r="E58" s="144">
        <f>'FG5'!E53</f>
        <v>0</v>
      </c>
      <c r="F58" s="144">
        <f>'FG5'!F53</f>
        <v>0</v>
      </c>
      <c r="G58" s="144">
        <f>'FG5'!G53</f>
        <v>0</v>
      </c>
      <c r="H58" s="144">
        <f>'FG5'!H53</f>
        <v>0</v>
      </c>
      <c r="I58" s="144">
        <f>'FG5'!I53</f>
        <v>0</v>
      </c>
      <c r="J58" s="144">
        <f>'FG5'!J53</f>
        <v>0</v>
      </c>
      <c r="K58" s="144">
        <f>'FG5'!K53</f>
        <v>0</v>
      </c>
      <c r="L58" s="144">
        <f>'FG5'!L53</f>
        <v>0</v>
      </c>
      <c r="M58" s="144">
        <f>'FG5'!M53</f>
        <v>0</v>
      </c>
      <c r="N58" s="144">
        <f>'FG5'!N53</f>
        <v>0</v>
      </c>
      <c r="O58" s="217">
        <f t="shared" si="6"/>
        <v>0</v>
      </c>
      <c r="P58" s="117"/>
    </row>
    <row r="59" spans="1:16" ht="13.5" customHeight="1" thickBot="1">
      <c r="A59" s="867" t="str">
        <f>'BC1'!A60</f>
        <v>Autres frais de vente 3</v>
      </c>
      <c r="B59" s="43"/>
      <c r="C59" s="144">
        <f>'FG5'!C55</f>
        <v>0</v>
      </c>
      <c r="D59" s="144">
        <f>'FG5'!D55</f>
        <v>0</v>
      </c>
      <c r="E59" s="144">
        <f>'FG5'!E55</f>
        <v>0</v>
      </c>
      <c r="F59" s="144">
        <f>'FG5'!F55</f>
        <v>0</v>
      </c>
      <c r="G59" s="144">
        <f>'FG5'!G55</f>
        <v>0</v>
      </c>
      <c r="H59" s="144">
        <f>'FG5'!H55</f>
        <v>0</v>
      </c>
      <c r="I59" s="144">
        <f>'FG5'!I55</f>
        <v>0</v>
      </c>
      <c r="J59" s="144">
        <f>'FG5'!J55</f>
        <v>0</v>
      </c>
      <c r="K59" s="144">
        <f>'FG5'!K55</f>
        <v>0</v>
      </c>
      <c r="L59" s="144">
        <f>'FG5'!L55</f>
        <v>0</v>
      </c>
      <c r="M59" s="144">
        <f>'FG5'!M55</f>
        <v>0</v>
      </c>
      <c r="N59" s="144">
        <f>'FG5'!N55</f>
        <v>0</v>
      </c>
      <c r="O59" s="217">
        <f t="shared" si="6"/>
        <v>0</v>
      </c>
      <c r="P59" s="117"/>
    </row>
    <row r="60" spans="1:16" ht="13.5" customHeight="1" thickBot="1">
      <c r="A60" s="867" t="str">
        <f>'BC1'!A61</f>
        <v>Autres frais de vente 4</v>
      </c>
      <c r="B60" s="43"/>
      <c r="C60" s="144">
        <f>'FG5'!C57</f>
        <v>0</v>
      </c>
      <c r="D60" s="144">
        <f>'FG5'!D57</f>
        <v>0</v>
      </c>
      <c r="E60" s="144">
        <f>'FG5'!E57</f>
        <v>0</v>
      </c>
      <c r="F60" s="144">
        <f>'FG5'!F57</f>
        <v>0</v>
      </c>
      <c r="G60" s="144">
        <f>'FG5'!G57</f>
        <v>0</v>
      </c>
      <c r="H60" s="144">
        <f>'FG5'!H57</f>
        <v>0</v>
      </c>
      <c r="I60" s="144">
        <f>'FG5'!I57</f>
        <v>0</v>
      </c>
      <c r="J60" s="144">
        <f>'FG5'!J57</f>
        <v>0</v>
      </c>
      <c r="K60" s="144">
        <f>'FG5'!K57</f>
        <v>0</v>
      </c>
      <c r="L60" s="144">
        <f>'FG5'!L57</f>
        <v>0</v>
      </c>
      <c r="M60" s="144">
        <f>'FG5'!M57</f>
        <v>0</v>
      </c>
      <c r="N60" s="144">
        <f>'FG5'!N57</f>
        <v>0</v>
      </c>
      <c r="O60" s="217">
        <f t="shared" si="6"/>
        <v>0</v>
      </c>
      <c r="P60" s="117"/>
    </row>
    <row r="61" spans="1:16" ht="13.5" customHeight="1" thickBot="1">
      <c r="A61" s="867" t="str">
        <f>'BC1'!A62</f>
        <v>Autres frais de vente 5</v>
      </c>
      <c r="B61" s="43"/>
      <c r="C61" s="144">
        <f>'FG5'!C59</f>
        <v>0</v>
      </c>
      <c r="D61" s="144">
        <f>'FG5'!D59</f>
        <v>0</v>
      </c>
      <c r="E61" s="144">
        <f>'FG5'!E59</f>
        <v>0</v>
      </c>
      <c r="F61" s="144">
        <f>'FG5'!F59</f>
        <v>0</v>
      </c>
      <c r="G61" s="144">
        <f>'FG5'!G59</f>
        <v>0</v>
      </c>
      <c r="H61" s="144">
        <f>'FG5'!H59</f>
        <v>0</v>
      </c>
      <c r="I61" s="144">
        <f>'FG5'!I59</f>
        <v>0</v>
      </c>
      <c r="J61" s="144">
        <f>'FG5'!J59</f>
        <v>0</v>
      </c>
      <c r="K61" s="144">
        <f>'FG5'!K59</f>
        <v>0</v>
      </c>
      <c r="L61" s="144">
        <f>'FG5'!L59</f>
        <v>0</v>
      </c>
      <c r="M61" s="144">
        <f>'FG5'!M59</f>
        <v>0</v>
      </c>
      <c r="N61" s="144">
        <f>'FG5'!N59</f>
        <v>0</v>
      </c>
      <c r="O61" s="217">
        <f t="shared" si="6"/>
        <v>0</v>
      </c>
      <c r="P61" s="117"/>
    </row>
    <row r="62" spans="1:16" ht="13.5" customHeight="1" thickBot="1">
      <c r="A62" s="48" t="str">
        <f>'BC1'!A63</f>
        <v>FRAIS D'ADMINISTRATION</v>
      </c>
      <c r="B62" s="43"/>
      <c r="C62" s="214"/>
      <c r="D62" s="214"/>
      <c r="E62" s="214"/>
      <c r="F62" s="214"/>
      <c r="G62" s="214"/>
      <c r="H62" s="214"/>
      <c r="I62" s="214"/>
      <c r="J62" s="214"/>
      <c r="K62" s="214"/>
      <c r="L62" s="214"/>
      <c r="M62" s="214"/>
      <c r="N62" s="214"/>
      <c r="O62" s="864"/>
      <c r="P62" s="117"/>
    </row>
    <row r="63" spans="1:16" ht="13.5" customHeight="1" thickBot="1">
      <c r="A63" s="867" t="str">
        <f>'BC1'!A64</f>
        <v>Salaires administratifs</v>
      </c>
      <c r="B63" s="43"/>
      <c r="C63" s="144">
        <f>TE!C180+TE!C182</f>
        <v>3745.2152736000003</v>
      </c>
      <c r="D63" s="144">
        <f>TE!D180+TE!D182</f>
        <v>3745.2152736000003</v>
      </c>
      <c r="E63" s="144">
        <f>TE!E180+TE!E182</f>
        <v>3745.2152736000003</v>
      </c>
      <c r="F63" s="144">
        <f>TE!F180+TE!F182</f>
        <v>3745.2152736000003</v>
      </c>
      <c r="G63" s="144">
        <f>TE!G180+TE!G182</f>
        <v>3745.2152736000003</v>
      </c>
      <c r="H63" s="144">
        <f>TE!H180+TE!H182</f>
        <v>3745.2152736000003</v>
      </c>
      <c r="I63" s="144">
        <f>TE!I180+TE!I182</f>
        <v>3745.2152736000003</v>
      </c>
      <c r="J63" s="144">
        <f>TE!J180+TE!J182</f>
        <v>3745.2152736000003</v>
      </c>
      <c r="K63" s="144">
        <f>TE!K180+TE!K182</f>
        <v>3745.2152736000003</v>
      </c>
      <c r="L63" s="144">
        <f>TE!L180+TE!L182</f>
        <v>3745.2152736000003</v>
      </c>
      <c r="M63" s="144">
        <f>TE!M180+TE!M182</f>
        <v>3745.2152736000003</v>
      </c>
      <c r="N63" s="144">
        <f>TE!N180+TE!N182</f>
        <v>3745.2152736000003</v>
      </c>
      <c r="O63" s="136">
        <f t="shared" ref="O63:O70" si="7">SUM(C63:N63)</f>
        <v>44942.583283199994</v>
      </c>
      <c r="P63" s="117"/>
    </row>
    <row r="64" spans="1:16" ht="13.5" customHeight="1" thickBot="1">
      <c r="A64" s="867" t="str">
        <f>'BC1'!A65</f>
        <v xml:space="preserve">   avantages</v>
      </c>
      <c r="B64" s="43"/>
      <c r="C64" s="144">
        <f>TE!N169+TE!N171</f>
        <v>953</v>
      </c>
      <c r="D64" s="144">
        <f>TE!C181+TE!C183</f>
        <v>972</v>
      </c>
      <c r="E64" s="144">
        <f>TE!D181+TE!D183</f>
        <v>972</v>
      </c>
      <c r="F64" s="144">
        <f>TE!E181+TE!E183</f>
        <v>972</v>
      </c>
      <c r="G64" s="144">
        <f>TE!F181+TE!F183</f>
        <v>972</v>
      </c>
      <c r="H64" s="144">
        <f>TE!G181+TE!G183</f>
        <v>972</v>
      </c>
      <c r="I64" s="144">
        <f>TE!H181+TE!H183</f>
        <v>972</v>
      </c>
      <c r="J64" s="144">
        <f>TE!I181+TE!I183</f>
        <v>972</v>
      </c>
      <c r="K64" s="144">
        <f>TE!J181+TE!J183</f>
        <v>972</v>
      </c>
      <c r="L64" s="144">
        <f>TE!K181+TE!K183</f>
        <v>972</v>
      </c>
      <c r="M64" s="144">
        <f>TE!L181+TE!L183</f>
        <v>972</v>
      </c>
      <c r="N64" s="144">
        <f>TE!M181+TE!M183</f>
        <v>972</v>
      </c>
      <c r="O64" s="136">
        <f t="shared" si="7"/>
        <v>11645</v>
      </c>
    </row>
    <row r="65" spans="1:16" ht="13.5" customHeight="1" thickBot="1">
      <c r="A65" s="867" t="str">
        <f>'BC1'!A66</f>
        <v>Téléphonie et internet</v>
      </c>
      <c r="B65" s="43"/>
      <c r="C65" s="144">
        <f>'FG5'!C62</f>
        <v>0</v>
      </c>
      <c r="D65" s="144">
        <f>'FG5'!D62</f>
        <v>0</v>
      </c>
      <c r="E65" s="144">
        <f>'FG5'!E62</f>
        <v>0</v>
      </c>
      <c r="F65" s="144">
        <f>'FG5'!F62</f>
        <v>0</v>
      </c>
      <c r="G65" s="144">
        <f>'FG5'!G62</f>
        <v>0</v>
      </c>
      <c r="H65" s="144">
        <f>'FG5'!H62</f>
        <v>0</v>
      </c>
      <c r="I65" s="144">
        <f>'FG5'!I62</f>
        <v>0</v>
      </c>
      <c r="J65" s="144">
        <f>'FG5'!J62</f>
        <v>0</v>
      </c>
      <c r="K65" s="144">
        <f>'FG5'!K62</f>
        <v>0</v>
      </c>
      <c r="L65" s="144">
        <f>'FG5'!L62</f>
        <v>0</v>
      </c>
      <c r="M65" s="144">
        <f>'FG5'!M62</f>
        <v>0</v>
      </c>
      <c r="N65" s="144">
        <f>'FG5'!N62</f>
        <v>0</v>
      </c>
      <c r="O65" s="136">
        <f t="shared" si="7"/>
        <v>0</v>
      </c>
    </row>
    <row r="66" spans="1:16" ht="13.5" customHeight="1" thickBot="1">
      <c r="A66" s="867" t="str">
        <f>'BC1'!A67</f>
        <v>Honoraires professionnels</v>
      </c>
      <c r="B66" s="43"/>
      <c r="C66" s="144">
        <f>'FG5'!C64</f>
        <v>0</v>
      </c>
      <c r="D66" s="144">
        <f>'FG5'!D64</f>
        <v>0</v>
      </c>
      <c r="E66" s="144">
        <f>'FG5'!E64</f>
        <v>0</v>
      </c>
      <c r="F66" s="144">
        <f>'FG5'!F64</f>
        <v>0</v>
      </c>
      <c r="G66" s="144">
        <f>'FG5'!G64</f>
        <v>0</v>
      </c>
      <c r="H66" s="144">
        <f>'FG5'!H64</f>
        <v>0</v>
      </c>
      <c r="I66" s="144">
        <f>'FG5'!I64</f>
        <v>0</v>
      </c>
      <c r="J66" s="144">
        <f>'FG5'!J64</f>
        <v>0</v>
      </c>
      <c r="K66" s="144">
        <f>'FG5'!K64</f>
        <v>0</v>
      </c>
      <c r="L66" s="144">
        <f>'FG5'!L64</f>
        <v>0</v>
      </c>
      <c r="M66" s="144">
        <f>'FG5'!M64</f>
        <v>0</v>
      </c>
      <c r="N66" s="144">
        <f>'FG5'!N64</f>
        <v>0</v>
      </c>
      <c r="O66" s="136">
        <f t="shared" si="7"/>
        <v>0</v>
      </c>
    </row>
    <row r="67" spans="1:16" ht="13.5" customHeight="1" thickBot="1">
      <c r="A67" s="867" t="str">
        <f>'BC1'!A68</f>
        <v>Frais de bureau</v>
      </c>
      <c r="B67" s="43"/>
      <c r="C67" s="144">
        <f>'FG5'!C66</f>
        <v>0</v>
      </c>
      <c r="D67" s="144">
        <f>'FG5'!D66</f>
        <v>0</v>
      </c>
      <c r="E67" s="144">
        <f>'FG5'!E66</f>
        <v>0</v>
      </c>
      <c r="F67" s="144">
        <f>'FG5'!F66</f>
        <v>0</v>
      </c>
      <c r="G67" s="144">
        <f>'FG5'!G66</f>
        <v>0</v>
      </c>
      <c r="H67" s="144">
        <f>'FG5'!H66</f>
        <v>0</v>
      </c>
      <c r="I67" s="144">
        <f>'FG5'!I66</f>
        <v>0</v>
      </c>
      <c r="J67" s="144">
        <f>'FG5'!J66</f>
        <v>0</v>
      </c>
      <c r="K67" s="144">
        <f>'FG5'!K66</f>
        <v>0</v>
      </c>
      <c r="L67" s="144">
        <f>'FG5'!L66</f>
        <v>0</v>
      </c>
      <c r="M67" s="144">
        <f>'FG5'!M66</f>
        <v>0</v>
      </c>
      <c r="N67" s="144">
        <f>'FG5'!N66</f>
        <v>0</v>
      </c>
      <c r="O67" s="136">
        <f t="shared" si="7"/>
        <v>0</v>
      </c>
    </row>
    <row r="68" spans="1:16" ht="13.5" customHeight="1" thickBot="1">
      <c r="A68" s="867" t="str">
        <f>'BC1'!A69</f>
        <v>Mauvaises créances</v>
      </c>
      <c r="B68" s="43"/>
      <c r="C68" s="144">
        <f>'FG5'!C68</f>
        <v>0</v>
      </c>
      <c r="D68" s="144">
        <f>'FG5'!D68</f>
        <v>0</v>
      </c>
      <c r="E68" s="144">
        <f>'FG5'!E68</f>
        <v>0</v>
      </c>
      <c r="F68" s="144">
        <f>'FG5'!F68</f>
        <v>0</v>
      </c>
      <c r="G68" s="144">
        <f>'FG5'!G68</f>
        <v>0</v>
      </c>
      <c r="H68" s="144">
        <f>'FG5'!H68</f>
        <v>0</v>
      </c>
      <c r="I68" s="144">
        <f>'FG5'!I68</f>
        <v>0</v>
      </c>
      <c r="J68" s="144">
        <f>'FG5'!J68</f>
        <v>0</v>
      </c>
      <c r="K68" s="144">
        <f>'FG5'!K68</f>
        <v>0</v>
      </c>
      <c r="L68" s="144">
        <f>'FG5'!L68</f>
        <v>0</v>
      </c>
      <c r="M68" s="144">
        <f>'FG5'!M68</f>
        <v>0</v>
      </c>
      <c r="N68" s="144">
        <f>'FG5'!N68</f>
        <v>0</v>
      </c>
      <c r="O68" s="136">
        <f t="shared" si="7"/>
        <v>0</v>
      </c>
    </row>
    <row r="69" spans="1:16" ht="13.5" customHeight="1" thickBot="1">
      <c r="A69" s="867" t="str">
        <f>'BC1'!A70</f>
        <v>Fournitures de bureau</v>
      </c>
      <c r="B69" s="43"/>
      <c r="C69" s="144">
        <f>'FG5'!C70</f>
        <v>0</v>
      </c>
      <c r="D69" s="144">
        <f>'FG5'!D70</f>
        <v>0</v>
      </c>
      <c r="E69" s="144">
        <f>'FG5'!E70</f>
        <v>0</v>
      </c>
      <c r="F69" s="144">
        <f>'FG5'!F70</f>
        <v>0</v>
      </c>
      <c r="G69" s="144">
        <f>'FG5'!G70</f>
        <v>0</v>
      </c>
      <c r="H69" s="144">
        <f>'FG5'!H70</f>
        <v>0</v>
      </c>
      <c r="I69" s="144">
        <f>'FG5'!I70</f>
        <v>0</v>
      </c>
      <c r="J69" s="144">
        <f>'FG5'!J70</f>
        <v>0</v>
      </c>
      <c r="K69" s="144">
        <f>'FG5'!K70</f>
        <v>0</v>
      </c>
      <c r="L69" s="144">
        <f>'FG5'!L70</f>
        <v>0</v>
      </c>
      <c r="M69" s="144">
        <f>'FG5'!M70</f>
        <v>0</v>
      </c>
      <c r="N69" s="144">
        <f>'FG5'!N70</f>
        <v>0</v>
      </c>
      <c r="O69" s="136">
        <f t="shared" si="7"/>
        <v>0</v>
      </c>
    </row>
    <row r="70" spans="1:16" ht="13.5" customHeight="1" thickBot="1">
      <c r="A70" s="867" t="str">
        <f>'BC1'!A71</f>
        <v>Fais d'hébèrgement de site Web</v>
      </c>
      <c r="B70" s="43"/>
      <c r="C70" s="144">
        <f>'FG5'!C72</f>
        <v>0</v>
      </c>
      <c r="D70" s="144">
        <f>'FG5'!D72</f>
        <v>0</v>
      </c>
      <c r="E70" s="144">
        <f>'FG5'!E72</f>
        <v>0</v>
      </c>
      <c r="F70" s="144">
        <f>'FG5'!F72</f>
        <v>0</v>
      </c>
      <c r="G70" s="144">
        <f>'FG5'!G72</f>
        <v>0</v>
      </c>
      <c r="H70" s="144">
        <f>'FG5'!H72</f>
        <v>0</v>
      </c>
      <c r="I70" s="144">
        <f>'FG5'!I72</f>
        <v>0</v>
      </c>
      <c r="J70" s="144">
        <f>'FG5'!J72</f>
        <v>0</v>
      </c>
      <c r="K70" s="144">
        <f>'FG5'!K72</f>
        <v>0</v>
      </c>
      <c r="L70" s="144">
        <f>'FG5'!L72</f>
        <v>0</v>
      </c>
      <c r="M70" s="144">
        <f>'FG5'!M72</f>
        <v>0</v>
      </c>
      <c r="N70" s="144">
        <f>'FG5'!N72</f>
        <v>0</v>
      </c>
      <c r="O70" s="136">
        <f t="shared" si="7"/>
        <v>0</v>
      </c>
      <c r="P70" s="137"/>
    </row>
    <row r="71" spans="1:16" ht="13.5" customHeight="1" thickBot="1">
      <c r="A71" s="867" t="str">
        <f>'BC1'!A72</f>
        <v>Autres frais d'administration 2</v>
      </c>
      <c r="B71" s="43"/>
      <c r="C71" s="144">
        <f>'FG5'!C74</f>
        <v>0</v>
      </c>
      <c r="D71" s="144">
        <f>'FG5'!D74</f>
        <v>0</v>
      </c>
      <c r="E71" s="144">
        <f>'FG5'!E74</f>
        <v>0</v>
      </c>
      <c r="F71" s="144">
        <f>'FG5'!F74</f>
        <v>0</v>
      </c>
      <c r="G71" s="144">
        <f>'FG5'!G74</f>
        <v>0</v>
      </c>
      <c r="H71" s="144">
        <f>'FG5'!H74</f>
        <v>0</v>
      </c>
      <c r="I71" s="144">
        <f>'FG5'!I74</f>
        <v>0</v>
      </c>
      <c r="J71" s="144">
        <f>'FG5'!J74</f>
        <v>0</v>
      </c>
      <c r="K71" s="144">
        <f>'FG5'!K74</f>
        <v>0</v>
      </c>
      <c r="L71" s="144">
        <f>'FG5'!L74</f>
        <v>0</v>
      </c>
      <c r="M71" s="144">
        <f>'FG5'!M74</f>
        <v>0</v>
      </c>
      <c r="N71" s="144">
        <f>'FG5'!N74</f>
        <v>0</v>
      </c>
      <c r="O71" s="136">
        <f>SUM(C71:N71)</f>
        <v>0</v>
      </c>
      <c r="P71" s="137"/>
    </row>
    <row r="72" spans="1:16" ht="13.5" customHeight="1" thickBot="1">
      <c r="A72" s="867" t="str">
        <f>'BC1'!A73</f>
        <v>Autres frais d'administration 3</v>
      </c>
      <c r="B72" s="43"/>
      <c r="C72" s="144">
        <f>'FG5'!C76</f>
        <v>0</v>
      </c>
      <c r="D72" s="144">
        <f>'FG5'!D76</f>
        <v>0</v>
      </c>
      <c r="E72" s="144">
        <f>'FG5'!E76</f>
        <v>0</v>
      </c>
      <c r="F72" s="144">
        <f>'FG5'!F76</f>
        <v>0</v>
      </c>
      <c r="G72" s="144">
        <f>'FG5'!G76</f>
        <v>0</v>
      </c>
      <c r="H72" s="144">
        <f>'FG5'!H76</f>
        <v>0</v>
      </c>
      <c r="I72" s="144">
        <f>'FG5'!I76</f>
        <v>0</v>
      </c>
      <c r="J72" s="144">
        <f>'FG5'!J76</f>
        <v>0</v>
      </c>
      <c r="K72" s="144">
        <f>'FG5'!K76</f>
        <v>0</v>
      </c>
      <c r="L72" s="144">
        <f>'FG5'!L76</f>
        <v>0</v>
      </c>
      <c r="M72" s="144">
        <f>'FG5'!M76</f>
        <v>0</v>
      </c>
      <c r="N72" s="144">
        <f>'FG5'!N76</f>
        <v>0</v>
      </c>
      <c r="O72" s="136">
        <f>SUM(C72:N72)</f>
        <v>0</v>
      </c>
      <c r="P72" s="137"/>
    </row>
    <row r="73" spans="1:16" ht="13.5" customHeight="1" thickBot="1">
      <c r="A73" s="867" t="str">
        <f>'BC1'!A74</f>
        <v>Autres frais d'administration 4</v>
      </c>
      <c r="B73" s="43"/>
      <c r="C73" s="144">
        <f>'FG5'!C78</f>
        <v>0</v>
      </c>
      <c r="D73" s="144">
        <f>'FG5'!D78</f>
        <v>0</v>
      </c>
      <c r="E73" s="144">
        <f>'FG5'!E78</f>
        <v>0</v>
      </c>
      <c r="F73" s="144">
        <f>'FG5'!F78</f>
        <v>0</v>
      </c>
      <c r="G73" s="144">
        <f>'FG5'!G78</f>
        <v>0</v>
      </c>
      <c r="H73" s="144">
        <f>'FG5'!H78</f>
        <v>0</v>
      </c>
      <c r="I73" s="144">
        <f>'FG5'!I78</f>
        <v>0</v>
      </c>
      <c r="J73" s="144">
        <f>'FG5'!J78</f>
        <v>0</v>
      </c>
      <c r="K73" s="144">
        <f>'FG5'!K78</f>
        <v>0</v>
      </c>
      <c r="L73" s="144">
        <f>'FG5'!L78</f>
        <v>0</v>
      </c>
      <c r="M73" s="144">
        <f>'FG5'!M78</f>
        <v>0</v>
      </c>
      <c r="N73" s="144">
        <f>'FG5'!N78</f>
        <v>0</v>
      </c>
      <c r="O73" s="136">
        <f>SUM(C73:N73)</f>
        <v>0</v>
      </c>
      <c r="P73" s="137"/>
    </row>
    <row r="74" spans="1:16" ht="13.5" customHeight="1" thickBot="1">
      <c r="A74" s="867" t="str">
        <f>'BC1'!A75</f>
        <v>Autres frais d'administration 5</v>
      </c>
      <c r="B74" s="43"/>
      <c r="C74" s="144">
        <f>'FG5'!C80</f>
        <v>0</v>
      </c>
      <c r="D74" s="144">
        <f>'FG5'!D80</f>
        <v>0</v>
      </c>
      <c r="E74" s="144">
        <f>'FG5'!E80</f>
        <v>0</v>
      </c>
      <c r="F74" s="144">
        <f>'FG5'!F80</f>
        <v>0</v>
      </c>
      <c r="G74" s="144">
        <f>'FG5'!G80</f>
        <v>0</v>
      </c>
      <c r="H74" s="144">
        <f>'FG5'!H80</f>
        <v>0</v>
      </c>
      <c r="I74" s="144">
        <f>'FG5'!I80</f>
        <v>0</v>
      </c>
      <c r="J74" s="144">
        <f>'FG5'!J80</f>
        <v>0</v>
      </c>
      <c r="K74" s="144">
        <f>'FG5'!K80</f>
        <v>0</v>
      </c>
      <c r="L74" s="144">
        <f>'FG5'!L80</f>
        <v>0</v>
      </c>
      <c r="M74" s="144">
        <f>'FG5'!M80</f>
        <v>0</v>
      </c>
      <c r="N74" s="144">
        <f>'FG5'!N80</f>
        <v>0</v>
      </c>
      <c r="O74" s="136">
        <f>SUM(C74:N74)</f>
        <v>0</v>
      </c>
      <c r="P74" s="137"/>
    </row>
    <row r="75" spans="1:16" ht="13.5" customHeight="1" thickBot="1">
      <c r="A75" s="867" t="str">
        <f>'BC1'!A76</f>
        <v>Autres frais d'administration 6</v>
      </c>
      <c r="B75" s="43"/>
      <c r="C75" s="144">
        <f>'FG5'!C82</f>
        <v>0</v>
      </c>
      <c r="D75" s="144">
        <f>'FG5'!D82</f>
        <v>0</v>
      </c>
      <c r="E75" s="144">
        <f>'FG5'!E82</f>
        <v>0</v>
      </c>
      <c r="F75" s="144">
        <f>'FG5'!F82</f>
        <v>0</v>
      </c>
      <c r="G75" s="144">
        <f>'FG5'!G82</f>
        <v>0</v>
      </c>
      <c r="H75" s="144">
        <f>'FG5'!H82</f>
        <v>0</v>
      </c>
      <c r="I75" s="144">
        <f>'FG5'!I82</f>
        <v>0</v>
      </c>
      <c r="J75" s="144">
        <f>'FG5'!J82</f>
        <v>0</v>
      </c>
      <c r="K75" s="144">
        <f>'FG5'!K82</f>
        <v>0</v>
      </c>
      <c r="L75" s="144">
        <f>'FG5'!L82</f>
        <v>0</v>
      </c>
      <c r="M75" s="144">
        <f>'FG5'!M82</f>
        <v>0</v>
      </c>
      <c r="N75" s="144">
        <f>'FG5'!N82</f>
        <v>0</v>
      </c>
      <c r="O75" s="136">
        <f>SUM(C75:N75)</f>
        <v>0</v>
      </c>
      <c r="P75" s="137"/>
    </row>
    <row r="76" spans="1:16" ht="13.5" customHeight="1" thickBot="1">
      <c r="A76" s="867" t="str">
        <f>'BC1'!A77</f>
        <v>FRAIS FINANCIERS</v>
      </c>
      <c r="B76" s="43"/>
      <c r="C76" s="214"/>
      <c r="D76" s="214"/>
      <c r="E76" s="214"/>
      <c r="F76" s="214"/>
      <c r="G76" s="214"/>
      <c r="H76" s="214"/>
      <c r="I76" s="214"/>
      <c r="J76" s="214"/>
      <c r="K76" s="214"/>
      <c r="L76" s="214"/>
      <c r="M76" s="214"/>
      <c r="N76" s="214"/>
      <c r="O76" s="138"/>
      <c r="P76" s="137"/>
    </row>
    <row r="77" spans="1:16" ht="13.5" customHeight="1" thickBot="1">
      <c r="A77" s="867" t="str">
        <f>'BC1'!A78</f>
        <v>Frais bancaires</v>
      </c>
      <c r="B77" s="43"/>
      <c r="C77" s="144">
        <f>'FG5'!C85</f>
        <v>0</v>
      </c>
      <c r="D77" s="144">
        <f>'FG5'!D85</f>
        <v>0</v>
      </c>
      <c r="E77" s="144">
        <f>'FG5'!E85</f>
        <v>0</v>
      </c>
      <c r="F77" s="144">
        <f>'FG5'!F85</f>
        <v>0</v>
      </c>
      <c r="G77" s="144">
        <f>'FG5'!G85</f>
        <v>0</v>
      </c>
      <c r="H77" s="144">
        <f>'FG5'!H85</f>
        <v>0</v>
      </c>
      <c r="I77" s="144">
        <f>'FG5'!I85</f>
        <v>0</v>
      </c>
      <c r="J77" s="144">
        <f>'FG5'!J85</f>
        <v>0</v>
      </c>
      <c r="K77" s="144">
        <f>'FG5'!K85</f>
        <v>0</v>
      </c>
      <c r="L77" s="144">
        <f>'FG5'!L85</f>
        <v>0</v>
      </c>
      <c r="M77" s="144">
        <f>'FG5'!M85</f>
        <v>0</v>
      </c>
      <c r="N77" s="144">
        <f>'FG5'!N85</f>
        <v>0</v>
      </c>
      <c r="O77" s="136">
        <f t="shared" ref="O77:O82" si="8">SUM(C77:N77)</f>
        <v>0</v>
      </c>
      <c r="P77" s="137"/>
    </row>
    <row r="78" spans="1:16" ht="13.5" customHeight="1" thickBot="1">
      <c r="A78" s="867" t="str">
        <f>'BC1'!A79</f>
        <v>Frais de carte de crédit</v>
      </c>
      <c r="B78" s="43"/>
      <c r="C78" s="144">
        <f>'FG5'!C87</f>
        <v>0</v>
      </c>
      <c r="D78" s="144">
        <f>'FG5'!D87</f>
        <v>0</v>
      </c>
      <c r="E78" s="144">
        <f>'FG5'!E87</f>
        <v>0</v>
      </c>
      <c r="F78" s="144">
        <f>'FG5'!F87</f>
        <v>0</v>
      </c>
      <c r="G78" s="144">
        <f>'FG5'!G87</f>
        <v>0</v>
      </c>
      <c r="H78" s="144">
        <f>'FG5'!H87</f>
        <v>0</v>
      </c>
      <c r="I78" s="144">
        <f>'FG5'!I87</f>
        <v>0</v>
      </c>
      <c r="J78" s="144">
        <f>'FG5'!J87</f>
        <v>0</v>
      </c>
      <c r="K78" s="144">
        <f>'FG5'!K87</f>
        <v>0</v>
      </c>
      <c r="L78" s="144">
        <f>'FG5'!L87</f>
        <v>0</v>
      </c>
      <c r="M78" s="144">
        <f>'FG5'!M87</f>
        <v>0</v>
      </c>
      <c r="N78" s="144">
        <f>'FG5'!N87</f>
        <v>0</v>
      </c>
      <c r="O78" s="136">
        <f t="shared" si="8"/>
        <v>0</v>
      </c>
      <c r="P78" s="137"/>
    </row>
    <row r="79" spans="1:16" ht="13.5" customHeight="1" thickBot="1">
      <c r="A79" s="867" t="str">
        <f>'BC1'!A80</f>
        <v>Autres frais financiers 1</v>
      </c>
      <c r="B79" s="43"/>
      <c r="C79" s="144">
        <f>'FG5'!C89</f>
        <v>0</v>
      </c>
      <c r="D79" s="144">
        <f>'FG5'!D89</f>
        <v>0</v>
      </c>
      <c r="E79" s="144">
        <f>'FG5'!E89</f>
        <v>0</v>
      </c>
      <c r="F79" s="144">
        <f>'FG5'!F89</f>
        <v>0</v>
      </c>
      <c r="G79" s="144">
        <f>'FG5'!G89</f>
        <v>0</v>
      </c>
      <c r="H79" s="144">
        <f>'FG5'!H89</f>
        <v>0</v>
      </c>
      <c r="I79" s="144">
        <f>'FG5'!I89</f>
        <v>0</v>
      </c>
      <c r="J79" s="144">
        <f>'FG5'!J89</f>
        <v>0</v>
      </c>
      <c r="K79" s="144">
        <f>'FG5'!K89</f>
        <v>0</v>
      </c>
      <c r="L79" s="144">
        <f>'FG5'!L89</f>
        <v>0</v>
      </c>
      <c r="M79" s="144">
        <f>'FG5'!M89</f>
        <v>0</v>
      </c>
      <c r="N79" s="144">
        <f>'FG5'!N89</f>
        <v>0</v>
      </c>
      <c r="O79" s="136">
        <f t="shared" si="8"/>
        <v>0</v>
      </c>
      <c r="P79" s="137"/>
    </row>
    <row r="80" spans="1:16" ht="13.5" customHeight="1" thickBot="1">
      <c r="A80" s="867" t="str">
        <f>'BC1'!A81</f>
        <v>Autres frais financiers 2</v>
      </c>
      <c r="B80" s="43"/>
      <c r="C80" s="144">
        <f>'FG5'!C91</f>
        <v>0</v>
      </c>
      <c r="D80" s="144">
        <f>'FG5'!D91</f>
        <v>0</v>
      </c>
      <c r="E80" s="144">
        <f>'FG5'!E91</f>
        <v>0</v>
      </c>
      <c r="F80" s="144">
        <f>'FG5'!F91</f>
        <v>0</v>
      </c>
      <c r="G80" s="144">
        <f>'FG5'!G91</f>
        <v>0</v>
      </c>
      <c r="H80" s="144">
        <f>'FG5'!H91</f>
        <v>0</v>
      </c>
      <c r="I80" s="144">
        <f>'FG5'!I91</f>
        <v>0</v>
      </c>
      <c r="J80" s="144">
        <f>'FG5'!J91</f>
        <v>0</v>
      </c>
      <c r="K80" s="144">
        <f>'FG5'!K91</f>
        <v>0</v>
      </c>
      <c r="L80" s="144">
        <f>'FG5'!L91</f>
        <v>0</v>
      </c>
      <c r="M80" s="144">
        <f>'FG5'!M91</f>
        <v>0</v>
      </c>
      <c r="N80" s="144">
        <f>'FG5'!N91</f>
        <v>0</v>
      </c>
      <c r="O80" s="136">
        <f t="shared" si="8"/>
        <v>0</v>
      </c>
      <c r="P80" s="137"/>
    </row>
    <row r="81" spans="1:16" ht="13.5" customHeight="1" thickBot="1">
      <c r="A81" s="867" t="str">
        <f>'BC1'!A82</f>
        <v>Autres frais financiers 3</v>
      </c>
      <c r="B81" s="43"/>
      <c r="C81" s="144">
        <f>'FG5'!C93</f>
        <v>0</v>
      </c>
      <c r="D81" s="144">
        <f>'FG5'!D93</f>
        <v>0</v>
      </c>
      <c r="E81" s="144">
        <f>'FG5'!E93</f>
        <v>0</v>
      </c>
      <c r="F81" s="144">
        <f>'FG5'!F93</f>
        <v>0</v>
      </c>
      <c r="G81" s="144">
        <f>'FG5'!G93</f>
        <v>0</v>
      </c>
      <c r="H81" s="144">
        <f>'FG5'!H93</f>
        <v>0</v>
      </c>
      <c r="I81" s="144">
        <f>'FG5'!I93</f>
        <v>0</v>
      </c>
      <c r="J81" s="144">
        <f>'FG5'!J93</f>
        <v>0</v>
      </c>
      <c r="K81" s="144">
        <f>'FG5'!K93</f>
        <v>0</v>
      </c>
      <c r="L81" s="144">
        <f>'FG5'!L93</f>
        <v>0</v>
      </c>
      <c r="M81" s="144">
        <f>'FG5'!M93</f>
        <v>0</v>
      </c>
      <c r="N81" s="144">
        <f>'FG5'!N93</f>
        <v>0</v>
      </c>
      <c r="O81" s="136">
        <f t="shared" si="8"/>
        <v>0</v>
      </c>
      <c r="P81" s="137"/>
    </row>
    <row r="82" spans="1:16" ht="13.5" customHeight="1" thickBot="1">
      <c r="A82" s="867" t="str">
        <f>'BC1'!A83</f>
        <v>Autres frais financiers 4</v>
      </c>
      <c r="B82" s="43"/>
      <c r="C82" s="144">
        <f>'FG5'!C95</f>
        <v>0</v>
      </c>
      <c r="D82" s="144">
        <f>'FG5'!D95</f>
        <v>0</v>
      </c>
      <c r="E82" s="144">
        <f>'FG5'!E95</f>
        <v>0</v>
      </c>
      <c r="F82" s="144">
        <f>'FG5'!F95</f>
        <v>0</v>
      </c>
      <c r="G82" s="144">
        <f>'FG5'!G95</f>
        <v>0</v>
      </c>
      <c r="H82" s="144">
        <f>'FG5'!H95</f>
        <v>0</v>
      </c>
      <c r="I82" s="144">
        <f>'FG5'!I95</f>
        <v>0</v>
      </c>
      <c r="J82" s="144">
        <f>'FG5'!J95</f>
        <v>0</v>
      </c>
      <c r="K82" s="144">
        <f>'FG5'!K95</f>
        <v>0</v>
      </c>
      <c r="L82" s="144">
        <f>'FG5'!L95</f>
        <v>0</v>
      </c>
      <c r="M82" s="144">
        <f>'FG5'!M95</f>
        <v>0</v>
      </c>
      <c r="N82" s="144">
        <f>'FG5'!N95</f>
        <v>0</v>
      </c>
      <c r="O82" s="136">
        <f t="shared" si="8"/>
        <v>0</v>
      </c>
      <c r="P82" s="137"/>
    </row>
    <row r="83" spans="1:16" ht="13.5" customHeight="1">
      <c r="A83" s="867"/>
      <c r="B83" s="43"/>
      <c r="C83" s="214"/>
      <c r="D83" s="214"/>
      <c r="E83" s="214"/>
      <c r="F83" s="214"/>
      <c r="G83" s="214"/>
      <c r="H83" s="214"/>
      <c r="I83" s="214"/>
      <c r="J83" s="214"/>
      <c r="K83" s="214"/>
      <c r="L83" s="214"/>
      <c r="M83" s="214"/>
      <c r="N83" s="214"/>
      <c r="O83" s="138"/>
      <c r="P83" s="137"/>
    </row>
    <row r="84" spans="1:16" ht="13.5" customHeight="1" thickBot="1">
      <c r="A84" s="43"/>
      <c r="B84" s="43"/>
      <c r="C84" s="214"/>
      <c r="D84" s="214"/>
      <c r="E84" s="214"/>
      <c r="F84" s="214"/>
      <c r="G84" s="214"/>
      <c r="H84" s="214"/>
      <c r="I84" s="214"/>
      <c r="J84" s="214"/>
      <c r="K84" s="214"/>
      <c r="L84" s="214"/>
      <c r="M84" s="214"/>
      <c r="N84" s="214"/>
      <c r="O84" s="138"/>
    </row>
    <row r="85" spans="1:16" ht="13.5" customHeight="1" thickBot="1">
      <c r="A85" s="48" t="s">
        <v>722</v>
      </c>
      <c r="B85" s="48"/>
      <c r="C85" s="140">
        <f>SUM(C86:C119)</f>
        <v>377</v>
      </c>
      <c r="D85" s="140">
        <f t="shared" ref="D85:N85" si="9">SUM(D86:D119)</f>
        <v>378</v>
      </c>
      <c r="E85" s="140">
        <f t="shared" si="9"/>
        <v>377</v>
      </c>
      <c r="F85" s="140">
        <f t="shared" si="9"/>
        <v>378</v>
      </c>
      <c r="G85" s="140">
        <f t="shared" si="9"/>
        <v>377</v>
      </c>
      <c r="H85" s="140">
        <f t="shared" si="9"/>
        <v>378</v>
      </c>
      <c r="I85" s="140">
        <f t="shared" si="9"/>
        <v>377</v>
      </c>
      <c r="J85" s="140">
        <f t="shared" si="9"/>
        <v>378</v>
      </c>
      <c r="K85" s="140">
        <f t="shared" si="9"/>
        <v>377</v>
      </c>
      <c r="L85" s="140">
        <f t="shared" si="9"/>
        <v>378</v>
      </c>
      <c r="M85" s="140">
        <f t="shared" si="9"/>
        <v>377</v>
      </c>
      <c r="N85" s="140">
        <f t="shared" si="9"/>
        <v>378</v>
      </c>
      <c r="O85" s="217">
        <f>SUM(C85:N85)+0.01</f>
        <v>4530.01</v>
      </c>
      <c r="P85" s="117">
        <f>O87+O90+O93+O96+O99+O102+O105+O108+O111+O114+O117+O119</f>
        <v>120.0001</v>
      </c>
    </row>
    <row r="86" spans="1:16" s="143" customFormat="1" ht="13.5" customHeight="1" thickBot="1">
      <c r="A86" s="43" t="str">
        <f>CF!F35</f>
        <v>Billet à payer</v>
      </c>
      <c r="B86" s="65" t="s">
        <v>505</v>
      </c>
      <c r="C86" s="140">
        <f>VLOOKUP(C$13,BP!$A$25:$K$265,9)</f>
        <v>0</v>
      </c>
      <c r="D86" s="140">
        <f>VLOOKUP(D$13,BP!$A$25:$K$265,9)</f>
        <v>0</v>
      </c>
      <c r="E86" s="140">
        <f>VLOOKUP(E$13,BP!$A$25:$K$265,9)</f>
        <v>0</v>
      </c>
      <c r="F86" s="140">
        <f>VLOOKUP(F$13,BP!$A$25:$K$265,9)</f>
        <v>0</v>
      </c>
      <c r="G86" s="140">
        <f>VLOOKUP(G$13,BP!$A$25:$K$265,9)</f>
        <v>0</v>
      </c>
      <c r="H86" s="140">
        <f>VLOOKUP(H$13,BP!$A$25:$K$265,9)</f>
        <v>0</v>
      </c>
      <c r="I86" s="140">
        <f>VLOOKUP(I$13,BP!$A$25:$K$265,9)</f>
        <v>0</v>
      </c>
      <c r="J86" s="140">
        <f>VLOOKUP(J$13,BP!$A$25:$K$265,9)</f>
        <v>0</v>
      </c>
      <c r="K86" s="140">
        <f>VLOOKUP(K$13,BP!$A$25:$K$265,9)</f>
        <v>0</v>
      </c>
      <c r="L86" s="140">
        <f>VLOOKUP(L$13,BP!$A$25:$K$265,9)</f>
        <v>0</v>
      </c>
      <c r="M86" s="140">
        <f>VLOOKUP(M$13,BP!$A$25:$K$265,9)</f>
        <v>0</v>
      </c>
      <c r="N86" s="140">
        <f>VLOOKUP(N$13,BP!$A$25:$K$265,9)</f>
        <v>0</v>
      </c>
      <c r="O86" s="136">
        <f>SUM(C86:N86)</f>
        <v>0</v>
      </c>
    </row>
    <row r="87" spans="1:16" ht="13.5" customHeight="1" thickBot="1">
      <c r="A87" s="65"/>
      <c r="B87" s="65" t="s">
        <v>506</v>
      </c>
      <c r="C87" s="140">
        <f>VLOOKUP(C$13,BP!$A$25:$K$265,10)</f>
        <v>0</v>
      </c>
      <c r="D87" s="140">
        <f>VLOOKUP(D$13,BP!$A$25:$K$265,10)</f>
        <v>0</v>
      </c>
      <c r="E87" s="140">
        <f>VLOOKUP(E$13,BP!$A$25:$K$265,10)</f>
        <v>0</v>
      </c>
      <c r="F87" s="140">
        <f>VLOOKUP(F$13,BP!$A$25:$K$265,10)</f>
        <v>0</v>
      </c>
      <c r="G87" s="140">
        <f>VLOOKUP(G$13,BP!$A$25:$K$265,10)</f>
        <v>0</v>
      </c>
      <c r="H87" s="140">
        <f>VLOOKUP(H$13,BP!$A$25:$K$265,10)</f>
        <v>0</v>
      </c>
      <c r="I87" s="140">
        <f>VLOOKUP(I$13,BP!$A$25:$K$265,10)</f>
        <v>0</v>
      </c>
      <c r="J87" s="140">
        <f>VLOOKUP(J$13,BP!$A$25:$K$265,10)</f>
        <v>0</v>
      </c>
      <c r="K87" s="140">
        <f>VLOOKUP(K$13,BP!$A$25:$K$265,10)</f>
        <v>0</v>
      </c>
      <c r="L87" s="140">
        <f>VLOOKUP(L$13,BP!$A$25:$K$265,10)</f>
        <v>0</v>
      </c>
      <c r="M87" s="140">
        <f>VLOOKUP(M$13,BP!$A$25:$K$265,10)</f>
        <v>0</v>
      </c>
      <c r="N87" s="140">
        <f>VLOOKUP(N$13,BP!$A$25:$K$265,10)</f>
        <v>0</v>
      </c>
      <c r="O87" s="136">
        <f>SUM(C87:N87)</f>
        <v>0</v>
      </c>
    </row>
    <row r="88" spans="1:16" ht="13.5" customHeight="1" thickBot="1">
      <c r="A88" s="43"/>
      <c r="B88" s="149"/>
      <c r="C88" s="211"/>
      <c r="D88" s="211"/>
      <c r="E88" s="211"/>
      <c r="F88" s="211"/>
      <c r="G88" s="211"/>
      <c r="H88" s="211"/>
      <c r="I88" s="211"/>
      <c r="J88" s="211"/>
      <c r="K88" s="211"/>
      <c r="L88" s="211"/>
      <c r="M88" s="211"/>
      <c r="N88" s="211"/>
      <c r="O88" s="159">
        <v>0</v>
      </c>
    </row>
    <row r="89" spans="1:16" ht="13.5" customHeight="1" thickBot="1">
      <c r="A89" s="43" t="str">
        <f>CF!F36</f>
        <v>Emprunt à court terme 1</v>
      </c>
      <c r="B89" s="65" t="s">
        <v>505</v>
      </c>
      <c r="C89" s="140">
        <f>VLOOKUP(C$13,'ECT1'!$A$26:$O$265,14)</f>
        <v>0</v>
      </c>
      <c r="D89" s="140">
        <f>VLOOKUP(D$13,'ECT1'!$A$26:$O$265,14)</f>
        <v>0</v>
      </c>
      <c r="E89" s="140">
        <f>VLOOKUP(E$13,'ECT1'!$A$26:$O$265,14)</f>
        <v>0</v>
      </c>
      <c r="F89" s="140">
        <f>VLOOKUP(F$13,'ECT1'!$A$26:$O$265,14)</f>
        <v>0</v>
      </c>
      <c r="G89" s="140">
        <f>VLOOKUP(G$13,'ECT1'!$A$26:$O$265,14)</f>
        <v>0</v>
      </c>
      <c r="H89" s="140">
        <f>VLOOKUP(H$13,'ECT1'!$A$26:$O$265,14)</f>
        <v>0</v>
      </c>
      <c r="I89" s="140">
        <f>VLOOKUP(I$13,'ECT1'!$A$26:$O$265,14)</f>
        <v>0</v>
      </c>
      <c r="J89" s="140">
        <f>VLOOKUP(J$13,'ECT1'!$A$26:$O$265,14)</f>
        <v>0</v>
      </c>
      <c r="K89" s="140">
        <f>VLOOKUP(K$13,'ECT1'!$A$26:$O$265,14)</f>
        <v>0</v>
      </c>
      <c r="L89" s="140">
        <f>VLOOKUP(L$13,'ECT1'!$A$26:$O$265,14)</f>
        <v>0</v>
      </c>
      <c r="M89" s="140">
        <f>VLOOKUP(M$13,'ECT1'!$A$26:$O$265,14)</f>
        <v>0</v>
      </c>
      <c r="N89" s="140">
        <f>VLOOKUP(N$13,'ECT1'!$A$26:$O$265,14)</f>
        <v>0</v>
      </c>
      <c r="O89" s="136">
        <f>SUM(C89:N89)</f>
        <v>0</v>
      </c>
    </row>
    <row r="90" spans="1:16" ht="13.5" customHeight="1" thickBot="1">
      <c r="A90" s="65"/>
      <c r="B90" s="65" t="s">
        <v>506</v>
      </c>
      <c r="C90" s="140">
        <f>VLOOKUP(C$13,'ECT1'!$A$26:$O$265,15)</f>
        <v>0</v>
      </c>
      <c r="D90" s="140">
        <f>VLOOKUP(D$13,'ECT1'!$A$26:$O$265,15)</f>
        <v>0</v>
      </c>
      <c r="E90" s="140">
        <f>VLOOKUP(E$13,'ECT1'!$A$26:$O$265,15)</f>
        <v>0</v>
      </c>
      <c r="F90" s="140">
        <f>VLOOKUP(F$13,'ECT1'!$A$26:$O$265,15)</f>
        <v>0</v>
      </c>
      <c r="G90" s="140">
        <f>VLOOKUP(G$13,'ECT1'!$A$26:$O$265,15)</f>
        <v>0</v>
      </c>
      <c r="H90" s="140">
        <f>VLOOKUP(H$13,'ECT1'!$A$26:$O$265,15)</f>
        <v>0</v>
      </c>
      <c r="I90" s="140">
        <f>VLOOKUP(I$13,'ECT1'!$A$26:$O$265,15)</f>
        <v>0</v>
      </c>
      <c r="J90" s="140">
        <f>VLOOKUP(J$13,'ECT1'!$A$26:$O$265,15)</f>
        <v>0</v>
      </c>
      <c r="K90" s="140">
        <f>VLOOKUP(K$13,'ECT1'!$A$26:$O$265,15)</f>
        <v>0</v>
      </c>
      <c r="L90" s="140">
        <f>VLOOKUP(L$13,'ECT1'!$A$26:$O$265,15)</f>
        <v>0</v>
      </c>
      <c r="M90" s="140">
        <f>VLOOKUP(M$13,'ECT1'!$A$26:$O$265,15)</f>
        <v>0</v>
      </c>
      <c r="N90" s="140">
        <f>VLOOKUP(N$13,'ECT1'!$A$26:$O$265,15)</f>
        <v>0</v>
      </c>
      <c r="O90" s="136">
        <f>SUM(C90:N90)</f>
        <v>0</v>
      </c>
    </row>
    <row r="91" spans="1:16" ht="13.5" customHeight="1" thickBot="1">
      <c r="A91" s="43"/>
      <c r="B91" s="149"/>
      <c r="C91" s="211"/>
      <c r="D91" s="211"/>
      <c r="E91" s="211"/>
      <c r="F91" s="211"/>
      <c r="G91" s="211"/>
      <c r="H91" s="211"/>
      <c r="I91" s="211"/>
      <c r="J91" s="211"/>
      <c r="K91" s="211"/>
      <c r="L91" s="211"/>
      <c r="M91" s="211"/>
      <c r="N91" s="211"/>
      <c r="O91" s="159">
        <v>0</v>
      </c>
    </row>
    <row r="92" spans="1:16" ht="13.5" customHeight="1" thickBot="1">
      <c r="A92" s="43" t="str">
        <f>CF!F37</f>
        <v>Emprunt à court terme 2</v>
      </c>
      <c r="B92" s="65" t="s">
        <v>505</v>
      </c>
      <c r="C92" s="140">
        <f>VLOOKUP(C$13,'ECT2'!$A$26:$O$265,14)</f>
        <v>0</v>
      </c>
      <c r="D92" s="140">
        <f>VLOOKUP(D$13,'ECT2'!$A$26:$O$265,14)</f>
        <v>0</v>
      </c>
      <c r="E92" s="140">
        <f>VLOOKUP(E$13,'ECT2'!$A$26:$O$265,14)</f>
        <v>0</v>
      </c>
      <c r="F92" s="140">
        <f>VLOOKUP(F$13,'ECT2'!$A$26:$O$265,14)</f>
        <v>0</v>
      </c>
      <c r="G92" s="140">
        <f>VLOOKUP(G$13,'ECT2'!$A$26:$O$265,14)</f>
        <v>0</v>
      </c>
      <c r="H92" s="140">
        <f>VLOOKUP(H$13,'ECT2'!$A$26:$O$265,14)</f>
        <v>0</v>
      </c>
      <c r="I92" s="140">
        <f>VLOOKUP(I$13,'ECT2'!$A$26:$O$265,14)</f>
        <v>0</v>
      </c>
      <c r="J92" s="140">
        <f>VLOOKUP(J$13,'ECT2'!$A$26:$O$265,14)</f>
        <v>0</v>
      </c>
      <c r="K92" s="140">
        <f>VLOOKUP(K$13,'ECT2'!$A$26:$O$265,14)</f>
        <v>0</v>
      </c>
      <c r="L92" s="140">
        <f>VLOOKUP(L$13,'ECT2'!$A$26:$O$265,14)</f>
        <v>0</v>
      </c>
      <c r="M92" s="140">
        <f>VLOOKUP(M$13,'ECT2'!$A$26:$O$265,14)</f>
        <v>0</v>
      </c>
      <c r="N92" s="140">
        <f>VLOOKUP(N$13,'ECT2'!$A$26:$O$265,14)</f>
        <v>0</v>
      </c>
      <c r="O92" s="136">
        <f>SUM(C92:N92)</f>
        <v>0</v>
      </c>
    </row>
    <row r="93" spans="1:16" ht="13.5" customHeight="1" thickBot="1">
      <c r="A93" s="65"/>
      <c r="B93" s="65" t="s">
        <v>506</v>
      </c>
      <c r="C93" s="140">
        <f>VLOOKUP(C$13,'ECT2'!$A$26:$O$265,15)</f>
        <v>0</v>
      </c>
      <c r="D93" s="140">
        <f>VLOOKUP(D$13,'ECT2'!$A$26:$O$265,15)</f>
        <v>0</v>
      </c>
      <c r="E93" s="140">
        <f>VLOOKUP(E$13,'ECT2'!$A$26:$O$265,15)</f>
        <v>0</v>
      </c>
      <c r="F93" s="140">
        <f>VLOOKUP(F$13,'ECT2'!$A$26:$O$265,15)</f>
        <v>0</v>
      </c>
      <c r="G93" s="140">
        <f>VLOOKUP(G$13,'ECT2'!$A$26:$O$265,15)</f>
        <v>0</v>
      </c>
      <c r="H93" s="140">
        <f>VLOOKUP(H$13,'ECT2'!$A$26:$O$265,15)</f>
        <v>0</v>
      </c>
      <c r="I93" s="140">
        <f>VLOOKUP(I$13,'ECT2'!$A$26:$O$265,15)</f>
        <v>0</v>
      </c>
      <c r="J93" s="140">
        <f>VLOOKUP(J$13,'ECT2'!$A$26:$O$265,15)</f>
        <v>0</v>
      </c>
      <c r="K93" s="140">
        <f>VLOOKUP(K$13,'ECT2'!$A$26:$O$265,15)</f>
        <v>0</v>
      </c>
      <c r="L93" s="140">
        <f>VLOOKUP(L$13,'ECT2'!$A$26:$O$265,15)</f>
        <v>0</v>
      </c>
      <c r="M93" s="140">
        <f>VLOOKUP(M$13,'ECT2'!$A$26:$O$265,15)</f>
        <v>0</v>
      </c>
      <c r="N93" s="140">
        <f>VLOOKUP(N$13,'ECT2'!$A$26:$O$265,15)</f>
        <v>0</v>
      </c>
      <c r="O93" s="136">
        <f>SUM(C93:N93)</f>
        <v>0</v>
      </c>
    </row>
    <row r="94" spans="1:16" ht="13.5" customHeight="1" thickBot="1">
      <c r="A94" s="43"/>
      <c r="B94" s="149"/>
      <c r="C94" s="211"/>
      <c r="D94" s="211"/>
      <c r="E94" s="211"/>
      <c r="F94" s="211"/>
      <c r="G94" s="211"/>
      <c r="H94" s="211"/>
      <c r="I94" s="211"/>
      <c r="J94" s="211"/>
      <c r="K94" s="211"/>
      <c r="L94" s="211"/>
      <c r="M94" s="211"/>
      <c r="N94" s="211"/>
      <c r="O94" s="159">
        <v>0</v>
      </c>
    </row>
    <row r="95" spans="1:16" ht="13.5" customHeight="1" thickBot="1">
      <c r="A95" s="43" t="str">
        <f>CF!F40</f>
        <v>Emprunt hypothécaire</v>
      </c>
      <c r="B95" s="65" t="s">
        <v>505</v>
      </c>
      <c r="C95" s="140">
        <f>VLOOKUP(C$13,EH!$A$26:$O$265,14)</f>
        <v>0</v>
      </c>
      <c r="D95" s="140">
        <f>VLOOKUP(D$13,EH!$A$26:$O$265,14)</f>
        <v>0</v>
      </c>
      <c r="E95" s="140">
        <f>VLOOKUP(E$13,EH!$A$26:$O$265,14)</f>
        <v>0</v>
      </c>
      <c r="F95" s="140">
        <f>VLOOKUP(F$13,EH!$A$26:$O$265,14)</f>
        <v>0</v>
      </c>
      <c r="G95" s="140">
        <f>VLOOKUP(G$13,EH!$A$26:$O$265,14)</f>
        <v>0</v>
      </c>
      <c r="H95" s="140">
        <f>VLOOKUP(H$13,EH!$A$26:$O$265,14)</f>
        <v>0</v>
      </c>
      <c r="I95" s="140">
        <f>VLOOKUP(I$13,EH!$A$26:$O$265,14)</f>
        <v>0</v>
      </c>
      <c r="J95" s="140">
        <f>VLOOKUP(J$13,EH!$A$26:$O$265,14)</f>
        <v>0</v>
      </c>
      <c r="K95" s="140">
        <f>VLOOKUP(K$13,EH!$A$26:$O$265,14)</f>
        <v>0</v>
      </c>
      <c r="L95" s="140">
        <f>VLOOKUP(L$13,EH!$A$26:$O$265,14)</f>
        <v>0</v>
      </c>
      <c r="M95" s="140">
        <f>VLOOKUP(M$13,EH!$A$26:$O$265,14)</f>
        <v>0</v>
      </c>
      <c r="N95" s="140">
        <f>VLOOKUP(N$13,EH!$A$26:$O$265,14)</f>
        <v>0</v>
      </c>
      <c r="O95" s="136">
        <f>SUM(C95:N95)</f>
        <v>0</v>
      </c>
    </row>
    <row r="96" spans="1:16" ht="13.5" customHeight="1" thickBot="1">
      <c r="A96" s="65"/>
      <c r="B96" s="65" t="s">
        <v>506</v>
      </c>
      <c r="C96" s="140">
        <f>VLOOKUP(C$13,EH!$A$26:$O$265,15)</f>
        <v>0</v>
      </c>
      <c r="D96" s="140">
        <f>VLOOKUP(D$13,EH!$A$26:$O$265,15)</f>
        <v>0</v>
      </c>
      <c r="E96" s="140">
        <f>VLOOKUP(E$13,EH!$A$26:$O$265,15)</f>
        <v>0</v>
      </c>
      <c r="F96" s="140">
        <f>VLOOKUP(F$13,EH!$A$26:$O$265,15)</f>
        <v>0</v>
      </c>
      <c r="G96" s="140">
        <f>VLOOKUP(G$13,EH!$A$26:$O$265,15)</f>
        <v>0</v>
      </c>
      <c r="H96" s="140">
        <f>VLOOKUP(H$13,EH!$A$26:$O$265,15)</f>
        <v>0</v>
      </c>
      <c r="I96" s="140">
        <f>VLOOKUP(I$13,EH!$A$26:$O$265,15)</f>
        <v>0</v>
      </c>
      <c r="J96" s="140">
        <f>VLOOKUP(J$13,EH!$A$26:$O$265,15)</f>
        <v>0</v>
      </c>
      <c r="K96" s="140">
        <f>VLOOKUP(K$13,EH!$A$26:$O$265,15)</f>
        <v>0</v>
      </c>
      <c r="L96" s="140">
        <f>VLOOKUP(L$13,EH!$A$26:$O$265,15)</f>
        <v>0</v>
      </c>
      <c r="M96" s="140">
        <f>VLOOKUP(M$13,EH!$A$26:$O$265,15)</f>
        <v>0</v>
      </c>
      <c r="N96" s="140">
        <f>VLOOKUP(N$13,EH!$A$26:$O$265,15)</f>
        <v>0</v>
      </c>
      <c r="O96" s="136">
        <f>SUM(C96:N96)</f>
        <v>0</v>
      </c>
    </row>
    <row r="97" spans="1:15" ht="13.5" customHeight="1" thickBot="1">
      <c r="A97" s="43"/>
      <c r="B97" s="149"/>
      <c r="C97" s="211"/>
      <c r="D97" s="211"/>
      <c r="E97" s="211"/>
      <c r="F97" s="211"/>
      <c r="G97" s="211"/>
      <c r="H97" s="211"/>
      <c r="I97" s="211"/>
      <c r="J97" s="211"/>
      <c r="K97" s="211"/>
      <c r="L97" s="211"/>
      <c r="M97" s="211"/>
      <c r="N97" s="211"/>
      <c r="O97" s="159">
        <v>0</v>
      </c>
    </row>
    <row r="98" spans="1:15" ht="13.5" customHeight="1" thickBot="1">
      <c r="A98" s="43" t="str">
        <f>CF!F41</f>
        <v>Emprunt bancaire - Logiciel &amp; Site Web</v>
      </c>
      <c r="B98" s="65" t="s">
        <v>505</v>
      </c>
      <c r="C98" s="140">
        <f>VLOOKUP(C$13,'ELT1'!$A$26:$O$265,14)</f>
        <v>359</v>
      </c>
      <c r="D98" s="140">
        <f>VLOOKUP(D$13,'ELT1'!$A$26:$O$265,14)</f>
        <v>361</v>
      </c>
      <c r="E98" s="140">
        <f>VLOOKUP(E$13,'ELT1'!$A$26:$O$265,14)</f>
        <v>362</v>
      </c>
      <c r="F98" s="140">
        <f>VLOOKUP(F$13,'ELT1'!$A$26:$O$265,14)</f>
        <v>364</v>
      </c>
      <c r="G98" s="140">
        <f>VLOOKUP(G$13,'ELT1'!$A$26:$O$265,14)</f>
        <v>365</v>
      </c>
      <c r="H98" s="140">
        <f>VLOOKUP(H$13,'ELT1'!$A$26:$O$265,14)</f>
        <v>367</v>
      </c>
      <c r="I98" s="140">
        <f>VLOOKUP(I$13,'ELT1'!$A$26:$O$265,14)</f>
        <v>368</v>
      </c>
      <c r="J98" s="140">
        <f>VLOOKUP(J$13,'ELT1'!$A$26:$O$265,14)</f>
        <v>370</v>
      </c>
      <c r="K98" s="140">
        <f>VLOOKUP(K$13,'ELT1'!$A$26:$O$265,14)</f>
        <v>371</v>
      </c>
      <c r="L98" s="140">
        <f>VLOOKUP(L$13,'ELT1'!$A$26:$O$265,14)</f>
        <v>373</v>
      </c>
      <c r="M98" s="140">
        <f>VLOOKUP(M$13,'ELT1'!$A$26:$O$265,14)</f>
        <v>374</v>
      </c>
      <c r="N98" s="140">
        <f>VLOOKUP(N$13,'ELT1'!$A$26:$O$265,14)</f>
        <v>376</v>
      </c>
      <c r="O98" s="136">
        <f>SUM(C98:N98)</f>
        <v>4410</v>
      </c>
    </row>
    <row r="99" spans="1:15" ht="13.5" customHeight="1" thickBot="1">
      <c r="A99" s="65"/>
      <c r="B99" s="65" t="s">
        <v>506</v>
      </c>
      <c r="C99" s="140">
        <f>VLOOKUP(C$13,'ELT1'!$A$26:$O$265,15)</f>
        <v>18</v>
      </c>
      <c r="D99" s="140">
        <f>VLOOKUP(D$13,'ELT1'!$A$26:$O$265,15)</f>
        <v>17</v>
      </c>
      <c r="E99" s="140">
        <f>VLOOKUP(E$13,'ELT1'!$A$26:$O$265,15)</f>
        <v>15</v>
      </c>
      <c r="F99" s="140">
        <f>VLOOKUP(F$13,'ELT1'!$A$26:$O$265,15)</f>
        <v>14</v>
      </c>
      <c r="G99" s="140">
        <f>VLOOKUP(G$13,'ELT1'!$A$26:$O$265,15)</f>
        <v>12</v>
      </c>
      <c r="H99" s="140">
        <f>VLOOKUP(H$13,'ELT1'!$A$26:$O$265,15)</f>
        <v>11</v>
      </c>
      <c r="I99" s="140">
        <f>VLOOKUP(I$13,'ELT1'!$A$26:$O$265,15)</f>
        <v>9</v>
      </c>
      <c r="J99" s="140">
        <f>VLOOKUP(J$13,'ELT1'!$A$26:$O$265,15)</f>
        <v>8</v>
      </c>
      <c r="K99" s="140">
        <f>VLOOKUP(K$13,'ELT1'!$A$26:$O$265,15)</f>
        <v>6</v>
      </c>
      <c r="L99" s="140">
        <f>VLOOKUP(L$13,'ELT1'!$A$26:$O$265,15)</f>
        <v>5</v>
      </c>
      <c r="M99" s="140">
        <f>VLOOKUP(M$13,'ELT1'!$A$26:$O$265,15)</f>
        <v>3</v>
      </c>
      <c r="N99" s="140">
        <f>VLOOKUP(N$13,'ELT1'!$A$26:$O$265,15)</f>
        <v>2</v>
      </c>
      <c r="O99" s="136">
        <f>SUM(C99:N99)</f>
        <v>120</v>
      </c>
    </row>
    <row r="100" spans="1:15" ht="13.5" customHeight="1" thickBot="1">
      <c r="A100" s="43"/>
      <c r="B100" s="149"/>
      <c r="C100" s="211"/>
      <c r="D100" s="211"/>
      <c r="E100" s="211"/>
      <c r="F100" s="211"/>
      <c r="G100" s="211"/>
      <c r="H100" s="211"/>
      <c r="I100" s="211"/>
      <c r="J100" s="211"/>
      <c r="K100" s="211"/>
      <c r="L100" s="211"/>
      <c r="M100" s="211"/>
      <c r="N100" s="211"/>
      <c r="O100" s="159">
        <v>0</v>
      </c>
    </row>
    <row r="101" spans="1:15" ht="13.5" customHeight="1" thickBot="1">
      <c r="A101" s="43" t="str">
        <f>CF!F42</f>
        <v>Emprunt à long terme 2</v>
      </c>
      <c r="B101" s="65" t="s">
        <v>505</v>
      </c>
      <c r="C101" s="140">
        <f>VLOOKUP(C$13,'ELT2'!$A$26:$O$265,14)</f>
        <v>0</v>
      </c>
      <c r="D101" s="140">
        <f>VLOOKUP(D$13,'ELT2'!$A$26:$O$265,14)</f>
        <v>0</v>
      </c>
      <c r="E101" s="140">
        <f>VLOOKUP(E$13,'ELT2'!$A$26:$O$265,14)</f>
        <v>0</v>
      </c>
      <c r="F101" s="140">
        <f>VLOOKUP(F$13,'ELT2'!$A$26:$O$265,14)</f>
        <v>0</v>
      </c>
      <c r="G101" s="140">
        <f>VLOOKUP(G$13,'ELT2'!$A$26:$O$265,14)</f>
        <v>0</v>
      </c>
      <c r="H101" s="140">
        <f>VLOOKUP(H$13,'ELT2'!$A$26:$O$265,14)</f>
        <v>0</v>
      </c>
      <c r="I101" s="140">
        <f>VLOOKUP(I$13,'ELT2'!$A$26:$O$265,14)</f>
        <v>0</v>
      </c>
      <c r="J101" s="140">
        <f>VLOOKUP(J$13,'ELT2'!$A$26:$O$265,14)</f>
        <v>0</v>
      </c>
      <c r="K101" s="140">
        <f>VLOOKUP(K$13,'ELT2'!$A$26:$O$265,14)</f>
        <v>0</v>
      </c>
      <c r="L101" s="140">
        <f>VLOOKUP(L$13,'ELT2'!$A$26:$O$265,14)</f>
        <v>0</v>
      </c>
      <c r="M101" s="140">
        <f>VLOOKUP(M$13,'ELT2'!$A$26:$O$265,14)</f>
        <v>0</v>
      </c>
      <c r="N101" s="140">
        <f>VLOOKUP(N$13,'ELT2'!$A$26:$O$265,14)</f>
        <v>0</v>
      </c>
      <c r="O101" s="136">
        <f>SUM(C101:N101)</f>
        <v>0</v>
      </c>
    </row>
    <row r="102" spans="1:15" ht="13.5" customHeight="1" thickBot="1">
      <c r="A102" s="65"/>
      <c r="B102" s="65" t="s">
        <v>506</v>
      </c>
      <c r="C102" s="140">
        <f>VLOOKUP(C$13,'ELT2'!$A$26:$O$265,15)</f>
        <v>0</v>
      </c>
      <c r="D102" s="140">
        <f>VLOOKUP(D$13,'ELT2'!$A$26:$O$265,15)</f>
        <v>0</v>
      </c>
      <c r="E102" s="140">
        <f>VLOOKUP(E$13,'ELT2'!$A$26:$O$265,15)</f>
        <v>0</v>
      </c>
      <c r="F102" s="140">
        <f>VLOOKUP(F$13,'ELT2'!$A$26:$O$265,15)</f>
        <v>0</v>
      </c>
      <c r="G102" s="140">
        <f>VLOOKUP(G$13,'ELT2'!$A$26:$O$265,15)</f>
        <v>0</v>
      </c>
      <c r="H102" s="140">
        <f>VLOOKUP(H$13,'ELT2'!$A$26:$O$265,15)</f>
        <v>0</v>
      </c>
      <c r="I102" s="140">
        <f>VLOOKUP(I$13,'ELT2'!$A$26:$O$265,15)</f>
        <v>0</v>
      </c>
      <c r="J102" s="140">
        <f>VLOOKUP(J$13,'ELT2'!$A$26:$O$265,15)</f>
        <v>0</v>
      </c>
      <c r="K102" s="140">
        <f>VLOOKUP(K$13,'ELT2'!$A$26:$O$265,15)</f>
        <v>0</v>
      </c>
      <c r="L102" s="140">
        <f>VLOOKUP(L$13,'ELT2'!$A$26:$O$265,15)</f>
        <v>0</v>
      </c>
      <c r="M102" s="140">
        <f>VLOOKUP(M$13,'ELT2'!$A$26:$O$265,15)</f>
        <v>0</v>
      </c>
      <c r="N102" s="140">
        <f>VLOOKUP(N$13,'ELT2'!$A$26:$O$265,15)</f>
        <v>0</v>
      </c>
      <c r="O102" s="136">
        <f>SUM(C102:N102)</f>
        <v>0</v>
      </c>
    </row>
    <row r="103" spans="1:15" ht="13.5" customHeight="1" thickBot="1">
      <c r="A103" s="43"/>
      <c r="B103" s="149"/>
      <c r="C103" s="211"/>
      <c r="D103" s="211"/>
      <c r="E103" s="211"/>
      <c r="F103" s="211"/>
      <c r="G103" s="211"/>
      <c r="H103" s="211"/>
      <c r="I103" s="211"/>
      <c r="J103" s="211"/>
      <c r="K103" s="211"/>
      <c r="L103" s="211"/>
      <c r="M103" s="211"/>
      <c r="N103" s="211"/>
      <c r="O103" s="159">
        <v>0</v>
      </c>
    </row>
    <row r="104" spans="1:15" ht="13.5" customHeight="1" thickBot="1">
      <c r="A104" s="43" t="str">
        <f>CF!F43</f>
        <v>Emprunt à long terme 3</v>
      </c>
      <c r="B104" s="65" t="s">
        <v>505</v>
      </c>
      <c r="C104" s="140">
        <f>VLOOKUP(C$13,'ELT3'!$A$26:$O$265,14)</f>
        <v>0</v>
      </c>
      <c r="D104" s="140">
        <f>VLOOKUP(D$13,'ELT3'!$A$26:$O$265,14)</f>
        <v>0</v>
      </c>
      <c r="E104" s="140">
        <f>VLOOKUP(E$13,'ELT3'!$A$26:$O$265,14)</f>
        <v>0</v>
      </c>
      <c r="F104" s="140">
        <f>VLOOKUP(F$13,'ELT3'!$A$26:$O$265,14)</f>
        <v>0</v>
      </c>
      <c r="G104" s="140">
        <f>VLOOKUP(G$13,'ELT3'!$A$26:$O$265,14)</f>
        <v>0</v>
      </c>
      <c r="H104" s="140">
        <f>VLOOKUP(H$13,'ELT3'!$A$26:$O$265,14)</f>
        <v>0</v>
      </c>
      <c r="I104" s="140">
        <f>VLOOKUP(I$13,'ELT3'!$A$26:$O$265,14)</f>
        <v>0</v>
      </c>
      <c r="J104" s="140">
        <f>VLOOKUP(J$13,'ELT3'!$A$26:$O$265,14)</f>
        <v>0</v>
      </c>
      <c r="K104" s="140">
        <f>VLOOKUP(K$13,'ELT3'!$A$26:$O$265,14)</f>
        <v>0</v>
      </c>
      <c r="L104" s="140">
        <f>VLOOKUP(L$13,'ELT3'!$A$26:$O$265,14)</f>
        <v>0</v>
      </c>
      <c r="M104" s="140">
        <f>VLOOKUP(M$13,'ELT3'!$A$26:$O$265,14)</f>
        <v>0</v>
      </c>
      <c r="N104" s="140">
        <f>VLOOKUP(N$13,'ELT3'!$A$26:$O$265,14)</f>
        <v>0</v>
      </c>
      <c r="O104" s="136">
        <f>SUM(C104:N104)</f>
        <v>0</v>
      </c>
    </row>
    <row r="105" spans="1:15" ht="13.5" customHeight="1" thickBot="1">
      <c r="A105" s="65"/>
      <c r="B105" s="65" t="s">
        <v>506</v>
      </c>
      <c r="C105" s="140">
        <f>VLOOKUP(C$13,'ELT3'!$A$26:$O$265,15)</f>
        <v>0</v>
      </c>
      <c r="D105" s="140">
        <f>VLOOKUP(D$13,'ELT3'!$A$26:$O$265,15)</f>
        <v>0</v>
      </c>
      <c r="E105" s="140">
        <f>VLOOKUP(E$13,'ELT3'!$A$26:$O$265,15)</f>
        <v>0</v>
      </c>
      <c r="F105" s="140">
        <f>VLOOKUP(F$13,'ELT3'!$A$26:$O$265,15)</f>
        <v>0</v>
      </c>
      <c r="G105" s="140">
        <f>VLOOKUP(G$13,'ELT3'!$A$26:$O$265,15)</f>
        <v>0</v>
      </c>
      <c r="H105" s="140">
        <f>VLOOKUP(H$13,'ELT3'!$A$26:$O$265,15)</f>
        <v>0</v>
      </c>
      <c r="I105" s="140">
        <f>VLOOKUP(I$13,'ELT3'!$A$26:$O$265,15)</f>
        <v>0</v>
      </c>
      <c r="J105" s="140">
        <f>VLOOKUP(J$13,'ELT3'!$A$26:$O$265,15)</f>
        <v>0</v>
      </c>
      <c r="K105" s="140">
        <f>VLOOKUP(K$13,'ELT3'!$A$26:$O$265,15)</f>
        <v>0</v>
      </c>
      <c r="L105" s="140">
        <f>VLOOKUP(L$13,'ELT3'!$A$26:$O$265,15)</f>
        <v>0</v>
      </c>
      <c r="M105" s="140">
        <f>VLOOKUP(M$13,'ELT3'!$A$26:$O$265,15)</f>
        <v>0</v>
      </c>
      <c r="N105" s="140">
        <f>VLOOKUP(N$13,'ELT3'!$A$26:$O$265,15)</f>
        <v>0</v>
      </c>
      <c r="O105" s="136">
        <f>SUM(C105:N105)</f>
        <v>0</v>
      </c>
    </row>
    <row r="106" spans="1:15" ht="13.5" customHeight="1" thickBot="1">
      <c r="A106" s="43"/>
      <c r="B106" s="149"/>
      <c r="C106" s="211"/>
      <c r="D106" s="211"/>
      <c r="E106" s="211"/>
      <c r="F106" s="211"/>
      <c r="G106" s="211"/>
      <c r="H106" s="211"/>
      <c r="I106" s="211"/>
      <c r="J106" s="211"/>
      <c r="K106" s="211"/>
      <c r="L106" s="211"/>
      <c r="M106" s="211"/>
      <c r="N106" s="211"/>
      <c r="O106" s="159">
        <v>0</v>
      </c>
    </row>
    <row r="107" spans="1:15" ht="13.5" customHeight="1" thickBot="1">
      <c r="A107" s="43" t="str">
        <f>CF!F44</f>
        <v>Emprunt à long terme 4</v>
      </c>
      <c r="B107" s="65" t="s">
        <v>505</v>
      </c>
      <c r="C107" s="140">
        <f>VLOOKUP(C$13,'ELT4'!$A$26:$O$265,14)</f>
        <v>0</v>
      </c>
      <c r="D107" s="140">
        <f>VLOOKUP(D$13,'ELT4'!$A$26:$O$265,14)</f>
        <v>0</v>
      </c>
      <c r="E107" s="140">
        <f>VLOOKUP(E$13,'ELT4'!$A$26:$O$265,14)</f>
        <v>0</v>
      </c>
      <c r="F107" s="140">
        <f>VLOOKUP(F$13,'ELT4'!$A$26:$O$265,14)</f>
        <v>0</v>
      </c>
      <c r="G107" s="140">
        <f>VLOOKUP(G$13,'ELT4'!$A$26:$O$265,14)</f>
        <v>0</v>
      </c>
      <c r="H107" s="140">
        <f>VLOOKUP(H$13,'ELT4'!$A$26:$O$265,14)</f>
        <v>0</v>
      </c>
      <c r="I107" s="140">
        <f>VLOOKUP(I$13,'ELT4'!$A$26:$O$265,14)</f>
        <v>0</v>
      </c>
      <c r="J107" s="140">
        <f>VLOOKUP(J$13,'ELT4'!$A$26:$O$265,14)</f>
        <v>0</v>
      </c>
      <c r="K107" s="140">
        <f>VLOOKUP(K$13,'ELT4'!$A$26:$O$265,14)</f>
        <v>0</v>
      </c>
      <c r="L107" s="140">
        <f>VLOOKUP(L$13,'ELT4'!$A$26:$O$265,14)</f>
        <v>0</v>
      </c>
      <c r="M107" s="140">
        <f>VLOOKUP(M$13,'ELT4'!$A$26:$O$265,14)</f>
        <v>0</v>
      </c>
      <c r="N107" s="140">
        <f>VLOOKUP(N$13,'ELT4'!$A$26:$O$265,14)</f>
        <v>0</v>
      </c>
      <c r="O107" s="136">
        <f>SUM(C107:N107)</f>
        <v>0</v>
      </c>
    </row>
    <row r="108" spans="1:15" ht="13.5" customHeight="1" thickBot="1">
      <c r="A108" s="65"/>
      <c r="B108" s="65" t="s">
        <v>506</v>
      </c>
      <c r="C108" s="140">
        <f>VLOOKUP(C$13,'ELT4'!$A$26:$O$265,15)</f>
        <v>0</v>
      </c>
      <c r="D108" s="140">
        <f>VLOOKUP(D$13,'ELT4'!$A$26:$O$265,15)</f>
        <v>0</v>
      </c>
      <c r="E108" s="140">
        <f>VLOOKUP(E$13,'ELT4'!$A$26:$O$265,15)</f>
        <v>0</v>
      </c>
      <c r="F108" s="140">
        <f>VLOOKUP(F$13,'ELT4'!$A$26:$O$265,15)</f>
        <v>0</v>
      </c>
      <c r="G108" s="140">
        <f>VLOOKUP(G$13,'ELT4'!$A$26:$O$265,15)</f>
        <v>0</v>
      </c>
      <c r="H108" s="140">
        <f>VLOOKUP(H$13,'ELT4'!$A$26:$O$265,15)</f>
        <v>0</v>
      </c>
      <c r="I108" s="140">
        <f>VLOOKUP(I$13,'ELT4'!$A$26:$O$265,15)</f>
        <v>0</v>
      </c>
      <c r="J108" s="140">
        <f>VLOOKUP(J$13,'ELT4'!$A$26:$O$265,15)</f>
        <v>0</v>
      </c>
      <c r="K108" s="140">
        <f>VLOOKUP(K$13,'ELT4'!$A$26:$O$265,15)</f>
        <v>0</v>
      </c>
      <c r="L108" s="140">
        <f>VLOOKUP(L$13,'ELT4'!$A$26:$O$265,15)</f>
        <v>0</v>
      </c>
      <c r="M108" s="140">
        <f>VLOOKUP(M$13,'ELT4'!$A$26:$O$265,15)</f>
        <v>0</v>
      </c>
      <c r="N108" s="140">
        <f>VLOOKUP(N$13,'ELT4'!$A$26:$O$265,15)</f>
        <v>0</v>
      </c>
      <c r="O108" s="136">
        <f>SUM(C108:N108)</f>
        <v>0</v>
      </c>
    </row>
    <row r="109" spans="1:15" ht="13.5" customHeight="1" thickBot="1">
      <c r="A109" s="43"/>
      <c r="B109" s="149"/>
      <c r="C109" s="211"/>
      <c r="D109" s="211"/>
      <c r="E109" s="211"/>
      <c r="F109" s="211"/>
      <c r="G109" s="211"/>
      <c r="H109" s="211"/>
      <c r="I109" s="211"/>
      <c r="J109" s="211"/>
      <c r="K109" s="211"/>
      <c r="L109" s="211"/>
      <c r="M109" s="211"/>
      <c r="N109" s="211"/>
      <c r="O109" s="159">
        <v>0</v>
      </c>
    </row>
    <row r="110" spans="1:15" ht="13.5" customHeight="1" thickBot="1">
      <c r="A110" s="43" t="str">
        <f>CF!F45</f>
        <v>Emprunt à long terme 5</v>
      </c>
      <c r="B110" s="65" t="s">
        <v>505</v>
      </c>
      <c r="C110" s="140">
        <f>VLOOKUP(C$13,'ELT5'!$A$26:$O$265,14)</f>
        <v>0</v>
      </c>
      <c r="D110" s="140">
        <f>VLOOKUP(D$13,'ELT5'!$A$26:$O$265,14)</f>
        <v>0</v>
      </c>
      <c r="E110" s="140">
        <f>VLOOKUP(E$13,'ELT5'!$A$26:$O$265,14)</f>
        <v>0</v>
      </c>
      <c r="F110" s="140">
        <f>VLOOKUP(F$13,'ELT5'!$A$26:$O$265,14)</f>
        <v>0</v>
      </c>
      <c r="G110" s="140">
        <f>VLOOKUP(G$13,'ELT5'!$A$26:$O$265,14)</f>
        <v>0</v>
      </c>
      <c r="H110" s="140">
        <f>VLOOKUP(H$13,'ELT5'!$A$26:$O$265,14)</f>
        <v>0</v>
      </c>
      <c r="I110" s="140">
        <f>VLOOKUP(I$13,'ELT5'!$A$26:$O$265,14)</f>
        <v>0</v>
      </c>
      <c r="J110" s="140">
        <f>VLOOKUP(J$13,'ELT5'!$A$26:$O$265,14)</f>
        <v>0</v>
      </c>
      <c r="K110" s="140">
        <f>VLOOKUP(K$13,'ELT5'!$A$26:$O$265,14)</f>
        <v>0</v>
      </c>
      <c r="L110" s="140">
        <f>VLOOKUP(L$13,'ELT5'!$A$26:$O$265,14)</f>
        <v>0</v>
      </c>
      <c r="M110" s="140">
        <f>VLOOKUP(M$13,'ELT5'!$A$26:$O$265,14)</f>
        <v>0</v>
      </c>
      <c r="N110" s="140">
        <f>VLOOKUP(N$13,'ELT5'!$A$26:$O$265,14)</f>
        <v>0</v>
      </c>
      <c r="O110" s="136">
        <f>SUM(C110:N110)</f>
        <v>0</v>
      </c>
    </row>
    <row r="111" spans="1:15" ht="13.5" customHeight="1" thickBot="1">
      <c r="A111" s="65"/>
      <c r="B111" s="65" t="s">
        <v>506</v>
      </c>
      <c r="C111" s="140">
        <f>VLOOKUP(C$13,'ELT5'!$A$26:$O$265,15)</f>
        <v>0</v>
      </c>
      <c r="D111" s="140">
        <f>VLOOKUP(D$13,'ELT5'!$A$26:$O$265,15)</f>
        <v>0</v>
      </c>
      <c r="E111" s="140">
        <f>VLOOKUP(E$13,'ELT5'!$A$26:$O$265,15)</f>
        <v>0</v>
      </c>
      <c r="F111" s="140">
        <f>VLOOKUP(F$13,'ELT5'!$A$26:$O$265,15)</f>
        <v>0</v>
      </c>
      <c r="G111" s="140">
        <f>VLOOKUP(G$13,'ELT5'!$A$26:$O$265,15)</f>
        <v>0</v>
      </c>
      <c r="H111" s="140">
        <f>VLOOKUP(H$13,'ELT5'!$A$26:$O$265,15)</f>
        <v>0</v>
      </c>
      <c r="I111" s="140">
        <f>VLOOKUP(I$13,'ELT5'!$A$26:$O$265,15)</f>
        <v>0</v>
      </c>
      <c r="J111" s="140">
        <f>VLOOKUP(J$13,'ELT5'!$A$26:$O$265,15)</f>
        <v>0</v>
      </c>
      <c r="K111" s="140">
        <f>VLOOKUP(K$13,'ELT5'!$A$26:$O$265,15)</f>
        <v>0</v>
      </c>
      <c r="L111" s="140">
        <f>VLOOKUP(L$13,'ELT5'!$A$26:$O$265,15)</f>
        <v>0</v>
      </c>
      <c r="M111" s="140">
        <f>VLOOKUP(M$13,'ELT5'!$A$26:$O$265,15)</f>
        <v>0</v>
      </c>
      <c r="N111" s="140">
        <f>VLOOKUP(N$13,'ELT5'!$A$26:$O$265,15)</f>
        <v>0</v>
      </c>
      <c r="O111" s="136">
        <f>SUM(C111:N111)</f>
        <v>0</v>
      </c>
    </row>
    <row r="112" spans="1:15" ht="13.5" customHeight="1" thickBot="1">
      <c r="A112" s="43"/>
      <c r="B112" s="149"/>
      <c r="C112" s="211"/>
      <c r="D112" s="211"/>
      <c r="E112" s="211"/>
      <c r="F112" s="211"/>
      <c r="G112" s="211"/>
      <c r="H112" s="211"/>
      <c r="I112" s="211"/>
      <c r="J112" s="211"/>
      <c r="K112" s="211"/>
      <c r="L112" s="211"/>
      <c r="M112" s="211"/>
      <c r="N112" s="211"/>
      <c r="O112" s="159">
        <v>0</v>
      </c>
    </row>
    <row r="113" spans="1:18" ht="13.5" customHeight="1" thickBot="1">
      <c r="A113" s="43" t="str">
        <f>CF!F46</f>
        <v>Emprunt à long terme 6</v>
      </c>
      <c r="B113" s="65" t="s">
        <v>505</v>
      </c>
      <c r="C113" s="140">
        <f>VLOOKUP(C$13,'ELT6'!$A$26:$O$265,14)</f>
        <v>0</v>
      </c>
      <c r="D113" s="140">
        <f>VLOOKUP(D$13,'ELT6'!$A$26:$O$265,14)</f>
        <v>0</v>
      </c>
      <c r="E113" s="140">
        <f>VLOOKUP(E$13,'ELT6'!$A$26:$O$265,14)</f>
        <v>0</v>
      </c>
      <c r="F113" s="140">
        <f>VLOOKUP(F$13,'ELT6'!$A$26:$O$265,14)</f>
        <v>0</v>
      </c>
      <c r="G113" s="140">
        <f>VLOOKUP(G$13,'ELT6'!$A$26:$O$265,14)</f>
        <v>0</v>
      </c>
      <c r="H113" s="140">
        <f>VLOOKUP(H$13,'ELT6'!$A$26:$O$265,14)</f>
        <v>0</v>
      </c>
      <c r="I113" s="140">
        <f>VLOOKUP(I$13,'ELT6'!$A$26:$O$265,14)</f>
        <v>0</v>
      </c>
      <c r="J113" s="140">
        <f>VLOOKUP(J$13,'ELT6'!$A$26:$O$265,14)</f>
        <v>0</v>
      </c>
      <c r="K113" s="140">
        <f>VLOOKUP(K$13,'ELT6'!$A$26:$O$265,14)</f>
        <v>0</v>
      </c>
      <c r="L113" s="140">
        <f>VLOOKUP(L$13,'ELT6'!$A$26:$O$265,14)</f>
        <v>0</v>
      </c>
      <c r="M113" s="140">
        <f>VLOOKUP(M$13,'ELT6'!$A$26:$O$265,14)</f>
        <v>0</v>
      </c>
      <c r="N113" s="140">
        <f>VLOOKUP(N$13,'ELT6'!$A$26:$O$265,14)</f>
        <v>0</v>
      </c>
      <c r="O113" s="136">
        <f>SUM(C113:N113)</f>
        <v>0</v>
      </c>
    </row>
    <row r="114" spans="1:18" ht="13.5" customHeight="1" thickBot="1">
      <c r="A114" s="65"/>
      <c r="B114" s="65" t="s">
        <v>506</v>
      </c>
      <c r="C114" s="140">
        <f>VLOOKUP(C$13,'ELT6'!$A$26:$O$265,15)</f>
        <v>0</v>
      </c>
      <c r="D114" s="140">
        <f>VLOOKUP(D$13,'ELT6'!$A$26:$O$265,15)</f>
        <v>0</v>
      </c>
      <c r="E114" s="140">
        <f>VLOOKUP(E$13,'ELT6'!$A$26:$O$265,15)</f>
        <v>0</v>
      </c>
      <c r="F114" s="140">
        <f>VLOOKUP(F$13,'ELT6'!$A$26:$O$265,15)</f>
        <v>0</v>
      </c>
      <c r="G114" s="140">
        <f>VLOOKUP(G$13,'ELT6'!$A$26:$O$265,15)</f>
        <v>0</v>
      </c>
      <c r="H114" s="140">
        <f>VLOOKUP(H$13,'ELT6'!$A$26:$O$265,15)</f>
        <v>0</v>
      </c>
      <c r="I114" s="140">
        <f>VLOOKUP(I$13,'ELT6'!$A$26:$O$265,15)</f>
        <v>0</v>
      </c>
      <c r="J114" s="140">
        <f>VLOOKUP(J$13,'ELT6'!$A$26:$O$265,15)</f>
        <v>0</v>
      </c>
      <c r="K114" s="140">
        <f>VLOOKUP(K$13,'ELT6'!$A$26:$O$265,15)</f>
        <v>0</v>
      </c>
      <c r="L114" s="140">
        <f>VLOOKUP(L$13,'ELT6'!$A$26:$O$265,15)</f>
        <v>0</v>
      </c>
      <c r="M114" s="140">
        <f>VLOOKUP(M$13,'ELT6'!$A$26:$O$265,15)</f>
        <v>0</v>
      </c>
      <c r="N114" s="140">
        <f>VLOOKUP(N$13,'ELT6'!$A$26:$O$265,15)</f>
        <v>0</v>
      </c>
      <c r="O114" s="136">
        <f>SUM(C114:N114)</f>
        <v>0</v>
      </c>
    </row>
    <row r="115" spans="1:18" ht="13.5" customHeight="1" thickBot="1">
      <c r="A115" s="43"/>
      <c r="B115" s="149"/>
      <c r="C115" s="211"/>
      <c r="D115" s="211"/>
      <c r="E115" s="211"/>
      <c r="F115" s="211"/>
      <c r="G115" s="211"/>
      <c r="H115" s="211"/>
      <c r="I115" s="211"/>
      <c r="J115" s="211"/>
      <c r="K115" s="211"/>
      <c r="L115" s="211"/>
      <c r="M115" s="211"/>
      <c r="N115" s="211"/>
      <c r="O115" s="159">
        <v>0</v>
      </c>
    </row>
    <row r="116" spans="1:18" ht="13.5" customHeight="1" thickBot="1">
      <c r="A116" s="43" t="str">
        <f>CF!F47</f>
        <v>Emprunt à long terme 7</v>
      </c>
      <c r="B116" s="65" t="s">
        <v>505</v>
      </c>
      <c r="C116" s="140">
        <f>VLOOKUP(C$13,'ELT7'!$A$26:$O$265,14)</f>
        <v>0</v>
      </c>
      <c r="D116" s="140">
        <f>VLOOKUP(D$13,'ELT7'!$A$26:$O$265,14)</f>
        <v>0</v>
      </c>
      <c r="E116" s="140">
        <f>VLOOKUP(E$13,'ELT7'!$A$26:$O$265,14)</f>
        <v>0</v>
      </c>
      <c r="F116" s="140">
        <f>VLOOKUP(F$13,'ELT7'!$A$26:$O$265,14)</f>
        <v>0</v>
      </c>
      <c r="G116" s="140">
        <f>VLOOKUP(G$13,'ELT7'!$A$26:$O$265,14)</f>
        <v>0</v>
      </c>
      <c r="H116" s="140">
        <f>VLOOKUP(H$13,'ELT7'!$A$26:$O$265,14)</f>
        <v>0</v>
      </c>
      <c r="I116" s="140">
        <f>VLOOKUP(I$13,'ELT7'!$A$26:$O$265,14)</f>
        <v>0</v>
      </c>
      <c r="J116" s="140">
        <f>VLOOKUP(J$13,'ELT7'!$A$26:$O$265,14)</f>
        <v>0</v>
      </c>
      <c r="K116" s="140">
        <f>VLOOKUP(K$13,'ELT7'!$A$26:$O$265,14)</f>
        <v>0</v>
      </c>
      <c r="L116" s="140">
        <f>VLOOKUP(L$13,'ELT7'!$A$26:$O$265,14)</f>
        <v>0</v>
      </c>
      <c r="M116" s="140">
        <f>VLOOKUP(M$13,'ELT7'!$A$26:$O$265,14)</f>
        <v>0</v>
      </c>
      <c r="N116" s="140">
        <f>VLOOKUP(N$13,'ELT7'!$A$26:$O$265,14)</f>
        <v>0</v>
      </c>
      <c r="O116" s="136">
        <f>SUM(C116:N116)</f>
        <v>0</v>
      </c>
    </row>
    <row r="117" spans="1:18" ht="13.5" customHeight="1" thickBot="1">
      <c r="A117" s="65"/>
      <c r="B117" s="65" t="s">
        <v>506</v>
      </c>
      <c r="C117" s="140">
        <f>VLOOKUP(C$13,'ELT7'!$A$26:$O$265,15)</f>
        <v>0</v>
      </c>
      <c r="D117" s="140">
        <f>VLOOKUP(D$13,'ELT7'!$A$26:$O$265,15)</f>
        <v>0</v>
      </c>
      <c r="E117" s="140">
        <f>VLOOKUP(E$13,'ELT7'!$A$26:$O$265,15)</f>
        <v>0</v>
      </c>
      <c r="F117" s="140">
        <f>VLOOKUP(F$13,'ELT7'!$A$26:$O$265,15)</f>
        <v>0</v>
      </c>
      <c r="G117" s="140">
        <f>VLOOKUP(G$13,'ELT7'!$A$26:$O$265,15)</f>
        <v>0</v>
      </c>
      <c r="H117" s="140">
        <f>VLOOKUP(H$13,'ELT7'!$A$26:$O$265,15)</f>
        <v>0</v>
      </c>
      <c r="I117" s="140">
        <f>VLOOKUP(I$13,'ELT7'!$A$26:$O$265,15)</f>
        <v>0</v>
      </c>
      <c r="J117" s="140">
        <f>VLOOKUP(J$13,'ELT7'!$A$26:$O$265,15)</f>
        <v>0</v>
      </c>
      <c r="K117" s="140">
        <f>VLOOKUP(K$13,'ELT7'!$A$26:$O$265,15)</f>
        <v>0</v>
      </c>
      <c r="L117" s="140">
        <f>VLOOKUP(L$13,'ELT7'!$A$26:$O$265,15)</f>
        <v>0</v>
      </c>
      <c r="M117" s="140">
        <f>VLOOKUP(M$13,'ELT7'!$A$26:$O$265,15)</f>
        <v>0</v>
      </c>
      <c r="N117" s="791">
        <f>VLOOKUP(N$13,'ELT7'!$A$26:$O$265,15)</f>
        <v>0</v>
      </c>
      <c r="O117" s="136">
        <f>SUM(C117:N117)</f>
        <v>0</v>
      </c>
    </row>
    <row r="118" spans="1:18" ht="13.5" customHeight="1" thickBot="1">
      <c r="A118" s="65"/>
      <c r="B118" s="65"/>
      <c r="C118" s="211"/>
      <c r="D118" s="211"/>
      <c r="E118" s="211"/>
      <c r="F118" s="211"/>
      <c r="G118" s="211"/>
      <c r="H118" s="211"/>
      <c r="I118" s="211"/>
      <c r="J118" s="211"/>
      <c r="K118" s="211"/>
      <c r="L118" s="211"/>
      <c r="M118" s="211"/>
      <c r="N118" s="211"/>
      <c r="O118" s="138"/>
    </row>
    <row r="119" spans="1:18" ht="13.5" customHeight="1" thickBot="1">
      <c r="A119" s="867" t="s">
        <v>337</v>
      </c>
      <c r="B119" s="48"/>
      <c r="C119" s="133">
        <f>IF('BC4'!O142&gt;0,'BC4'!O142*C131,0)</f>
        <v>0</v>
      </c>
      <c r="D119" s="133">
        <f>IF(C142&gt;0,C142*D131,0)</f>
        <v>0</v>
      </c>
      <c r="E119" s="133">
        <f t="shared" ref="E119:N119" si="10">IF(D142&gt;0,D142*E131,0)</f>
        <v>0</v>
      </c>
      <c r="F119" s="133">
        <f t="shared" si="10"/>
        <v>0</v>
      </c>
      <c r="G119" s="133">
        <f t="shared" si="10"/>
        <v>0</v>
      </c>
      <c r="H119" s="133">
        <f t="shared" si="10"/>
        <v>0</v>
      </c>
      <c r="I119" s="133">
        <f t="shared" si="10"/>
        <v>0</v>
      </c>
      <c r="J119" s="133">
        <f t="shared" si="10"/>
        <v>0</v>
      </c>
      <c r="K119" s="133">
        <f t="shared" si="10"/>
        <v>0</v>
      </c>
      <c r="L119" s="133">
        <f t="shared" si="10"/>
        <v>0</v>
      </c>
      <c r="M119" s="133">
        <f t="shared" si="10"/>
        <v>0</v>
      </c>
      <c r="N119" s="133">
        <f t="shared" si="10"/>
        <v>0</v>
      </c>
      <c r="O119" s="136">
        <f>SUM(C119:N119)+(0.0001)</f>
        <v>1E-4</v>
      </c>
    </row>
    <row r="120" spans="1:18" ht="13.5" customHeight="1">
      <c r="A120" s="65"/>
      <c r="B120" s="65"/>
      <c r="C120" s="211"/>
      <c r="D120" s="211"/>
      <c r="E120" s="211"/>
      <c r="F120" s="211"/>
      <c r="G120" s="211"/>
      <c r="H120" s="211"/>
      <c r="I120" s="211"/>
      <c r="J120" s="211"/>
      <c r="K120" s="211"/>
      <c r="L120" s="211"/>
      <c r="M120" s="211"/>
      <c r="N120" s="211"/>
      <c r="O120" s="138"/>
    </row>
    <row r="121" spans="1:18" ht="13.5" customHeight="1" thickBot="1">
      <c r="A121" s="43"/>
      <c r="B121" s="43"/>
      <c r="C121" s="790"/>
      <c r="D121" s="790"/>
      <c r="E121" s="790"/>
      <c r="F121" s="790"/>
      <c r="G121" s="790"/>
      <c r="H121" s="790"/>
      <c r="I121" s="790"/>
      <c r="J121" s="790"/>
      <c r="K121" s="790"/>
      <c r="L121" s="790"/>
      <c r="M121" s="790"/>
      <c r="N121" s="790"/>
      <c r="O121" s="159">
        <v>0</v>
      </c>
    </row>
    <row r="122" spans="1:18" ht="13.5" customHeight="1" thickBot="1">
      <c r="A122" s="48" t="str">
        <f>'BC1'!A124</f>
        <v>Acquisitions d'immobilisations</v>
      </c>
      <c r="B122" s="48"/>
      <c r="C122" s="133">
        <f>'FG5'!C101</f>
        <v>0</v>
      </c>
      <c r="D122" s="133">
        <f>'FG5'!D101</f>
        <v>0</v>
      </c>
      <c r="E122" s="133">
        <f>'FG5'!E101</f>
        <v>0</v>
      </c>
      <c r="F122" s="133">
        <f>'FG5'!F101</f>
        <v>0</v>
      </c>
      <c r="G122" s="133">
        <f>'FG5'!G101</f>
        <v>0</v>
      </c>
      <c r="H122" s="133">
        <f>'FG5'!H101</f>
        <v>0</v>
      </c>
      <c r="I122" s="133">
        <f>'FG5'!I101</f>
        <v>0</v>
      </c>
      <c r="J122" s="133">
        <f>'FG5'!J101</f>
        <v>0</v>
      </c>
      <c r="K122" s="133">
        <f>'FG5'!K101</f>
        <v>0</v>
      </c>
      <c r="L122" s="133">
        <f>'FG5'!L101</f>
        <v>0</v>
      </c>
      <c r="M122" s="133">
        <f>'FG5'!M101</f>
        <v>0</v>
      </c>
      <c r="N122" s="134">
        <f>'FG5'!N101</f>
        <v>0</v>
      </c>
      <c r="O122" s="136">
        <f>SUM(C122:N122)</f>
        <v>0</v>
      </c>
    </row>
    <row r="123" spans="1:18" ht="13.5" customHeight="1" thickBot="1">
      <c r="A123" s="43"/>
      <c r="B123" s="43"/>
      <c r="C123" s="150"/>
      <c r="D123" s="150"/>
      <c r="E123" s="150"/>
      <c r="F123" s="150"/>
      <c r="G123" s="150"/>
      <c r="H123" s="150"/>
      <c r="I123" s="150"/>
      <c r="J123" s="150"/>
      <c r="K123" s="150"/>
      <c r="L123" s="150"/>
      <c r="M123" s="150"/>
      <c r="N123" s="150"/>
      <c r="O123" s="159">
        <v>0</v>
      </c>
    </row>
    <row r="124" spans="1:18" ht="13.5" customHeight="1" thickBot="1">
      <c r="A124" s="48" t="str">
        <f>'BC1'!A128</f>
        <v>Dividendes versés</v>
      </c>
      <c r="B124" s="48"/>
      <c r="C124" s="133">
        <f>'FG5'!C103</f>
        <v>0</v>
      </c>
      <c r="D124" s="133">
        <f>'FG5'!D103</f>
        <v>0</v>
      </c>
      <c r="E124" s="133">
        <f>'FG5'!E103</f>
        <v>0</v>
      </c>
      <c r="F124" s="133">
        <f>'FG5'!F103</f>
        <v>0</v>
      </c>
      <c r="G124" s="133">
        <f>'FG5'!G103</f>
        <v>0</v>
      </c>
      <c r="H124" s="133">
        <f>'FG5'!H103</f>
        <v>0</v>
      </c>
      <c r="I124" s="133">
        <f>'FG5'!I103</f>
        <v>0</v>
      </c>
      <c r="J124" s="133">
        <f>'FG5'!J103</f>
        <v>0</v>
      </c>
      <c r="K124" s="133">
        <f>'FG5'!K103</f>
        <v>0</v>
      </c>
      <c r="L124" s="133">
        <f>'FG5'!L103</f>
        <v>0</v>
      </c>
      <c r="M124" s="133">
        <f>'FG5'!M103</f>
        <v>0</v>
      </c>
      <c r="N124" s="134">
        <f>'FG5'!N103</f>
        <v>0</v>
      </c>
      <c r="O124" s="136">
        <f>SUM(C124:N124)</f>
        <v>0</v>
      </c>
    </row>
    <row r="125" spans="1:18" ht="13.5" customHeight="1" thickBot="1">
      <c r="A125" s="43"/>
      <c r="B125" s="43"/>
      <c r="C125" s="150"/>
      <c r="D125" s="150"/>
      <c r="E125" s="150"/>
      <c r="F125" s="150"/>
      <c r="G125" s="150"/>
      <c r="H125" s="150"/>
      <c r="I125" s="150"/>
      <c r="J125" s="150"/>
      <c r="K125" s="150"/>
      <c r="L125" s="150"/>
      <c r="M125" s="150"/>
      <c r="N125" s="150"/>
      <c r="O125" s="159">
        <v>0</v>
      </c>
    </row>
    <row r="126" spans="1:18" ht="13.5" thickBot="1">
      <c r="A126" s="48" t="s">
        <v>923</v>
      </c>
      <c r="B126" s="48"/>
      <c r="C126" s="552"/>
      <c r="D126" s="895">
        <f>-ER!I98+ER!G98-'BC4'!E129-'BC4'!H129-'BC4'!K129-'BC4'!N129</f>
        <v>0</v>
      </c>
      <c r="E126" s="552">
        <f>IF(ER!$I$98&lt;0,MROUND(-ER!$I$98/4,1),0)</f>
        <v>0</v>
      </c>
      <c r="F126" s="552"/>
      <c r="G126" s="552"/>
      <c r="H126" s="552">
        <f>IF(ER!$I$98&lt;0,MROUND(-ER!$I$98/4,1),0)</f>
        <v>0</v>
      </c>
      <c r="I126" s="552"/>
      <c r="J126" s="552"/>
      <c r="K126" s="552">
        <f>IF(ER!$I$98&lt;0,MROUND(-ER!$I$98/4,1),0)</f>
        <v>0</v>
      </c>
      <c r="L126" s="552"/>
      <c r="M126" s="552"/>
      <c r="N126" s="552">
        <f>IF(ER!$I$98&lt;0,MROUND(-ER!$I$98/4,1),0)</f>
        <v>0</v>
      </c>
      <c r="O126" s="136">
        <f>SUM(C126:N126)</f>
        <v>0</v>
      </c>
      <c r="P126" s="137"/>
    </row>
    <row r="127" spans="1:18" ht="13.5" customHeight="1" thickBot="1">
      <c r="A127" s="43"/>
      <c r="B127" s="43"/>
      <c r="C127" s="148"/>
      <c r="D127" s="148"/>
      <c r="E127" s="148"/>
      <c r="F127" s="148"/>
      <c r="G127" s="148"/>
      <c r="H127" s="148"/>
      <c r="I127" s="148"/>
      <c r="J127" s="148"/>
      <c r="K127" s="148"/>
      <c r="L127" s="148"/>
      <c r="M127" s="148"/>
      <c r="N127" s="148"/>
      <c r="O127" s="159">
        <v>0</v>
      </c>
    </row>
    <row r="128" spans="1:18" ht="13.5" customHeight="1" thickBot="1">
      <c r="A128" s="48" t="s">
        <v>507</v>
      </c>
      <c r="B128" s="48"/>
      <c r="C128" s="133">
        <f>-SUM(C28:C85)-C124-C126-C122</f>
        <v>-5163.2152736000007</v>
      </c>
      <c r="D128" s="133">
        <f t="shared" ref="D128:R128" si="11">-SUM(D28:D85)-D124-D126-D122</f>
        <v>-5187.2152736000007</v>
      </c>
      <c r="E128" s="133">
        <f t="shared" si="11"/>
        <v>-5191.2152736000007</v>
      </c>
      <c r="F128" s="133">
        <f t="shared" si="11"/>
        <v>-5195.2152736000007</v>
      </c>
      <c r="G128" s="133">
        <f t="shared" si="11"/>
        <v>-5199.2152736000007</v>
      </c>
      <c r="H128" s="133">
        <f t="shared" si="11"/>
        <v>-5204.2152736000007</v>
      </c>
      <c r="I128" s="133">
        <f t="shared" si="11"/>
        <v>-5206.2152736000007</v>
      </c>
      <c r="J128" s="133">
        <f t="shared" si="11"/>
        <v>-5212.2152736000007</v>
      </c>
      <c r="K128" s="133">
        <f t="shared" si="11"/>
        <v>-5215.2152736000007</v>
      </c>
      <c r="L128" s="133">
        <f t="shared" si="11"/>
        <v>-5219.2152736000007</v>
      </c>
      <c r="M128" s="133">
        <f t="shared" si="11"/>
        <v>-5224.2152736000007</v>
      </c>
      <c r="N128" s="133">
        <f t="shared" si="11"/>
        <v>-5229.2152736000007</v>
      </c>
      <c r="O128" s="136">
        <f t="shared" si="11"/>
        <v>-62446.593283199996</v>
      </c>
      <c r="P128" s="133">
        <f t="shared" si="11"/>
        <v>-120.0001</v>
      </c>
      <c r="Q128" s="133">
        <f t="shared" si="11"/>
        <v>0</v>
      </c>
      <c r="R128" s="133">
        <f t="shared" si="11"/>
        <v>0</v>
      </c>
    </row>
    <row r="129" spans="1:17" ht="13.5" customHeight="1" thickBot="1">
      <c r="A129" s="48"/>
      <c r="B129" s="48"/>
      <c r="C129" s="148"/>
      <c r="D129" s="148"/>
      <c r="E129" s="148"/>
      <c r="F129" s="148"/>
      <c r="G129" s="148"/>
      <c r="H129" s="148"/>
      <c r="I129" s="148"/>
      <c r="J129" s="148"/>
      <c r="K129" s="148"/>
      <c r="L129" s="148"/>
      <c r="M129" s="148"/>
      <c r="N129" s="148"/>
      <c r="O129" s="151"/>
    </row>
    <row r="130" spans="1:17" ht="13.5" customHeight="1" thickBot="1">
      <c r="A130" s="48" t="s">
        <v>446</v>
      </c>
      <c r="B130" s="48"/>
      <c r="C130" s="133">
        <f t="shared" ref="C130:O130" si="12">+C25+C128</f>
        <v>-1580.0902736000007</v>
      </c>
      <c r="D130" s="133">
        <f t="shared" si="12"/>
        <v>-1438.7152736000007</v>
      </c>
      <c r="E130" s="133">
        <f t="shared" si="12"/>
        <v>-1277.3402736000007</v>
      </c>
      <c r="F130" s="133">
        <f t="shared" si="12"/>
        <v>-1115.9652736000007</v>
      </c>
      <c r="G130" s="133">
        <f t="shared" si="12"/>
        <v>-954.59027360000073</v>
      </c>
      <c r="H130" s="133">
        <f t="shared" si="12"/>
        <v>-794.21527360000073</v>
      </c>
      <c r="I130" s="133">
        <f t="shared" si="12"/>
        <v>-630.84027359999982</v>
      </c>
      <c r="J130" s="133">
        <f t="shared" si="12"/>
        <v>-471.46527360000073</v>
      </c>
      <c r="K130" s="133">
        <f t="shared" si="12"/>
        <v>-309.09027360000073</v>
      </c>
      <c r="L130" s="133">
        <f t="shared" si="12"/>
        <v>-147.71527360000073</v>
      </c>
      <c r="M130" s="133">
        <f t="shared" si="12"/>
        <v>12.659726399999272</v>
      </c>
      <c r="N130" s="134">
        <f t="shared" si="12"/>
        <v>173.03472640000018</v>
      </c>
      <c r="O130" s="136">
        <f t="shared" si="12"/>
        <v>-8534.3432831999962</v>
      </c>
      <c r="P130" s="137"/>
    </row>
    <row r="131" spans="1:17" ht="13.5" customHeight="1">
      <c r="A131" s="48"/>
      <c r="B131" s="48"/>
      <c r="C131" s="222">
        <f>IF(RG!$A$91&lt;16,DG!$D$27/12,DG!$D$28/12)</f>
        <v>0</v>
      </c>
      <c r="D131" s="222">
        <f>IF(RG!$A$91&lt;16,DG!$D$27/12,DG!$D$28/12)</f>
        <v>0</v>
      </c>
      <c r="E131" s="222">
        <f>IF(RG!$A$91&lt;16,DG!$D$27/12,DG!$D$28/12)</f>
        <v>0</v>
      </c>
      <c r="F131" s="222">
        <f>IF(RG!$A$91&lt;16,DG!$D$27/12,DG!$D$28/12)</f>
        <v>0</v>
      </c>
      <c r="G131" s="222">
        <f>IF(RG!$A$91&lt;16,DG!$D$27/12,DG!$D$28/12)</f>
        <v>0</v>
      </c>
      <c r="H131" s="222">
        <f>IF(RG!$A$91&lt;16,DG!$D$27/12,DG!$D$28/12)</f>
        <v>0</v>
      </c>
      <c r="I131" s="222">
        <f>IF(RG!$A$91&lt;16,DG!$D$27/12,DG!$D$28/12)</f>
        <v>0</v>
      </c>
      <c r="J131" s="222">
        <f>IF(RG!$A$91&lt;16,DG!$D$27/12,DG!$D$28/12)</f>
        <v>0</v>
      </c>
      <c r="K131" s="222">
        <f>IF(RG!$A$91&lt;16,DG!$D$27/12,DG!$D$28/12)</f>
        <v>0</v>
      </c>
      <c r="L131" s="222">
        <f>IF(RG!$A$91&lt;16,DG!$D$27/12,DG!$D$28/12)</f>
        <v>0</v>
      </c>
      <c r="M131" s="222">
        <f>IF(RG!$A$91&lt;16,DG!$D$27/12,DG!$D$28/12)</f>
        <v>0</v>
      </c>
      <c r="N131" s="222">
        <f>IF(RG!$A$91&lt;16,DG!$D$27/12,DG!$D$28/12)</f>
        <v>0</v>
      </c>
      <c r="O131" s="222">
        <f>IF(RG!$A$91&lt;8.5,DG!$D$27/12,DG!$D$28/12)</f>
        <v>7.0833333333333338E-3</v>
      </c>
      <c r="P131" s="137"/>
    </row>
    <row r="132" spans="1:17" ht="13.5" customHeight="1" thickBot="1">
      <c r="A132" s="78" t="s">
        <v>200</v>
      </c>
      <c r="B132" s="48"/>
      <c r="C132" s="148"/>
      <c r="D132" s="148"/>
      <c r="E132" s="148"/>
      <c r="F132" s="148"/>
      <c r="G132" s="148"/>
      <c r="H132" s="148"/>
      <c r="I132" s="148"/>
      <c r="J132" s="148"/>
      <c r="K132" s="148"/>
      <c r="L132" s="148"/>
      <c r="M132" s="148"/>
      <c r="N132" s="148"/>
      <c r="O132" s="138"/>
      <c r="P132" s="137"/>
    </row>
    <row r="133" spans="1:17" ht="13.5" customHeight="1" thickBot="1">
      <c r="A133" s="162" t="s">
        <v>188</v>
      </c>
      <c r="B133" s="48"/>
      <c r="C133" s="642">
        <f>IF(RG!$A$82=2,0,INT(('V5'!F99+'AE5'!D21)*0.14975))</f>
        <v>536</v>
      </c>
      <c r="D133" s="642">
        <f>IF(RG!$A$82=2,0,INT(('V5'!G99+'AE5'!E21)*0.14975))</f>
        <v>561</v>
      </c>
      <c r="E133" s="642">
        <f>IF(RG!$A$82=2,0,INT(('V5'!H99+'AE5'!F21)*0.14975))</f>
        <v>586</v>
      </c>
      <c r="F133" s="642">
        <f>IF(RG!$A$82=2,0,INT(('V5'!I99+'AE5'!G21)*0.14975))</f>
        <v>610</v>
      </c>
      <c r="G133" s="642">
        <f>IF(RG!$A$82=2,0,INT(('V5'!J99+'AE5'!H21)*0.14975))</f>
        <v>635</v>
      </c>
      <c r="H133" s="642">
        <f>IF(RG!$A$82=2,0,INT(('V5'!K99+'AE5'!I21)*0.14975))</f>
        <v>660</v>
      </c>
      <c r="I133" s="642">
        <f>IF(RG!$A$82=2,0,INT(('V5'!L99+'AE5'!J21)*0.14975))</f>
        <v>685</v>
      </c>
      <c r="J133" s="642">
        <f>IF(RG!$A$82=2,0,INT(('V5'!M99+'AE5'!K21)*0.14975))</f>
        <v>709</v>
      </c>
      <c r="K133" s="642">
        <f>IF(RG!$A$82=2,0,INT(('V5'!N99+'AE5'!L21)*0.14975))</f>
        <v>734</v>
      </c>
      <c r="L133" s="642">
        <f>IF(RG!$A$82=2,0,INT(('V5'!O99+'AE5'!M21)*0.14975))</f>
        <v>759</v>
      </c>
      <c r="M133" s="642">
        <f>IF(RG!$A$82=2,0,INT(('V5'!P99+'AE5'!N21)*0.14975))</f>
        <v>784</v>
      </c>
      <c r="N133" s="642">
        <f>IF(RG!$A$82=2,0,INT(('V5'!Q99+'AE5'!O21)*0.14975))</f>
        <v>808</v>
      </c>
      <c r="O133" s="216">
        <f>SUM(C133:N133)</f>
        <v>8067</v>
      </c>
      <c r="P133" s="137"/>
    </row>
    <row r="134" spans="1:17" ht="13.5" customHeight="1" thickBot="1">
      <c r="A134" s="162" t="s">
        <v>189</v>
      </c>
      <c r="B134" s="48"/>
      <c r="C134" s="551">
        <f>IF(RG!$A$82=2,0,INT((SUM(C31:C61)+SUM(C65:C75)+C122+'A5'!E94)*0.14975))</f>
        <v>13</v>
      </c>
      <c r="D134" s="551">
        <f>IF(RG!$A$82=2,0,INT((SUM(D31:D61)+SUM(D65:D75)+D122+'A5'!F94)*0.14975))</f>
        <v>13</v>
      </c>
      <c r="E134" s="551">
        <f>IF(RG!$A$82=2,0,INT((SUM(E31:E61)+SUM(E65:E75)+E122+'A5'!G94)*0.14975))</f>
        <v>14</v>
      </c>
      <c r="F134" s="551">
        <f>IF(RG!$A$82=2,0,INT((SUM(F31:F61)+SUM(F65:F75)+F122+'A5'!H94)*0.14975))</f>
        <v>14</v>
      </c>
      <c r="G134" s="551">
        <f>IF(RG!$A$82=2,0,INT((SUM(G31:G61)+SUM(G65:G75)+G122+'A5'!I94)*0.14975))</f>
        <v>15</v>
      </c>
      <c r="H134" s="551">
        <f>IF(RG!$A$82=2,0,INT((SUM(H31:H61)+SUM(H65:H75)+H122+'A5'!J94)*0.14975))</f>
        <v>16</v>
      </c>
      <c r="I134" s="551">
        <f>IF(RG!$A$82=2,0,INT((SUM(I31:I61)+SUM(I65:I75)+I122+'A5'!K94)*0.14975))</f>
        <v>16</v>
      </c>
      <c r="J134" s="551">
        <f>IF(RG!$A$82=2,0,INT((SUM(J31:J61)+SUM(J65:J75)+J122+'A5'!L94)*0.14975))</f>
        <v>17</v>
      </c>
      <c r="K134" s="551">
        <f>IF(RG!$A$82=2,0,INT((SUM(K31:K61)+SUM(K65:K75)+K122+'A5'!M94)*0.14975))</f>
        <v>18</v>
      </c>
      <c r="L134" s="551">
        <f>IF(RG!$A$82=2,0,INT((SUM(L31:L61)+SUM(L65:L75)+L122+'A5'!N94)*0.14975))</f>
        <v>18</v>
      </c>
      <c r="M134" s="551">
        <f>IF(RG!$A$82=2,0,INT((SUM(M31:M61)+SUM(M65:M75)+M122+'A5'!O94)*0.14975))</f>
        <v>19</v>
      </c>
      <c r="N134" s="551">
        <f>IF(RG!$A$82=2,0,INT((SUM(N31:N61)+SUM(N65:N75)+N122+'A5'!P94)*0.14975))</f>
        <v>20</v>
      </c>
      <c r="O134" s="217">
        <f>SUM(C134:N134)</f>
        <v>193</v>
      </c>
      <c r="P134" s="137"/>
    </row>
    <row r="135" spans="1:17" ht="13.5" customHeight="1" thickBot="1">
      <c r="A135" s="544" t="s">
        <v>201</v>
      </c>
      <c r="B135" s="48"/>
      <c r="C135" s="648">
        <f>'BC4'!N133-'BC4'!N134</f>
        <v>788</v>
      </c>
      <c r="D135" s="648">
        <f>C133-C134</f>
        <v>523</v>
      </c>
      <c r="E135" s="648">
        <f t="shared" ref="E135:N135" si="13">D133-D134</f>
        <v>548</v>
      </c>
      <c r="F135" s="648">
        <f t="shared" si="13"/>
        <v>572</v>
      </c>
      <c r="G135" s="648">
        <f t="shared" si="13"/>
        <v>596</v>
      </c>
      <c r="H135" s="648">
        <f t="shared" si="13"/>
        <v>620</v>
      </c>
      <c r="I135" s="648">
        <f t="shared" si="13"/>
        <v>644</v>
      </c>
      <c r="J135" s="648">
        <f t="shared" si="13"/>
        <v>669</v>
      </c>
      <c r="K135" s="648">
        <f t="shared" si="13"/>
        <v>692</v>
      </c>
      <c r="L135" s="648">
        <f t="shared" si="13"/>
        <v>716</v>
      </c>
      <c r="M135" s="648">
        <f t="shared" si="13"/>
        <v>741</v>
      </c>
      <c r="N135" s="649">
        <f t="shared" si="13"/>
        <v>765</v>
      </c>
      <c r="O135" s="136">
        <f>SUM(C135:N135)</f>
        <v>7874</v>
      </c>
      <c r="P135" s="137"/>
    </row>
    <row r="136" spans="1:17" s="143" customFormat="1" ht="13.5" customHeight="1" thickBot="1">
      <c r="A136" s="48"/>
      <c r="B136" s="48"/>
      <c r="C136" s="148"/>
      <c r="D136" s="148"/>
      <c r="E136" s="148"/>
      <c r="F136" s="148"/>
      <c r="G136" s="148"/>
      <c r="H136" s="148"/>
      <c r="I136" s="148"/>
      <c r="J136" s="148"/>
      <c r="K136" s="148"/>
      <c r="L136" s="148"/>
      <c r="M136" s="148"/>
      <c r="N136" s="148"/>
      <c r="O136" s="151"/>
    </row>
    <row r="137" spans="1:17" s="143" customFormat="1" ht="13.5" customHeight="1" thickBot="1">
      <c r="A137" s="43" t="s">
        <v>447</v>
      </c>
      <c r="B137" s="43"/>
      <c r="C137" s="133">
        <f>C15+C130+C133-C134-C135</f>
        <v>-1831.7955335999814</v>
      </c>
      <c r="D137" s="133">
        <f t="shared" ref="D137:N137" si="14">D15+D130+D133-D134-D135</f>
        <v>-1245.5108071999821</v>
      </c>
      <c r="E137" s="133">
        <f t="shared" si="14"/>
        <v>-998.85108079998281</v>
      </c>
      <c r="F137" s="133">
        <f t="shared" si="14"/>
        <v>-1090.8163543999835</v>
      </c>
      <c r="G137" s="133">
        <f t="shared" si="14"/>
        <v>-521.40662799998427</v>
      </c>
      <c r="H137" s="133">
        <f t="shared" si="14"/>
        <v>-291.62190159998499</v>
      </c>
      <c r="I137" s="133">
        <f t="shared" si="14"/>
        <v>-397.46217519998481</v>
      </c>
      <c r="J137" s="133">
        <f t="shared" si="14"/>
        <v>-345.92744879998554</v>
      </c>
      <c r="K137" s="133">
        <f t="shared" si="14"/>
        <v>-131.01772239998627</v>
      </c>
      <c r="L137" s="133">
        <f t="shared" si="14"/>
        <v>246.267004000013</v>
      </c>
      <c r="M137" s="133">
        <f t="shared" si="14"/>
        <v>282.92673040001227</v>
      </c>
      <c r="N137" s="133">
        <f t="shared" si="14"/>
        <v>478.96145680001246</v>
      </c>
      <c r="O137" s="136">
        <f>O15+O130+O133-O134-O135</f>
        <v>-8521.0485431999768</v>
      </c>
      <c r="P137" s="137"/>
    </row>
    <row r="138" spans="1:17" s="143" customFormat="1" ht="13.5" customHeight="1" thickBot="1">
      <c r="A138" s="43"/>
      <c r="B138" s="43"/>
      <c r="C138" s="148"/>
      <c r="D138" s="148"/>
      <c r="E138" s="148"/>
      <c r="F138" s="148"/>
      <c r="G138" s="148"/>
      <c r="H138" s="148"/>
      <c r="I138" s="148"/>
      <c r="J138" s="148"/>
      <c r="K138" s="148"/>
      <c r="L138" s="148"/>
      <c r="M138" s="148"/>
      <c r="N138" s="148"/>
      <c r="O138" s="151"/>
    </row>
    <row r="139" spans="1:17" s="143" customFormat="1" ht="13.5" customHeight="1" thickBot="1">
      <c r="A139" s="43" t="s">
        <v>279</v>
      </c>
      <c r="B139" s="43"/>
      <c r="C139" s="133">
        <f>'BC4'!N142</f>
        <v>22000</v>
      </c>
      <c r="D139" s="133">
        <f t="shared" ref="D139:N139" si="15">C139+C140+C141</f>
        <v>24000</v>
      </c>
      <c r="E139" s="133">
        <f t="shared" si="15"/>
        <v>25500</v>
      </c>
      <c r="F139" s="133">
        <f t="shared" si="15"/>
        <v>26500</v>
      </c>
      <c r="G139" s="133">
        <f t="shared" si="15"/>
        <v>28000</v>
      </c>
      <c r="H139" s="133">
        <f t="shared" si="15"/>
        <v>29000</v>
      </c>
      <c r="I139" s="133">
        <f t="shared" si="15"/>
        <v>29500</v>
      </c>
      <c r="J139" s="133">
        <f t="shared" si="15"/>
        <v>30000</v>
      </c>
      <c r="K139" s="133">
        <f t="shared" si="15"/>
        <v>30500</v>
      </c>
      <c r="L139" s="133">
        <f t="shared" si="15"/>
        <v>31000</v>
      </c>
      <c r="M139" s="133">
        <f t="shared" si="15"/>
        <v>31000</v>
      </c>
      <c r="N139" s="133">
        <f t="shared" si="15"/>
        <v>31000</v>
      </c>
      <c r="O139" s="136">
        <f>C139</f>
        <v>22000</v>
      </c>
    </row>
    <row r="140" spans="1:17" ht="13.5" customHeight="1" thickBot="1">
      <c r="A140" s="43" t="s">
        <v>280</v>
      </c>
      <c r="B140" s="48"/>
      <c r="C140" s="133">
        <f>IF(RG!$A$90=1,DG!C318,IF(RG!$A$90=2,DG!C323,DG!C328))</f>
        <v>2000</v>
      </c>
      <c r="D140" s="133">
        <f>IF(RG!$A$90=1,DG!D318,IF(RG!$A$90=2,DG!D323,DG!D328))</f>
        <v>1500</v>
      </c>
      <c r="E140" s="133">
        <f>IF(RG!$A$90=1,DG!E318,IF(RG!$A$90=2,DG!E323,DG!E328))</f>
        <v>1000</v>
      </c>
      <c r="F140" s="133">
        <f>IF(RG!$A$90=1,DG!F318,IF(RG!$A$90=2,DG!F323,DG!F328))</f>
        <v>1500</v>
      </c>
      <c r="G140" s="133">
        <f>IF(RG!$A$90=1,DG!G318,IF(RG!$A$90=2,DG!G323,DG!G328))</f>
        <v>1000</v>
      </c>
      <c r="H140" s="133">
        <f>IF(RG!$A$90=1,DG!H318,IF(RG!$A$90=2,DG!H323,DG!H328))</f>
        <v>500</v>
      </c>
      <c r="I140" s="133">
        <f>IF(RG!$A$90=1,DG!I318,IF(RG!$A$90=2,DG!I323,DG!I328))</f>
        <v>500</v>
      </c>
      <c r="J140" s="133">
        <f>IF(RG!$A$90=1,DG!J318,IF(RG!$A$90=2,DG!J323,DG!J328))</f>
        <v>500</v>
      </c>
      <c r="K140" s="133">
        <f>IF(RG!$A$90=1,DG!K318,IF(RG!$A$90=2,DG!K323,DG!K328))</f>
        <v>500</v>
      </c>
      <c r="L140" s="133">
        <f>IF(RG!$A$90=1,DG!L318,IF(RG!$A$90=2,DG!L323,DG!L328))</f>
        <v>0</v>
      </c>
      <c r="M140" s="133">
        <f>IF(RG!$A$90=1,DG!M318,IF(RG!$A$90=2,DG!M323,DG!M328))</f>
        <v>0</v>
      </c>
      <c r="N140" s="133">
        <f>IF(RG!$A$90=1,DG!N318,IF(RG!$A$90=2,DG!N323,DG!N328))</f>
        <v>0</v>
      </c>
      <c r="O140" s="136">
        <f>SUM(C140:N140)</f>
        <v>9000</v>
      </c>
    </row>
    <row r="141" spans="1:17" ht="13.5" customHeight="1" thickBot="1">
      <c r="A141" s="43" t="s">
        <v>227</v>
      </c>
      <c r="B141" s="48"/>
      <c r="C141" s="133">
        <f>IF(RG!$A$90=1,DG!C320,IF(RG!$A$90=2,DG!C325,DG!C330))</f>
        <v>0</v>
      </c>
      <c r="D141" s="133">
        <f>IF(RG!$A$90=1,DG!D320,IF(RG!$A$90=2,DG!D325,DG!D330))</f>
        <v>0</v>
      </c>
      <c r="E141" s="133">
        <f>IF(RG!$A$90=1,DG!E320,IF(RG!$A$90=2,DG!E325,DG!E330))</f>
        <v>0</v>
      </c>
      <c r="F141" s="133">
        <f>IF(RG!$A$90=1,DG!F320,IF(RG!$A$90=2,DG!F325,DG!F330))</f>
        <v>0</v>
      </c>
      <c r="G141" s="133">
        <f>IF(RG!$A$90=1,DG!G320,IF(RG!$A$90=2,DG!G325,DG!G330))</f>
        <v>0</v>
      </c>
      <c r="H141" s="133">
        <f>IF(RG!$A$90=1,DG!H320,IF(RG!$A$90=2,DG!H325,DG!H330))</f>
        <v>0</v>
      </c>
      <c r="I141" s="133">
        <f>IF(RG!$A$90=1,DG!I320,IF(RG!$A$90=2,DG!I325,DG!I330))</f>
        <v>0</v>
      </c>
      <c r="J141" s="133">
        <f>IF(RG!$A$90=1,DG!J320,IF(RG!$A$90=2,DG!J325,DG!J330))</f>
        <v>0</v>
      </c>
      <c r="K141" s="133">
        <f>IF(RG!$A$90=1,DG!K320,IF(RG!$A$90=2,DG!K325,DG!K330))</f>
        <v>0</v>
      </c>
      <c r="L141" s="133">
        <f>IF(RG!$A$90=1,DG!L320,IF(RG!$A$90=2,DG!L325,DG!L330))</f>
        <v>0</v>
      </c>
      <c r="M141" s="133">
        <f>IF(RG!$A$90=1,DG!M320,IF(RG!$A$90=2,DG!M325,DG!M330))</f>
        <v>0</v>
      </c>
      <c r="N141" s="133">
        <f>IF(RG!$A$90=1,DG!N320,IF(RG!$A$90=2,DG!N325,DG!N330))</f>
        <v>0</v>
      </c>
      <c r="O141" s="136">
        <f>SUM(C141:N141)</f>
        <v>0</v>
      </c>
    </row>
    <row r="142" spans="1:17" ht="13.5" customHeight="1" thickBot="1">
      <c r="A142" s="43" t="s">
        <v>723</v>
      </c>
      <c r="B142" s="48"/>
      <c r="C142" s="133">
        <f>C139+C140+C141</f>
        <v>24000</v>
      </c>
      <c r="D142" s="133">
        <f t="shared" ref="D142:O142" si="16">D139+D140+D141</f>
        <v>25500</v>
      </c>
      <c r="E142" s="133">
        <f t="shared" si="16"/>
        <v>26500</v>
      </c>
      <c r="F142" s="133">
        <f t="shared" si="16"/>
        <v>28000</v>
      </c>
      <c r="G142" s="133">
        <f t="shared" si="16"/>
        <v>29000</v>
      </c>
      <c r="H142" s="133">
        <f t="shared" si="16"/>
        <v>29500</v>
      </c>
      <c r="I142" s="133">
        <f t="shared" si="16"/>
        <v>30000</v>
      </c>
      <c r="J142" s="133">
        <f t="shared" si="16"/>
        <v>30500</v>
      </c>
      <c r="K142" s="133">
        <f t="shared" si="16"/>
        <v>31000</v>
      </c>
      <c r="L142" s="133">
        <f t="shared" si="16"/>
        <v>31000</v>
      </c>
      <c r="M142" s="133">
        <f t="shared" si="16"/>
        <v>31000</v>
      </c>
      <c r="N142" s="134">
        <f t="shared" si="16"/>
        <v>31000</v>
      </c>
      <c r="O142" s="122">
        <f t="shared" si="16"/>
        <v>31000</v>
      </c>
    </row>
    <row r="143" spans="1:17" ht="13.5" customHeight="1" thickBot="1">
      <c r="A143" s="48"/>
      <c r="B143" s="48"/>
      <c r="C143" s="126"/>
      <c r="D143" s="126"/>
      <c r="E143" s="126"/>
      <c r="F143" s="126"/>
      <c r="G143" s="126"/>
      <c r="H143" s="126"/>
      <c r="I143" s="126"/>
      <c r="J143" s="126"/>
      <c r="K143" s="126"/>
      <c r="L143" s="126"/>
      <c r="M143" s="126"/>
      <c r="N143" s="126"/>
      <c r="O143" s="126"/>
    </row>
    <row r="144" spans="1:17" ht="13.5" customHeight="1" thickBot="1">
      <c r="A144" s="48" t="s">
        <v>591</v>
      </c>
      <c r="B144" s="48"/>
      <c r="C144" s="133">
        <f>C137+C140+C141</f>
        <v>168.20446640001865</v>
      </c>
      <c r="D144" s="133">
        <f t="shared" ref="D144:N144" si="17">D137+D140+D141</f>
        <v>254.48919280001792</v>
      </c>
      <c r="E144" s="133">
        <f t="shared" si="17"/>
        <v>1.1489192000171897</v>
      </c>
      <c r="F144" s="133">
        <f t="shared" si="17"/>
        <v>409.18364560001646</v>
      </c>
      <c r="G144" s="133">
        <f t="shared" si="17"/>
        <v>478.59337200001573</v>
      </c>
      <c r="H144" s="133">
        <f t="shared" si="17"/>
        <v>208.37809840001501</v>
      </c>
      <c r="I144" s="133">
        <f t="shared" si="17"/>
        <v>102.53782480001519</v>
      </c>
      <c r="J144" s="133">
        <f t="shared" si="17"/>
        <v>154.07255120001446</v>
      </c>
      <c r="K144" s="133">
        <f t="shared" si="17"/>
        <v>368.98227760001373</v>
      </c>
      <c r="L144" s="133">
        <f t="shared" si="17"/>
        <v>246.267004000013</v>
      </c>
      <c r="M144" s="133">
        <f t="shared" si="17"/>
        <v>282.92673040001227</v>
      </c>
      <c r="N144" s="133">
        <f t="shared" si="17"/>
        <v>478.96145680001246</v>
      </c>
      <c r="O144" s="122">
        <f>O137+O140+O141</f>
        <v>478.95145680002315</v>
      </c>
      <c r="P144" s="890">
        <f>-BILAN!N17</f>
        <v>-479.06254680001166</v>
      </c>
      <c r="Q144" s="137">
        <f>SUM(O144:P144)</f>
        <v>-0.11108999998850777</v>
      </c>
    </row>
    <row r="145" spans="12:14">
      <c r="L145" s="152"/>
    </row>
    <row r="147" spans="12:14" ht="12" customHeight="1"/>
    <row r="149" spans="12:14">
      <c r="N149" s="157"/>
    </row>
  </sheetData>
  <sheetProtection password="E242" sheet="1" objects="1" scenarios="1"/>
  <autoFilter ref="A15:O136" xr:uid="{00000000-0009-0000-0000-00003B000000}"/>
  <customSheetViews>
    <customSheetView guid="{30D0538C-360A-4CDF-8D89-584CED1967CC}"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D475E8B7-C31E-4D85-BD89-3CB17AC0E4A1}"/>
    </customSheetView>
    <customSheetView guid="{4F3169C3-3348-49DE-A6DC-8AA4D2A9D7A1}"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54D4AEE3-48F1-47FA-94D0-9949D3A259D7}"/>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9">
    <pageSetUpPr fitToPage="1"/>
  </sheetPr>
  <dimension ref="A1:R106"/>
  <sheetViews>
    <sheetView showGridLines="0" showOutlineSymbols="0" zoomScale="80" zoomScaleNormal="80" workbookViewId="0">
      <selection activeCell="K100" sqref="K100"/>
    </sheetView>
  </sheetViews>
  <sheetFormatPr baseColWidth="10" defaultColWidth="11.453125" defaultRowHeight="13"/>
  <cols>
    <col min="1" max="1" width="4.6328125" style="576" customWidth="1"/>
    <col min="2" max="2" width="58.08984375" style="576" customWidth="1"/>
    <col min="3" max="3" width="15.6328125" style="588" customWidth="1"/>
    <col min="4" max="4" width="5" style="594" customWidth="1"/>
    <col min="5" max="5" width="15.6328125" style="588" customWidth="1"/>
    <col min="6" max="6" width="5" style="594" customWidth="1"/>
    <col min="7" max="7" width="15.6328125" style="588" customWidth="1"/>
    <col min="8" max="8" width="5.36328125" style="595" customWidth="1"/>
    <col min="9" max="9" width="15.6328125" style="588" customWidth="1"/>
    <col min="10" max="10" width="5" style="594" customWidth="1"/>
    <col min="11" max="11" width="15.6328125" style="588" customWidth="1"/>
    <col min="12" max="12" width="5.36328125" style="595" customWidth="1"/>
    <col min="13" max="16384" width="11.453125" style="167"/>
  </cols>
  <sheetData>
    <row r="1" spans="1:12" customFormat="1" ht="12.5"/>
    <row r="2" spans="1:12" customFormat="1" ht="12.5"/>
    <row r="3" spans="1:12" customFormat="1" ht="12.5"/>
    <row r="4" spans="1:12" s="261" customFormat="1" ht="12.5"/>
    <row r="5" spans="1:12" s="261" customFormat="1" ht="12.5"/>
    <row r="6" spans="1:12" s="261" customFormat="1" ht="12.5"/>
    <row r="7" spans="1:12" s="261" customFormat="1" ht="12.5"/>
    <row r="8" spans="1:12" ht="25">
      <c r="A8" s="589" t="str">
        <f>RG!D17</f>
        <v>Jhon Wesly inc.</v>
      </c>
    </row>
    <row r="10" spans="1:12" ht="15" customHeight="1">
      <c r="A10" s="577" t="s">
        <v>145</v>
      </c>
    </row>
    <row r="11" spans="1:12">
      <c r="A11" s="578" t="s">
        <v>519</v>
      </c>
    </row>
    <row r="12" spans="1:12">
      <c r="A12" s="578"/>
    </row>
    <row r="13" spans="1:12">
      <c r="C13" s="168" t="s">
        <v>128</v>
      </c>
      <c r="D13"/>
      <c r="E13" s="168" t="s">
        <v>128</v>
      </c>
      <c r="F13"/>
      <c r="G13" s="168" t="s">
        <v>128</v>
      </c>
      <c r="H13"/>
      <c r="I13" s="681" t="s">
        <v>128</v>
      </c>
      <c r="J13"/>
      <c r="K13" s="681" t="s">
        <v>128</v>
      </c>
      <c r="L13"/>
    </row>
    <row r="14" spans="1:12" ht="12.75" customHeight="1">
      <c r="A14" s="1139"/>
      <c r="B14" s="1139"/>
      <c r="C14" s="168" t="s">
        <v>129</v>
      </c>
      <c r="D14" s="596"/>
      <c r="E14" s="168" t="s">
        <v>129</v>
      </c>
      <c r="F14" s="596"/>
      <c r="G14" s="168" t="s">
        <v>129</v>
      </c>
      <c r="H14"/>
      <c r="I14" s="681" t="s">
        <v>129</v>
      </c>
      <c r="J14" s="682"/>
      <c r="K14" s="681" t="s">
        <v>129</v>
      </c>
      <c r="L14"/>
    </row>
    <row r="15" spans="1:12" ht="15" customHeight="1" thickBot="1">
      <c r="C15" s="581">
        <f>'V1'!R12</f>
        <v>45633</v>
      </c>
      <c r="D15" s="597"/>
      <c r="E15" s="581">
        <f>C15+365</f>
        <v>45998</v>
      </c>
      <c r="F15" s="596"/>
      <c r="G15" s="581">
        <f>E15+365</f>
        <v>46363</v>
      </c>
      <c r="H15" s="598"/>
      <c r="I15" s="683">
        <f>G15+365</f>
        <v>46728</v>
      </c>
      <c r="J15" s="682"/>
      <c r="K15" s="683">
        <f>I15+365</f>
        <v>47093</v>
      </c>
      <c r="L15" s="684"/>
    </row>
    <row r="16" spans="1:12">
      <c r="D16"/>
      <c r="F16" s="599"/>
      <c r="H16"/>
      <c r="I16" s="685"/>
      <c r="J16" s="686"/>
      <c r="K16" s="685"/>
      <c r="L16"/>
    </row>
    <row r="17" spans="1:12">
      <c r="A17" s="578" t="s">
        <v>674</v>
      </c>
      <c r="C17" s="172">
        <f>'V1'!S93</f>
        <v>48900</v>
      </c>
      <c r="D17" s="88"/>
      <c r="E17" s="172">
        <f>'V2'!R99</f>
        <v>51345</v>
      </c>
      <c r="F17" s="88"/>
      <c r="G17" s="172">
        <f>'V3'!R99</f>
        <v>53912.25</v>
      </c>
      <c r="H17" s="170"/>
      <c r="I17" s="700">
        <f>'V4'!R99</f>
        <v>53912.25</v>
      </c>
      <c r="J17" s="873"/>
      <c r="K17" s="700">
        <f>'V5'!R99</f>
        <v>53912.25</v>
      </c>
      <c r="L17" s="874"/>
    </row>
    <row r="18" spans="1:12">
      <c r="A18" s="585"/>
      <c r="B18" s="586"/>
      <c r="C18" s="758"/>
      <c r="D18" s="85"/>
      <c r="E18" s="758"/>
      <c r="F18" s="85"/>
      <c r="G18" s="758"/>
      <c r="H18" s="86"/>
      <c r="I18" s="687"/>
      <c r="J18" s="688"/>
      <c r="K18" s="687"/>
      <c r="L18" s="689"/>
    </row>
    <row r="19" spans="1:12">
      <c r="C19" s="173"/>
      <c r="D19" s="1"/>
      <c r="E19" s="173"/>
      <c r="F19" s="1"/>
      <c r="G19" s="173"/>
      <c r="H19" s="1"/>
      <c r="I19" s="691"/>
      <c r="J19" s="692"/>
      <c r="K19" s="691"/>
      <c r="L19" s="690"/>
    </row>
    <row r="20" spans="1:12">
      <c r="A20" s="578" t="str">
        <f>IF(C20=" "," ",IF(RG!$A$78&lt;3,"COÛT DES MARCHANDISES VENDUES (NOTE 5)",IF(RG!$A$78=3,"COÛT DES SERVICES RENDUS",IF(RG!$A$78=6,"COÛT DES MATÉRIAUX",IF(RG!$A$78=5,"COÛTS DES VÉGÉTAUX OU ANIMAUX DESTINÉS À LA REVENTE"," ")))))</f>
        <v xml:space="preserve"> </v>
      </c>
      <c r="C20" s="173" t="str">
        <f>IF('BC1'!P29-'A1'!Q93=0," ",-NE!D84)</f>
        <v xml:space="preserve"> </v>
      </c>
      <c r="D20" s="81" t="str">
        <f>IF('BC1'!P29=0,"",-C20/C17)</f>
        <v/>
      </c>
      <c r="E20" s="173" t="str">
        <f>IF('BC2'!$O$28-'A2'!Q93=0," ",-NE!F84)</f>
        <v xml:space="preserve"> </v>
      </c>
      <c r="F20" s="81" t="str">
        <f>IF('BC1'!$P$29=0,"",-E20/E17)</f>
        <v/>
      </c>
      <c r="G20" s="173" t="str">
        <f>IF('BC3'!$O$28-'A3'!Q93=0," ",-NE!H84)</f>
        <v xml:space="preserve"> </v>
      </c>
      <c r="H20" s="81" t="str">
        <f>IF('BC1'!$P$29=0,"",-G20/G17)</f>
        <v/>
      </c>
      <c r="I20" s="693" t="str">
        <f>IF('BC4'!$O$28-'A4'!Q93=0," ",-NE!L84)</f>
        <v xml:space="preserve"> </v>
      </c>
      <c r="J20" s="694" t="str">
        <f>IF('BC1'!$P$29=0,"",-I20/I17)</f>
        <v/>
      </c>
      <c r="K20" s="693" t="str">
        <f>IF('BC5'!$O$28-'A5'!Q93=0," ",-NE!N84)</f>
        <v xml:space="preserve"> </v>
      </c>
      <c r="L20" s="694" t="str">
        <f>IF('BC1'!$P$29=0,"",-K20/K17)</f>
        <v/>
      </c>
    </row>
    <row r="21" spans="1:12">
      <c r="A21" s="578"/>
      <c r="C21" s="173"/>
      <c r="D21" s="81"/>
      <c r="E21" s="173"/>
      <c r="F21" s="81"/>
      <c r="G21" s="173"/>
      <c r="H21" s="89"/>
      <c r="I21" s="691"/>
      <c r="J21" s="692"/>
      <c r="K21" s="691"/>
      <c r="L21" s="695"/>
    </row>
    <row r="22" spans="1:12">
      <c r="A22" s="578" t="s">
        <v>670</v>
      </c>
      <c r="C22" s="173">
        <f>-NE!D28</f>
        <v>-1208</v>
      </c>
      <c r="D22" s="81">
        <f>-C22/C17</f>
        <v>2.4703476482617587E-2</v>
      </c>
      <c r="E22" s="173">
        <f>-NE!F28</f>
        <v>-1269</v>
      </c>
      <c r="F22" s="81">
        <f>-E22/E17</f>
        <v>2.4715162138475022E-2</v>
      </c>
      <c r="G22" s="173">
        <f>-NE!H28</f>
        <v>-1329</v>
      </c>
      <c r="H22" s="89">
        <f>-G22/G17</f>
        <v>2.4651169261160497E-2</v>
      </c>
      <c r="I22" s="693">
        <f>-NE!L28</f>
        <v>-1329</v>
      </c>
      <c r="J22" s="694">
        <f>-I22/I17</f>
        <v>2.4651169261160497E-2</v>
      </c>
      <c r="K22" s="693">
        <f>-NE!N28</f>
        <v>-1329</v>
      </c>
      <c r="L22" s="682">
        <f>-K22/K17</f>
        <v>2.4651169261160497E-2</v>
      </c>
    </row>
    <row r="23" spans="1:12">
      <c r="A23" s="586"/>
      <c r="B23" s="586"/>
      <c r="C23" s="174"/>
      <c r="D23" s="84"/>
      <c r="E23" s="174"/>
      <c r="F23" s="84"/>
      <c r="G23" s="174"/>
      <c r="H23" s="84"/>
      <c r="I23" s="696"/>
      <c r="J23" s="697"/>
      <c r="K23" s="696"/>
      <c r="L23" s="697"/>
    </row>
    <row r="24" spans="1:12">
      <c r="A24" s="590"/>
      <c r="B24" s="590"/>
      <c r="C24" s="175"/>
      <c r="D24" s="91"/>
      <c r="E24" s="175"/>
      <c r="F24" s="91"/>
      <c r="G24" s="175"/>
      <c r="H24" s="89"/>
      <c r="I24" s="698"/>
      <c r="J24" s="699"/>
      <c r="K24" s="698"/>
      <c r="L24" s="695"/>
    </row>
    <row r="25" spans="1:12">
      <c r="A25" s="578" t="s">
        <v>566</v>
      </c>
      <c r="C25" s="172">
        <f>SUM(C17:C22)</f>
        <v>47692</v>
      </c>
      <c r="D25" s="89">
        <f>C25/C17</f>
        <v>0.97529652351738239</v>
      </c>
      <c r="E25" s="172">
        <f>SUM(E17:E22)</f>
        <v>50076</v>
      </c>
      <c r="F25" s="89">
        <f>E25/E17</f>
        <v>0.97528483786152498</v>
      </c>
      <c r="G25" s="172">
        <f>SUM(G17:G22)</f>
        <v>52583.25</v>
      </c>
      <c r="H25" s="89">
        <f>G25/G17</f>
        <v>0.97534883073883949</v>
      </c>
      <c r="I25" s="700">
        <f>SUM(I17:I22)</f>
        <v>52583.25</v>
      </c>
      <c r="J25" s="682">
        <f>I25/I17</f>
        <v>0.97534883073883949</v>
      </c>
      <c r="K25" s="700">
        <f>SUM(K17:K22)</f>
        <v>52583.25</v>
      </c>
      <c r="L25" s="682">
        <f>K25/K17</f>
        <v>0.97534883073883949</v>
      </c>
    </row>
    <row r="26" spans="1:12">
      <c r="A26" s="586"/>
      <c r="B26" s="586"/>
      <c r="C26" s="174"/>
      <c r="D26" s="84"/>
      <c r="E26" s="174"/>
      <c r="F26" s="84"/>
      <c r="G26" s="174"/>
      <c r="H26" s="84"/>
      <c r="I26" s="696"/>
      <c r="J26" s="697"/>
      <c r="K26" s="696"/>
      <c r="L26" s="697"/>
    </row>
    <row r="27" spans="1:12">
      <c r="A27" s="578" t="s">
        <v>729</v>
      </c>
      <c r="C27" s="872">
        <v>1E-4</v>
      </c>
      <c r="D27" s="1"/>
      <c r="E27" s="173"/>
      <c r="F27" s="1"/>
      <c r="G27" s="872">
        <v>1E-4</v>
      </c>
      <c r="H27" s="89"/>
      <c r="I27" s="691"/>
      <c r="J27" s="692"/>
      <c r="K27" s="691"/>
      <c r="L27" s="695"/>
    </row>
    <row r="28" spans="1:12">
      <c r="A28" s="1208" t="str">
        <f>'BC1'!A38</f>
        <v>FRAIS D'EXPLOITATION</v>
      </c>
      <c r="B28" s="1208"/>
      <c r="C28" s="872">
        <v>1E-4</v>
      </c>
      <c r="D28" s="1"/>
      <c r="E28" s="173"/>
      <c r="F28" s="1"/>
      <c r="G28" s="872">
        <v>1E-4</v>
      </c>
      <c r="H28" s="89"/>
      <c r="I28" s="691"/>
      <c r="J28" s="692"/>
      <c r="K28" s="691"/>
      <c r="L28" s="695"/>
    </row>
    <row r="29" spans="1:12">
      <c r="B29" s="576" t="str">
        <f>'BC1'!A39</f>
        <v>Loyer</v>
      </c>
      <c r="C29" s="173">
        <f>'FG1'!O14+'BC1'!C39</f>
        <v>0</v>
      </c>
      <c r="D29" s="92">
        <f t="shared" ref="D29:D47" si="0">C29/$C$17</f>
        <v>0</v>
      </c>
      <c r="E29" s="173">
        <f>'FG2'!$O14</f>
        <v>0</v>
      </c>
      <c r="F29" s="92">
        <f t="shared" ref="F29:F38" si="1">E29/$E$17</f>
        <v>0</v>
      </c>
      <c r="G29" s="173">
        <f>'FG3'!$O14</f>
        <v>0</v>
      </c>
      <c r="H29" s="93">
        <f t="shared" ref="H29:H38" si="2">G29/$G$17</f>
        <v>0</v>
      </c>
      <c r="I29" s="173">
        <f>'FG4'!$O14</f>
        <v>0</v>
      </c>
      <c r="J29" s="701">
        <f>I29/$I$17</f>
        <v>0</v>
      </c>
      <c r="K29" s="173">
        <f>'FG5'!$O14</f>
        <v>0</v>
      </c>
      <c r="L29" s="702">
        <f>K29/$K$17</f>
        <v>0</v>
      </c>
    </row>
    <row r="30" spans="1:12">
      <c r="B30" s="576" t="str">
        <f>'BC1'!A40</f>
        <v>Coût d'énergie</v>
      </c>
      <c r="C30" s="173">
        <f>'FG1'!O16+'BC1'!C40</f>
        <v>0</v>
      </c>
      <c r="D30" s="92">
        <f t="shared" si="0"/>
        <v>0</v>
      </c>
      <c r="E30" s="173">
        <f>'FG2'!$O16</f>
        <v>0</v>
      </c>
      <c r="F30" s="92">
        <f t="shared" si="1"/>
        <v>0</v>
      </c>
      <c r="G30" s="173">
        <f>'FG3'!$O16</f>
        <v>0</v>
      </c>
      <c r="H30" s="93">
        <f t="shared" si="2"/>
        <v>0</v>
      </c>
      <c r="I30" s="173">
        <f>'FG4'!$O16</f>
        <v>0</v>
      </c>
      <c r="J30" s="701">
        <f t="shared" ref="J30:J38" si="3">I30/$I$17</f>
        <v>0</v>
      </c>
      <c r="K30" s="173">
        <f>'FG5'!$O16</f>
        <v>0</v>
      </c>
      <c r="L30" s="702">
        <f t="shared" ref="L30:L74" si="4">K30/$K$17</f>
        <v>0</v>
      </c>
    </row>
    <row r="31" spans="1:12">
      <c r="B31" s="576" t="str">
        <f>'BC1'!A41</f>
        <v>Entretien / réparation</v>
      </c>
      <c r="C31" s="173">
        <f>'FG1'!O18+'BC1'!C41</f>
        <v>0</v>
      </c>
      <c r="D31" s="92">
        <f t="shared" si="0"/>
        <v>0</v>
      </c>
      <c r="E31" s="173">
        <f>'FG2'!$O18</f>
        <v>0</v>
      </c>
      <c r="F31" s="92">
        <f t="shared" si="1"/>
        <v>0</v>
      </c>
      <c r="G31" s="173">
        <f>'FG3'!$O18</f>
        <v>0</v>
      </c>
      <c r="H31" s="93">
        <f t="shared" si="2"/>
        <v>0</v>
      </c>
      <c r="I31" s="173">
        <f>'FG4'!$O18</f>
        <v>0</v>
      </c>
      <c r="J31" s="701">
        <f t="shared" si="3"/>
        <v>0</v>
      </c>
      <c r="K31" s="173">
        <f>'FG5'!$O18</f>
        <v>0</v>
      </c>
      <c r="L31" s="702">
        <f t="shared" si="4"/>
        <v>0</v>
      </c>
    </row>
    <row r="32" spans="1:12">
      <c r="B32" s="576" t="str">
        <f>'BC1'!A42</f>
        <v>Services sanitaires</v>
      </c>
      <c r="C32" s="173">
        <f>'FG1'!O20+'BC1'!C42</f>
        <v>0</v>
      </c>
      <c r="D32" s="92">
        <f t="shared" si="0"/>
        <v>0</v>
      </c>
      <c r="E32" s="173">
        <f>'FG2'!$O20</f>
        <v>0</v>
      </c>
      <c r="F32" s="92">
        <f t="shared" si="1"/>
        <v>0</v>
      </c>
      <c r="G32" s="173">
        <f>'FG3'!$O20</f>
        <v>0</v>
      </c>
      <c r="H32" s="93">
        <f t="shared" si="2"/>
        <v>0</v>
      </c>
      <c r="I32" s="173">
        <f>'FG4'!$O20</f>
        <v>0</v>
      </c>
      <c r="J32" s="701">
        <f t="shared" si="3"/>
        <v>0</v>
      </c>
      <c r="K32" s="173">
        <f>'FG5'!$O20</f>
        <v>0</v>
      </c>
      <c r="L32" s="702">
        <f t="shared" si="4"/>
        <v>0</v>
      </c>
    </row>
    <row r="33" spans="1:12">
      <c r="B33" s="576" t="str">
        <f>'BC1'!A43</f>
        <v>Frais de déplacement</v>
      </c>
      <c r="C33" s="173">
        <f>'FG1'!O22+'BC1'!C43</f>
        <v>0</v>
      </c>
      <c r="D33" s="92">
        <f t="shared" si="0"/>
        <v>0</v>
      </c>
      <c r="E33" s="173">
        <f>'FG2'!$O22</f>
        <v>0</v>
      </c>
      <c r="F33" s="92">
        <f t="shared" si="1"/>
        <v>0</v>
      </c>
      <c r="G33" s="173">
        <f>'FG3'!$O22</f>
        <v>0</v>
      </c>
      <c r="H33" s="93">
        <f t="shared" si="2"/>
        <v>0</v>
      </c>
      <c r="I33" s="173">
        <f>'FG4'!$O22</f>
        <v>0</v>
      </c>
      <c r="J33" s="701">
        <f t="shared" si="3"/>
        <v>0</v>
      </c>
      <c r="K33" s="173">
        <f>'FG5'!$O22</f>
        <v>0</v>
      </c>
      <c r="L33" s="702">
        <f t="shared" si="4"/>
        <v>0</v>
      </c>
    </row>
    <row r="34" spans="1:12">
      <c r="B34" s="576" t="str">
        <f>'BC1'!A44</f>
        <v>Immatriculation et permis</v>
      </c>
      <c r="C34" s="173">
        <f>'FG1'!O24+'BC1'!C44</f>
        <v>1</v>
      </c>
      <c r="D34" s="92">
        <f t="shared" si="0"/>
        <v>2.0449897750511246E-5</v>
      </c>
      <c r="E34" s="173">
        <f>'FG2'!$O24</f>
        <v>0</v>
      </c>
      <c r="F34" s="92">
        <f t="shared" si="1"/>
        <v>0</v>
      </c>
      <c r="G34" s="173">
        <f>'FG3'!$O24</f>
        <v>0</v>
      </c>
      <c r="H34" s="93">
        <f t="shared" si="2"/>
        <v>0</v>
      </c>
      <c r="I34" s="173">
        <f>'FG4'!$O24</f>
        <v>0</v>
      </c>
      <c r="J34" s="701">
        <f t="shared" si="3"/>
        <v>0</v>
      </c>
      <c r="K34" s="173">
        <f>'FG5'!$O24</f>
        <v>0</v>
      </c>
      <c r="L34" s="702">
        <f t="shared" si="4"/>
        <v>0</v>
      </c>
    </row>
    <row r="35" spans="1:12">
      <c r="B35" s="576" t="str">
        <f>'BC1'!A45</f>
        <v>Assurances</v>
      </c>
      <c r="C35" s="173">
        <f>'FG1'!O26+'BC1'!C45</f>
        <v>1</v>
      </c>
      <c r="D35" s="92">
        <f t="shared" si="0"/>
        <v>2.0449897750511246E-5</v>
      </c>
      <c r="E35" s="173">
        <f>'FG2'!$O26</f>
        <v>0</v>
      </c>
      <c r="F35" s="92">
        <f t="shared" si="1"/>
        <v>0</v>
      </c>
      <c r="G35" s="173">
        <f>'FG3'!$O26</f>
        <v>0</v>
      </c>
      <c r="H35" s="93">
        <f t="shared" si="2"/>
        <v>0</v>
      </c>
      <c r="I35" s="173">
        <f>'FG4'!$O26</f>
        <v>0</v>
      </c>
      <c r="J35" s="701">
        <f t="shared" si="3"/>
        <v>0</v>
      </c>
      <c r="K35" s="173">
        <f>'FG5'!$O26</f>
        <v>0</v>
      </c>
      <c r="L35" s="702">
        <f t="shared" si="4"/>
        <v>0</v>
      </c>
    </row>
    <row r="36" spans="1:12">
      <c r="B36" s="576" t="str">
        <f>'BC1'!A46</f>
        <v>Dépenses R&amp;D</v>
      </c>
      <c r="C36" s="173">
        <f>'FG1'!O28+'BC1'!C46</f>
        <v>0</v>
      </c>
      <c r="D36" s="92">
        <f t="shared" si="0"/>
        <v>0</v>
      </c>
      <c r="E36" s="173">
        <f>'FG2'!$O28</f>
        <v>0</v>
      </c>
      <c r="F36" s="92">
        <f t="shared" si="1"/>
        <v>0</v>
      </c>
      <c r="G36" s="173">
        <f>'FG3'!$O28</f>
        <v>0</v>
      </c>
      <c r="H36" s="93">
        <f t="shared" si="2"/>
        <v>0</v>
      </c>
      <c r="I36" s="173">
        <f>'FG4'!$O28</f>
        <v>0</v>
      </c>
      <c r="J36" s="701">
        <f t="shared" si="3"/>
        <v>0</v>
      </c>
      <c r="K36" s="173">
        <f>'FG5'!$O28</f>
        <v>0</v>
      </c>
      <c r="L36" s="702">
        <f t="shared" si="4"/>
        <v>0</v>
      </c>
    </row>
    <row r="37" spans="1:12">
      <c r="B37" s="576" t="str">
        <f>'BC1'!A47</f>
        <v>Autre frais d'exploitation 1</v>
      </c>
      <c r="C37" s="173">
        <f>'FG1'!O30+'BC1'!C47</f>
        <v>0</v>
      </c>
      <c r="D37" s="92">
        <f t="shared" si="0"/>
        <v>0</v>
      </c>
      <c r="E37" s="173">
        <f>'FG2'!$O30</f>
        <v>0</v>
      </c>
      <c r="F37" s="92">
        <f t="shared" si="1"/>
        <v>0</v>
      </c>
      <c r="G37" s="173">
        <f>'FG3'!$O30</f>
        <v>0</v>
      </c>
      <c r="H37" s="93">
        <f t="shared" si="2"/>
        <v>0</v>
      </c>
      <c r="I37" s="173">
        <f>'FG4'!$O30</f>
        <v>0</v>
      </c>
      <c r="J37" s="701">
        <f t="shared" si="3"/>
        <v>0</v>
      </c>
      <c r="K37" s="173">
        <f>'FG5'!$O30</f>
        <v>0</v>
      </c>
      <c r="L37" s="702">
        <f t="shared" si="4"/>
        <v>0</v>
      </c>
    </row>
    <row r="38" spans="1:12">
      <c r="B38" s="576" t="str">
        <f>'BC1'!A48</f>
        <v>Autre frais d'exploitation 2</v>
      </c>
      <c r="C38" s="173">
        <f>'FG1'!O32+'BC1'!C48</f>
        <v>0</v>
      </c>
      <c r="D38" s="92">
        <f t="shared" si="0"/>
        <v>0</v>
      </c>
      <c r="E38" s="173">
        <f>'FG2'!$O32</f>
        <v>0</v>
      </c>
      <c r="F38" s="92">
        <f t="shared" si="1"/>
        <v>0</v>
      </c>
      <c r="G38" s="173">
        <f>'FG3'!$O32</f>
        <v>0</v>
      </c>
      <c r="H38" s="93">
        <f t="shared" si="2"/>
        <v>0</v>
      </c>
      <c r="I38" s="173">
        <f>'FG4'!$O32</f>
        <v>0</v>
      </c>
      <c r="J38" s="701">
        <f t="shared" si="3"/>
        <v>0</v>
      </c>
      <c r="K38" s="173">
        <f>'FG5'!$O32</f>
        <v>0</v>
      </c>
      <c r="L38" s="702">
        <f t="shared" si="4"/>
        <v>0</v>
      </c>
    </row>
    <row r="39" spans="1:12">
      <c r="B39" s="576" t="str">
        <f>'BC1'!A49</f>
        <v>Autre frais d'exploitation 3</v>
      </c>
      <c r="C39" s="173">
        <f>'FG1'!O34+'BC1'!C49</f>
        <v>0</v>
      </c>
      <c r="D39" s="92">
        <f t="shared" ref="D39:D44" si="5">C39/$C$17</f>
        <v>0</v>
      </c>
      <c r="E39" s="173">
        <f>'FG2'!$O34</f>
        <v>0</v>
      </c>
      <c r="F39" s="92">
        <f t="shared" ref="F39:F44" si="6">E39/$E$17</f>
        <v>0</v>
      </c>
      <c r="G39" s="173">
        <f>'FG3'!$O34</f>
        <v>0</v>
      </c>
      <c r="H39" s="93">
        <f t="shared" ref="H39:H44" si="7">G39/$G$17</f>
        <v>0</v>
      </c>
      <c r="I39" s="173">
        <f>'FG4'!$O34</f>
        <v>0</v>
      </c>
      <c r="J39" s="701">
        <f t="shared" ref="J39:J44" si="8">I39/$I$17</f>
        <v>0</v>
      </c>
      <c r="K39" s="173">
        <f>'FG5'!$O34</f>
        <v>0</v>
      </c>
      <c r="L39" s="702">
        <f t="shared" ref="L39:L44" si="9">K39/$K$17</f>
        <v>0</v>
      </c>
    </row>
    <row r="40" spans="1:12">
      <c r="B40" s="576" t="str">
        <f>'BC1'!A50</f>
        <v>Autre frais d'exploitation 4</v>
      </c>
      <c r="C40" s="173">
        <f>'FG1'!O36+'BC1'!C50</f>
        <v>0</v>
      </c>
      <c r="D40" s="92">
        <f t="shared" si="5"/>
        <v>0</v>
      </c>
      <c r="E40" s="173">
        <f>'FG2'!$O36</f>
        <v>0</v>
      </c>
      <c r="F40" s="92">
        <f t="shared" si="6"/>
        <v>0</v>
      </c>
      <c r="G40" s="173">
        <f>'FG3'!$O36</f>
        <v>0</v>
      </c>
      <c r="H40" s="93">
        <f t="shared" si="7"/>
        <v>0</v>
      </c>
      <c r="I40" s="173">
        <f>'FG4'!$O36</f>
        <v>0</v>
      </c>
      <c r="J40" s="701">
        <f t="shared" si="8"/>
        <v>0</v>
      </c>
      <c r="K40" s="173">
        <f>'FG5'!$O36</f>
        <v>0</v>
      </c>
      <c r="L40" s="702">
        <f t="shared" si="9"/>
        <v>0</v>
      </c>
    </row>
    <row r="41" spans="1:12">
      <c r="B41" s="576" t="str">
        <f>'BC1'!A51</f>
        <v>Autre frais d'exploitation 5</v>
      </c>
      <c r="C41" s="173">
        <f>'FG1'!O38+'BC1'!C51</f>
        <v>0</v>
      </c>
      <c r="D41" s="92">
        <f t="shared" si="5"/>
        <v>0</v>
      </c>
      <c r="E41" s="173">
        <f>'FG2'!$O38</f>
        <v>0</v>
      </c>
      <c r="F41" s="92">
        <f t="shared" si="6"/>
        <v>0</v>
      </c>
      <c r="G41" s="173">
        <f>'FG3'!$O38</f>
        <v>0</v>
      </c>
      <c r="H41" s="93">
        <f t="shared" si="7"/>
        <v>0</v>
      </c>
      <c r="I41" s="173">
        <f>'FG4'!$O38</f>
        <v>0</v>
      </c>
      <c r="J41" s="701">
        <f t="shared" si="8"/>
        <v>0</v>
      </c>
      <c r="K41" s="173">
        <f>'FG5'!$O38</f>
        <v>0</v>
      </c>
      <c r="L41" s="702">
        <f t="shared" si="9"/>
        <v>0</v>
      </c>
    </row>
    <row r="42" spans="1:12">
      <c r="B42" s="576" t="str">
        <f>'BC1'!A52</f>
        <v>Autre frais d'exploitation 6</v>
      </c>
      <c r="C42" s="173">
        <f>'FG1'!O40+'BC1'!C52</f>
        <v>0</v>
      </c>
      <c r="D42" s="92">
        <f t="shared" si="5"/>
        <v>0</v>
      </c>
      <c r="E42" s="173">
        <f>'FG2'!$O40</f>
        <v>0</v>
      </c>
      <c r="F42" s="92">
        <f t="shared" si="6"/>
        <v>0</v>
      </c>
      <c r="G42" s="173">
        <f>'FG3'!$O40</f>
        <v>0</v>
      </c>
      <c r="H42" s="93">
        <f t="shared" si="7"/>
        <v>0</v>
      </c>
      <c r="I42" s="173">
        <f>'FG4'!$O40</f>
        <v>0</v>
      </c>
      <c r="J42" s="701">
        <f t="shared" si="8"/>
        <v>0</v>
      </c>
      <c r="K42" s="173">
        <f>'FG5'!$O40</f>
        <v>0</v>
      </c>
      <c r="L42" s="702">
        <f t="shared" si="9"/>
        <v>0</v>
      </c>
    </row>
    <row r="43" spans="1:12">
      <c r="B43" s="576" t="str">
        <f>'BC1'!A53</f>
        <v>Autre frais d'exploitation 7</v>
      </c>
      <c r="C43" s="173">
        <f>'FG1'!O42+'BC1'!C53</f>
        <v>0</v>
      </c>
      <c r="D43" s="92">
        <f t="shared" si="5"/>
        <v>0</v>
      </c>
      <c r="E43" s="173">
        <f>'FG2'!$O42</f>
        <v>0</v>
      </c>
      <c r="F43" s="92">
        <f t="shared" si="6"/>
        <v>0</v>
      </c>
      <c r="G43" s="173">
        <f>'FG3'!$O42</f>
        <v>0</v>
      </c>
      <c r="H43" s="93">
        <f t="shared" si="7"/>
        <v>0</v>
      </c>
      <c r="I43" s="173">
        <f>'FG4'!$O42</f>
        <v>0</v>
      </c>
      <c r="J43" s="701">
        <f t="shared" si="8"/>
        <v>0</v>
      </c>
      <c r="K43" s="173">
        <f>'FG5'!$O42</f>
        <v>0</v>
      </c>
      <c r="L43" s="702">
        <f t="shared" si="9"/>
        <v>0</v>
      </c>
    </row>
    <row r="44" spans="1:12">
      <c r="B44" s="576" t="str">
        <f>'BC1'!A54</f>
        <v>Autre frais d'exploitation 8</v>
      </c>
      <c r="C44" s="173">
        <f>'FG1'!O44+'BC1'!C54</f>
        <v>0</v>
      </c>
      <c r="D44" s="92">
        <f t="shared" si="5"/>
        <v>0</v>
      </c>
      <c r="E44" s="173">
        <f>'FG2'!$O44</f>
        <v>0</v>
      </c>
      <c r="F44" s="92">
        <f t="shared" si="6"/>
        <v>0</v>
      </c>
      <c r="G44" s="173">
        <f>'FG3'!$O44</f>
        <v>0</v>
      </c>
      <c r="H44" s="93">
        <f t="shared" si="7"/>
        <v>0</v>
      </c>
      <c r="I44" s="173">
        <f>'FG4'!$O44</f>
        <v>0</v>
      </c>
      <c r="J44" s="701">
        <f t="shared" si="8"/>
        <v>0</v>
      </c>
      <c r="K44" s="173">
        <f>'FG5'!$O44</f>
        <v>0</v>
      </c>
      <c r="L44" s="702">
        <f t="shared" si="9"/>
        <v>0</v>
      </c>
    </row>
    <row r="45" spans="1:12">
      <c r="A45" s="1208" t="str">
        <f>'BC1'!A55</f>
        <v>FRAIS DE VENTE</v>
      </c>
      <c r="B45" s="1208"/>
      <c r="C45" s="872">
        <v>1E-4</v>
      </c>
      <c r="D45" s="92"/>
      <c r="E45" s="173"/>
      <c r="F45" s="92"/>
      <c r="G45" s="872">
        <v>1E-4</v>
      </c>
      <c r="H45" s="93"/>
      <c r="I45" s="173"/>
      <c r="J45" s="701"/>
      <c r="K45" s="173"/>
      <c r="L45" s="702"/>
    </row>
    <row r="46" spans="1:12">
      <c r="B46" s="576" t="str">
        <f>'BC1'!A56</f>
        <v>Frais de représentation</v>
      </c>
      <c r="C46" s="173">
        <f>'FG1'!O47+'BC1'!C56</f>
        <v>0</v>
      </c>
      <c r="D46" s="92">
        <f t="shared" si="0"/>
        <v>0</v>
      </c>
      <c r="E46" s="173">
        <f>'FG2'!$O47</f>
        <v>0</v>
      </c>
      <c r="F46" s="92">
        <f t="shared" ref="F46:F52" si="10">E46/$E$17</f>
        <v>0</v>
      </c>
      <c r="G46" s="173">
        <f>'FG3'!$O47</f>
        <v>0</v>
      </c>
      <c r="H46" s="93">
        <f t="shared" ref="H46:H52" si="11">G46/$G$17</f>
        <v>0</v>
      </c>
      <c r="I46" s="173">
        <f>'FG4'!$O47</f>
        <v>0</v>
      </c>
      <c r="J46" s="701">
        <f t="shared" ref="J46:J74" si="12">I46/$I$17</f>
        <v>0</v>
      </c>
      <c r="K46" s="173">
        <f>'FG5'!$O47</f>
        <v>0</v>
      </c>
      <c r="L46" s="702">
        <f t="shared" si="4"/>
        <v>0</v>
      </c>
    </row>
    <row r="47" spans="1:12">
      <c r="B47" s="576" t="str">
        <f>'BC1'!A57</f>
        <v>Publicité</v>
      </c>
      <c r="C47" s="173">
        <f>'FG1'!O49+'BC1'!C57</f>
        <v>1</v>
      </c>
      <c r="D47" s="92">
        <f t="shared" si="0"/>
        <v>2.0449897750511246E-5</v>
      </c>
      <c r="E47" s="173">
        <f>'FG2'!$O49</f>
        <v>0</v>
      </c>
      <c r="F47" s="92">
        <f t="shared" si="10"/>
        <v>0</v>
      </c>
      <c r="G47" s="173">
        <f>'FG3'!$O49</f>
        <v>0</v>
      </c>
      <c r="H47" s="93">
        <f t="shared" si="11"/>
        <v>0</v>
      </c>
      <c r="I47" s="173">
        <f>'FG4'!$O49</f>
        <v>0</v>
      </c>
      <c r="J47" s="701">
        <f t="shared" si="12"/>
        <v>0</v>
      </c>
      <c r="K47" s="173">
        <f>'FG5'!$O49</f>
        <v>0</v>
      </c>
      <c r="L47" s="702">
        <f t="shared" si="4"/>
        <v>0</v>
      </c>
    </row>
    <row r="48" spans="1:12">
      <c r="B48" s="576" t="str">
        <f>'BC1'!A58</f>
        <v>Autres frais de vente 1</v>
      </c>
      <c r="C48" s="173">
        <f>'FG1'!O51+'BC1'!C58</f>
        <v>0</v>
      </c>
      <c r="D48" s="92">
        <f>C48/$C$17</f>
        <v>0</v>
      </c>
      <c r="E48" s="173">
        <f>'FG2'!$O51</f>
        <v>0</v>
      </c>
      <c r="F48" s="92">
        <f t="shared" si="10"/>
        <v>0</v>
      </c>
      <c r="G48" s="173">
        <f>'FG3'!$O51</f>
        <v>0</v>
      </c>
      <c r="H48" s="93">
        <f t="shared" si="11"/>
        <v>0</v>
      </c>
      <c r="I48" s="173">
        <f>'FG4'!$O51</f>
        <v>0</v>
      </c>
      <c r="J48" s="701">
        <f t="shared" si="12"/>
        <v>0</v>
      </c>
      <c r="K48" s="173">
        <f>'FG5'!$O51</f>
        <v>0</v>
      </c>
      <c r="L48" s="702">
        <f t="shared" si="4"/>
        <v>0</v>
      </c>
    </row>
    <row r="49" spans="1:12">
      <c r="B49" s="576" t="str">
        <f>'BC1'!A59</f>
        <v>Autres frais de vente 2</v>
      </c>
      <c r="C49" s="173">
        <f>'FG1'!O53+'BC1'!C59</f>
        <v>0</v>
      </c>
      <c r="D49" s="92">
        <f>C49/$C$17</f>
        <v>0</v>
      </c>
      <c r="E49" s="173">
        <f>'FG2'!$O53</f>
        <v>0</v>
      </c>
      <c r="F49" s="92">
        <f t="shared" si="10"/>
        <v>0</v>
      </c>
      <c r="G49" s="173">
        <f>'FG3'!$O53</f>
        <v>0</v>
      </c>
      <c r="H49" s="93">
        <f t="shared" si="11"/>
        <v>0</v>
      </c>
      <c r="I49" s="173">
        <f>'FG4'!$O53</f>
        <v>0</v>
      </c>
      <c r="J49" s="701">
        <f>I49/$I$17</f>
        <v>0</v>
      </c>
      <c r="K49" s="173">
        <f>'FG5'!$O53</f>
        <v>0</v>
      </c>
      <c r="L49" s="702">
        <f>K49/$K$17</f>
        <v>0</v>
      </c>
    </row>
    <row r="50" spans="1:12">
      <c r="B50" s="576" t="str">
        <f>'BC1'!A60</f>
        <v>Autres frais de vente 3</v>
      </c>
      <c r="C50" s="173">
        <f>'FG1'!O55+'BC1'!C60</f>
        <v>0</v>
      </c>
      <c r="D50" s="92">
        <f>C50/$C$17</f>
        <v>0</v>
      </c>
      <c r="E50" s="173">
        <f>'FG2'!$O55</f>
        <v>0</v>
      </c>
      <c r="F50" s="92">
        <f t="shared" si="10"/>
        <v>0</v>
      </c>
      <c r="G50" s="173">
        <f>'FG3'!$O55</f>
        <v>0</v>
      </c>
      <c r="H50" s="93">
        <f t="shared" si="11"/>
        <v>0</v>
      </c>
      <c r="I50" s="173">
        <f>'FG4'!$O55</f>
        <v>0</v>
      </c>
      <c r="J50" s="701">
        <f>I50/$I$17</f>
        <v>0</v>
      </c>
      <c r="K50" s="173">
        <f>'FG5'!$O55</f>
        <v>0</v>
      </c>
      <c r="L50" s="702">
        <f>K50/$K$17</f>
        <v>0</v>
      </c>
    </row>
    <row r="51" spans="1:12">
      <c r="B51" s="576" t="str">
        <f>'BC1'!A61</f>
        <v>Autres frais de vente 4</v>
      </c>
      <c r="C51" s="173">
        <f>'FG1'!O57+'BC1'!C61</f>
        <v>0</v>
      </c>
      <c r="D51" s="92">
        <f>C51/$C$17</f>
        <v>0</v>
      </c>
      <c r="E51" s="173">
        <f>'FG2'!$O57</f>
        <v>0</v>
      </c>
      <c r="F51" s="92">
        <f t="shared" si="10"/>
        <v>0</v>
      </c>
      <c r="G51" s="173">
        <f>'FG3'!$O57</f>
        <v>0</v>
      </c>
      <c r="H51" s="93">
        <f t="shared" si="11"/>
        <v>0</v>
      </c>
      <c r="I51" s="173">
        <f>'FG4'!$O57</f>
        <v>0</v>
      </c>
      <c r="J51" s="701">
        <f>I51/$I$17</f>
        <v>0</v>
      </c>
      <c r="K51" s="173">
        <f>'FG5'!$O57</f>
        <v>0</v>
      </c>
      <c r="L51" s="702">
        <f>K51/$K$17</f>
        <v>0</v>
      </c>
    </row>
    <row r="52" spans="1:12">
      <c r="B52" s="576" t="str">
        <f>'BC1'!A62</f>
        <v>Autres frais de vente 5</v>
      </c>
      <c r="C52" s="173">
        <f>'FG1'!O59+'BC1'!C62</f>
        <v>0</v>
      </c>
      <c r="D52" s="92">
        <f>C52/$C$17</f>
        <v>0</v>
      </c>
      <c r="E52" s="173">
        <f>'FG2'!$O59</f>
        <v>0</v>
      </c>
      <c r="F52" s="92">
        <f t="shared" si="10"/>
        <v>0</v>
      </c>
      <c r="G52" s="173">
        <f>'FG3'!$O59</f>
        <v>0</v>
      </c>
      <c r="H52" s="93">
        <f t="shared" si="11"/>
        <v>0</v>
      </c>
      <c r="I52" s="173">
        <f>'FG4'!$O59</f>
        <v>0</v>
      </c>
      <c r="J52" s="701">
        <f>I52/$I$17</f>
        <v>0</v>
      </c>
      <c r="K52" s="173">
        <f>'FG5'!$O59</f>
        <v>0</v>
      </c>
      <c r="L52" s="702">
        <f>K52/$K$17</f>
        <v>0</v>
      </c>
    </row>
    <row r="53" spans="1:12">
      <c r="A53" s="1208" t="str">
        <f>'BC1'!A63</f>
        <v>FRAIS D'ADMINISTRATION</v>
      </c>
      <c r="B53" s="1208"/>
      <c r="C53" s="872">
        <v>1E-4</v>
      </c>
      <c r="D53" s="92"/>
      <c r="E53" s="173"/>
      <c r="F53" s="92"/>
      <c r="G53" s="872">
        <v>1E-4</v>
      </c>
      <c r="H53" s="93"/>
      <c r="I53" s="173"/>
      <c r="J53" s="701"/>
      <c r="K53" s="173"/>
      <c r="L53" s="702"/>
    </row>
    <row r="54" spans="1:12">
      <c r="A54" s="871"/>
      <c r="B54" s="576" t="str">
        <f>'BC1'!A64</f>
        <v>Salaires administratifs</v>
      </c>
      <c r="C54" s="173">
        <f>IF(TE!P135&gt;0,TE!P135,0)</f>
        <v>41520</v>
      </c>
      <c r="D54" s="92">
        <f t="shared" ref="D54:D61" si="13">C54/$C$17</f>
        <v>0.84907975460122698</v>
      </c>
      <c r="E54" s="173">
        <f>IF(TE!P147&gt;0,TE!P147,0)</f>
        <v>42350.399999999994</v>
      </c>
      <c r="F54" s="92">
        <f t="shared" ref="F54:F61" si="14">E54/$E$17</f>
        <v>0.82482033304119184</v>
      </c>
      <c r="G54" s="173">
        <f>IF(TE!P159&gt;0,TE!P159,0)</f>
        <v>43197.408000000003</v>
      </c>
      <c r="H54" s="93">
        <f>G54/$G$17</f>
        <v>0.80125403781144366</v>
      </c>
      <c r="I54" s="173">
        <f>IF(TE!P171&gt;0,TE!P171,0)</f>
        <v>44061.356160000003</v>
      </c>
      <c r="J54" s="701">
        <f t="shared" si="12"/>
        <v>0.81727911856767255</v>
      </c>
      <c r="K54" s="173">
        <f>IF(TE!P183&gt;0,TE!P183,0)</f>
        <v>44942.583283199994</v>
      </c>
      <c r="L54" s="702">
        <f t="shared" si="4"/>
        <v>0.83362470093902585</v>
      </c>
    </row>
    <row r="55" spans="1:12">
      <c r="A55" s="871"/>
      <c r="B55" s="576" t="str">
        <f>'BC1'!A65</f>
        <v xml:space="preserve">   avantages</v>
      </c>
      <c r="C55" s="173">
        <f>IF(D24=" "," ",TE!R135)</f>
        <v>10776</v>
      </c>
      <c r="D55" s="92">
        <f t="shared" si="13"/>
        <v>0.2203680981595092</v>
      </c>
      <c r="E55" s="173">
        <f>IF(D24=" "," ",TE!R147)</f>
        <v>10992</v>
      </c>
      <c r="F55" s="92">
        <f t="shared" si="14"/>
        <v>0.21408121530820917</v>
      </c>
      <c r="G55" s="173">
        <f>IF(D24=" "," ",TE!R159)</f>
        <v>11208</v>
      </c>
      <c r="H55" s="93">
        <f>G55/$G$17</f>
        <v>0.20789338230179596</v>
      </c>
      <c r="I55" s="173">
        <f>IF(D24=" "," ",TE!R171)</f>
        <v>11436</v>
      </c>
      <c r="J55" s="701">
        <f t="shared" si="12"/>
        <v>0.21212247680258198</v>
      </c>
      <c r="K55" s="173">
        <f>IF(D24=" "," ",TE!R183)</f>
        <v>11664</v>
      </c>
      <c r="L55" s="702">
        <f t="shared" si="4"/>
        <v>0.21635157130336796</v>
      </c>
    </row>
    <row r="56" spans="1:12">
      <c r="A56" s="871"/>
      <c r="B56" s="576" t="str">
        <f>'BC1'!A66</f>
        <v>Téléphonie et internet</v>
      </c>
      <c r="C56" s="173">
        <f>'FG1'!O62+'BC1'!C66</f>
        <v>0</v>
      </c>
      <c r="D56" s="92">
        <f t="shared" si="13"/>
        <v>0</v>
      </c>
      <c r="E56" s="173">
        <f>'FG2'!$O62</f>
        <v>0</v>
      </c>
      <c r="F56" s="92">
        <f t="shared" si="14"/>
        <v>0</v>
      </c>
      <c r="G56" s="173">
        <f>'FG3'!$O62</f>
        <v>0</v>
      </c>
      <c r="H56" s="93">
        <f t="shared" ref="H56:H61" si="15">G56/$G$17</f>
        <v>0</v>
      </c>
      <c r="I56" s="173">
        <f>'FG4'!$O62</f>
        <v>0</v>
      </c>
      <c r="J56" s="701">
        <f t="shared" si="12"/>
        <v>0</v>
      </c>
      <c r="K56" s="173">
        <f>'FG5'!$O62</f>
        <v>0</v>
      </c>
      <c r="L56" s="702">
        <f t="shared" si="4"/>
        <v>0</v>
      </c>
    </row>
    <row r="57" spans="1:12">
      <c r="A57" s="871"/>
      <c r="B57" s="576" t="str">
        <f>'BC1'!A67</f>
        <v>Honoraires professionnels</v>
      </c>
      <c r="C57" s="173">
        <f>'FG1'!O64+'BC1'!C67</f>
        <v>1</v>
      </c>
      <c r="D57" s="92">
        <f t="shared" si="13"/>
        <v>2.0449897750511246E-5</v>
      </c>
      <c r="E57" s="173">
        <f>'FG2'!$O64</f>
        <v>0</v>
      </c>
      <c r="F57" s="92">
        <f t="shared" si="14"/>
        <v>0</v>
      </c>
      <c r="G57" s="173">
        <f>'FG3'!$O64</f>
        <v>0</v>
      </c>
      <c r="H57" s="93">
        <f t="shared" si="15"/>
        <v>0</v>
      </c>
      <c r="I57" s="173">
        <f>'FG4'!$O64</f>
        <v>0</v>
      </c>
      <c r="J57" s="701">
        <f t="shared" si="12"/>
        <v>0</v>
      </c>
      <c r="K57" s="173">
        <f>'FG5'!$O64</f>
        <v>0</v>
      </c>
      <c r="L57" s="702">
        <f t="shared" si="4"/>
        <v>0</v>
      </c>
    </row>
    <row r="58" spans="1:12">
      <c r="A58" s="871"/>
      <c r="B58" s="576" t="str">
        <f>'BC1'!A68</f>
        <v>Frais de bureau</v>
      </c>
      <c r="C58" s="173">
        <f>'FG1'!O66+'BC1'!C68</f>
        <v>0</v>
      </c>
      <c r="D58" s="92">
        <f t="shared" si="13"/>
        <v>0</v>
      </c>
      <c r="E58" s="173">
        <f>'FG2'!$O66</f>
        <v>0</v>
      </c>
      <c r="F58" s="92">
        <f t="shared" si="14"/>
        <v>0</v>
      </c>
      <c r="G58" s="173">
        <f>'FG3'!$O66</f>
        <v>0</v>
      </c>
      <c r="H58" s="93">
        <f t="shared" si="15"/>
        <v>0</v>
      </c>
      <c r="I58" s="173">
        <f>'FG4'!$O66</f>
        <v>0</v>
      </c>
      <c r="J58" s="701">
        <f t="shared" si="12"/>
        <v>0</v>
      </c>
      <c r="K58" s="173">
        <f>'FG5'!$O66</f>
        <v>0</v>
      </c>
      <c r="L58" s="702">
        <f t="shared" si="4"/>
        <v>0</v>
      </c>
    </row>
    <row r="59" spans="1:12">
      <c r="A59" s="871"/>
      <c r="B59" s="576" t="str">
        <f>'BC1'!A69</f>
        <v>Mauvaises créances</v>
      </c>
      <c r="C59" s="173">
        <f>'FG1'!O68+'BC1'!C69</f>
        <v>0</v>
      </c>
      <c r="D59" s="92">
        <f t="shared" si="13"/>
        <v>0</v>
      </c>
      <c r="E59" s="173">
        <f>'FG2'!$O68</f>
        <v>0</v>
      </c>
      <c r="F59" s="92">
        <f t="shared" si="14"/>
        <v>0</v>
      </c>
      <c r="G59" s="173">
        <f>'FG3'!$O68</f>
        <v>0</v>
      </c>
      <c r="H59" s="93">
        <f t="shared" si="15"/>
        <v>0</v>
      </c>
      <c r="I59" s="173">
        <f>'FG4'!$O68</f>
        <v>0</v>
      </c>
      <c r="J59" s="701">
        <f t="shared" si="12"/>
        <v>0</v>
      </c>
      <c r="K59" s="173">
        <f>'FG5'!$O68</f>
        <v>0</v>
      </c>
      <c r="L59" s="702">
        <f t="shared" si="4"/>
        <v>0</v>
      </c>
    </row>
    <row r="60" spans="1:12">
      <c r="A60" s="871"/>
      <c r="B60" s="576" t="str">
        <f>'BC1'!A70</f>
        <v>Fournitures de bureau</v>
      </c>
      <c r="C60" s="173">
        <f>'FG1'!O70+'BC1'!C70</f>
        <v>1</v>
      </c>
      <c r="D60" s="92">
        <f t="shared" si="13"/>
        <v>2.0449897750511246E-5</v>
      </c>
      <c r="E60" s="173">
        <f>'FG2'!$O70</f>
        <v>0</v>
      </c>
      <c r="F60" s="92">
        <f t="shared" si="14"/>
        <v>0</v>
      </c>
      <c r="G60" s="173">
        <f>'FG3'!$O70</f>
        <v>0</v>
      </c>
      <c r="H60" s="93">
        <f t="shared" si="15"/>
        <v>0</v>
      </c>
      <c r="I60" s="173">
        <f>'FG4'!$O70</f>
        <v>0</v>
      </c>
      <c r="J60" s="701">
        <f t="shared" si="12"/>
        <v>0</v>
      </c>
      <c r="K60" s="173">
        <f>'FG5'!$O70</f>
        <v>0</v>
      </c>
      <c r="L60" s="702">
        <f t="shared" si="4"/>
        <v>0</v>
      </c>
    </row>
    <row r="61" spans="1:12">
      <c r="A61" s="871"/>
      <c r="B61" s="576" t="str">
        <f>'BC1'!A71</f>
        <v>Fais d'hébèrgement de site Web</v>
      </c>
      <c r="C61" s="173">
        <f>'FG1'!O72+'BC1'!C71</f>
        <v>0</v>
      </c>
      <c r="D61" s="92">
        <f t="shared" si="13"/>
        <v>0</v>
      </c>
      <c r="E61" s="173">
        <f>'FG2'!$O72</f>
        <v>0</v>
      </c>
      <c r="F61" s="92">
        <f t="shared" si="14"/>
        <v>0</v>
      </c>
      <c r="G61" s="173">
        <f>'FG3'!$O72</f>
        <v>0</v>
      </c>
      <c r="H61" s="93">
        <f t="shared" si="15"/>
        <v>0</v>
      </c>
      <c r="I61" s="173">
        <f>'FG4'!$O72</f>
        <v>0</v>
      </c>
      <c r="J61" s="701">
        <f t="shared" si="12"/>
        <v>0</v>
      </c>
      <c r="K61" s="173">
        <f>'FG5'!$O72</f>
        <v>0</v>
      </c>
      <c r="L61" s="702">
        <f t="shared" si="4"/>
        <v>0</v>
      </c>
    </row>
    <row r="62" spans="1:12">
      <c r="A62" s="871"/>
      <c r="B62" s="576" t="str">
        <f>'BC1'!A72</f>
        <v>Autres frais d'administration 2</v>
      </c>
      <c r="C62" s="173">
        <f>'FG1'!O74+'BC1'!C72</f>
        <v>0</v>
      </c>
      <c r="D62" s="92">
        <f>C62/$C$17</f>
        <v>0</v>
      </c>
      <c r="E62" s="173">
        <f>'FG2'!$O74</f>
        <v>0</v>
      </c>
      <c r="F62" s="92">
        <f>E62/$E$17</f>
        <v>0</v>
      </c>
      <c r="G62" s="173">
        <f>'FG3'!$O74</f>
        <v>0</v>
      </c>
      <c r="H62" s="93">
        <f>G62/$G$17</f>
        <v>0</v>
      </c>
      <c r="I62" s="173">
        <f>'FG4'!$O74</f>
        <v>0</v>
      </c>
      <c r="J62" s="701">
        <f>I62/$I$17</f>
        <v>0</v>
      </c>
      <c r="K62" s="173">
        <f>'FG5'!$O74</f>
        <v>0</v>
      </c>
      <c r="L62" s="702">
        <f>K62/$K$17</f>
        <v>0</v>
      </c>
    </row>
    <row r="63" spans="1:12">
      <c r="A63" s="871"/>
      <c r="B63" s="576" t="str">
        <f>'BC1'!A73</f>
        <v>Autres frais d'administration 3</v>
      </c>
      <c r="C63" s="173">
        <f>'FG1'!O76+'BC1'!C73</f>
        <v>0</v>
      </c>
      <c r="D63" s="92">
        <f>C63/$C$17</f>
        <v>0</v>
      </c>
      <c r="E63" s="173">
        <f>'FG2'!$O76</f>
        <v>0</v>
      </c>
      <c r="F63" s="92">
        <f>E63/$E$17</f>
        <v>0</v>
      </c>
      <c r="G63" s="173">
        <f>'FG3'!$O76</f>
        <v>0</v>
      </c>
      <c r="H63" s="93">
        <f>G63/$G$17</f>
        <v>0</v>
      </c>
      <c r="I63" s="173">
        <f>'FG4'!$O76</f>
        <v>0</v>
      </c>
      <c r="J63" s="701">
        <f>I63/$I$17</f>
        <v>0</v>
      </c>
      <c r="K63" s="173">
        <f>'FG5'!$O76</f>
        <v>0</v>
      </c>
      <c r="L63" s="702">
        <f>K63/$K$17</f>
        <v>0</v>
      </c>
    </row>
    <row r="64" spans="1:12">
      <c r="A64" s="871"/>
      <c r="B64" s="576" t="str">
        <f>'BC1'!A74</f>
        <v>Autres frais d'administration 4</v>
      </c>
      <c r="C64" s="173">
        <f>'FG1'!O78+'BC1'!C74</f>
        <v>0</v>
      </c>
      <c r="D64" s="92">
        <f>C64/$C$17</f>
        <v>0</v>
      </c>
      <c r="E64" s="173">
        <f>'FG2'!$O78</f>
        <v>0</v>
      </c>
      <c r="F64" s="92">
        <f>E64/$E$17</f>
        <v>0</v>
      </c>
      <c r="G64" s="173">
        <f>'FG3'!$O78</f>
        <v>0</v>
      </c>
      <c r="H64" s="93">
        <f>G64/$G$17</f>
        <v>0</v>
      </c>
      <c r="I64" s="173">
        <f>'FG4'!$O78</f>
        <v>0</v>
      </c>
      <c r="J64" s="701">
        <f>I64/$I$17</f>
        <v>0</v>
      </c>
      <c r="K64" s="173">
        <f>'FG5'!$O78</f>
        <v>0</v>
      </c>
      <c r="L64" s="702">
        <f>K64/$K$17</f>
        <v>0</v>
      </c>
    </row>
    <row r="65" spans="1:12">
      <c r="A65" s="871"/>
      <c r="B65" s="576" t="str">
        <f>'BC1'!A75</f>
        <v>Autres frais d'administration 5</v>
      </c>
      <c r="C65" s="173">
        <f>'FG1'!O80+'BC1'!C75</f>
        <v>0</v>
      </c>
      <c r="D65" s="92">
        <f>C65/$C$17</f>
        <v>0</v>
      </c>
      <c r="E65" s="173">
        <f>'FG2'!$O80</f>
        <v>0</v>
      </c>
      <c r="F65" s="92">
        <f>E65/$E$17</f>
        <v>0</v>
      </c>
      <c r="G65" s="173">
        <f>'FG3'!$O80</f>
        <v>0</v>
      </c>
      <c r="H65" s="93">
        <f>G65/$G$17</f>
        <v>0</v>
      </c>
      <c r="I65" s="173">
        <f>'FG4'!$O80</f>
        <v>0</v>
      </c>
      <c r="J65" s="701">
        <f>I65/$I$17</f>
        <v>0</v>
      </c>
      <c r="K65" s="173">
        <f>'FG5'!$O80</f>
        <v>0</v>
      </c>
      <c r="L65" s="702">
        <f>K65/$K$17</f>
        <v>0</v>
      </c>
    </row>
    <row r="66" spans="1:12">
      <c r="A66" s="871"/>
      <c r="B66" s="576" t="str">
        <f>'BC1'!A76</f>
        <v>Autres frais d'administration 6</v>
      </c>
      <c r="C66" s="173">
        <f>'FG1'!O82+'BC1'!C76</f>
        <v>0</v>
      </c>
      <c r="D66" s="92">
        <f>C66/$C$17</f>
        <v>0</v>
      </c>
      <c r="E66" s="173">
        <f>'FG2'!$O82</f>
        <v>0</v>
      </c>
      <c r="F66" s="92">
        <f>E66/$E$17</f>
        <v>0</v>
      </c>
      <c r="G66" s="173">
        <f>'FG3'!$O82</f>
        <v>0</v>
      </c>
      <c r="H66" s="93">
        <f>G66/$G$17</f>
        <v>0</v>
      </c>
      <c r="I66" s="173">
        <f>'FG4'!$O82</f>
        <v>0</v>
      </c>
      <c r="J66" s="701">
        <f>I66/$I$17</f>
        <v>0</v>
      </c>
      <c r="K66" s="173">
        <f>'FG5'!$O82</f>
        <v>0</v>
      </c>
      <c r="L66" s="702">
        <f>K66/$K$17</f>
        <v>0</v>
      </c>
    </row>
    <row r="67" spans="1:12">
      <c r="A67" s="1208" t="str">
        <f>'BC1'!A77</f>
        <v>FRAIS FINANCIERS</v>
      </c>
      <c r="B67" s="1208"/>
      <c r="C67" s="872">
        <v>1.0000000000000001E-5</v>
      </c>
      <c r="D67" s="92"/>
      <c r="E67" s="173"/>
      <c r="F67" s="92"/>
      <c r="G67" s="872">
        <v>1E-4</v>
      </c>
      <c r="H67" s="93"/>
      <c r="I67" s="173"/>
      <c r="J67" s="701"/>
      <c r="K67" s="173"/>
      <c r="L67" s="702"/>
    </row>
    <row r="68" spans="1:12">
      <c r="A68" s="871"/>
      <c r="B68" s="576" t="str">
        <f>'BC1'!A78</f>
        <v>Frais bancaires</v>
      </c>
      <c r="C68" s="173">
        <f>'FG1'!O85+'BC1'!C78</f>
        <v>1</v>
      </c>
      <c r="D68" s="92">
        <f t="shared" ref="D68:D74" si="16">C68/$C$17</f>
        <v>2.0449897750511246E-5</v>
      </c>
      <c r="E68" s="173">
        <f>'FG2'!$O85</f>
        <v>0</v>
      </c>
      <c r="F68" s="92">
        <f t="shared" ref="F68:F74" si="17">E68/$E$17</f>
        <v>0</v>
      </c>
      <c r="G68" s="173">
        <f>'FG3'!$O85</f>
        <v>0</v>
      </c>
      <c r="H68" s="93">
        <f t="shared" ref="H68:H74" si="18">G68/$G$17</f>
        <v>0</v>
      </c>
      <c r="I68" s="173">
        <f>'FG4'!$O85</f>
        <v>0</v>
      </c>
      <c r="J68" s="701">
        <f t="shared" si="12"/>
        <v>0</v>
      </c>
      <c r="K68" s="173">
        <f>'FG5'!$O85</f>
        <v>0</v>
      </c>
      <c r="L68" s="702">
        <f t="shared" si="4"/>
        <v>0</v>
      </c>
    </row>
    <row r="69" spans="1:12">
      <c r="A69" s="871"/>
      <c r="B69" s="576" t="str">
        <f>'BC1'!A79</f>
        <v>Frais de carte de crédit</v>
      </c>
      <c r="C69" s="173">
        <f>'FG1'!O87+'BC1'!C79</f>
        <v>0</v>
      </c>
      <c r="D69" s="92">
        <f t="shared" si="16"/>
        <v>0</v>
      </c>
      <c r="E69" s="173">
        <f>'FG2'!$O87</f>
        <v>0</v>
      </c>
      <c r="F69" s="92">
        <f t="shared" si="17"/>
        <v>0</v>
      </c>
      <c r="G69" s="173">
        <f>'FG3'!$O87</f>
        <v>0</v>
      </c>
      <c r="H69" s="93">
        <f t="shared" si="18"/>
        <v>0</v>
      </c>
      <c r="I69" s="173">
        <f>'FG4'!$O87</f>
        <v>0</v>
      </c>
      <c r="J69" s="701">
        <f t="shared" si="12"/>
        <v>0</v>
      </c>
      <c r="K69" s="173">
        <f>'FG5'!$O87</f>
        <v>0</v>
      </c>
      <c r="L69" s="702">
        <f t="shared" si="4"/>
        <v>0</v>
      </c>
    </row>
    <row r="70" spans="1:12">
      <c r="A70" s="871"/>
      <c r="B70" s="576" t="str">
        <f>'BC1'!A80</f>
        <v>Autres frais financiers 1</v>
      </c>
      <c r="C70" s="173">
        <f>'FG1'!O89+'BC1'!C80</f>
        <v>0</v>
      </c>
      <c r="D70" s="92">
        <f t="shared" si="16"/>
        <v>0</v>
      </c>
      <c r="E70" s="173">
        <f>'FG2'!$O89</f>
        <v>0</v>
      </c>
      <c r="F70" s="92">
        <f t="shared" si="17"/>
        <v>0</v>
      </c>
      <c r="G70" s="173">
        <f>'FG3'!$O89</f>
        <v>0</v>
      </c>
      <c r="H70" s="93">
        <f t="shared" si="18"/>
        <v>0</v>
      </c>
      <c r="I70" s="173">
        <f>'FG4'!$O89</f>
        <v>0</v>
      </c>
      <c r="J70" s="701">
        <f>I70/$I$17</f>
        <v>0</v>
      </c>
      <c r="K70" s="173">
        <f>'FG5'!$O89</f>
        <v>0</v>
      </c>
      <c r="L70" s="702">
        <f>K70/$K$17</f>
        <v>0</v>
      </c>
    </row>
    <row r="71" spans="1:12">
      <c r="A71" s="871"/>
      <c r="B71" s="576" t="str">
        <f>'BC1'!A81</f>
        <v>Autres frais financiers 2</v>
      </c>
      <c r="C71" s="173">
        <f>'FG1'!O91+'BC1'!C81</f>
        <v>0</v>
      </c>
      <c r="D71" s="92">
        <f t="shared" si="16"/>
        <v>0</v>
      </c>
      <c r="E71" s="173">
        <f>'FG2'!$O91</f>
        <v>0</v>
      </c>
      <c r="F71" s="92">
        <f t="shared" si="17"/>
        <v>0</v>
      </c>
      <c r="G71" s="173">
        <f>'FG3'!$O91</f>
        <v>0</v>
      </c>
      <c r="H71" s="93">
        <f t="shared" si="18"/>
        <v>0</v>
      </c>
      <c r="I71" s="173">
        <f>'FG4'!$O91</f>
        <v>0</v>
      </c>
      <c r="J71" s="701">
        <f>I71/$I$17</f>
        <v>0</v>
      </c>
      <c r="K71" s="173">
        <f>'FG5'!$O91</f>
        <v>0</v>
      </c>
      <c r="L71" s="702">
        <f>K71/$K$17</f>
        <v>0</v>
      </c>
    </row>
    <row r="72" spans="1:12">
      <c r="A72" s="871"/>
      <c r="B72" s="576" t="str">
        <f>'BC1'!A82</f>
        <v>Autres frais financiers 3</v>
      </c>
      <c r="C72" s="173">
        <f>'FG1'!O93+'BC1'!C82</f>
        <v>0</v>
      </c>
      <c r="D72" s="92">
        <f t="shared" si="16"/>
        <v>0</v>
      </c>
      <c r="E72" s="173">
        <f>'FG2'!$O93</f>
        <v>0</v>
      </c>
      <c r="F72" s="92">
        <f t="shared" si="17"/>
        <v>0</v>
      </c>
      <c r="G72" s="173">
        <f>'FG3'!$O93</f>
        <v>0</v>
      </c>
      <c r="H72" s="93">
        <f t="shared" si="18"/>
        <v>0</v>
      </c>
      <c r="I72" s="173">
        <f>'FG4'!$O93</f>
        <v>0</v>
      </c>
      <c r="J72" s="701">
        <f>I72/$I$17</f>
        <v>0</v>
      </c>
      <c r="K72" s="173">
        <f>'FG5'!$O93</f>
        <v>0</v>
      </c>
      <c r="L72" s="702">
        <f>K72/$K$17</f>
        <v>0</v>
      </c>
    </row>
    <row r="73" spans="1:12">
      <c r="A73" s="871"/>
      <c r="B73" s="576" t="str">
        <f>'BC1'!A83</f>
        <v>Autres frais financiers 4</v>
      </c>
      <c r="C73" s="173">
        <f>'FG1'!O95+'BC1'!C83</f>
        <v>0</v>
      </c>
      <c r="D73" s="92">
        <f t="shared" si="16"/>
        <v>0</v>
      </c>
      <c r="E73" s="173">
        <f>'FG2'!$O95</f>
        <v>0</v>
      </c>
      <c r="F73" s="92">
        <f t="shared" si="17"/>
        <v>0</v>
      </c>
      <c r="G73" s="173">
        <f>'FG3'!$O95</f>
        <v>0</v>
      </c>
      <c r="H73" s="93">
        <f t="shared" si="18"/>
        <v>0</v>
      </c>
      <c r="I73" s="173">
        <f>'FG4'!$O95</f>
        <v>0</v>
      </c>
      <c r="J73" s="701">
        <f>I73/$I$17</f>
        <v>0</v>
      </c>
      <c r="K73" s="173">
        <f>'FG5'!$O95</f>
        <v>0</v>
      </c>
      <c r="L73" s="702">
        <f>K73/$K$17</f>
        <v>0</v>
      </c>
    </row>
    <row r="74" spans="1:12">
      <c r="B74" s="576" t="s">
        <v>730</v>
      </c>
      <c r="C74" s="173">
        <f>'BC1'!Q87</f>
        <v>917.00009999999997</v>
      </c>
      <c r="D74" s="92">
        <f t="shared" si="16"/>
        <v>1.8752558282208589E-2</v>
      </c>
      <c r="E74" s="173">
        <f>'BC2'!$P$85</f>
        <v>732.00009999999997</v>
      </c>
      <c r="F74" s="92">
        <f t="shared" si="17"/>
        <v>1.4256502093680007E-2</v>
      </c>
      <c r="G74" s="173">
        <f>'BC3'!$P$85</f>
        <v>538.00009999999997</v>
      </c>
      <c r="H74" s="93">
        <f t="shared" si="18"/>
        <v>9.9791809839136734E-3</v>
      </c>
      <c r="I74" s="173">
        <f>'BC4'!$P$85</f>
        <v>335.00009999999997</v>
      </c>
      <c r="J74" s="701">
        <f t="shared" si="12"/>
        <v>6.2138029854068412E-3</v>
      </c>
      <c r="K74" s="173">
        <f>'BC5'!$P$85</f>
        <v>120.0001</v>
      </c>
      <c r="L74" s="702">
        <f t="shared" si="4"/>
        <v>2.2258410658060087E-3</v>
      </c>
    </row>
    <row r="75" spans="1:12">
      <c r="A75" s="586"/>
      <c r="B75" s="586"/>
      <c r="C75" s="173"/>
      <c r="D75" s="89"/>
      <c r="E75" s="173"/>
      <c r="F75" s="89"/>
      <c r="G75" s="872">
        <v>1E-4</v>
      </c>
      <c r="H75" s="84"/>
      <c r="I75" s="691"/>
      <c r="J75" s="695"/>
      <c r="K75" s="691"/>
      <c r="L75" s="697"/>
    </row>
    <row r="76" spans="1:12">
      <c r="C76" s="175"/>
      <c r="D76" s="91"/>
      <c r="E76" s="175"/>
      <c r="F76" s="91"/>
      <c r="G76" s="1091">
        <v>1E-4</v>
      </c>
      <c r="H76" s="89"/>
      <c r="I76" s="698"/>
      <c r="J76" s="699"/>
      <c r="K76" s="698"/>
      <c r="L76" s="695"/>
    </row>
    <row r="77" spans="1:12">
      <c r="A77" s="578" t="s">
        <v>731</v>
      </c>
      <c r="C77" s="172">
        <f>-SUM(C29:C74)</f>
        <v>-53219.000310000003</v>
      </c>
      <c r="D77" s="94">
        <f>-C77/C17</f>
        <v>1.0883231147239265</v>
      </c>
      <c r="E77" s="172">
        <f>-SUM(E29:E74)</f>
        <v>-54074.400099999992</v>
      </c>
      <c r="F77" s="94">
        <f>-E77/E17</f>
        <v>1.0531580504430809</v>
      </c>
      <c r="G77" s="172">
        <f>-SUM(G29:G74)</f>
        <v>-54943.4084</v>
      </c>
      <c r="H77" s="89">
        <f>-G77/G17</f>
        <v>1.0191266066617513</v>
      </c>
      <c r="I77" s="700">
        <f>-SUM(I29:I74)</f>
        <v>-55832.35626</v>
      </c>
      <c r="J77" s="701">
        <f>-I77/$I$17</f>
        <v>1.0356153983556613</v>
      </c>
      <c r="K77" s="700">
        <f>-SUM(K29:K74)</f>
        <v>-56726.583383199992</v>
      </c>
      <c r="L77" s="682">
        <f>-K77/K17</f>
        <v>1.0522021133081998</v>
      </c>
    </row>
    <row r="78" spans="1:12">
      <c r="A78" s="586"/>
      <c r="B78" s="586"/>
      <c r="C78" s="174"/>
      <c r="D78" s="95"/>
      <c r="E78" s="174"/>
      <c r="F78" s="95"/>
      <c r="G78" s="1092">
        <v>1E-4</v>
      </c>
      <c r="H78" s="84"/>
      <c r="I78" s="696"/>
      <c r="J78" s="703"/>
      <c r="K78" s="696"/>
      <c r="L78" s="697"/>
    </row>
    <row r="79" spans="1:12">
      <c r="C79" s="96"/>
      <c r="D79" s="94"/>
      <c r="E79" s="96"/>
      <c r="F79" s="94"/>
      <c r="G79" s="1093">
        <v>1E-4</v>
      </c>
      <c r="H79" s="89"/>
      <c r="I79" s="704"/>
      <c r="J79" s="705"/>
      <c r="K79" s="704"/>
      <c r="L79" s="695"/>
    </row>
    <row r="80" spans="1:12">
      <c r="A80" s="578" t="s">
        <v>231</v>
      </c>
      <c r="C80" s="96"/>
      <c r="D80" s="94"/>
      <c r="E80" s="96"/>
      <c r="F80" s="94"/>
      <c r="G80" s="1093">
        <v>1E-4</v>
      </c>
      <c r="H80" s="89"/>
      <c r="I80" s="704"/>
      <c r="J80" s="705"/>
      <c r="K80" s="704"/>
      <c r="L80" s="695"/>
    </row>
    <row r="81" spans="1:18">
      <c r="C81" s="97"/>
      <c r="D81" s="98"/>
      <c r="E81" s="97"/>
      <c r="F81" s="98"/>
      <c r="G81" s="1094">
        <v>1E-4</v>
      </c>
      <c r="H81" s="89"/>
      <c r="I81" s="706"/>
      <c r="J81" s="707"/>
      <c r="K81" s="706"/>
      <c r="L81" s="695"/>
    </row>
    <row r="82" spans="1:18">
      <c r="B82" s="576" t="str">
        <f>'AE1'!A26</f>
        <v>Subventions</v>
      </c>
      <c r="C82" s="96">
        <f>'AE1'!P26+0.01+'BC1'!C24+(A!I15*A!H15)+(A!I16*A!H16)+(A!I17*A!H17)+(A!I18*A!H18)+(A!I19*A!H19)+(A!I20*A!H20)+(A!I21*A!H21)+(A!I22*A!H22)+(A!I23*A!H23)+(A!I24*A!H24)+(A!I25*A!H25)</f>
        <v>0.01</v>
      </c>
      <c r="D82" s="92">
        <f t="shared" ref="D82:D87" si="19">C82/$C$17</f>
        <v>2.0449897750511249E-7</v>
      </c>
      <c r="E82" s="96">
        <f>('AE2'!P26+0.01)+(A!I33*A!H33)+(A!I34*A!H34)+(A!I35*A!H35)+(A!I36*A!H36)+(A!I37*A!H37)+(A!I38*A!H38)+(A!I39*A!H39)+(A!I40*A!H40)+(A!I41*A!H41)+(A!I42*A!H42)+(A!I43*A!H43)</f>
        <v>0.01</v>
      </c>
      <c r="F82" s="92">
        <f t="shared" ref="F82:F87" si="20">E82/$E$17</f>
        <v>1.9476093095724998E-7</v>
      </c>
      <c r="G82" s="96">
        <f>('AE3'!P26+0.01)+(A!I51*A!H51)+(A!I52*A!H52)+(A!I53*A!H53)+(A!I54*A!H54)+(A!I55*A!H55)+(A!I56*A!H56)+(A!I57*A!H57)+(A!I58*A!H58)+(A!I59*A!H59)+(A!I78*A!H78)+(A!I61*A!H61)</f>
        <v>0.01</v>
      </c>
      <c r="H82" s="93">
        <f t="shared" ref="H82:H87" si="21">G82/$G$17</f>
        <v>1.8548660091166665E-7</v>
      </c>
      <c r="I82" s="96">
        <f>('AE4'!P26+0.01)+(A!I69*A!H69)+(A!I70*A!H70)+(A!I71*A!H71)+(A!I72*A!H72)+(A!I73*A!H73)+(A!I74*A!H74)+(A!I75*A!H75)+(A!I76*A!H76)+(A!I77*A!H77)+(A!I78*A!H78)+(A!I79*A!H79)</f>
        <v>0.01</v>
      </c>
      <c r="J82" s="701">
        <f t="shared" ref="J82:J87" si="22">I82/$I$17</f>
        <v>1.8548660091166665E-7</v>
      </c>
      <c r="K82" s="96">
        <f>('AE5'!P26+0.01)+(A!I87*A!H87)+(A!I88*A!H88)+(A!I89*A!H89)+(A!I90*A!H90)+(A!I91*A!H91)+(A!I92*A!H92)+(A!I93*A!H93)+(A!I94*A!H94)+(A!I95*A!H95)+(A!I96*A!H96)+(A!I97*A!H97)</f>
        <v>0.01</v>
      </c>
      <c r="L82" s="702">
        <f t="shared" ref="L82:L87" si="23">K82/$K$17</f>
        <v>1.8548660091166665E-7</v>
      </c>
    </row>
    <row r="83" spans="1:18">
      <c r="B83" s="576" t="str">
        <f>'AE1'!A16</f>
        <v>Autres revenus 1</v>
      </c>
      <c r="C83" s="96">
        <f>'AE1'!P16</f>
        <v>0</v>
      </c>
      <c r="D83" s="92">
        <f t="shared" si="19"/>
        <v>0</v>
      </c>
      <c r="E83" s="96">
        <f>IF(C83=0,'AE2'!P16,'AE2'!P16+0.01)</f>
        <v>0</v>
      </c>
      <c r="F83" s="92">
        <f t="shared" si="20"/>
        <v>0</v>
      </c>
      <c r="G83" s="173">
        <f>IF(C83=0,'AE3'!P16,'AE3'!P16+0.01)</f>
        <v>0</v>
      </c>
      <c r="H83" s="93">
        <f t="shared" si="21"/>
        <v>0</v>
      </c>
      <c r="I83" s="708">
        <f>IF(G83=0,'AE4'!P16,'AE4'!P16+0.01)</f>
        <v>0</v>
      </c>
      <c r="J83" s="701">
        <f t="shared" si="22"/>
        <v>0</v>
      </c>
      <c r="K83" s="693">
        <f>IF(I83=0,'AE5'!P16,'AE5'!P16+0.01)</f>
        <v>0</v>
      </c>
      <c r="L83" s="702">
        <f t="shared" si="23"/>
        <v>0</v>
      </c>
    </row>
    <row r="84" spans="1:18">
      <c r="B84" s="576" t="str">
        <f>'AE1'!A17</f>
        <v>Autres revenus 2</v>
      </c>
      <c r="C84" s="96">
        <f>'AE1'!P17</f>
        <v>0</v>
      </c>
      <c r="D84" s="92">
        <f t="shared" si="19"/>
        <v>0</v>
      </c>
      <c r="E84" s="96">
        <f>IF(C84=0,'AE2'!P17,'AE2'!P17+0.01)</f>
        <v>0</v>
      </c>
      <c r="F84" s="92">
        <f t="shared" si="20"/>
        <v>0</v>
      </c>
      <c r="G84" s="173">
        <f>IF(C84=0,'AE3'!P17,'AE3'!P17+0.01)</f>
        <v>0</v>
      </c>
      <c r="H84" s="93">
        <f t="shared" si="21"/>
        <v>0</v>
      </c>
      <c r="I84" s="708">
        <f>IF(G84=0,'AE4'!P17,'AE4'!P17+0.01)</f>
        <v>0</v>
      </c>
      <c r="J84" s="701">
        <f t="shared" si="22"/>
        <v>0</v>
      </c>
      <c r="K84" s="693">
        <f>IF(I84=0,'AE5'!P17,'AE5'!P17+0.01)</f>
        <v>0</v>
      </c>
      <c r="L84" s="702">
        <f t="shared" si="23"/>
        <v>0</v>
      </c>
    </row>
    <row r="85" spans="1:18">
      <c r="B85" s="576" t="str">
        <f>'AE1'!A18</f>
        <v>Autres revenus 3</v>
      </c>
      <c r="C85" s="96">
        <f>'AE1'!P18</f>
        <v>0</v>
      </c>
      <c r="D85" s="92">
        <f t="shared" si="19"/>
        <v>0</v>
      </c>
      <c r="E85" s="96">
        <f>IF(C85=0,'AE2'!P18,'AE2'!P18+0.01)</f>
        <v>0</v>
      </c>
      <c r="F85" s="92">
        <f t="shared" si="20"/>
        <v>0</v>
      </c>
      <c r="G85" s="173">
        <f>IF(C85=0,'AE3'!P18,'AE3'!P18+0.01)</f>
        <v>0</v>
      </c>
      <c r="H85" s="93">
        <f t="shared" si="21"/>
        <v>0</v>
      </c>
      <c r="I85" s="708">
        <f>IF(G85=0,'AE4'!P18,'AE4'!P18+0.01)</f>
        <v>0</v>
      </c>
      <c r="J85" s="701">
        <f t="shared" si="22"/>
        <v>0</v>
      </c>
      <c r="K85" s="693">
        <f>IF(I85=0,'AE5'!P18,'AE5'!P18+0.01)</f>
        <v>0</v>
      </c>
      <c r="L85" s="702">
        <f t="shared" si="23"/>
        <v>0</v>
      </c>
    </row>
    <row r="86" spans="1:18">
      <c r="B86" s="576" t="str">
        <f>'AE1'!A19</f>
        <v>Autres revenus 4</v>
      </c>
      <c r="C86" s="96">
        <f>'AE1'!P19</f>
        <v>0</v>
      </c>
      <c r="D86" s="92">
        <f t="shared" si="19"/>
        <v>0</v>
      </c>
      <c r="E86" s="96">
        <f>IF(C86=0,'AE2'!P19,'AE2'!P19+0.01)</f>
        <v>0</v>
      </c>
      <c r="F86" s="92">
        <f t="shared" si="20"/>
        <v>0</v>
      </c>
      <c r="G86" s="173">
        <f>IF(C86=0,'AE3'!P19,'AE3'!P19+0.01)</f>
        <v>0</v>
      </c>
      <c r="H86" s="93">
        <f t="shared" si="21"/>
        <v>0</v>
      </c>
      <c r="I86" s="708">
        <f>IF(G86=0,'AE4'!P19,'AE4'!P19+0.01)</f>
        <v>0</v>
      </c>
      <c r="J86" s="701">
        <f t="shared" si="22"/>
        <v>0</v>
      </c>
      <c r="K86" s="693">
        <f>IF(I86=0,'AE5'!P19,'AE5'!P19+0.01)</f>
        <v>0</v>
      </c>
      <c r="L86" s="702">
        <f t="shared" si="23"/>
        <v>0</v>
      </c>
    </row>
    <row r="87" spans="1:18">
      <c r="B87" s="576" t="str">
        <f>'AE1'!A20</f>
        <v>Autres revenus 5</v>
      </c>
      <c r="C87" s="96">
        <f>'AE1'!P20</f>
        <v>0</v>
      </c>
      <c r="D87" s="92">
        <f t="shared" si="19"/>
        <v>0</v>
      </c>
      <c r="E87" s="96">
        <f>IF(C87=0,'AE2'!P20,'AE2'!P20+0.01)</f>
        <v>0</v>
      </c>
      <c r="F87" s="92">
        <f t="shared" si="20"/>
        <v>0</v>
      </c>
      <c r="G87" s="173">
        <f>IF(C87=0,'AE3'!P20,'AE3'!P20+0.01)</f>
        <v>0</v>
      </c>
      <c r="H87" s="93">
        <f t="shared" si="21"/>
        <v>0</v>
      </c>
      <c r="I87" s="708">
        <f>IF(G87=0,'AE4'!P20,'AE4'!P20+0.01)</f>
        <v>0</v>
      </c>
      <c r="J87" s="701">
        <f t="shared" si="22"/>
        <v>0</v>
      </c>
      <c r="K87" s="693">
        <f>IF(I87=0,'AE5'!P20,'AE5'!P20+0.01)</f>
        <v>0</v>
      </c>
      <c r="L87" s="702">
        <f t="shared" si="23"/>
        <v>0</v>
      </c>
      <c r="R87" s="173"/>
    </row>
    <row r="88" spans="1:18">
      <c r="C88" s="173"/>
      <c r="D88" s="1"/>
      <c r="E88" s="173"/>
      <c r="F88" s="1"/>
      <c r="G88" s="872">
        <v>1.0000000000000001E-5</v>
      </c>
      <c r="H88" s="89"/>
      <c r="I88" s="691"/>
      <c r="J88" s="692"/>
      <c r="K88" s="691"/>
      <c r="L88" s="695"/>
    </row>
    <row r="89" spans="1:18">
      <c r="A89" s="600" t="str">
        <f>IF(RG!$A$74=4,"SURPLUS DÉGAGÉS AVANT AMORTISSEMENT",IF(RG!$A$74=3,"BÉNÉFICE NET (PERTE NETTE) AVANT AMORTISSEMENT ET IMPÔT","BÉNÉFICE NET (PERTE NETTE) AVANT AMORTISSEMENT"))</f>
        <v>BÉNÉFICE NET (PERTE NETTE) AVANT AMORTISSEMENT ET IMPÔT</v>
      </c>
      <c r="C89" s="172">
        <f>C25+C77+C82+C83+C84+C85+C86+C87</f>
        <v>-5526.9903100000029</v>
      </c>
      <c r="D89" s="81">
        <f>C89/$C$17</f>
        <v>-0.11302638670756653</v>
      </c>
      <c r="E89" s="172">
        <f>E25+E77+E82+E83+E84+E85+E86+E87</f>
        <v>-3998.3900999999914</v>
      </c>
      <c r="F89" s="92">
        <f>E89/$E$17</f>
        <v>-7.7873017820625015E-2</v>
      </c>
      <c r="G89" s="172">
        <f>G25+G77+G82+G83+G84+G85+G86+G87</f>
        <v>-2360.1484</v>
      </c>
      <c r="H89" s="93">
        <f>G89/$G$17</f>
        <v>-4.3777590436310861E-2</v>
      </c>
      <c r="I89" s="700">
        <f>I25+I77+I82+I83+I84+I85+I86+I87</f>
        <v>-3249.0962600000003</v>
      </c>
      <c r="J89" s="701">
        <f>I89/$I$17</f>
        <v>-6.0266382130220876E-2</v>
      </c>
      <c r="K89" s="700">
        <f>K25+K77+K82+K83+K84+K85+K86+K87</f>
        <v>-4143.3233831999914</v>
      </c>
      <c r="L89" s="702">
        <f>K89/$K$17</f>
        <v>-7.6853097082759322E-2</v>
      </c>
    </row>
    <row r="90" spans="1:18">
      <c r="A90" s="586"/>
      <c r="B90" s="586"/>
      <c r="C90" s="174"/>
      <c r="D90" s="84"/>
      <c r="E90" s="174"/>
      <c r="F90" s="84"/>
      <c r="G90" s="1092">
        <v>1E-4</v>
      </c>
      <c r="H90" s="99"/>
      <c r="I90" s="696"/>
      <c r="J90" s="697"/>
      <c r="K90" s="696"/>
      <c r="L90" s="709"/>
    </row>
    <row r="91" spans="1:18">
      <c r="C91" s="173"/>
      <c r="D91" s="1"/>
      <c r="E91" s="173"/>
      <c r="F91" s="1"/>
      <c r="G91" s="872">
        <v>1E-4</v>
      </c>
      <c r="H91" s="93"/>
      <c r="I91" s="691"/>
      <c r="J91" s="692"/>
      <c r="K91" s="691"/>
      <c r="L91" s="710"/>
    </row>
    <row r="92" spans="1:18">
      <c r="A92" s="578" t="s">
        <v>568</v>
      </c>
      <c r="C92" s="173">
        <f>-A!H28</f>
        <v>-10200</v>
      </c>
      <c r="D92" s="81">
        <f>-C92/$C$17</f>
        <v>0.20858895705521471</v>
      </c>
      <c r="E92" s="173">
        <f>-A!H46</f>
        <v>-5172.5</v>
      </c>
      <c r="F92" s="92">
        <f>-E92/$E$17</f>
        <v>0.10074009153763755</v>
      </c>
      <c r="G92" s="173">
        <f>-A!H64</f>
        <v>-2648.875</v>
      </c>
      <c r="H92" s="93">
        <f>-G92/$G$17</f>
        <v>4.9133081998989095E-2</v>
      </c>
      <c r="I92" s="693">
        <f>-A!H82</f>
        <v>-1378.5687499999999</v>
      </c>
      <c r="J92" s="711">
        <f>-I92/$I$17</f>
        <v>2.5570603156054514E-2</v>
      </c>
      <c r="K92" s="693">
        <f>-A!H100</f>
        <v>-736.10593749999998</v>
      </c>
      <c r="L92" s="712">
        <f>-K92/$K$17</f>
        <v>1.3653778825777072E-2</v>
      </c>
    </row>
    <row r="93" spans="1:18">
      <c r="A93" s="586"/>
      <c r="B93" s="586"/>
      <c r="C93" s="174"/>
      <c r="D93" s="84"/>
      <c r="E93" s="174"/>
      <c r="F93" s="84"/>
      <c r="G93" s="1092">
        <v>1E-4</v>
      </c>
      <c r="H93" s="99"/>
      <c r="I93" s="696"/>
      <c r="J93" s="697"/>
      <c r="K93" s="696"/>
      <c r="L93" s="709"/>
    </row>
    <row r="94" spans="1:18">
      <c r="A94" s="590"/>
      <c r="B94" s="590"/>
      <c r="C94" s="175"/>
      <c r="D94" s="91"/>
      <c r="E94" s="175"/>
      <c r="F94" s="91"/>
      <c r="G94" s="1091">
        <v>1E-4</v>
      </c>
      <c r="H94" s="93"/>
      <c r="I94" s="698"/>
      <c r="J94" s="699"/>
      <c r="K94" s="698"/>
      <c r="L94" s="710"/>
    </row>
    <row r="95" spans="1:18">
      <c r="A95" s="600" t="str">
        <f>IF(RG!$A$74&gt;3,"SURPLUS DE L'EXERCICE","BÉNÉFICE NET (PERTE NETTE) AVANT IMPÔT")</f>
        <v>BÉNÉFICE NET (PERTE NETTE) AVANT IMPÔT</v>
      </c>
      <c r="C95" s="172">
        <f>IF(RG!$A$78&gt;2,C89+C92,IF(RG!$A$78&lt;3,C89+C92,0))</f>
        <v>-15726.990310000003</v>
      </c>
      <c r="D95" s="81">
        <f>C95/$C$17</f>
        <v>-0.32161534376278123</v>
      </c>
      <c r="E95" s="172">
        <f>IF(RG!$A$78&gt;2,E89+E92,IF(RG!$A$78&lt;3,E89+E92,0))</f>
        <v>-9170.8900999999914</v>
      </c>
      <c r="F95" s="81">
        <f>E95/$E$17</f>
        <v>-0.17861310935826258</v>
      </c>
      <c r="G95" s="172">
        <f>IF(RG!$A$78&gt;2,G89+G92,IF(RG!$A$78&lt;3,G89+G92,0))</f>
        <v>-5009.0234</v>
      </c>
      <c r="H95" s="93">
        <f>G95/$G$17</f>
        <v>-9.2910672435299962E-2</v>
      </c>
      <c r="I95" s="700">
        <f>IF(RG!$A$78&gt;2,I89+I92,IF(RG!$A$78&lt;3,I89+I92,0))</f>
        <v>-4627.6650100000006</v>
      </c>
      <c r="J95" s="701">
        <f>I95/$I$17</f>
        <v>-8.5836985286275397E-2</v>
      </c>
      <c r="K95" s="700">
        <f>IF(RG!$A$78&gt;2,K89+K92,IF(RG!$A$78&lt;3,K89+K92,0))</f>
        <v>-4879.4293206999919</v>
      </c>
      <c r="L95" s="702">
        <f>K95/$K$17</f>
        <v>-9.0506875908536413E-2</v>
      </c>
    </row>
    <row r="96" spans="1:18">
      <c r="A96" s="586"/>
      <c r="B96" s="586"/>
      <c r="C96" s="174"/>
      <c r="D96" s="84"/>
      <c r="E96" s="174"/>
      <c r="F96" s="84"/>
      <c r="G96" s="1092">
        <v>1E-4</v>
      </c>
      <c r="H96" s="99"/>
      <c r="I96" s="696"/>
      <c r="J96" s="697"/>
      <c r="K96" s="696"/>
      <c r="L96" s="709"/>
    </row>
    <row r="97" spans="1:12">
      <c r="C97" s="1"/>
      <c r="D97" s="1"/>
      <c r="E97" s="173"/>
      <c r="F97" s="1"/>
      <c r="G97" s="872">
        <v>1E-4</v>
      </c>
      <c r="H97" s="93"/>
      <c r="I97" s="691"/>
      <c r="J97" s="692"/>
      <c r="K97" s="691"/>
      <c r="L97" s="710"/>
    </row>
    <row r="98" spans="1:12">
      <c r="A98" s="578" t="str">
        <f>IF(RG!$A$74=3,"IMPÔT DES SOCIÉTÉS","IMPÔT SUR LE REVENU")</f>
        <v>IMPÔT DES SOCIÉTÉS</v>
      </c>
      <c r="C98" s="173">
        <f>IF(C95&lt;0,0,IF(RG!$A$74&gt;3,MIN((DG!$B$35*C95),0),IF(RG!$A$74&lt;4,-C95*DG!B35,0))+RD!H27)</f>
        <v>0</v>
      </c>
      <c r="D98" s="93">
        <f>-C98/$C$17</f>
        <v>0</v>
      </c>
      <c r="E98" s="173">
        <f>IF(E95&lt;0,0,IF(RG!A74&gt;3,MIN((DG!$C$35*E95),0),IF(RG!$A$74&lt;4,-E95*DG!C35,0))+RD!J27)</f>
        <v>0</v>
      </c>
      <c r="F98" s="93">
        <f>-E98/$E$17</f>
        <v>0</v>
      </c>
      <c r="G98" s="173">
        <f>IF(G95&lt;0,0,IF(RG!A74&gt;3,MIN((DG!$D$35*G95),0),IF(RG!$A$74&lt;4,-G95*DG!D35,0))+RD!L27)</f>
        <v>0</v>
      </c>
      <c r="H98" s="93">
        <f>-G98/$G$17</f>
        <v>0</v>
      </c>
      <c r="I98" s="693">
        <f>IF(I95&lt;0,0,IF(RG!A74&gt;3,MIN((DG!$E$35*I95),0),IF(RG!$A$74&lt;4,-I95*DG!E35,0))+RD!N27)</f>
        <v>0</v>
      </c>
      <c r="J98" s="694">
        <f>-I98/$I$17</f>
        <v>0</v>
      </c>
      <c r="K98" s="693">
        <f>IF(K95&lt;0,0,IF(RG!A74&gt;3,MIN((DG!$F$35*K95),0),IF(RG!$A$74&lt;4,-K95*DG!F35,0))+RD!P27)</f>
        <v>0</v>
      </c>
      <c r="L98" s="682">
        <f>-K98/$K$17</f>
        <v>0</v>
      </c>
    </row>
    <row r="99" spans="1:12">
      <c r="A99" s="586"/>
      <c r="B99" s="586"/>
      <c r="C99" s="174"/>
      <c r="D99" s="84"/>
      <c r="E99" s="174"/>
      <c r="F99" s="84"/>
      <c r="G99" s="1092">
        <v>1E-4</v>
      </c>
      <c r="H99" s="99"/>
      <c r="I99" s="696"/>
      <c r="J99" s="697"/>
      <c r="K99" s="696"/>
      <c r="L99" s="709"/>
    </row>
    <row r="100" spans="1:12" ht="19.5" customHeight="1" thickBot="1">
      <c r="A100" s="601" t="str">
        <f>IF(RG!$A$74=4,"SURPLUS (DÉFICIT) NET DE L'EXERCICE","BÉNÉFICE NET (PERTE NETTE) DE L'EXERCICE")</f>
        <v>BÉNÉFICE NET (PERTE NETTE) DE L'EXERCICE</v>
      </c>
      <c r="B100" s="583"/>
      <c r="C100" s="176">
        <f>C95+C98</f>
        <v>-15726.990310000003</v>
      </c>
      <c r="D100" s="101">
        <f>C100/$C$17</f>
        <v>-0.32161534376278123</v>
      </c>
      <c r="E100" s="176">
        <f>E95+E98</f>
        <v>-9170.8900999999914</v>
      </c>
      <c r="F100" s="101">
        <f>E100/$E$17</f>
        <v>-0.17861310935826258</v>
      </c>
      <c r="G100" s="176">
        <f>G95+G98</f>
        <v>-5009.0234</v>
      </c>
      <c r="H100" s="102">
        <f>G100/$G$17</f>
        <v>-9.2910672435299962E-2</v>
      </c>
      <c r="I100" s="176">
        <f>I95+I98</f>
        <v>-4627.6650100000006</v>
      </c>
      <c r="J100" s="713">
        <f>I100/$I$17</f>
        <v>-8.5836985286275397E-2</v>
      </c>
      <c r="K100" s="176">
        <f>K95+K98</f>
        <v>-4879.4293206999919</v>
      </c>
      <c r="L100" s="713">
        <f>K100/$K$17</f>
        <v>-9.0506875908536413E-2</v>
      </c>
    </row>
    <row r="101" spans="1:12" ht="13.5" thickTop="1"/>
    <row r="102" spans="1:12">
      <c r="A102" s="584"/>
    </row>
    <row r="105" spans="1:12">
      <c r="A105" s="587"/>
    </row>
    <row r="106" spans="1:12">
      <c r="E106" s="593"/>
      <c r="G106" s="593"/>
      <c r="I106" s="593"/>
      <c r="K106" s="593"/>
    </row>
  </sheetData>
  <sheetProtection password="E242" sheet="1" objects="1" scenarios="1"/>
  <autoFilter ref="B15:G100" xr:uid="{00000000-0009-0000-0000-00003C000000}"/>
  <customSheetViews>
    <customSheetView guid="{30D0538C-360A-4CDF-8D89-584CED1967CC}" scale="80" showGridLines="0" outlineSymbols="0" fitToPage="1" showAutoFilter="1">
      <selection activeCell="F8" sqref="F8"/>
      <pageMargins left="0.78740157499999996" right="0.78740157499999996" top="0.984251969" bottom="0.984251969" header="0.4921259845" footer="0.4921259845"/>
      <pageSetup scale="47" orientation="portrait" r:id="rId1"/>
      <headerFooter alignWithMargins="0">
        <oddHeader>&amp;RPRF - 2</oddHeader>
      </headerFooter>
      <autoFilter ref="B15:G82" xr:uid="{44C40AC1-6BA4-44C8-A724-67B858E114AB}"/>
    </customSheetView>
    <customSheetView guid="{4F3169C3-3348-49DE-A6DC-8AA4D2A9D7A1}" scale="80" showGridLines="0" outlineSymbols="0" fitToPage="1" showAutoFilter="1">
      <selection activeCell="F8" sqref="F8"/>
      <pageMargins left="0.78740157499999996" right="0.78740157499999996" top="0.984251969" bottom="0.984251969" header="0.4921259845" footer="0.4921259845"/>
      <pageSetup scale="47" orientation="portrait" r:id="rId2"/>
      <headerFooter alignWithMargins="0">
        <oddHeader>&amp;RPRF - 2</oddHeader>
      </headerFooter>
      <autoFilter ref="B15:G82" xr:uid="{B66E16A3-BA3B-41C2-A35C-80FCBD40C750}"/>
    </customSheetView>
  </customSheetViews>
  <mergeCells count="5">
    <mergeCell ref="A67:B67"/>
    <mergeCell ref="A14:B14"/>
    <mergeCell ref="A28:B28"/>
    <mergeCell ref="A45:B45"/>
    <mergeCell ref="A53:B53"/>
  </mergeCells>
  <phoneticPr fontId="0" type="noConversion"/>
  <pageMargins left="0.78740157499999996" right="0.78740157499999996" top="0.984251969" bottom="0.984251969" header="0.4921259845" footer="0.4921259845"/>
  <pageSetup scale="49" orientation="portrait" r:id="rId3"/>
  <headerFooter alignWithMargins="0">
    <oddHeader>&amp;RPRF - 2</oddHeader>
  </headerFooter>
  <drawing r:id="rId4"/>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10">
    <pageSetUpPr fitToPage="1"/>
  </sheetPr>
  <dimension ref="A3:Q82"/>
  <sheetViews>
    <sheetView showGridLines="0" showOutlineSymbols="0" topLeftCell="A43" zoomScale="80" zoomScaleNormal="80" workbookViewId="0">
      <selection activeCell="J85" sqref="J85"/>
    </sheetView>
  </sheetViews>
  <sheetFormatPr baseColWidth="10" defaultColWidth="11.453125" defaultRowHeight="13"/>
  <cols>
    <col min="1" max="1" width="5" style="44" customWidth="1"/>
    <col min="2" max="2" width="5.6328125" style="44" customWidth="1"/>
    <col min="3" max="3" width="37.36328125" style="44" customWidth="1"/>
    <col min="4" max="4" width="15.6328125" style="44" customWidth="1"/>
    <col min="5" max="5" width="2.81640625" style="44" customWidth="1"/>
    <col min="6" max="6" width="15.6328125" style="44" customWidth="1"/>
    <col min="7" max="7" width="2.81640625" style="44" customWidth="1"/>
    <col min="8" max="8" width="15.6328125" style="44" customWidth="1"/>
    <col min="9" max="9" width="2.81640625" style="44" customWidth="1"/>
    <col min="10" max="10" width="15.6328125" style="44" customWidth="1"/>
    <col min="11" max="11" width="2.81640625" style="44" customWidth="1"/>
    <col min="12" max="12" width="15.6328125" style="764" customWidth="1"/>
    <col min="13" max="13" width="2.81640625" style="764" customWidth="1"/>
    <col min="14" max="14" width="15.6328125" style="764" customWidth="1"/>
    <col min="15" max="16384" width="11.453125" style="43"/>
  </cols>
  <sheetData>
    <row r="3" spans="1:14">
      <c r="A3" s="116"/>
    </row>
    <row r="4" spans="1:14">
      <c r="A4" s="80"/>
    </row>
    <row r="5" spans="1:14">
      <c r="A5" s="80"/>
    </row>
    <row r="6" spans="1:14">
      <c r="A6" s="80"/>
    </row>
    <row r="7" spans="1:14">
      <c r="A7" s="80"/>
    </row>
    <row r="8" spans="1:14" ht="33">
      <c r="A8" s="120" t="str">
        <f>RG!D17</f>
        <v>Jhon Wesly inc.</v>
      </c>
    </row>
    <row r="10" spans="1:14" ht="15">
      <c r="A10" s="45" t="s">
        <v>588</v>
      </c>
    </row>
    <row r="11" spans="1:14">
      <c r="A11" s="46" t="s">
        <v>391</v>
      </c>
    </row>
    <row r="12" spans="1:14" ht="12.75" customHeight="1">
      <c r="A12" s="46"/>
      <c r="F12" s="177" t="s">
        <v>130</v>
      </c>
      <c r="H12" s="177" t="s">
        <v>130</v>
      </c>
      <c r="J12" s="177" t="s">
        <v>130</v>
      </c>
      <c r="L12" s="177" t="s">
        <v>130</v>
      </c>
      <c r="M12" s="44"/>
      <c r="N12" s="177" t="s">
        <v>130</v>
      </c>
    </row>
    <row r="13" spans="1:14" ht="15" customHeight="1" thickBot="1">
      <c r="D13" s="185" t="s">
        <v>584</v>
      </c>
      <c r="E13" s="185"/>
      <c r="F13" s="169">
        <f>'BC1'!O13</f>
        <v>45627</v>
      </c>
      <c r="G13" s="177"/>
      <c r="H13" s="169">
        <f>'BC2'!$N$13</f>
        <v>45992</v>
      </c>
      <c r="I13" s="177"/>
      <c r="J13" s="169">
        <f>'BC3'!$N$13</f>
        <v>46357</v>
      </c>
      <c r="K13" s="177"/>
      <c r="L13" s="169">
        <f>'BC4'!$N$13</f>
        <v>46722</v>
      </c>
      <c r="M13" s="765"/>
      <c r="N13" s="169">
        <f>'BC5'!$N$13</f>
        <v>47088</v>
      </c>
    </row>
    <row r="14" spans="1:14">
      <c r="C14" s="177" t="s">
        <v>412</v>
      </c>
    </row>
    <row r="15" spans="1:14">
      <c r="A15" s="46" t="s">
        <v>378</v>
      </c>
      <c r="E15" s="1"/>
      <c r="G15" s="1"/>
      <c r="I15" s="1"/>
      <c r="K15" s="1"/>
      <c r="M15" s="1"/>
    </row>
    <row r="16" spans="1:14">
      <c r="E16" s="1"/>
      <c r="G16" s="1"/>
      <c r="I16" s="1"/>
      <c r="J16" s="1095">
        <v>1E-4</v>
      </c>
      <c r="K16" s="1"/>
      <c r="M16" s="1"/>
    </row>
    <row r="17" spans="1:14">
      <c r="B17" s="44" t="s">
        <v>49</v>
      </c>
      <c r="D17" s="112">
        <f>IF(RG!A117=1,D76-D37-D20-D19-D18,D76-D37-D20-D19-D18)</f>
        <v>3399.1025</v>
      </c>
      <c r="E17" s="112"/>
      <c r="F17" s="112">
        <f>F76-F37-F21-F20-F19-F18</f>
        <v>474.02068999999756</v>
      </c>
      <c r="G17" s="112"/>
      <c r="H17" s="112">
        <f>H76-H37-H20-H19-H18-H21</f>
        <v>233.64059000000634</v>
      </c>
      <c r="I17" s="884"/>
      <c r="J17" s="112">
        <f>J76-J37-J20-J19-J18-J21</f>
        <v>438.48219000000654</v>
      </c>
      <c r="K17" s="884"/>
      <c r="L17" s="112">
        <f>L76-L37-L20-L19-L18-L21</f>
        <v>13.385930000002846</v>
      </c>
      <c r="M17" s="884"/>
      <c r="N17" s="112">
        <f>N76-N37-N20-N19-N18-N21</f>
        <v>479.06254680001166</v>
      </c>
    </row>
    <row r="18" spans="1:14">
      <c r="B18" s="44" t="s">
        <v>585</v>
      </c>
      <c r="D18" s="112">
        <f>IF(RG!A117=1,+CF!D21+CF!D19,'HISTO BILAN'!E17+CF!D21+CF!D19)</f>
        <v>3594.8985000000002</v>
      </c>
      <c r="E18" s="112"/>
      <c r="F18" s="112">
        <f>'V1'!S93-'BC1'!P18</f>
        <v>0</v>
      </c>
      <c r="G18" s="112"/>
      <c r="H18" s="112">
        <f>'V2'!R99-'BC2'!O18+F18</f>
        <v>0</v>
      </c>
      <c r="I18" s="112"/>
      <c r="J18" s="112">
        <f>'V3'!R99-'BC3'!O18+H18+0.01</f>
        <v>0.01</v>
      </c>
      <c r="K18" s="112"/>
      <c r="L18" s="112">
        <f>'V4'!R99-'BC4'!O18+J18</f>
        <v>0.01</v>
      </c>
      <c r="M18" s="112"/>
      <c r="N18" s="112">
        <f>'V5'!R99-'BC5'!O18+L18</f>
        <v>0.01</v>
      </c>
    </row>
    <row r="19" spans="1:14">
      <c r="B19" s="44" t="s">
        <v>413</v>
      </c>
      <c r="D19" s="112">
        <f>IF(RG!A117=1,CF!D20,'HISTO BILAN'!E18+CF!D20)</f>
        <v>6</v>
      </c>
      <c r="E19" s="112"/>
      <c r="F19" s="112">
        <f>DG!AR199</f>
        <v>0</v>
      </c>
      <c r="G19" s="112"/>
      <c r="H19" s="112">
        <f>F19</f>
        <v>0</v>
      </c>
      <c r="I19" s="112"/>
      <c r="J19" s="112">
        <f>H19+0.01</f>
        <v>0.01</v>
      </c>
      <c r="K19" s="112"/>
      <c r="L19" s="112">
        <f>J19+0.01</f>
        <v>0.02</v>
      </c>
      <c r="M19" s="766"/>
      <c r="N19" s="112">
        <f>L19+0.01</f>
        <v>0.03</v>
      </c>
    </row>
    <row r="20" spans="1:14">
      <c r="B20" s="44" t="s">
        <v>586</v>
      </c>
      <c r="D20" s="112">
        <f>IF(RG!A117=1,CF!D18,'HISTO BILAN'!E19+CF!D18)</f>
        <v>0</v>
      </c>
      <c r="E20" s="112"/>
      <c r="F20" s="112">
        <f>D20+'A1'!Q25+'A1'!Q38+'A1'!Q51+'A1'!Q64+'A1'!Q77+'A1'!Q90</f>
        <v>0</v>
      </c>
      <c r="G20" s="112"/>
      <c r="H20" s="112">
        <f>F20+'A2'!Q25+'A2'!Q38+'A2'!Q51+'A2'!Q64+'A2'!Q77+'A2'!Q90</f>
        <v>0</v>
      </c>
      <c r="I20" s="112"/>
      <c r="J20" s="112">
        <f>H20+'A3'!Q25+'A3'!Q38+'A3'!Q51+'A3'!Q64+'A3'!Q77+'A3'!Q90</f>
        <v>0</v>
      </c>
      <c r="K20" s="112"/>
      <c r="L20" s="112">
        <f>J20+'A4'!Q25+'A4'!Q38+'A4'!Q51+'A4'!Q64+'A4'!Q77+'A4'!Q90</f>
        <v>0</v>
      </c>
      <c r="M20" s="112"/>
      <c r="N20" s="112">
        <f>L20+'A5'!Q25+'A5'!Q38+'A5'!Q51+'A5'!Q64+'A5'!Q77+'A5'!Q90</f>
        <v>0</v>
      </c>
    </row>
    <row r="21" spans="1:14">
      <c r="B21" s="44" t="s">
        <v>737</v>
      </c>
      <c r="D21" s="112">
        <v>0</v>
      </c>
      <c r="E21" s="112"/>
      <c r="F21" s="112">
        <v>0</v>
      </c>
      <c r="G21" s="112"/>
      <c r="H21" s="112">
        <f>'BC2'!D126</f>
        <v>0</v>
      </c>
      <c r="I21" s="112"/>
      <c r="J21" s="112">
        <f>-ER!E98</f>
        <v>0</v>
      </c>
      <c r="K21" s="112"/>
      <c r="L21" s="112">
        <f>-ER!G98</f>
        <v>0</v>
      </c>
      <c r="M21" s="112"/>
      <c r="N21" s="112">
        <f>-ER!I98</f>
        <v>0</v>
      </c>
    </row>
    <row r="22" spans="1:14">
      <c r="A22" s="179" t="s">
        <v>459</v>
      </c>
      <c r="B22" s="180"/>
      <c r="C22" s="180"/>
      <c r="D22" s="512">
        <f>SUM(D17:D21)</f>
        <v>7000.0010000000002</v>
      </c>
      <c r="E22" s="113"/>
      <c r="F22" s="512">
        <f>SUM(F17:F21)</f>
        <v>474.02068999999756</v>
      </c>
      <c r="G22" s="113"/>
      <c r="H22" s="512">
        <f>SUM(H17:H21)</f>
        <v>233.64059000000634</v>
      </c>
      <c r="I22" s="113"/>
      <c r="J22" s="512">
        <f>SUM(J17:J21)</f>
        <v>438.50219000000652</v>
      </c>
      <c r="K22" s="113"/>
      <c r="L22" s="512">
        <f>SUM(L17:L21)</f>
        <v>13.415930000002845</v>
      </c>
      <c r="M22" s="113"/>
      <c r="N22" s="512">
        <f>SUM(N17:N21)</f>
        <v>479.10254680001162</v>
      </c>
    </row>
    <row r="23" spans="1:14">
      <c r="A23" s="46"/>
      <c r="D23" s="112"/>
      <c r="E23" s="112"/>
      <c r="F23" s="112"/>
      <c r="G23" s="112"/>
      <c r="H23" s="112"/>
      <c r="I23" s="112"/>
      <c r="J23" s="1096">
        <v>1E-4</v>
      </c>
      <c r="K23" s="112"/>
      <c r="L23" s="766"/>
      <c r="M23" s="766"/>
      <c r="N23" s="766"/>
    </row>
    <row r="24" spans="1:14">
      <c r="A24" s="46" t="s">
        <v>379</v>
      </c>
      <c r="D24" s="112"/>
      <c r="E24" s="112"/>
      <c r="F24" s="112"/>
      <c r="G24" s="112"/>
      <c r="H24" s="112"/>
      <c r="I24" s="112"/>
      <c r="J24" s="1096">
        <v>1E-4</v>
      </c>
      <c r="K24" s="112"/>
      <c r="L24" s="766"/>
      <c r="M24" s="766"/>
      <c r="N24" s="766"/>
    </row>
    <row r="25" spans="1:14">
      <c r="A25" s="46"/>
      <c r="B25" s="44" t="str">
        <f>CF!B31</f>
        <v>Terrain</v>
      </c>
      <c r="C25" s="43"/>
      <c r="D25" s="112">
        <f>IF(RG!$A$117=1,A!D15,'HISTO BILAN'!E23+A!D15)</f>
        <v>0</v>
      </c>
      <c r="E25" s="112"/>
      <c r="F25" s="112">
        <f>D25+A!G15</f>
        <v>0</v>
      </c>
      <c r="G25" s="112"/>
      <c r="H25" s="112">
        <f>F25+A!G33</f>
        <v>0</v>
      </c>
      <c r="I25" s="112"/>
      <c r="J25" s="112">
        <f>H25+A!G51</f>
        <v>0</v>
      </c>
      <c r="K25" s="112"/>
      <c r="L25" s="112">
        <f>J25+A!G69</f>
        <v>0</v>
      </c>
      <c r="M25" s="112"/>
      <c r="N25" s="112">
        <f>L25+A!G87</f>
        <v>0</v>
      </c>
    </row>
    <row r="26" spans="1:14">
      <c r="A26" s="46"/>
      <c r="B26" s="44" t="str">
        <f>CF!B32</f>
        <v>Aménagement de terrain</v>
      </c>
      <c r="C26" s="43"/>
      <c r="D26" s="112">
        <f>IF(RG!$A$117=1,A!D16,'HISTO BILAN'!E24+A!D16)</f>
        <v>0</v>
      </c>
      <c r="E26" s="112"/>
      <c r="F26" s="112">
        <f>D26+A!G16</f>
        <v>0</v>
      </c>
      <c r="G26" s="112"/>
      <c r="H26" s="112">
        <f>F26+A!G34</f>
        <v>0</v>
      </c>
      <c r="I26" s="112"/>
      <c r="J26" s="112">
        <f>H26+A!G52</f>
        <v>0</v>
      </c>
      <c r="K26" s="112"/>
      <c r="L26" s="112">
        <f>J26+A!G70</f>
        <v>0</v>
      </c>
      <c r="M26" s="112"/>
      <c r="N26" s="112">
        <f>L26+A!G88</f>
        <v>0</v>
      </c>
    </row>
    <row r="27" spans="1:14">
      <c r="A27" s="46"/>
      <c r="B27" s="44" t="str">
        <f>CF!B33</f>
        <v>Bâtiment</v>
      </c>
      <c r="C27" s="43"/>
      <c r="D27" s="112">
        <f>IF(RG!$A$117=1,A!D17,'HISTO BILAN'!E25+A!D17)</f>
        <v>0</v>
      </c>
      <c r="E27" s="112"/>
      <c r="F27" s="112">
        <f>D27+A!G17</f>
        <v>0</v>
      </c>
      <c r="G27" s="112"/>
      <c r="H27" s="112">
        <f>F27+A!G35</f>
        <v>0</v>
      </c>
      <c r="I27" s="112"/>
      <c r="J27" s="112">
        <f>H27+A!G53</f>
        <v>0</v>
      </c>
      <c r="K27" s="112"/>
      <c r="L27" s="112">
        <f>J27+A!G71</f>
        <v>0</v>
      </c>
      <c r="M27" s="112"/>
      <c r="N27" s="112">
        <f>L27+A!G89</f>
        <v>0</v>
      </c>
    </row>
    <row r="28" spans="1:14">
      <c r="A28" s="46"/>
      <c r="B28" s="44" t="str">
        <f>CF!B34</f>
        <v>Améliorations locatives</v>
      </c>
      <c r="C28" s="43"/>
      <c r="D28" s="112">
        <f>IF(RG!$A$117=1,A!D18,'HISTO BILAN'!E26+A!D18)</f>
        <v>0</v>
      </c>
      <c r="E28" s="112"/>
      <c r="F28" s="112">
        <f>D28+A!G18</f>
        <v>0</v>
      </c>
      <c r="G28" s="112"/>
      <c r="H28" s="112">
        <f>F28+A!G36</f>
        <v>0</v>
      </c>
      <c r="I28" s="112"/>
      <c r="J28" s="112">
        <f>H28+A!G54</f>
        <v>0</v>
      </c>
      <c r="K28" s="112"/>
      <c r="L28" s="112">
        <f>J28+A!G72</f>
        <v>0</v>
      </c>
      <c r="M28" s="112"/>
      <c r="N28" s="112">
        <f>L28+A!G90</f>
        <v>0</v>
      </c>
    </row>
    <row r="29" spans="1:14">
      <c r="A29" s="46"/>
      <c r="B29" s="44" t="str">
        <f>CF!B35</f>
        <v>Matériel roulant</v>
      </c>
      <c r="C29" s="43"/>
      <c r="D29" s="112">
        <f>IF(RG!$A$117=1,A!D19,'HISTO BILAN'!E27+A!D19)</f>
        <v>0</v>
      </c>
      <c r="E29" s="112"/>
      <c r="F29" s="112">
        <f>D29+A!G19</f>
        <v>0</v>
      </c>
      <c r="G29" s="112"/>
      <c r="H29" s="112">
        <f>F29+A!G37</f>
        <v>0</v>
      </c>
      <c r="I29" s="112"/>
      <c r="J29" s="112">
        <f>H29+A!G55</f>
        <v>0</v>
      </c>
      <c r="K29" s="112"/>
      <c r="L29" s="112">
        <f>J29+A!G73</f>
        <v>0</v>
      </c>
      <c r="M29" s="112"/>
      <c r="N29" s="112">
        <f>L29+A!G91</f>
        <v>0</v>
      </c>
    </row>
    <row r="30" spans="1:14">
      <c r="A30" s="46"/>
      <c r="B30" s="44" t="str">
        <f>CF!B36</f>
        <v>Équipement</v>
      </c>
      <c r="C30" s="43"/>
      <c r="D30" s="112">
        <f>IF(RG!$A$117=1,A!D20,'HISTO BILAN'!E28+A!D20)</f>
        <v>500</v>
      </c>
      <c r="E30" s="112"/>
      <c r="F30" s="112">
        <f>D30+A!G20</f>
        <v>500</v>
      </c>
      <c r="G30" s="112"/>
      <c r="H30" s="112">
        <f>F30+A!G38</f>
        <v>500</v>
      </c>
      <c r="I30" s="112"/>
      <c r="J30" s="112">
        <f>H30+A!G56</f>
        <v>500</v>
      </c>
      <c r="K30" s="112"/>
      <c r="L30" s="112">
        <f>J30+A!G74</f>
        <v>500</v>
      </c>
      <c r="M30" s="112"/>
      <c r="N30" s="112">
        <f>L30+A!G92</f>
        <v>500</v>
      </c>
    </row>
    <row r="31" spans="1:14">
      <c r="A31" s="46"/>
      <c r="B31" s="44" t="str">
        <f>CF!B37</f>
        <v>Système informatique</v>
      </c>
      <c r="C31" s="43"/>
      <c r="D31" s="112">
        <f>IF(RG!$A$117=1,A!D21,'HISTO BILAN'!E29+A!D21)</f>
        <v>1000</v>
      </c>
      <c r="E31" s="112"/>
      <c r="F31" s="112">
        <f>D31+A!G21</f>
        <v>1000</v>
      </c>
      <c r="G31" s="112"/>
      <c r="H31" s="112">
        <f>F31+A!G39</f>
        <v>1000</v>
      </c>
      <c r="I31" s="112"/>
      <c r="J31" s="112">
        <f>H31+A!G57</f>
        <v>1000</v>
      </c>
      <c r="K31" s="112"/>
      <c r="L31" s="112">
        <f>J31+A!G75</f>
        <v>1000</v>
      </c>
      <c r="M31" s="112"/>
      <c r="N31" s="112">
        <f>L31+A!G93</f>
        <v>1000</v>
      </c>
    </row>
    <row r="32" spans="1:14">
      <c r="A32" s="46"/>
      <c r="B32" s="44" t="str">
        <f>CF!B38</f>
        <v>Logiciel</v>
      </c>
      <c r="C32" s="43"/>
      <c r="D32" s="112">
        <f>IF(RG!$A$117=1,A!D22,'HISTO BILAN'!E30+A!D22)</f>
        <v>15000</v>
      </c>
      <c r="E32" s="112"/>
      <c r="F32" s="112">
        <f>D32+A!G22</f>
        <v>15000</v>
      </c>
      <c r="G32" s="112"/>
      <c r="H32" s="112">
        <f>F32+A!G40</f>
        <v>15000</v>
      </c>
      <c r="I32" s="112"/>
      <c r="J32" s="112">
        <f>H32+A!G58</f>
        <v>15000</v>
      </c>
      <c r="K32" s="112"/>
      <c r="L32" s="112">
        <f>J32+A!G76</f>
        <v>15000</v>
      </c>
      <c r="M32" s="112"/>
      <c r="N32" s="112">
        <f>L32+A!G94</f>
        <v>15000</v>
      </c>
    </row>
    <row r="33" spans="1:14">
      <c r="A33" s="43"/>
      <c r="B33" s="44" t="str">
        <f>CF!B39</f>
        <v>Mobilier de bureau</v>
      </c>
      <c r="C33" s="43"/>
      <c r="D33" s="112">
        <f>IF(RG!$A$117=1,A!D23,'HISTO BILAN'!E31+A!D23)</f>
        <v>0</v>
      </c>
      <c r="E33" s="112"/>
      <c r="F33" s="112">
        <f>D33+A!G23</f>
        <v>0</v>
      </c>
      <c r="G33" s="112"/>
      <c r="H33" s="112">
        <f>F33+A!G41</f>
        <v>0</v>
      </c>
      <c r="I33" s="112"/>
      <c r="J33" s="112">
        <f>H33+A!G59</f>
        <v>0</v>
      </c>
      <c r="K33" s="112"/>
      <c r="L33" s="112">
        <f>J33+A!G77</f>
        <v>0</v>
      </c>
      <c r="M33" s="112"/>
      <c r="N33" s="112">
        <f>L33+A!G95</f>
        <v>0</v>
      </c>
    </row>
    <row r="34" spans="1:14">
      <c r="B34" s="44" t="str">
        <f>CF!B42</f>
        <v>Site internet</v>
      </c>
      <c r="C34" s="43"/>
      <c r="D34" s="112">
        <f>IF(RG!$A$117=1,A!D24,'HISTO BILAN'!E32+A!D24)</f>
        <v>5000</v>
      </c>
      <c r="E34" s="112"/>
      <c r="F34" s="112">
        <f>D34+A!G24</f>
        <v>5000</v>
      </c>
      <c r="G34" s="112"/>
      <c r="H34" s="112">
        <f>F34+A!G42</f>
        <v>5000</v>
      </c>
      <c r="I34" s="112"/>
      <c r="J34" s="112">
        <f>H34+A!G60</f>
        <v>5000</v>
      </c>
      <c r="K34" s="112"/>
      <c r="L34" s="112">
        <f>J34+A!G78</f>
        <v>5000</v>
      </c>
      <c r="M34" s="112"/>
      <c r="N34" s="112">
        <f>L34+A!G96</f>
        <v>5000</v>
      </c>
    </row>
    <row r="35" spans="1:14">
      <c r="B35" s="44" t="str">
        <f>CF!B43</f>
        <v>Autres actifs intangibles</v>
      </c>
      <c r="C35" s="43"/>
      <c r="D35" s="112">
        <f>IF(RG!$A$117=1,A!D25,'HISTO BILAN'!E33+A!D25)</f>
        <v>2500</v>
      </c>
      <c r="E35" s="112"/>
      <c r="F35" s="112">
        <f>D35+A!G25</f>
        <v>2500</v>
      </c>
      <c r="G35" s="112"/>
      <c r="H35" s="112">
        <f>F35+A!G43</f>
        <v>2500</v>
      </c>
      <c r="I35" s="112"/>
      <c r="J35" s="112">
        <f>H35+A!G61</f>
        <v>2500</v>
      </c>
      <c r="K35" s="112"/>
      <c r="L35" s="112">
        <f>J35+A!G79</f>
        <v>2500</v>
      </c>
      <c r="M35" s="112"/>
      <c r="N35" s="112">
        <f>L35+A!G97</f>
        <v>2500</v>
      </c>
    </row>
    <row r="36" spans="1:14">
      <c r="B36" s="44" t="s">
        <v>732</v>
      </c>
      <c r="C36" s="43"/>
      <c r="D36" s="112">
        <v>0</v>
      </c>
      <c r="E36" s="112"/>
      <c r="F36" s="112">
        <f>-A!H28</f>
        <v>-10200</v>
      </c>
      <c r="G36" s="112"/>
      <c r="H36" s="112">
        <f>-A!H28-A!H46</f>
        <v>-15372.5</v>
      </c>
      <c r="I36" s="112"/>
      <c r="J36" s="112">
        <f>-A!H28-A!H46-A!H64</f>
        <v>-18021.375</v>
      </c>
      <c r="K36" s="112"/>
      <c r="L36" s="112">
        <f>-A!H28-A!H46-A!H64-A!H82</f>
        <v>-19399.943749999999</v>
      </c>
      <c r="M36" s="112"/>
      <c r="N36" s="112">
        <f>-A!H28-A!H46-A!H64-A!H82-A!H100</f>
        <v>-20136.049687499999</v>
      </c>
    </row>
    <row r="37" spans="1:14">
      <c r="A37" s="179" t="s">
        <v>460</v>
      </c>
      <c r="B37" s="180"/>
      <c r="C37" s="180"/>
      <c r="D37" s="512">
        <f>SUM(D25:D36)</f>
        <v>24000</v>
      </c>
      <c r="E37" s="113"/>
      <c r="F37" s="512">
        <f>SUM(F25:F36)</f>
        <v>13800</v>
      </c>
      <c r="G37" s="113"/>
      <c r="H37" s="512">
        <f>SUM(H25:H36)</f>
        <v>8627.5</v>
      </c>
      <c r="I37" s="113"/>
      <c r="J37" s="512">
        <f>SUM(J25:J36)</f>
        <v>5978.625</v>
      </c>
      <c r="K37" s="113"/>
      <c r="L37" s="512">
        <f>SUM(L25:L36)</f>
        <v>4600.0562500000015</v>
      </c>
      <c r="M37" s="113"/>
      <c r="N37" s="512">
        <f>SUM(N25:N36)</f>
        <v>3863.950312500001</v>
      </c>
    </row>
    <row r="38" spans="1:14">
      <c r="A38" s="90"/>
      <c r="B38" s="90"/>
      <c r="C38" s="1125" t="s">
        <v>461</v>
      </c>
      <c r="D38" s="517">
        <f>D37+D22</f>
        <v>31000.001</v>
      </c>
      <c r="E38" s="513"/>
      <c r="F38" s="517">
        <f>F37+F22</f>
        <v>14274.020689999998</v>
      </c>
      <c r="G38" s="513"/>
      <c r="H38" s="517">
        <f>H37+H22</f>
        <v>8861.1405900000063</v>
      </c>
      <c r="I38" s="513"/>
      <c r="J38" s="517">
        <f>J37+J22</f>
        <v>6417.1271900000065</v>
      </c>
      <c r="K38" s="513"/>
      <c r="L38" s="517">
        <f>L37+L22</f>
        <v>4613.4721800000043</v>
      </c>
      <c r="M38" s="513"/>
      <c r="N38" s="517">
        <f>N37+N22</f>
        <v>4343.0528593000126</v>
      </c>
    </row>
    <row r="39" spans="1:14" ht="13.5" thickBot="1">
      <c r="A39" s="100"/>
      <c r="B39" s="100"/>
      <c r="C39" s="1119"/>
      <c r="D39" s="518"/>
      <c r="E39" s="114"/>
      <c r="F39" s="518"/>
      <c r="G39" s="114"/>
      <c r="H39" s="518"/>
      <c r="I39" s="114"/>
      <c r="J39" s="1097">
        <v>1E-4</v>
      </c>
      <c r="K39" s="114"/>
      <c r="L39" s="518"/>
      <c r="M39" s="114"/>
      <c r="N39" s="518"/>
    </row>
    <row r="40" spans="1:14" ht="13.5" thickTop="1">
      <c r="C40" s="177" t="s">
        <v>407</v>
      </c>
      <c r="D40" s="112"/>
      <c r="E40" s="112"/>
      <c r="F40" s="112"/>
      <c r="G40" s="112"/>
      <c r="H40" s="112"/>
      <c r="I40" s="112"/>
      <c r="J40" s="1096">
        <v>1E-4</v>
      </c>
      <c r="K40" s="112"/>
      <c r="L40" s="766"/>
      <c r="M40" s="766"/>
      <c r="N40" s="766"/>
    </row>
    <row r="41" spans="1:14">
      <c r="A41" s="46" t="s">
        <v>575</v>
      </c>
      <c r="D41" s="112"/>
      <c r="E41" s="112"/>
      <c r="F41" s="112"/>
      <c r="G41" s="112"/>
      <c r="H41" s="112"/>
      <c r="I41" s="112"/>
      <c r="J41" s="1096">
        <v>1E-4</v>
      </c>
      <c r="K41" s="112"/>
      <c r="L41" s="766"/>
      <c r="M41" s="766"/>
      <c r="N41" s="766"/>
    </row>
    <row r="42" spans="1:14">
      <c r="B42" s="44" t="s">
        <v>572</v>
      </c>
      <c r="D42" s="112">
        <f>IF(RG!A117=1,CF!J34,'HISTO BILAN'!E40+CF!J34)</f>
        <v>0</v>
      </c>
      <c r="E42" s="112"/>
      <c r="F42" s="112">
        <f>'A1'!Q94+D42-('BC1'!P29-'BC1'!C29)</f>
        <v>0</v>
      </c>
      <c r="G42" s="112"/>
      <c r="H42" s="112">
        <f>'A2'!Q94+F42-'BC2'!O28</f>
        <v>0</v>
      </c>
      <c r="I42" s="112"/>
      <c r="J42" s="112">
        <f>'A3'!Q94+H42-'BC3'!O28</f>
        <v>0</v>
      </c>
      <c r="K42" s="112"/>
      <c r="L42" s="112">
        <f>'A4'!Q94+J42-'BC4'!O28</f>
        <v>0</v>
      </c>
      <c r="M42" s="112"/>
      <c r="N42" s="112">
        <f>'A5'!Q94+L42-'BC5'!O28</f>
        <v>0</v>
      </c>
    </row>
    <row r="43" spans="1:14">
      <c r="B43" s="44" t="s">
        <v>56</v>
      </c>
      <c r="D43" s="112">
        <f>IF(RG!A117=1,'BC1'!C144+RG!J42,'HISTO BILAN'!E41+'BC1'!C144+RG!J42)</f>
        <v>0</v>
      </c>
      <c r="E43" s="112"/>
      <c r="F43" s="112">
        <f>'BC1'!P146+RG!J42</f>
        <v>1000</v>
      </c>
      <c r="G43" s="112"/>
      <c r="H43" s="112">
        <f>'BC2'!O142+RG!J42</f>
        <v>8500</v>
      </c>
      <c r="I43" s="112"/>
      <c r="J43" s="112">
        <f>'BC3'!O142+RG!J42</f>
        <v>15000</v>
      </c>
      <c r="K43" s="112"/>
      <c r="L43" s="112">
        <f>'BC4'!O142+RG!J42</f>
        <v>22000</v>
      </c>
      <c r="M43" s="112"/>
      <c r="N43" s="112">
        <f>'BC5'!O142+RG!J42</f>
        <v>31000</v>
      </c>
    </row>
    <row r="44" spans="1:14">
      <c r="B44" s="44" t="s">
        <v>348</v>
      </c>
      <c r="D44" s="112">
        <f>IF(RG!A117=1,0,'HISTO BILAN'!E42)</f>
        <v>0</v>
      </c>
      <c r="E44" s="112"/>
      <c r="F44" s="112">
        <f>-ER!C98+TE!S135</f>
        <v>898</v>
      </c>
      <c r="G44" s="112"/>
      <c r="H44" s="112">
        <f>-ER!E98+TE!S147</f>
        <v>916</v>
      </c>
      <c r="I44" s="112"/>
      <c r="J44" s="112">
        <f>-ER!G98+TE!S159</f>
        <v>934</v>
      </c>
      <c r="K44" s="112"/>
      <c r="L44" s="112">
        <f>-ER!I98+TE!S171</f>
        <v>953</v>
      </c>
      <c r="M44" s="112"/>
      <c r="N44" s="112">
        <f>-ER!K98+TE!S183</f>
        <v>972</v>
      </c>
    </row>
    <row r="45" spans="1:14">
      <c r="B45" s="44" t="s">
        <v>190</v>
      </c>
      <c r="D45" s="112">
        <v>0</v>
      </c>
      <c r="E45" s="112"/>
      <c r="F45" s="112">
        <f>'BC2'!C135</f>
        <v>715</v>
      </c>
      <c r="G45" s="112"/>
      <c r="H45" s="112">
        <f>'BC3'!C135</f>
        <v>751</v>
      </c>
      <c r="I45" s="112"/>
      <c r="J45" s="112">
        <f>'BC4'!C135</f>
        <v>788</v>
      </c>
      <c r="K45" s="112"/>
      <c r="L45" s="112">
        <f>'BC5'!C135</f>
        <v>788</v>
      </c>
      <c r="M45" s="766"/>
      <c r="N45" s="112">
        <f>'BC5'!N133-'BC5'!N134</f>
        <v>788</v>
      </c>
    </row>
    <row r="46" spans="1:14">
      <c r="B46" s="44" t="str">
        <f>CF!F35</f>
        <v>Billet à payer</v>
      </c>
      <c r="D46" s="112">
        <f>IF(RG!A117=1,IF(DG!F127=0,0,BP!$H$15),'HISTO BILAN'!E43+(IF(BP!$K$26=0,0,BP!$H$15)))</f>
        <v>0</v>
      </c>
      <c r="E46" s="112"/>
      <c r="F46" s="112">
        <f>IF(BP!$C$37=0,0,BP!$K$37)</f>
        <v>0</v>
      </c>
      <c r="G46" s="112"/>
      <c r="H46" s="112">
        <f>IF(BP!$C$49=0,0,BP!$K$49)</f>
        <v>0</v>
      </c>
      <c r="I46" s="112"/>
      <c r="J46" s="112">
        <f>IF(BP!$C$61=0,0,BP!$K$61+0.01)</f>
        <v>0</v>
      </c>
      <c r="K46" s="112"/>
      <c r="L46" s="112">
        <f>IF(BP!$C$73=0,0,BP!$K$73+0.01)</f>
        <v>0</v>
      </c>
      <c r="M46" s="112"/>
      <c r="N46" s="112">
        <f>IF(BP!$C$85=0,0,BP!$K$85+0.01)</f>
        <v>0</v>
      </c>
    </row>
    <row r="47" spans="1:14">
      <c r="B47" s="44" t="str">
        <f>CF!F36</f>
        <v>Emprunt à court terme 1</v>
      </c>
      <c r="D47" s="112">
        <f>IF(RG!$A$117=1,IF(DG!F128=0,0,'ECT1'!$P$25),IF('ECT1'!$M$23=0,'ECT1'!$P$25,'HISTO BILAN'!E44))</f>
        <v>0</v>
      </c>
      <c r="E47" s="112"/>
      <c r="F47" s="112">
        <f>VLOOKUP(F$13,'ECT1'!A$25:$Q$265,17)</f>
        <v>0</v>
      </c>
      <c r="G47" s="112"/>
      <c r="H47" s="112">
        <f>VLOOKUP(H$13,'ECT1'!$A$25:$Q$265,17)</f>
        <v>0</v>
      </c>
      <c r="I47" s="112"/>
      <c r="J47" s="112">
        <f>VLOOKUP(J$13,'ECT1'!$A$25:$Q$265,17)</f>
        <v>0</v>
      </c>
      <c r="K47" s="112"/>
      <c r="L47" s="112">
        <f>VLOOKUP(L$13,'ECT1'!$A$25:$P$265,16)</f>
        <v>0</v>
      </c>
      <c r="M47" s="112"/>
      <c r="N47" s="112">
        <f>VLOOKUP(N$13,'ECT1'!$A$25:$P$265,16)</f>
        <v>0</v>
      </c>
    </row>
    <row r="48" spans="1:14">
      <c r="B48" s="44" t="str">
        <f>CF!F37</f>
        <v>Emprunt à court terme 2</v>
      </c>
      <c r="D48" s="112">
        <f>IF(RG!$A$117=1,IF(DG!F129=0,0,'ECT2'!$P$25),IF('ECT2'!$M$23=0,'ECT2'!$P$25,'HISTO BILAN'!E45))</f>
        <v>0</v>
      </c>
      <c r="E48" s="112"/>
      <c r="F48" s="112">
        <f>VLOOKUP(F$13,'ECT2'!A$25:$Q$265,17)</f>
        <v>0</v>
      </c>
      <c r="G48" s="112"/>
      <c r="H48" s="112">
        <f>VLOOKUP(H$13,'ECT2'!$A$25:$Q$265,17)</f>
        <v>0</v>
      </c>
      <c r="I48" s="112"/>
      <c r="J48" s="112">
        <f>VLOOKUP(J$13,'ECT2'!$A$25:$P$265,16)</f>
        <v>0</v>
      </c>
      <c r="K48" s="112"/>
      <c r="L48" s="112">
        <f>VLOOKUP(L$13,'ECT2'!$A$25:$P$265,16)</f>
        <v>0</v>
      </c>
      <c r="M48" s="112"/>
      <c r="N48" s="112">
        <f>VLOOKUP(N$13,'ECT2'!$A$25:$P$265,16)</f>
        <v>0</v>
      </c>
    </row>
    <row r="49" spans="1:17">
      <c r="B49" s="44" t="s">
        <v>541</v>
      </c>
      <c r="D49" s="112">
        <f>IF(RG!A117=1,('BC1'!P97+'BC1'!P100+'BC1'!P103+'BC1'!P106+'BC1'!P109+'BC1'!P112+'BC1'!P115+'BC1'!P118),'HISTO BILAN'!E46+('BC1'!P97+'BC1'!P100+'BC1'!P103+'BC1'!P106+'BC1'!P109+'BC1'!P112+'BC1'!P115+'BC1'!P118))</f>
        <v>3612</v>
      </c>
      <c r="E49" s="112"/>
      <c r="F49" s="112">
        <f>'BC2'!O95+'BC2'!O98+'BC2'!O101+'BC2'!O104+'BC2'!O107+'BC2'!O110+'BC2'!O113+'BC2'!O116+0.001</f>
        <v>3796.0010000000002</v>
      </c>
      <c r="G49" s="112"/>
      <c r="H49" s="112">
        <f>EH!S61+'ELT1'!S61+'ELT2'!S61+'ELT3'!S61+'ELT4'!S61+'ELT5'!S61+'ELT6'!S61+'ELT7'!S61+0.001</f>
        <v>3990.0010000000002</v>
      </c>
      <c r="I49" s="112"/>
      <c r="J49" s="112">
        <f>EH!$S73+'ELT1'!$S73+'ELT2'!$S73+'ELT3'!$S73+'ELT4'!$S73+'ELT5'!$S73+'ELT6'!$S73+'ELT7'!$S73+0.001</f>
        <v>4195.0010000000002</v>
      </c>
      <c r="K49" s="112"/>
      <c r="L49" s="112">
        <f>EH!$S85+'ELT1'!$S85+'ELT2'!$S85+'ELT3'!$S85+'ELT4'!$S85+'ELT5'!$S85+'ELT6'!$S85+'ELT7'!$S85+0.001</f>
        <v>4410.0010000000002</v>
      </c>
      <c r="M49" s="766"/>
      <c r="N49" s="112">
        <f>EH!$S97+'ELT1'!$S97+'ELT2'!$S97+'ELT3'!$S97+'ELT4'!$S97+'ELT5'!$S97+'ELT6'!$S97+'ELT7'!$S97+0.001</f>
        <v>1E-3</v>
      </c>
    </row>
    <row r="50" spans="1:17">
      <c r="A50" s="179" t="s">
        <v>462</v>
      </c>
      <c r="B50" s="180"/>
      <c r="C50" s="180"/>
      <c r="D50" s="512">
        <f>SUM(D42:D49)</f>
        <v>3612</v>
      </c>
      <c r="E50" s="113"/>
      <c r="F50" s="512">
        <f>SUM(F42:F49)</f>
        <v>6409.0010000000002</v>
      </c>
      <c r="G50" s="113"/>
      <c r="H50" s="512">
        <f>SUM(H42:H49)</f>
        <v>14157.001</v>
      </c>
      <c r="I50" s="113"/>
      <c r="J50" s="512">
        <f>SUM(J42:J49)</f>
        <v>20917.001</v>
      </c>
      <c r="K50" s="113"/>
      <c r="L50" s="512">
        <f>SUM(L42:L49)</f>
        <v>28151.001</v>
      </c>
      <c r="M50" s="113"/>
      <c r="N50" s="512">
        <f>SUM(N42:N49)</f>
        <v>32760.001</v>
      </c>
      <c r="O50" s="112"/>
      <c r="P50" s="112"/>
      <c r="Q50" s="112"/>
    </row>
    <row r="51" spans="1:17">
      <c r="A51" s="46"/>
      <c r="D51" s="112"/>
      <c r="E51" s="112"/>
      <c r="F51" s="112"/>
      <c r="G51" s="112"/>
      <c r="H51" s="112"/>
      <c r="I51" s="112"/>
      <c r="J51" s="1096">
        <v>1E-4</v>
      </c>
      <c r="K51" s="112"/>
      <c r="L51" s="766"/>
      <c r="M51" s="766"/>
      <c r="N51" s="766"/>
    </row>
    <row r="52" spans="1:17">
      <c r="A52" s="46" t="s">
        <v>574</v>
      </c>
      <c r="D52" s="112"/>
      <c r="E52" s="112"/>
      <c r="F52" s="112"/>
      <c r="G52" s="112"/>
      <c r="H52" s="112"/>
      <c r="I52" s="112"/>
      <c r="J52" s="1096">
        <v>1E-4</v>
      </c>
      <c r="K52" s="112"/>
      <c r="L52" s="766"/>
      <c r="M52" s="766"/>
      <c r="N52" s="766"/>
    </row>
    <row r="53" spans="1:17">
      <c r="B53" s="44" t="str">
        <f>CF!F40</f>
        <v>Emprunt hypothécaire</v>
      </c>
      <c r="D53" s="112">
        <f>IF(RG!$A$117=1,IF(DG!F130=0,0,EH!$P$25),IF(EH!$M$23=0,EH!$P$25,'HISTO BILAN'!E50))</f>
        <v>0</v>
      </c>
      <c r="E53" s="112"/>
      <c r="F53" s="112">
        <f>VLOOKUP(F$13,EH!$A$25:$Q$265,17)</f>
        <v>0</v>
      </c>
      <c r="G53" s="112"/>
      <c r="H53" s="112">
        <f>VLOOKUP(H$13,EH!$A$25:$Q$265,17)</f>
        <v>0</v>
      </c>
      <c r="I53" s="112"/>
      <c r="J53" s="112">
        <f>VLOOKUP(J$13,EH!$A$25:$Q$265,17)</f>
        <v>0</v>
      </c>
      <c r="K53" s="112"/>
      <c r="L53" s="112">
        <f>VLOOKUP(L$13,EH!$A$25:$Q$265,17)</f>
        <v>0</v>
      </c>
      <c r="M53" s="112"/>
      <c r="N53" s="112">
        <f>VLOOKUP(N$13,EH!$A$25:$Q$265,17)</f>
        <v>0</v>
      </c>
    </row>
    <row r="54" spans="1:17">
      <c r="B54" s="44" t="str">
        <f>CF!F41</f>
        <v>Emprunt bancaire - Logiciel &amp; Site Web</v>
      </c>
      <c r="D54" s="112">
        <f>IF(RG!$A$117=1,IF(DG!F131=0,0,'ELT1'!$P$25),IF('ELT1'!$M$23=0,'ELT1'!$P$25,'HISTO BILAN'!E51))</f>
        <v>20000</v>
      </c>
      <c r="E54" s="112"/>
      <c r="F54" s="112">
        <f>VLOOKUP(F$13,'ELT1'!$A$25:$Q$265,17)</f>
        <v>16388</v>
      </c>
      <c r="G54" s="112"/>
      <c r="H54" s="112">
        <f>VLOOKUP(H$13,'ELT1'!$A$25:$Q$265,17)</f>
        <v>12592</v>
      </c>
      <c r="I54" s="112"/>
      <c r="J54" s="112">
        <f>VLOOKUP(J$13,'ELT1'!$A$25:$Q$265,17)</f>
        <v>8602</v>
      </c>
      <c r="K54" s="112"/>
      <c r="L54" s="112">
        <f>VLOOKUP(L$13,'ELT1'!$A$25:$Q$265,17)</f>
        <v>4407</v>
      </c>
      <c r="M54" s="112"/>
      <c r="N54" s="112">
        <f>VLOOKUP(N$13,'ELT1'!$A$25:$Q$265,17)</f>
        <v>-3</v>
      </c>
    </row>
    <row r="55" spans="1:17">
      <c r="B55" s="44" t="str">
        <f>CF!F42</f>
        <v>Emprunt à long terme 2</v>
      </c>
      <c r="D55" s="112">
        <f>IF(RG!$A$117=1,IF(DG!F132=0,0,'ELT2'!$P$25),IF('ELT2'!$M$23=0,'ELT2'!$P$25,'HISTO BILAN'!E52))</f>
        <v>0</v>
      </c>
      <c r="E55" s="112"/>
      <c r="F55" s="112">
        <f>VLOOKUP(F$13,'ELT2'!$A$25:$Q$265,17)</f>
        <v>0</v>
      </c>
      <c r="G55" s="112"/>
      <c r="H55" s="112">
        <f>VLOOKUP(H$13,'ELT2'!$A$25:$Q$265,17)</f>
        <v>0</v>
      </c>
      <c r="I55" s="112"/>
      <c r="J55" s="112">
        <f>VLOOKUP(J$13,'ELT2'!$A$25:$Q$265,17)</f>
        <v>0</v>
      </c>
      <c r="K55" s="112"/>
      <c r="L55" s="112">
        <f>VLOOKUP(L$13,'ELT2'!$A$25:$Q$265,17)</f>
        <v>0</v>
      </c>
      <c r="M55" s="112"/>
      <c r="N55" s="112">
        <f>VLOOKUP(N$13,'ELT2'!$A$25:$Q$265,17)</f>
        <v>0</v>
      </c>
    </row>
    <row r="56" spans="1:17">
      <c r="B56" s="44" t="str">
        <f>CF!F43</f>
        <v>Emprunt à long terme 3</v>
      </c>
      <c r="D56" s="112">
        <f>IF(RG!$A$117=1,IF(DG!F133=0,0,'ELT3'!$P$25),IF('ELT3'!$M$23=0,'ELT3'!$P$25,'HISTO BILAN'!E53))</f>
        <v>0</v>
      </c>
      <c r="E56" s="112"/>
      <c r="F56" s="112">
        <f>VLOOKUP(F$13,'ELT3'!$A$25:$Q$265,17)</f>
        <v>0</v>
      </c>
      <c r="G56" s="112"/>
      <c r="H56" s="112">
        <f>VLOOKUP(H$13,'ELT3'!$A$25:$Q$265,17)</f>
        <v>0</v>
      </c>
      <c r="I56" s="112"/>
      <c r="J56" s="112">
        <f>VLOOKUP(J$13,'ELT3'!$A$25:$Q$265,17)</f>
        <v>0</v>
      </c>
      <c r="K56" s="112"/>
      <c r="L56" s="112">
        <f>VLOOKUP(L$13,'ELT3'!$A$25:$Q$265,17)</f>
        <v>0</v>
      </c>
      <c r="M56" s="112"/>
      <c r="N56" s="112">
        <f>VLOOKUP(N$13,'ELT3'!$A$25:$Q$265,17)</f>
        <v>0</v>
      </c>
    </row>
    <row r="57" spans="1:17">
      <c r="B57" s="44" t="str">
        <f>CF!F44</f>
        <v>Emprunt à long terme 4</v>
      </c>
      <c r="D57" s="112">
        <f>IF(RG!$A$117=1,IF(DG!F134=0,0,'ELT4'!$P$25),IF('ELT4'!$M$23=0,'ELT4'!$P$25,'HISTO BILAN'!E54))</f>
        <v>0</v>
      </c>
      <c r="E57" s="112"/>
      <c r="F57" s="112">
        <f>VLOOKUP(F$13,'ELT4'!$A$22:$Q$262,17)</f>
        <v>0</v>
      </c>
      <c r="G57" s="112"/>
      <c r="H57" s="112">
        <f>VLOOKUP(H$13,'ELT4'!$A$22:$Q$262,17)</f>
        <v>0</v>
      </c>
      <c r="I57" s="112"/>
      <c r="J57" s="112">
        <f>VLOOKUP(J$13,'ELT4'!$A$22:$Q$262,17)</f>
        <v>0</v>
      </c>
      <c r="K57" s="112"/>
      <c r="L57" s="112">
        <f>VLOOKUP(L$13,'ELT4'!$A$22:$Q$262,17)</f>
        <v>0</v>
      </c>
      <c r="M57" s="112"/>
      <c r="N57" s="112">
        <f>VLOOKUP(N$13,'ELT4'!$A$22:$Q$262,17)</f>
        <v>0</v>
      </c>
    </row>
    <row r="58" spans="1:17">
      <c r="B58" s="44" t="str">
        <f>CF!F45</f>
        <v>Emprunt à long terme 5</v>
      </c>
      <c r="D58" s="112">
        <f>IF(RG!$A$117=1,IF(DG!F135=0,0,'ELT5'!$P$25),IF('ELT5'!$M$23=0,'ELT5'!$P$25,'HISTO BILAN'!E55))</f>
        <v>0</v>
      </c>
      <c r="E58" s="112"/>
      <c r="F58" s="112">
        <f>VLOOKUP(F$13,'ELT5'!$A$25:$Q$265,17)</f>
        <v>0</v>
      </c>
      <c r="G58" s="112"/>
      <c r="H58" s="112">
        <f>VLOOKUP(H$13,'ELT5'!$A$25:$Q$265,17)</f>
        <v>0</v>
      </c>
      <c r="I58" s="112"/>
      <c r="J58" s="112">
        <f>VLOOKUP(J$13,'ELT5'!$A$25:$Q$265,17)</f>
        <v>0</v>
      </c>
      <c r="K58" s="112"/>
      <c r="L58" s="112">
        <f>VLOOKUP(L$13,'ELT5'!$A$25:$Q$265,17)</f>
        <v>0</v>
      </c>
      <c r="M58" s="112"/>
      <c r="N58" s="112">
        <f>VLOOKUP(N$13,'ELT5'!$A$25:$Q$265,17)</f>
        <v>0</v>
      </c>
    </row>
    <row r="59" spans="1:17">
      <c r="B59" s="44" t="str">
        <f>CF!F46</f>
        <v>Emprunt à long terme 6</v>
      </c>
      <c r="D59" s="112">
        <f>IF(RG!$A$117=1,IF(DG!F136=0,0,'ELT6'!$P$25),IF('ELT6'!$M$23=0,'ELT6'!$P$25,'HISTO BILAN'!E56))</f>
        <v>0</v>
      </c>
      <c r="E59" s="112"/>
      <c r="F59" s="112">
        <f>VLOOKUP(F$13,'ELT6'!$A$25:$Q$265,17)</f>
        <v>0</v>
      </c>
      <c r="G59" s="112"/>
      <c r="H59" s="112">
        <f>VLOOKUP(H$13,'ELT6'!$A$25:$Q$265,17)</f>
        <v>0</v>
      </c>
      <c r="I59" s="112"/>
      <c r="J59" s="112">
        <f>VLOOKUP(J$13,'ELT6'!$A$25:$Q$265,17)</f>
        <v>0</v>
      </c>
      <c r="K59" s="112"/>
      <c r="L59" s="112">
        <f>VLOOKUP(L$13,'ELT6'!$A$25:$Q$265,17)</f>
        <v>0</v>
      </c>
      <c r="M59" s="112"/>
      <c r="N59" s="112">
        <f>VLOOKUP(N$13,'ELT6'!$A$25:$Q$265,17)</f>
        <v>0</v>
      </c>
    </row>
    <row r="60" spans="1:17">
      <c r="B60" s="44" t="str">
        <f>CF!F47</f>
        <v>Emprunt à long terme 7</v>
      </c>
      <c r="D60" s="112">
        <f>IF(RG!$A$117=1,IF(DG!F137=0,0,'ELT7'!$P$25),IF('ELT7'!$M$23=0,'ELT7'!$P$25,'HISTO BILAN'!E57))</f>
        <v>0</v>
      </c>
      <c r="E60" s="112"/>
      <c r="F60" s="112">
        <f>VLOOKUP(F$13,'ELT7'!$A$25:$Q$265,17)</f>
        <v>0</v>
      </c>
      <c r="G60" s="112"/>
      <c r="H60" s="112">
        <f>VLOOKUP(H$13,'ELT7'!$A$25:$Q$265,17)</f>
        <v>0</v>
      </c>
      <c r="I60" s="112"/>
      <c r="J60" s="112">
        <f>VLOOKUP(J$13,'ELT7'!$A$25:$Q$265,17)</f>
        <v>0</v>
      </c>
      <c r="K60" s="112"/>
      <c r="L60" s="112">
        <f>VLOOKUP(L$13,'ELT7'!$A$25:$Q$265,17)</f>
        <v>0</v>
      </c>
      <c r="M60" s="112"/>
      <c r="N60" s="112">
        <f>VLOOKUP(N$13,'ELT7'!$A$25:$Q$265,17)</f>
        <v>0</v>
      </c>
    </row>
    <row r="61" spans="1:17">
      <c r="B61" s="44" t="s">
        <v>929</v>
      </c>
      <c r="D61" s="1100">
        <v>0</v>
      </c>
      <c r="E61" s="1100"/>
      <c r="F61" s="1100">
        <f>A!L44+A!L62+A!L80+A!L98</f>
        <v>0</v>
      </c>
      <c r="G61" s="1100"/>
      <c r="H61" s="1100">
        <f>A!L62+A!L80+A!L98</f>
        <v>0</v>
      </c>
      <c r="I61" s="1100"/>
      <c r="J61" s="1100">
        <f>A!L80+A!L98</f>
        <v>0</v>
      </c>
      <c r="K61" s="1101"/>
      <c r="L61" s="1101">
        <f>A!L98</f>
        <v>0</v>
      </c>
      <c r="M61" s="1101"/>
      <c r="N61" s="1101">
        <v>0</v>
      </c>
    </row>
    <row r="62" spans="1:17">
      <c r="B62" s="44" t="s">
        <v>541</v>
      </c>
      <c r="D62" s="112">
        <f>IF(RG!A117=1,-D49,'HISTO BILAN'!E58-D49)</f>
        <v>-3612</v>
      </c>
      <c r="E62" s="112"/>
      <c r="F62" s="112">
        <f>-F49</f>
        <v>-3796.0010000000002</v>
      </c>
      <c r="G62" s="112"/>
      <c r="H62" s="112">
        <f>-H49</f>
        <v>-3990.0010000000002</v>
      </c>
      <c r="I62" s="112"/>
      <c r="J62" s="112">
        <f>-J49</f>
        <v>-4195.0010000000002</v>
      </c>
      <c r="K62" s="112"/>
      <c r="L62" s="112">
        <f>-L49</f>
        <v>-4410.0010000000002</v>
      </c>
      <c r="M62" s="766"/>
      <c r="N62" s="112">
        <f>-N49</f>
        <v>-1E-3</v>
      </c>
    </row>
    <row r="63" spans="1:17">
      <c r="D63" s="112"/>
      <c r="E63" s="112"/>
      <c r="F63" s="112"/>
      <c r="G63" s="112"/>
      <c r="H63" s="112"/>
      <c r="I63" s="112"/>
      <c r="J63" s="1096">
        <v>1E-4</v>
      </c>
      <c r="K63" s="112"/>
      <c r="L63" s="766"/>
      <c r="M63" s="766"/>
      <c r="N63" s="766"/>
    </row>
    <row r="64" spans="1:17">
      <c r="A64" s="179" t="s">
        <v>463</v>
      </c>
      <c r="B64" s="180"/>
      <c r="C64" s="180"/>
      <c r="D64" s="512">
        <f>SUM(D53:D62)</f>
        <v>16388</v>
      </c>
      <c r="E64" s="113"/>
      <c r="F64" s="512">
        <f>SUM(F53:F62)</f>
        <v>12591.999</v>
      </c>
      <c r="G64" s="113"/>
      <c r="H64" s="512">
        <f>SUM(H53:H62)</f>
        <v>8601.9989999999998</v>
      </c>
      <c r="I64" s="113"/>
      <c r="J64" s="512">
        <f>SUM(J53:J62)</f>
        <v>4406.9989999999998</v>
      </c>
      <c r="K64" s="113"/>
      <c r="L64" s="512">
        <f>SUM(L53:L62)</f>
        <v>-3.0010000000002037</v>
      </c>
      <c r="M64" s="113"/>
      <c r="N64" s="512">
        <f>SUM(N53:N62)</f>
        <v>-3.0009999999999999</v>
      </c>
    </row>
    <row r="65" spans="1:17" s="48" customFormat="1">
      <c r="A65" s="181"/>
      <c r="B65" s="181"/>
      <c r="C65" s="1122" t="s">
        <v>464</v>
      </c>
      <c r="D65" s="517">
        <f>D64+D50</f>
        <v>20000</v>
      </c>
      <c r="E65" s="517"/>
      <c r="F65" s="517">
        <f>F64+F50</f>
        <v>19001</v>
      </c>
      <c r="G65" s="517"/>
      <c r="H65" s="517">
        <f>H64+H50</f>
        <v>22759</v>
      </c>
      <c r="I65" s="517"/>
      <c r="J65" s="517">
        <f>J64+J50</f>
        <v>25324</v>
      </c>
      <c r="K65" s="517"/>
      <c r="L65" s="517">
        <f>L64+L50</f>
        <v>28148</v>
      </c>
      <c r="M65" s="517"/>
      <c r="N65" s="517">
        <f>N64+N50</f>
        <v>32757</v>
      </c>
      <c r="O65" s="545"/>
      <c r="P65" s="545"/>
      <c r="Q65" s="112"/>
    </row>
    <row r="66" spans="1:17" s="48" customFormat="1" ht="13.5" thickBot="1">
      <c r="A66" s="182"/>
      <c r="B66" s="182"/>
      <c r="C66" s="1123"/>
      <c r="D66" s="519"/>
      <c r="E66" s="519"/>
      <c r="F66" s="519"/>
      <c r="G66" s="519"/>
      <c r="H66" s="519"/>
      <c r="I66" s="519"/>
      <c r="J66" s="1098">
        <v>1E-4</v>
      </c>
      <c r="K66" s="519"/>
      <c r="L66" s="519"/>
      <c r="M66" s="519"/>
      <c r="N66" s="519"/>
      <c r="Q66" s="545"/>
    </row>
    <row r="67" spans="1:17">
      <c r="C67" s="177" t="s">
        <v>408</v>
      </c>
      <c r="D67" s="112"/>
      <c r="E67" s="112"/>
      <c r="F67" s="112"/>
      <c r="G67" s="112"/>
      <c r="H67" s="112"/>
      <c r="I67" s="112"/>
      <c r="J67" s="1096">
        <v>1E-4</v>
      </c>
      <c r="K67" s="112"/>
      <c r="L67" s="766"/>
      <c r="M67" s="766"/>
      <c r="N67" s="766"/>
    </row>
    <row r="68" spans="1:17">
      <c r="A68" s="46"/>
      <c r="B68" s="103" t="str">
        <f>IF(RG!A74=3,"Capital-actions",IF(RG!A74=4,"Capital social","Avoir du(des) propriétaire(s)"))</f>
        <v>Capital-actions</v>
      </c>
      <c r="D68" s="112">
        <f>IF(RG!A117=1,CF!J17+CF!J19,'HISTO BILAN'!E64+CF!J17+CF!J19)</f>
        <v>11000</v>
      </c>
      <c r="E68" s="112"/>
      <c r="F68" s="112">
        <f>IF(RG!$A$74&gt;2,D68,D74-D72)</f>
        <v>11000</v>
      </c>
      <c r="G68" s="112"/>
      <c r="H68" s="112">
        <f>IF(RG!$A$74&gt;2,F68,F74-F72)</f>
        <v>11000</v>
      </c>
      <c r="I68" s="112"/>
      <c r="J68" s="112">
        <f>IF(RG!$A$74&gt;2,H68,H74-H72)</f>
        <v>11000</v>
      </c>
      <c r="K68" s="112"/>
      <c r="L68" s="112">
        <f>IF(RG!$A$74&gt;2,J68,J74-J72)</f>
        <v>11000</v>
      </c>
      <c r="M68" s="112"/>
      <c r="N68" s="112">
        <f>IF(RG!$A$74&gt;2,L68,L74-L72)</f>
        <v>11000</v>
      </c>
    </row>
    <row r="69" spans="1:17">
      <c r="A69" s="46"/>
      <c r="B69" s="103" t="str">
        <f>IF(RG!A74&gt;3," ",IF(RG!A74=3,"Émissions d'actions","Apports"))</f>
        <v>Émissions d'actions</v>
      </c>
      <c r="D69" s="112">
        <f>IF($B69=" ",0,IF(RG!A117=1,0,'HISTO BILAN'!E65))</f>
        <v>0</v>
      </c>
      <c r="E69" s="112"/>
      <c r="F69" s="112">
        <f>'AE1'!P25</f>
        <v>0</v>
      </c>
      <c r="G69" s="112"/>
      <c r="H69" s="112">
        <f>'AE2'!P25</f>
        <v>0</v>
      </c>
      <c r="I69" s="112"/>
      <c r="J69" s="112">
        <f>'AE3'!P25</f>
        <v>0</v>
      </c>
      <c r="K69" s="112"/>
      <c r="L69" s="112">
        <f>'AE4'!P25</f>
        <v>0</v>
      </c>
      <c r="M69" s="112"/>
      <c r="N69" s="112">
        <f>'AE5'!P25</f>
        <v>0</v>
      </c>
    </row>
    <row r="70" spans="1:17">
      <c r="A70" s="46"/>
      <c r="B70" s="103" t="str">
        <f>IF(RG!A74&gt;3," ",IF(RG!A74=3,"Dividendes déclarés","Prélèvements"))</f>
        <v>Dividendes déclarés</v>
      </c>
      <c r="D70" s="112">
        <f>IF($B70=" ",0,IF(RG!A117=1,0,'HISTO BILAN'!E66))</f>
        <v>0</v>
      </c>
      <c r="E70" s="112"/>
      <c r="F70" s="112">
        <f>-'BC1'!P128</f>
        <v>0</v>
      </c>
      <c r="G70" s="112"/>
      <c r="H70" s="112">
        <f>-'BC2'!O124</f>
        <v>0</v>
      </c>
      <c r="I70" s="112"/>
      <c r="J70" s="112">
        <f>-'BC3'!O124</f>
        <v>0</v>
      </c>
      <c r="K70" s="112"/>
      <c r="L70" s="112">
        <f>-'BC4'!O124</f>
        <v>0</v>
      </c>
      <c r="M70" s="766"/>
      <c r="N70" s="112">
        <f>-'BC5'!O124</f>
        <v>0</v>
      </c>
    </row>
    <row r="71" spans="1:17">
      <c r="A71" s="46"/>
      <c r="B71" s="103" t="str">
        <f>IF(RG!A74=4,"Surplus accumulés",IF(RG!A74=3,"Bénéfices non répartis",""))</f>
        <v>Bénéfices non répartis</v>
      </c>
      <c r="D71" s="112">
        <f>IF(RG!A117=1,0,'HISTO BILAN'!E67)</f>
        <v>0</v>
      </c>
      <c r="E71" s="112"/>
      <c r="F71" s="112">
        <f>IF(RG!$A$74&gt;2,D73+D71+D70+0.01,0)</f>
        <v>1.0999999999999999E-2</v>
      </c>
      <c r="G71" s="112"/>
      <c r="H71" s="112">
        <f>IF(RG!$A$74&gt;2,F73+F71+F70+0.01,0)</f>
        <v>-15726.969310000002</v>
      </c>
      <c r="I71" s="112"/>
      <c r="J71" s="112">
        <f>IF(RG!$A$74&gt;2,H73+H71+H70+0.01,0)</f>
        <v>-24897.849409999995</v>
      </c>
      <c r="K71" s="112"/>
      <c r="L71" s="112">
        <f>IF(RG!$A$74&gt;2,J73+J71+J70+0.01,0)</f>
        <v>-29906.862809999995</v>
      </c>
      <c r="M71" s="112"/>
      <c r="N71" s="112">
        <f>IF(RG!$A$74&gt;2,L73+L71+L70+0.01,0)</f>
        <v>-34534.517819999994</v>
      </c>
    </row>
    <row r="72" spans="1:17">
      <c r="A72" s="46"/>
      <c r="B72" s="103" t="s">
        <v>124</v>
      </c>
      <c r="D72" s="112">
        <f>IF(RG!A117&lt;3,SUBV!C27+SUBV!C40+SUBV!C53,'HISTO BILAN'!E68)</f>
        <v>0</v>
      </c>
      <c r="E72" s="112"/>
      <c r="F72" s="112">
        <v>0</v>
      </c>
      <c r="G72" s="112"/>
      <c r="H72" s="112">
        <v>0</v>
      </c>
      <c r="I72" s="112"/>
      <c r="J72" s="112">
        <f>IF((D72+F72+H72)&gt;0,0.01,0)</f>
        <v>0</v>
      </c>
      <c r="K72" s="112"/>
      <c r="L72" s="112">
        <f>IF((F72+H72+J72)&gt;0,0.01,0)</f>
        <v>0</v>
      </c>
      <c r="M72" s="766"/>
      <c r="N72" s="112">
        <f>IF((H72+J72+L72)&gt;0,0.01,0)</f>
        <v>0</v>
      </c>
    </row>
    <row r="73" spans="1:17">
      <c r="A73" s="87"/>
      <c r="B73" s="183" t="str">
        <f>IF(RG!A74=4,"SURPLUS DE L'EXERCICE","BÉNÉFICE NET DE L'EXERCICE")</f>
        <v>BÉNÉFICE NET DE L'EXERCICE</v>
      </c>
      <c r="C73" s="83"/>
      <c r="D73" s="514">
        <f>IF(RG!A117=1,0.001,'HISTO BILAN'!E69)</f>
        <v>1E-3</v>
      </c>
      <c r="E73" s="514"/>
      <c r="F73" s="514">
        <f>ER!C100</f>
        <v>-15726.990310000003</v>
      </c>
      <c r="G73" s="514"/>
      <c r="H73" s="514">
        <f>ER!E100</f>
        <v>-9170.8900999999914</v>
      </c>
      <c r="I73" s="514"/>
      <c r="J73" s="514">
        <f>ER!G100</f>
        <v>-5009.0234</v>
      </c>
      <c r="K73" s="514"/>
      <c r="L73" s="514">
        <f>ER!I100</f>
        <v>-4627.6650100000006</v>
      </c>
      <c r="M73" s="786"/>
      <c r="N73" s="514">
        <f>ER!K100</f>
        <v>-4879.4293206999919</v>
      </c>
    </row>
    <row r="74" spans="1:17" s="48" customFormat="1">
      <c r="A74" s="181"/>
      <c r="B74" s="181"/>
      <c r="C74" s="1122" t="s">
        <v>465</v>
      </c>
      <c r="D74" s="517">
        <f>SUM(D68:D73)</f>
        <v>11000.001</v>
      </c>
      <c r="E74" s="517"/>
      <c r="F74" s="517">
        <f>SUM(F68:F73)</f>
        <v>-4726.9793100000024</v>
      </c>
      <c r="G74" s="517"/>
      <c r="H74" s="517">
        <f>SUM(H68:H73)</f>
        <v>-13897.859409999994</v>
      </c>
      <c r="I74" s="517"/>
      <c r="J74" s="517">
        <f>SUM(J68:J73)</f>
        <v>-18906.872809999993</v>
      </c>
      <c r="K74" s="517"/>
      <c r="L74" s="517">
        <f>SUM(L68:L73)</f>
        <v>-23534.527819999996</v>
      </c>
      <c r="M74" s="517"/>
      <c r="N74" s="517">
        <f>SUM(N68:N73)</f>
        <v>-28413.947140699987</v>
      </c>
    </row>
    <row r="75" spans="1:17" s="48" customFormat="1" ht="13.5" thickBot="1">
      <c r="A75" s="182"/>
      <c r="B75" s="182"/>
      <c r="C75" s="1123"/>
      <c r="D75" s="519"/>
      <c r="E75" s="519"/>
      <c r="F75" s="519"/>
      <c r="G75" s="519"/>
      <c r="H75" s="519"/>
      <c r="I75" s="519"/>
      <c r="J75" s="1098">
        <v>1E-4</v>
      </c>
      <c r="K75" s="519"/>
      <c r="L75" s="519"/>
      <c r="M75" s="519"/>
      <c r="N75" s="519"/>
    </row>
    <row r="76" spans="1:17">
      <c r="A76" s="1118" t="s">
        <v>347</v>
      </c>
      <c r="B76" s="1118"/>
      <c r="C76" s="1118"/>
      <c r="D76" s="520">
        <f>D74+D65</f>
        <v>31000.001</v>
      </c>
      <c r="E76" s="520"/>
      <c r="F76" s="520">
        <f>F74+F65</f>
        <v>14274.020689999998</v>
      </c>
      <c r="G76" s="520"/>
      <c r="H76" s="520">
        <f>H74+H65</f>
        <v>8861.1405900000063</v>
      </c>
      <c r="I76" s="520"/>
      <c r="J76" s="520">
        <f>J74+J65</f>
        <v>6417.1271900000065</v>
      </c>
      <c r="K76" s="520"/>
      <c r="L76" s="520">
        <f>L74+L65</f>
        <v>4613.4721800000043</v>
      </c>
      <c r="M76" s="520"/>
      <c r="N76" s="520">
        <f>N74+N65</f>
        <v>4343.0528593000126</v>
      </c>
    </row>
    <row r="77" spans="1:17" ht="13.5" thickBot="1">
      <c r="A77" s="1119"/>
      <c r="B77" s="1119"/>
      <c r="C77" s="1119"/>
      <c r="D77" s="518"/>
      <c r="E77" s="518"/>
      <c r="F77" s="518"/>
      <c r="G77" s="518"/>
      <c r="H77" s="518"/>
      <c r="I77" s="518"/>
      <c r="J77" s="1097">
        <v>1E-4</v>
      </c>
      <c r="K77" s="518"/>
      <c r="L77" s="518"/>
      <c r="M77" s="518"/>
      <c r="N77" s="518"/>
    </row>
    <row r="78" spans="1:17" ht="13.5" thickTop="1"/>
    <row r="79" spans="1:17" ht="19.5" customHeight="1">
      <c r="A79" s="46"/>
      <c r="D79" s="184"/>
      <c r="E79" s="184"/>
      <c r="F79" s="184"/>
      <c r="G79" s="184"/>
      <c r="H79" s="184"/>
      <c r="I79" s="184"/>
      <c r="J79" s="184"/>
      <c r="K79" s="184"/>
      <c r="L79" s="767"/>
      <c r="M79" s="767"/>
      <c r="N79" s="767"/>
    </row>
    <row r="81" spans="1:14">
      <c r="D81" s="1115"/>
      <c r="E81" s="1115"/>
      <c r="F81" s="1115"/>
      <c r="G81" s="115"/>
      <c r="H81" s="43"/>
      <c r="I81" s="43"/>
      <c r="J81" s="43"/>
      <c r="K81" s="115"/>
      <c r="L81" s="768"/>
      <c r="M81" s="768"/>
      <c r="N81" s="768"/>
    </row>
    <row r="82" spans="1:14" hidden="1">
      <c r="A82" s="104">
        <v>1</v>
      </c>
    </row>
  </sheetData>
  <sheetProtection password="E242" sheet="1" objects="1" scenarios="1"/>
  <autoFilter ref="A13:J77" xr:uid="{00000000-0009-0000-0000-00003D000000}"/>
  <customSheetViews>
    <customSheetView guid="{30D0538C-360A-4CDF-8D89-584CED1967CC}"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1"/>
      <headerFooter alignWithMargins="0">
        <oddHeader>&amp;RPRF - 5</oddHeader>
      </headerFooter>
      <autoFilter ref="A13:J77" xr:uid="{AC2BC33B-9456-457A-BBF2-BEEDE5894069}"/>
    </customSheetView>
    <customSheetView guid="{4F3169C3-3348-49DE-A6DC-8AA4D2A9D7A1}"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2"/>
      <headerFooter alignWithMargins="0">
        <oddHeader>&amp;RPRF - 5</oddHeader>
      </headerFooter>
      <autoFilter ref="A13:J77" xr:uid="{B30D7F4C-ADB3-4ADB-8EE0-D98DBB7B96DC}"/>
    </customSheetView>
  </customSheetViews>
  <mergeCells count="5">
    <mergeCell ref="D81:F81"/>
    <mergeCell ref="C38:C39"/>
    <mergeCell ref="C65:C66"/>
    <mergeCell ref="C74:C75"/>
    <mergeCell ref="A76:C77"/>
  </mergeCells>
  <phoneticPr fontId="0" type="noConversion"/>
  <pageMargins left="0.78740157499999996" right="0.78740157499999996" top="0.984251969" bottom="0.984251969" header="0.4921259845" footer="0.4921259845"/>
  <pageSetup scale="60" orientation="portrait" r:id="rId3"/>
  <headerFooter alignWithMargins="0">
    <oddHeader>&amp;RPRF - 6</oddHeader>
  </headerFooter>
  <drawing r:id="rId4"/>
  <legacyDrawing r:id="rId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11">
    <pageSetUpPr fitToPage="1"/>
  </sheetPr>
  <dimension ref="A2:L55"/>
  <sheetViews>
    <sheetView showGridLines="0" showOutlineSymbols="0" topLeftCell="A25" zoomScale="80" zoomScaleNormal="80" workbookViewId="0">
      <selection activeCell="H60" sqref="H60"/>
    </sheetView>
  </sheetViews>
  <sheetFormatPr baseColWidth="10" defaultColWidth="11.453125" defaultRowHeight="13"/>
  <cols>
    <col min="1" max="1" width="5" style="576" customWidth="1"/>
    <col min="2" max="2" width="5.6328125" style="576" customWidth="1"/>
    <col min="3" max="3" width="55.81640625" style="576" customWidth="1"/>
    <col min="4" max="4" width="15.6328125" style="576" customWidth="1"/>
    <col min="5" max="5" width="4.08984375" style="576" customWidth="1"/>
    <col min="6" max="6" width="15.6328125" style="576" customWidth="1"/>
    <col min="7" max="7" width="4.08984375" style="576" customWidth="1"/>
    <col min="8" max="8" width="15.6328125" style="576" customWidth="1"/>
    <col min="9" max="9" width="4.08984375" style="576" customWidth="1"/>
    <col min="10" max="10" width="15.6328125" style="665" customWidth="1"/>
    <col min="11" max="11" width="4.08984375" style="665" customWidth="1"/>
    <col min="12" max="12" width="15.6328125" style="665" customWidth="1"/>
    <col min="13" max="16384" width="11.453125" style="167"/>
  </cols>
  <sheetData>
    <row r="2" spans="1:12">
      <c r="A2" s="556"/>
    </row>
    <row r="3" spans="1:12">
      <c r="A3" s="556"/>
    </row>
    <row r="4" spans="1:12">
      <c r="A4" s="604"/>
    </row>
    <row r="5" spans="1:12">
      <c r="A5" s="604"/>
    </row>
    <row r="6" spans="1:12">
      <c r="A6" s="604"/>
    </row>
    <row r="7" spans="1:12">
      <c r="A7" s="604"/>
    </row>
    <row r="8" spans="1:12" ht="15" customHeight="1">
      <c r="A8" s="604"/>
    </row>
    <row r="9" spans="1:12" ht="25">
      <c r="A9" s="589" t="str">
        <f>RG!D17</f>
        <v>Jhon Wesly inc.</v>
      </c>
    </row>
    <row r="11" spans="1:12" ht="15">
      <c r="A11" s="577" t="s">
        <v>546</v>
      </c>
    </row>
    <row r="12" spans="1:12">
      <c r="A12" s="578" t="s">
        <v>519</v>
      </c>
    </row>
    <row r="13" spans="1:12">
      <c r="A13" s="578"/>
    </row>
    <row r="14" spans="1:12">
      <c r="A14" s="578"/>
      <c r="D14" s="168" t="s">
        <v>128</v>
      </c>
      <c r="E14" s="594"/>
      <c r="F14" s="168" t="s">
        <v>128</v>
      </c>
      <c r="G14" s="594"/>
      <c r="H14" s="168" t="s">
        <v>128</v>
      </c>
      <c r="I14" s="594"/>
      <c r="J14" s="168" t="s">
        <v>128</v>
      </c>
      <c r="K14" s="594"/>
      <c r="L14" s="168" t="s">
        <v>128</v>
      </c>
    </row>
    <row r="15" spans="1:12" ht="12.75" customHeight="1">
      <c r="A15" s="578"/>
      <c r="D15" s="168" t="s">
        <v>129</v>
      </c>
      <c r="E15" s="596"/>
      <c r="F15" s="168" t="s">
        <v>129</v>
      </c>
      <c r="G15" s="596"/>
      <c r="H15" s="168" t="s">
        <v>129</v>
      </c>
      <c r="I15" s="596"/>
      <c r="J15" s="168" t="s">
        <v>129</v>
      </c>
      <c r="K15" s="596"/>
      <c r="L15" s="168" t="s">
        <v>129</v>
      </c>
    </row>
    <row r="16" spans="1:12" ht="15" customHeight="1" thickBot="1">
      <c r="D16" s="581">
        <f>FGFM1!$N$15</f>
        <v>45633</v>
      </c>
      <c r="E16" s="597"/>
      <c r="F16" s="581">
        <f>'BC2'!N13</f>
        <v>45992</v>
      </c>
      <c r="G16" s="596"/>
      <c r="H16" s="581">
        <f>'BC2'!$N$13+365</f>
        <v>46357</v>
      </c>
      <c r="I16" s="597"/>
      <c r="J16" s="581">
        <f>H16+365</f>
        <v>46722</v>
      </c>
      <c r="K16" s="596"/>
      <c r="L16" s="581">
        <f>J16+365</f>
        <v>47087</v>
      </c>
    </row>
    <row r="19" spans="1:12">
      <c r="A19" s="578" t="s">
        <v>576</v>
      </c>
      <c r="B19"/>
      <c r="C19"/>
      <c r="D19"/>
      <c r="E19"/>
      <c r="F19"/>
      <c r="G19"/>
      <c r="H19"/>
      <c r="I19"/>
      <c r="J19"/>
      <c r="K19"/>
      <c r="L19"/>
    </row>
    <row r="20" spans="1:12">
      <c r="A20"/>
      <c r="B20" s="576" t="s">
        <v>542</v>
      </c>
      <c r="C20"/>
      <c r="D20" s="605">
        <f>ER!C100</f>
        <v>-15726.990310000003</v>
      </c>
      <c r="E20" s="582"/>
      <c r="F20" s="605">
        <f>ER!E100</f>
        <v>-9170.8900999999914</v>
      </c>
      <c r="G20" s="582"/>
      <c r="H20" s="605">
        <f>ER!G100</f>
        <v>-5009.0234</v>
      </c>
      <c r="I20" s="582"/>
      <c r="J20" s="605">
        <f>ER!I100</f>
        <v>-4627.6650100000006</v>
      </c>
      <c r="K20" s="582"/>
      <c r="L20" s="605">
        <f>ER!K100</f>
        <v>-4879.4293206999919</v>
      </c>
    </row>
    <row r="21" spans="1:12">
      <c r="A21"/>
      <c r="B21"/>
      <c r="C21"/>
      <c r="D21" s="605"/>
      <c r="E21"/>
      <c r="F21" s="605"/>
      <c r="G21"/>
      <c r="H21" s="605"/>
      <c r="I21"/>
      <c r="J21" s="605"/>
      <c r="K21" s="576"/>
      <c r="L21" s="605"/>
    </row>
    <row r="22" spans="1:12">
      <c r="A22"/>
      <c r="B22" s="576" t="s">
        <v>577</v>
      </c>
      <c r="C22"/>
      <c r="D22" s="605">
        <f>-ER!C92</f>
        <v>10200</v>
      </c>
      <c r="E22" s="606"/>
      <c r="F22" s="605">
        <f>-ER!E92</f>
        <v>5172.5</v>
      </c>
      <c r="G22" s="606"/>
      <c r="H22" s="605">
        <f>-ER!G92</f>
        <v>2648.875</v>
      </c>
      <c r="I22" s="606"/>
      <c r="J22" s="605">
        <f>-ER!I92</f>
        <v>1378.5687499999999</v>
      </c>
      <c r="K22" s="606"/>
      <c r="L22" s="605">
        <f>-ER!K92</f>
        <v>736.10593749999998</v>
      </c>
    </row>
    <row r="23" spans="1:12">
      <c r="A23" s="586"/>
      <c r="B23" s="586"/>
      <c r="C23" s="586"/>
      <c r="D23" s="607"/>
      <c r="E23" s="586"/>
      <c r="F23" s="607"/>
      <c r="G23" s="586"/>
      <c r="H23" s="607"/>
      <c r="I23" s="586"/>
      <c r="J23" s="607"/>
      <c r="K23" s="586"/>
      <c r="L23" s="607"/>
    </row>
    <row r="24" spans="1:12">
      <c r="A24"/>
      <c r="B24"/>
      <c r="C24"/>
      <c r="D24" s="608">
        <f>SUM(D20:D22)</f>
        <v>-5526.9903100000029</v>
      </c>
      <c r="E24" s="582"/>
      <c r="F24" s="608">
        <f>SUM(F20:F22)</f>
        <v>-3998.3900999999914</v>
      </c>
      <c r="G24" s="582"/>
      <c r="H24" s="608">
        <f>SUM(H20:H22)</f>
        <v>-2360.1484</v>
      </c>
      <c r="I24" s="582"/>
      <c r="J24" s="608">
        <f>SUM(J20:J22)</f>
        <v>-3249.0962600000007</v>
      </c>
      <c r="K24" s="582"/>
      <c r="L24" s="608">
        <f>SUM(L20:L22)</f>
        <v>-4143.3233831999914</v>
      </c>
    </row>
    <row r="25" spans="1:12">
      <c r="A25"/>
      <c r="B25"/>
      <c r="C25"/>
      <c r="D25" s="605"/>
      <c r="E25"/>
      <c r="F25" s="605"/>
      <c r="G25"/>
      <c r="H25" s="605"/>
      <c r="I25"/>
      <c r="J25" s="605"/>
      <c r="K25" s="576"/>
      <c r="L25" s="605"/>
    </row>
    <row r="26" spans="1:12">
      <c r="A26" s="578"/>
      <c r="B26" s="576" t="s">
        <v>578</v>
      </c>
      <c r="C26"/>
      <c r="D26" s="608"/>
      <c r="E26" s="578"/>
      <c r="F26" s="608"/>
      <c r="G26" s="578"/>
      <c r="H26" s="608"/>
      <c r="I26" s="578"/>
      <c r="J26" s="608"/>
      <c r="K26" s="578"/>
      <c r="L26" s="608"/>
    </row>
    <row r="27" spans="1:12">
      <c r="A27" s="578"/>
      <c r="B27"/>
      <c r="C27"/>
      <c r="D27" s="608"/>
      <c r="E27" s="578"/>
      <c r="F27" s="608"/>
      <c r="G27" s="578"/>
      <c r="H27" s="608"/>
      <c r="I27" s="578"/>
      <c r="J27" s="608"/>
      <c r="K27" s="578"/>
      <c r="L27" s="608"/>
    </row>
    <row r="28" spans="1:12">
      <c r="A28" s="578"/>
      <c r="B28"/>
      <c r="C28" s="576" t="s">
        <v>579</v>
      </c>
      <c r="D28" s="608"/>
      <c r="E28" s="578"/>
      <c r="F28" s="608"/>
      <c r="G28" s="578"/>
      <c r="H28" s="608"/>
      <c r="I28" s="578"/>
      <c r="J28" s="608"/>
      <c r="K28" s="578"/>
      <c r="L28" s="608"/>
    </row>
    <row r="29" spans="1:12">
      <c r="A29" s="578"/>
      <c r="B29"/>
      <c r="C29" s="576" t="s">
        <v>580</v>
      </c>
      <c r="D29" s="605">
        <f>BILAN!D18+BILAN!D19+BILAN!D20+BILAN!D21-BILAN!F18-BILAN!F19-BILAN!F20-BILAN!F21</f>
        <v>3600.8985000000002</v>
      </c>
      <c r="E29"/>
      <c r="F29" s="605">
        <f>BILAN!F18+BILAN!F19+BILAN!F20+BILAN!F21-BILAN!H18-BILAN!H19-BILAN!H20-BILAN!H21</f>
        <v>0</v>
      </c>
      <c r="G29"/>
      <c r="H29" s="605">
        <f>BILAN!H18+BILAN!H19+BILAN!H20+BILAN!H21-BILAN!J18-BILAN!J19-BILAN!J20-BILAN!J21</f>
        <v>-0.02</v>
      </c>
      <c r="I29"/>
      <c r="J29" s="605">
        <f>BILAN!J18+BILAN!J19+BILAN!J20+BILAN!J21-BILAN!L18-BILAN!L19-BILAN!L20-BILAN!L21</f>
        <v>-0.01</v>
      </c>
      <c r="K29" s="576"/>
      <c r="L29" s="605">
        <f>BILAN!L18+BILAN!L19+BILAN!L20+BILAN!L21-BILAN!N18-BILAN!N19-BILAN!N20-BILAN!N21</f>
        <v>-1.0000000000000002E-2</v>
      </c>
    </row>
    <row r="30" spans="1:12">
      <c r="A30" s="578"/>
      <c r="B30"/>
      <c r="C30"/>
      <c r="D30" s="605"/>
      <c r="E30" s="582"/>
      <c r="F30" s="605"/>
      <c r="G30" s="582"/>
      <c r="H30" s="605"/>
      <c r="I30" s="582"/>
      <c r="J30" s="605"/>
      <c r="K30" s="582"/>
      <c r="L30" s="605"/>
    </row>
    <row r="31" spans="1:12">
      <c r="A31" s="578"/>
      <c r="B31"/>
      <c r="C31" s="576" t="s">
        <v>581</v>
      </c>
      <c r="D31" s="605">
        <f>BILAN!F42+BILAN!F43+BILAN!F44+BILAN!F45+BILAN!F46+BILAN!F47+BILAN!F48-BILAN!D42-BILAN!D43-BILAN!D44-BILAN!D45-BILAN!D46-BILAN!D47-BILAN!D48-BILAN!D49</f>
        <v>-999</v>
      </c>
      <c r="E31"/>
      <c r="F31" s="605">
        <f>BILAN!H42+BILAN!H43+BILAN!H44+BILAN!H45+BILAN!H46+BILAN!H47+BILAN!H48-BILAN!F42-BILAN!F43-BILAN!F44-BILAN!F45-BILAN!F46-BILAN!F47-BILAN!F48-BILAN!F49</f>
        <v>3757.9989999999998</v>
      </c>
      <c r="G31"/>
      <c r="H31" s="605">
        <f>BILAN!J42+BILAN!J43+BILAN!J44+BILAN!J45+BILAN!J46+BILAN!J47+BILAN!J48-BILAN!H42-BILAN!H43-BILAN!H44-BILAN!H45-BILAN!H46-BILAN!H47-BILAN!H48-BILAN!H49</f>
        <v>2564.9989999999998</v>
      </c>
      <c r="I31"/>
      <c r="J31" s="605">
        <f>BILAN!L42+BILAN!L43+BILAN!L44+BILAN!L45+BILAN!L46+BILAN!L47+BILAN!L48-BILAN!J42-BILAN!J43-BILAN!J44-BILAN!J45-BILAN!J46-BILAN!J47-BILAN!J48-BILAN!J49</f>
        <v>2823.9989999999998</v>
      </c>
      <c r="K31" s="576"/>
      <c r="L31" s="605">
        <f>BILAN!N42+BILAN!N43+BILAN!N44+BILAN!N45+BILAN!N46+BILAN!N47+BILAN!N48-BILAN!L42-BILAN!L43-BILAN!L44-BILAN!L45-BILAN!L46-BILAN!L47-BILAN!L48-BILAN!L49</f>
        <v>4608.9989999999998</v>
      </c>
    </row>
    <row r="32" spans="1:12">
      <c r="A32" s="609"/>
      <c r="B32" s="610"/>
      <c r="C32" s="610"/>
      <c r="D32" s="611">
        <f>D29+D31</f>
        <v>2601.8985000000002</v>
      </c>
      <c r="E32" s="602"/>
      <c r="F32" s="611">
        <f>F29+F31</f>
        <v>3757.9989999999998</v>
      </c>
      <c r="G32" s="602"/>
      <c r="H32" s="611">
        <f>H29+H31</f>
        <v>2564.9789999999998</v>
      </c>
      <c r="I32" s="602"/>
      <c r="J32" s="611">
        <f>J29+J31</f>
        <v>2823.9889999999996</v>
      </c>
      <c r="K32" s="602"/>
      <c r="L32" s="611">
        <f>L29+L31</f>
        <v>4608.9889999999996</v>
      </c>
    </row>
    <row r="33" spans="1:12">
      <c r="A33" s="612"/>
      <c r="B33" s="590"/>
      <c r="C33" s="590"/>
      <c r="D33" s="677">
        <f>D24+D32</f>
        <v>-2925.0918100000026</v>
      </c>
      <c r="E33" s="613"/>
      <c r="F33" s="677">
        <f>F24+F32</f>
        <v>-240.39109999999164</v>
      </c>
      <c r="G33" s="613"/>
      <c r="H33" s="677">
        <f>H24+H32</f>
        <v>204.83059999999978</v>
      </c>
      <c r="I33" s="613"/>
      <c r="J33" s="677">
        <f>J24+J32</f>
        <v>-425.10726000000113</v>
      </c>
      <c r="K33" s="613"/>
      <c r="L33" s="677">
        <f>L24+L32</f>
        <v>465.66561680000814</v>
      </c>
    </row>
    <row r="34" spans="1:12" ht="13.5" thickBot="1">
      <c r="A34" s="614"/>
      <c r="B34" s="614"/>
      <c r="C34" s="614"/>
      <c r="D34" s="678"/>
      <c r="E34" s="615"/>
      <c r="F34" s="678"/>
      <c r="G34" s="615"/>
      <c r="H34" s="678"/>
      <c r="I34" s="615"/>
      <c r="J34" s="678"/>
      <c r="K34" s="615"/>
      <c r="L34" s="678"/>
    </row>
    <row r="35" spans="1:12">
      <c r="A35" s="578"/>
      <c r="B35"/>
      <c r="C35"/>
      <c r="D35" s="616"/>
      <c r="E35" s="617"/>
      <c r="F35" s="616"/>
      <c r="G35" s="617"/>
      <c r="H35" s="167"/>
      <c r="I35" s="617"/>
      <c r="J35" s="666"/>
      <c r="K35" s="667"/>
      <c r="L35" s="670"/>
    </row>
    <row r="36" spans="1:12">
      <c r="A36" s="576" t="s">
        <v>543</v>
      </c>
      <c r="B36"/>
      <c r="C36"/>
      <c r="D36" s="605">
        <f>-A!$G26</f>
        <v>0</v>
      </c>
      <c r="E36" s="606"/>
      <c r="F36" s="605">
        <f>-A!$G44</f>
        <v>0</v>
      </c>
      <c r="G36" s="606"/>
      <c r="H36" s="605">
        <f>-A!$G62</f>
        <v>0</v>
      </c>
      <c r="I36" s="606"/>
      <c r="J36" s="605">
        <f>-A!$G80</f>
        <v>0</v>
      </c>
      <c r="K36" s="668"/>
      <c r="L36" s="605">
        <f>-A!$G98</f>
        <v>0</v>
      </c>
    </row>
    <row r="37" spans="1:12">
      <c r="A37" s="586"/>
      <c r="B37" s="586"/>
      <c r="C37" s="586"/>
      <c r="D37" s="618"/>
      <c r="E37" s="619"/>
      <c r="F37" s="618"/>
      <c r="G37" s="619"/>
      <c r="H37" s="620"/>
      <c r="I37" s="619"/>
      <c r="J37" s="669"/>
      <c r="K37" s="671"/>
      <c r="L37" s="672"/>
    </row>
    <row r="38" spans="1:12">
      <c r="A38"/>
      <c r="B38"/>
      <c r="C38"/>
      <c r="D38" s="167"/>
      <c r="E38" s="167"/>
      <c r="F38" s="167"/>
      <c r="G38" s="621"/>
      <c r="H38" s="616"/>
      <c r="I38" s="167"/>
      <c r="J38" s="670"/>
      <c r="K38" s="668"/>
      <c r="L38" s="666"/>
    </row>
    <row r="39" spans="1:12">
      <c r="A39" s="576" t="s">
        <v>544</v>
      </c>
      <c r="B39"/>
      <c r="C39"/>
      <c r="D39" s="605">
        <f>'AE1'!P24+'AE1'!P25+'AE1'!P26+'AE1'!P27</f>
        <v>0</v>
      </c>
      <c r="E39" s="606"/>
      <c r="F39" s="605">
        <f>'AE2'!P24+'AE2'!P25+'AE2'!P26+'AE2'!P27</f>
        <v>0</v>
      </c>
      <c r="G39" s="606"/>
      <c r="H39" s="605">
        <f>'AE3'!P24+'AE3'!P25+'AE3'!P26+'AE3'!P27</f>
        <v>0</v>
      </c>
      <c r="I39" s="606"/>
      <c r="J39" s="605">
        <f>'AE4'!P24+'AE4'!P25+'AE4'!P26+'AE4'!P27</f>
        <v>0</v>
      </c>
      <c r="K39" s="668"/>
      <c r="L39" s="605">
        <f>'AE5'!P24+'AE5'!P25+'AE5'!P26+'AE5'!P27</f>
        <v>0</v>
      </c>
    </row>
    <row r="40" spans="1:12">
      <c r="A40" s="586"/>
      <c r="B40" s="586"/>
      <c r="C40" s="586"/>
      <c r="D40" s="620"/>
      <c r="E40" s="620"/>
      <c r="F40" s="620"/>
      <c r="G40" s="619"/>
      <c r="H40" s="618"/>
      <c r="I40" s="620"/>
      <c r="J40" s="672"/>
      <c r="K40" s="671"/>
      <c r="L40" s="669"/>
    </row>
    <row r="41" spans="1:12">
      <c r="A41" s="590"/>
      <c r="B41" s="590"/>
      <c r="C41" s="590"/>
      <c r="D41" s="616"/>
      <c r="E41" s="621"/>
      <c r="F41" s="167"/>
      <c r="G41" s="167"/>
      <c r="H41" s="167"/>
      <c r="I41" s="621"/>
      <c r="J41" s="670"/>
      <c r="K41" s="670"/>
      <c r="L41" s="670"/>
    </row>
    <row r="42" spans="1:12">
      <c r="A42" s="576" t="str">
        <f>IF(RG!A78&gt;3,"AJUSTEMENTS SUBVENTIONS DÉMARRAGE",IF(RG!A78=3,"DIVIDENDES VERSÉS ET AJUSTEMENTS SUBVENTIONS DÉMARRAGE","PRÉLÈVEMENTS ET AJUSTEMENTS SUBVENTIONS DÉMARRAGE"))</f>
        <v>DIVIDENDES VERSÉS ET AJUSTEMENTS SUBVENTIONS DÉMARRAGE</v>
      </c>
      <c r="D42" s="605">
        <f>BILAN!F70-BILAN!D72</f>
        <v>0</v>
      </c>
      <c r="E42" s="606"/>
      <c r="F42" s="605">
        <f>BILAN!H70</f>
        <v>0</v>
      </c>
      <c r="G42" s="606"/>
      <c r="H42" s="605">
        <f>BILAN!J70</f>
        <v>0</v>
      </c>
      <c r="I42" s="606"/>
      <c r="J42" s="605">
        <f>BILAN!L70</f>
        <v>0</v>
      </c>
      <c r="K42" s="668"/>
      <c r="L42" s="605">
        <f>BILAN!N70</f>
        <v>0</v>
      </c>
    </row>
    <row r="43" spans="1:12">
      <c r="A43" s="586"/>
      <c r="B43" s="586"/>
      <c r="C43" s="586"/>
      <c r="D43" s="618"/>
      <c r="E43" s="619"/>
      <c r="F43" s="620"/>
      <c r="G43" s="620"/>
      <c r="H43" s="620"/>
      <c r="I43" s="619"/>
      <c r="J43" s="672"/>
      <c r="K43" s="672"/>
      <c r="L43" s="672"/>
    </row>
    <row r="44" spans="1:12">
      <c r="A44"/>
      <c r="B44"/>
      <c r="C44"/>
      <c r="D44" s="592"/>
      <c r="E44" s="622"/>
      <c r="F44" s="592"/>
      <c r="G44" s="622"/>
      <c r="H44" s="592"/>
      <c r="I44" s="622"/>
      <c r="J44" s="673"/>
      <c r="K44" s="674"/>
      <c r="L44" s="673"/>
    </row>
    <row r="45" spans="1:12">
      <c r="A45" s="576" t="s">
        <v>592</v>
      </c>
      <c r="B45"/>
      <c r="C45"/>
      <c r="D45" s="592">
        <f>D33+D36+D39+D42</f>
        <v>-2925.0918100000026</v>
      </c>
      <c r="E45" s="622"/>
      <c r="F45" s="592">
        <f>F33+F36+F39+F42</f>
        <v>-240.39109999999164</v>
      </c>
      <c r="G45" s="622"/>
      <c r="H45" s="592">
        <f>H33+H36+H39+H42</f>
        <v>204.83059999999978</v>
      </c>
      <c r="I45" s="622"/>
      <c r="J45" s="592">
        <f>J33+J36+J39+J42</f>
        <v>-425.10726000000113</v>
      </c>
      <c r="K45" s="622"/>
      <c r="L45" s="592">
        <f>L33+L36+L39+L42</f>
        <v>465.66561680000814</v>
      </c>
    </row>
    <row r="46" spans="1:12">
      <c r="A46"/>
      <c r="B46"/>
      <c r="C46"/>
      <c r="D46" s="592"/>
      <c r="E46" s="622"/>
      <c r="F46" s="592"/>
      <c r="G46" s="622"/>
      <c r="H46" s="592"/>
      <c r="I46" s="622"/>
      <c r="J46" s="673"/>
      <c r="K46" s="674"/>
      <c r="L46" s="673"/>
    </row>
    <row r="47" spans="1:12">
      <c r="A47"/>
      <c r="B47"/>
      <c r="C47"/>
      <c r="D47" s="592"/>
      <c r="E47" s="622"/>
      <c r="F47" s="592"/>
      <c r="G47" s="622"/>
      <c r="H47" s="592"/>
      <c r="I47" s="622"/>
      <c r="J47" s="673"/>
      <c r="K47" s="674"/>
      <c r="L47" s="673"/>
    </row>
    <row r="48" spans="1:12">
      <c r="A48" s="576" t="s">
        <v>335</v>
      </c>
      <c r="B48"/>
      <c r="C48"/>
      <c r="D48" s="591">
        <f>BILAN!D17</f>
        <v>3399.1025</v>
      </c>
      <c r="E48" s="623"/>
      <c r="F48" s="591">
        <f>D50</f>
        <v>474.01068999999734</v>
      </c>
      <c r="G48" s="623"/>
      <c r="H48" s="591">
        <f>F50</f>
        <v>233.6195900000057</v>
      </c>
      <c r="I48" s="623"/>
      <c r="J48" s="591">
        <f>H50</f>
        <v>438.45019000000548</v>
      </c>
      <c r="K48" s="623"/>
      <c r="L48" s="591">
        <f>J50</f>
        <v>13.342930000004344</v>
      </c>
    </row>
    <row r="49" spans="1:12">
      <c r="A49"/>
      <c r="B49"/>
      <c r="C49"/>
      <c r="D49" s="592"/>
      <c r="E49" s="622"/>
      <c r="F49" s="592"/>
      <c r="G49" s="622"/>
      <c r="H49" s="592"/>
      <c r="I49" s="622"/>
      <c r="J49" s="673"/>
      <c r="K49" s="674"/>
      <c r="L49" s="673"/>
    </row>
    <row r="50" spans="1:12" ht="13.5" thickBot="1">
      <c r="A50" s="583" t="s">
        <v>336</v>
      </c>
      <c r="B50" s="583"/>
      <c r="C50" s="583"/>
      <c r="D50" s="624">
        <f>D45+D48</f>
        <v>474.01068999999734</v>
      </c>
      <c r="E50" s="603"/>
      <c r="F50" s="624">
        <f>F45+F48</f>
        <v>233.6195900000057</v>
      </c>
      <c r="G50" s="603"/>
      <c r="H50" s="624">
        <f>H45+H48</f>
        <v>438.45019000000548</v>
      </c>
      <c r="I50" s="603"/>
      <c r="J50" s="624">
        <f>J45+J48</f>
        <v>13.342930000004344</v>
      </c>
      <c r="K50" s="603"/>
      <c r="L50" s="624">
        <f>L45+L48</f>
        <v>479.00854680001248</v>
      </c>
    </row>
    <row r="51" spans="1:12" ht="13.5" thickTop="1"/>
    <row r="54" spans="1:12">
      <c r="D54" s="1128"/>
      <c r="E54" s="1128"/>
      <c r="F54" s="1128"/>
      <c r="G54" s="167"/>
      <c r="H54" s="167"/>
      <c r="I54" s="167"/>
      <c r="J54" s="670"/>
      <c r="K54" s="670"/>
      <c r="L54" s="670"/>
    </row>
    <row r="55" spans="1:12">
      <c r="A55" s="587">
        <v>1</v>
      </c>
    </row>
  </sheetData>
  <sheetProtection password="E242" sheet="1" objects="1" scenarios="1"/>
  <autoFilter ref="A16:H50" xr:uid="{00000000-0009-0000-0000-00003E000000}"/>
  <customSheetViews>
    <customSheetView guid="{30D0538C-360A-4CDF-8D89-584CED1967CC}" scale="80" showGridLines="0" outlineSymbols="0" fitToPage="1" showAutoFilter="1">
      <selection activeCell="H9" sqref="H9"/>
      <pageMargins left="0.78740157499999996" right="0.78740157499999996" top="0.984251969" bottom="0.984251969" header="0.4921259845" footer="0.4921259845"/>
      <pageSetup scale="55" orientation="portrait" r:id="rId1"/>
      <headerFooter alignWithMargins="0">
        <oddHeader>&amp;RPRF - 6</oddHeader>
      </headerFooter>
      <autoFilter ref="A16:H50" xr:uid="{627DDB45-66E8-4BB6-98DB-18D4D0164F4B}"/>
    </customSheetView>
    <customSheetView guid="{4F3169C3-3348-49DE-A6DC-8AA4D2A9D7A1}" scale="80" showGridLines="0" outlineSymbols="0" fitToPage="1" showAutoFilter="1">
      <selection activeCell="H9" sqref="H9"/>
      <pageMargins left="0.78740157499999996" right="0.78740157499999996" top="0.984251969" bottom="0.984251969" header="0.4921259845" footer="0.4921259845"/>
      <pageSetup scale="55" orientation="portrait" r:id="rId2"/>
      <headerFooter alignWithMargins="0">
        <oddHeader>&amp;RPRF - 6</oddHeader>
      </headerFooter>
      <autoFilter ref="A16:H50" xr:uid="{59448804-733B-4CBB-A4D9-C1F3B25A86AF}"/>
    </customSheetView>
  </customSheetViews>
  <mergeCells count="1">
    <mergeCell ref="D54:F54"/>
  </mergeCells>
  <phoneticPr fontId="0" type="noConversion"/>
  <pageMargins left="0.78740157499999996" right="0.78740157499999996" top="0.984251969" bottom="0.984251969" header="0.4921259845" footer="0.4921259845"/>
  <pageSetup scale="74" orientation="portrait" r:id="rId3"/>
  <headerFooter alignWithMargins="0">
    <oddHeader>&amp;RPRF - 7</oddHeader>
  </headerFooter>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26">
    <pageSetUpPr fitToPage="1"/>
  </sheetPr>
  <dimension ref="A2:N86"/>
  <sheetViews>
    <sheetView showGridLines="0" showOutlineSymbols="0" topLeftCell="A63" zoomScale="80" zoomScaleNormal="80" workbookViewId="0">
      <selection activeCell="H91" sqref="H91"/>
    </sheetView>
  </sheetViews>
  <sheetFormatPr baseColWidth="10" defaultColWidth="11.453125" defaultRowHeight="13"/>
  <cols>
    <col min="1" max="1" width="11.453125" style="43"/>
    <col min="2" max="2" width="18" style="43" customWidth="1"/>
    <col min="3" max="3" width="12.81640625" style="43" customWidth="1"/>
    <col min="4" max="4" width="13.6328125" style="43" customWidth="1"/>
    <col min="5" max="5" width="2.36328125" style="43" customWidth="1"/>
    <col min="6" max="6" width="12.81640625" style="43" customWidth="1"/>
    <col min="7" max="7" width="3.81640625" style="43" customWidth="1"/>
    <col min="8" max="8" width="13.6328125" style="43" customWidth="1"/>
    <col min="9" max="9" width="12.81640625" style="43" customWidth="1"/>
    <col min="10" max="10" width="1.6328125" style="43" customWidth="1"/>
    <col min="11" max="11" width="0.453125" style="43" customWidth="1"/>
    <col min="12" max="12" width="13.453125" style="43" customWidth="1"/>
    <col min="13" max="13" width="2.08984375" style="43" customWidth="1"/>
    <col min="14" max="14" width="13.453125" style="43" customWidth="1"/>
    <col min="15" max="16384" width="11.453125" style="43"/>
  </cols>
  <sheetData>
    <row r="2" spans="1:14">
      <c r="A2" s="116"/>
    </row>
    <row r="3" spans="1:14">
      <c r="A3" s="63"/>
    </row>
    <row r="4" spans="1:14">
      <c r="A4" s="63"/>
    </row>
    <row r="5" spans="1:14">
      <c r="A5" s="63"/>
    </row>
    <row r="6" spans="1:14">
      <c r="A6" s="63"/>
    </row>
    <row r="8" spans="1:14" ht="25.5">
      <c r="A8" s="42" t="str">
        <f>RG!D17</f>
        <v>Jhon Wesly inc.</v>
      </c>
      <c r="B8" s="44"/>
      <c r="C8" s="44"/>
      <c r="F8" s="810"/>
    </row>
    <row r="9" spans="1:14">
      <c r="A9" s="44"/>
      <c r="B9" s="44"/>
      <c r="C9" s="44"/>
    </row>
    <row r="10" spans="1:14" ht="17.5">
      <c r="A10" s="333" t="s">
        <v>297</v>
      </c>
      <c r="B10" s="44"/>
      <c r="C10" s="44"/>
    </row>
    <row r="11" spans="1:14">
      <c r="A11" s="46"/>
      <c r="B11" s="44"/>
      <c r="C11" s="44"/>
    </row>
    <row r="12" spans="1:14" ht="17.5">
      <c r="A12" s="334" t="s">
        <v>301</v>
      </c>
      <c r="B12"/>
      <c r="C12"/>
      <c r="D12"/>
      <c r="E12"/>
      <c r="F12"/>
      <c r="G12"/>
      <c r="H12"/>
      <c r="I12"/>
      <c r="J12"/>
      <c r="K12"/>
      <c r="L12"/>
      <c r="M12"/>
      <c r="N12"/>
    </row>
    <row r="13" spans="1:14" ht="15">
      <c r="A13"/>
      <c r="B13" s="45" t="s">
        <v>671</v>
      </c>
      <c r="C13"/>
      <c r="D13"/>
      <c r="E13"/>
      <c r="F13"/>
      <c r="G13"/>
      <c r="H13"/>
      <c r="I13"/>
      <c r="J13"/>
      <c r="K13"/>
      <c r="L13"/>
      <c r="M13"/>
      <c r="N13"/>
    </row>
    <row r="14" spans="1:14">
      <c r="A14"/>
      <c r="B14" s="46"/>
      <c r="C14"/>
      <c r="D14"/>
      <c r="E14"/>
      <c r="F14"/>
      <c r="G14"/>
      <c r="H14"/>
      <c r="I14"/>
      <c r="J14"/>
      <c r="K14"/>
      <c r="L14"/>
      <c r="M14"/>
      <c r="N14"/>
    </row>
    <row r="15" spans="1:14" ht="15.5">
      <c r="A15"/>
      <c r="B15" s="335" t="s">
        <v>672</v>
      </c>
      <c r="C15" s="58"/>
      <c r="D15" s="58"/>
      <c r="E15" s="58"/>
      <c r="F15" s="58"/>
      <c r="G15" s="58"/>
      <c r="H15" s="58"/>
      <c r="I15" s="58"/>
      <c r="J15"/>
      <c r="K15"/>
      <c r="L15"/>
      <c r="M15"/>
      <c r="N15"/>
    </row>
    <row r="16" spans="1:14" ht="15.5">
      <c r="A16"/>
      <c r="B16" s="335"/>
      <c r="C16" s="58"/>
      <c r="D16" s="231" t="s">
        <v>345</v>
      </c>
      <c r="E16" s="231"/>
      <c r="F16" s="231" t="s">
        <v>492</v>
      </c>
      <c r="G16" s="231"/>
      <c r="H16" s="231" t="s">
        <v>493</v>
      </c>
      <c r="I16" s="58"/>
      <c r="J16"/>
      <c r="K16"/>
      <c r="L16" s="231" t="s">
        <v>9</v>
      </c>
      <c r="M16"/>
      <c r="N16" s="231" t="s">
        <v>10</v>
      </c>
    </row>
    <row r="17" spans="1:14" ht="15.5">
      <c r="A17"/>
      <c r="B17" s="58"/>
      <c r="C17" s="58"/>
      <c r="D17" s="58"/>
      <c r="E17" s="58"/>
      <c r="F17" s="58"/>
      <c r="G17" s="58"/>
      <c r="H17" s="58"/>
      <c r="I17" s="58"/>
      <c r="J17"/>
      <c r="K17"/>
      <c r="L17" s="58"/>
      <c r="M17"/>
      <c r="N17" s="58"/>
    </row>
    <row r="18" spans="1:14" ht="15.5">
      <c r="A18"/>
      <c r="B18" s="58"/>
      <c r="C18" s="58" t="str">
        <f>IF(AND('BC1'!P32=0,'BC2'!O31=0)," ",'BC1'!A32)</f>
        <v>Frais de variable 1</v>
      </c>
      <c r="D18" s="483">
        <f>IF(OR(('FD1'!$O20+'FD1'!$O31+'FD1'!$O42+'FD1'!$O53+'FD1'!$O64+'FD1'!$O75)&gt;0,C34&gt;0),IF(C18="Publicité",('FD1'!$O20+'FD1'!$O31+'FD1'!$O42+'FD1'!$O53+'FD1'!$O64+'FD1'!$O75)+$C$34,('FD1'!$O20+'FD1'!$O31+'FD1'!$O42+'FD1'!$O53+'FD1'!$O64+'FD1'!$O75)),0)</f>
        <v>1208</v>
      </c>
      <c r="E18" s="54"/>
      <c r="F18" s="483">
        <f>IF(OR(('FD2'!$O18+'FD2'!$O29+'FD2'!$O40+'FD2'!$O51+'FD2'!$O62+'FD2'!$O73)&gt;0,F34&gt;0),IF(C18="Publicité",('FD2'!$O18+'FD2'!$O29+'FD2'!$O40+'FD2'!$O51+'FD2'!$O62+'FD2'!$O73)+$C$34,('FD2'!$O18+'FD2'!$O29+'FD2'!$O40+'FD2'!$O51+'FD2'!$O62+'FD2'!$O73)),0)</f>
        <v>1269</v>
      </c>
      <c r="G18" s="54"/>
      <c r="H18" s="484">
        <f>IF(('FD3'!$O$82&gt;0),IF(C18="Publicité",('FD3'!$O18+'FD3'!$O29+'FD3'!$O40+'FD3'!$O51+'FD3'!$O62+'FD3'!$O73)+$C$34,('FD3'!$O18+'FD3'!$O29+'FD3'!$O40+'FD3'!$O51+'FD3'!$O62+'FD3'!$O73)),0)</f>
        <v>1329</v>
      </c>
      <c r="I18" s="58"/>
      <c r="J18"/>
      <c r="K18"/>
      <c r="L18" s="484">
        <f>IF(('FD4'!$O$82&gt;0),IF(C18="Publicité",('FD4'!O18+'FD4'!O29+'FD4'!O40+'FD4'!O51+'FD4'!O62+'FD4'!O73)+$C$34,('FD4'!O18+'FD4'!O29+'FD4'!O40+'FD4'!O51+'FD4'!O62+'FD4'!O73)),0)</f>
        <v>1329</v>
      </c>
      <c r="M18"/>
      <c r="N18" s="484">
        <f>IF(('FD5'!$O$82&gt;0),IF(C18="Publicité",('FD5'!O18+'FD5'!O29+'FD5'!O40+'FD5'!O51+'FD5'!O62)+$C$34,('FD5'!O18+'FD5'!O29+'FD5'!O40+'FD5'!O51+'FD5'!O62+'FD5'!O73)),0)</f>
        <v>1329</v>
      </c>
    </row>
    <row r="19" spans="1:14" ht="15.5">
      <c r="A19"/>
      <c r="B19" s="58"/>
      <c r="C19" s="58" t="str">
        <f>IF(AND('BC1'!P33=0,'BC2'!O32=0)," ",'BC1'!A33)</f>
        <v xml:space="preserve"> </v>
      </c>
      <c r="D19" s="483">
        <f>IF(OR(('FD1'!$O21+'FD1'!$O32+'FD1'!$O43+'FD1'!$O54+'FD1'!$O65+'FD1'!$O76)&gt;0,C35&gt;0),IF(C19="Publicité",('FD1'!$O21+'FD1'!$O32+'FD1'!$O43+'FD1'!$O54+'FD1'!$O65+'FD1'!$O76)+$C$34,('FD1'!$O21+'FD1'!$O32+'FD1'!$O43+'FD1'!$O54+'FD1'!$O65+'FD1'!$O76)),0)</f>
        <v>0</v>
      </c>
      <c r="E19" s="54"/>
      <c r="F19" s="483">
        <f>IF(OR(('FD2'!$O19+'FD2'!$O30+'FD2'!$O41+'FD2'!$O52+'FD2'!$O63+'FD2'!$O74)&gt;0,F35&gt;0),IF(C19="Publicité",('FD2'!$O19+'FD2'!$O30+'FD2'!$O41+'FD2'!$O52+'FD2'!$O63+'FD2'!$O74)+$C$34,('FD2'!$O19+'FD2'!$O30+'FD2'!$O41+'FD2'!$O52+'FD2'!$O63+'FD2'!$O74)),0)</f>
        <v>0</v>
      </c>
      <c r="G19" s="54"/>
      <c r="H19" s="484">
        <f>IF(('FD3'!$O$82&gt;0),IF(C19="Publicité",('FD3'!$O19+'FD3'!$O30+'FD3'!$O41+'FD3'!$O52+'FD3'!$O63+'FD3'!$O74)+$C$34,('FD3'!$O19+'FD3'!$O30+'FD3'!$O41+'FD3'!$O52+'FD3'!$O63+'FD3'!$O74)),0)</f>
        <v>0</v>
      </c>
      <c r="I19" s="58"/>
      <c r="J19"/>
      <c r="K19"/>
      <c r="L19" s="484">
        <f>IF(('FD4'!$O$82&gt;0),IF(C19="Publicité",('FD4'!O19+'FD4'!O30+'FD4'!O41+'FD4'!O52+'FD4'!O63+'FD4'!O74)+$C$34,('FD4'!O19+'FD4'!O30+'FD4'!O41+'FD4'!O52+'FD4'!O63+'FD4'!O74)),0)</f>
        <v>0</v>
      </c>
      <c r="M19"/>
      <c r="N19" s="484">
        <f>IF(('FD5'!$O$82&gt;0),IF(C19="Publicité",('FD5'!O19+'FD5'!O30+'FD5'!O41+'FD5'!O52+'FD5'!O63)+$C$34,('FD5'!O19+'FD5'!O30+'FD5'!O41+'FD5'!O52+'FD5'!O63+'FD5'!O74)),0)</f>
        <v>0</v>
      </c>
    </row>
    <row r="20" spans="1:14" ht="15.5">
      <c r="A20"/>
      <c r="B20" s="58"/>
      <c r="C20" s="58" t="str">
        <f>IF(AND('BC1'!P34=0,'BC2'!O33=0)," ",'BC1'!A34)</f>
        <v xml:space="preserve"> </v>
      </c>
      <c r="D20" s="483">
        <f>IF(OR(('FD1'!$O22+'FD1'!$O33+'FD1'!$O44+'FD1'!$O55+'FD1'!$O66+'FD1'!$O77)&gt;0,C36&gt;0),IF(C20="Publicité",('FD1'!$O22+'FD1'!$O33+'FD1'!$O44+'FD1'!$O55+'FD1'!$O66+'FD1'!$O77)+$C$34,('FD1'!$O22+'FD1'!$O33+'FD1'!$O44+'FD1'!$O55+'FD1'!$O66+'FD1'!$O77)),0)</f>
        <v>0</v>
      </c>
      <c r="E20" s="54"/>
      <c r="F20" s="483">
        <f>IF(OR(('FD2'!$O20+'FD2'!$O31+'FD2'!$O42+'FD2'!$O53+'FD2'!$O64+'FD2'!$O75)&gt;0,F36&gt;0),IF(C20="Publicité",('FD2'!$O20+'FD2'!$O31+'FD2'!$O42+'FD2'!$O53+'FD2'!$O64+'FD2'!$O75)+$C$34,('FD2'!$O20+'FD2'!$O31+'FD2'!$O42+'FD2'!$O53+'FD2'!$O64+'FD2'!$O75)),0)</f>
        <v>0</v>
      </c>
      <c r="G20" s="54"/>
      <c r="H20" s="484">
        <f>IF(('FD3'!$O$82&gt;0),IF(C20="Publicité",('FD3'!$O20+'FD3'!$O31+'FD3'!$O42+'FD3'!$O53+'FD3'!$O64+'FD3'!$O75)+$C$34,('FD3'!$O20+'FD3'!$O31+'FD3'!$O42+'FD3'!$O53+'FD3'!$O64+'FD3'!$O75)),0)</f>
        <v>0</v>
      </c>
      <c r="I20" s="58"/>
      <c r="J20"/>
      <c r="K20"/>
      <c r="L20" s="484">
        <f>IF(('FD4'!$O$82&gt;0),IF(C20="Publicité",('FD4'!O20+'FD4'!O31+'FD4'!O42+'FD4'!O53+'FD4'!O64+'FD4'!O75)+$C$34,('FD4'!O20+'FD4'!O31+'FD4'!O42+'FD4'!O53+'FD4'!O64+'FD4'!O75)),0)</f>
        <v>0</v>
      </c>
      <c r="M20"/>
      <c r="N20" s="484">
        <f>IF(('FD5'!$O$82&gt;0),IF(C20="Publicité",('FD5'!O20+'FD5'!O31+'FD5'!O42+'FD5'!O53+'FD5'!O64)+$C$34,('FD5'!O20+'FD5'!O31+'FD5'!O42+'FD5'!O53+'FD5'!O64+'FD5'!O75)),0)</f>
        <v>0</v>
      </c>
    </row>
    <row r="21" spans="1:14" ht="15.5">
      <c r="A21"/>
      <c r="B21" s="58"/>
      <c r="C21" s="58" t="str">
        <f>IF(AND('BC1'!P35=0,'BC2'!O34=0)," ",'BC1'!A35)</f>
        <v xml:space="preserve"> </v>
      </c>
      <c r="D21" s="483">
        <f>IF(OR(('FD1'!$O23+'FD1'!$O34+'FD1'!$O45+'FD1'!$O56+'FD1'!$O67+'FD1'!$O78)&gt;0,C37&gt;0),IF(C21="Publicité",('FD1'!$O23+'FD1'!$O34+'FD1'!$O45+'FD1'!$O56+'FD1'!$O67+'FD1'!$O78)+$C$34,('FD1'!$O23+'FD1'!$O34+'FD1'!$O45+'FD1'!$O56+'FD1'!$O67+'FD1'!$O78)),0)</f>
        <v>0</v>
      </c>
      <c r="E21" s="54"/>
      <c r="F21" s="483">
        <f>IF(OR(('FD2'!$O21+'FD2'!$O32+'FD2'!$O43+'FD2'!$O54+'FD2'!$O65+'FD2'!$O76)&gt;0,F37&gt;0),IF(C21="Publicité",('FD2'!$O21+'FD2'!$O32+'FD2'!$O43+'FD2'!$O54+'FD2'!$O65+'FD2'!$O76)+$C$34,('FD2'!$O21+'FD2'!$O32+'FD2'!$O43+'FD2'!$O54+'FD2'!$O65+'FD2'!$O76)),0)</f>
        <v>0</v>
      </c>
      <c r="G21" s="54"/>
      <c r="H21" s="484">
        <f>IF(('FD3'!$O$82&gt;0),IF(C21="Publicité",('FD3'!$O21+'FD3'!$O32+'FD3'!$O43+'FD3'!$O54+'FD3'!$O65+'FD3'!$O76)+$C$34,('FD3'!$O21+'FD3'!$O32+'FD3'!$O43+'FD3'!$O54+'FD3'!$O65+'FD3'!$O76)),0)</f>
        <v>0</v>
      </c>
      <c r="I21" s="58"/>
      <c r="J21"/>
      <c r="K21"/>
      <c r="L21" s="484">
        <f>IF(('FD4'!$O$82&gt;0),IF(C21="Publicité",('FD4'!O21+'FD4'!O32+'FD4'!O43+'FD4'!O54+'FD4'!O65+'FD4'!O76)+$C$34,('FD4'!O21+'FD4'!O32+'FD4'!O43+'FD4'!O54+'FD4'!O65+'FD4'!O76)),0)</f>
        <v>0</v>
      </c>
      <c r="M21"/>
      <c r="N21" s="484">
        <f>IF(('FD5'!$O$82&gt;0),IF(C21="Publicité",('FD5'!O21+'FD5'!O32+'FD5'!O43+'FD5'!O54+'FD5'!O65)+$C$34,('FD5'!O21+'FD5'!O32+'FD5'!O43+'FD5'!O54+'FD5'!O65+'FD5'!O76)),0)</f>
        <v>0</v>
      </c>
    </row>
    <row r="22" spans="1:14" ht="15.5">
      <c r="A22"/>
      <c r="B22" s="58"/>
      <c r="C22" s="58" t="str">
        <f>IF(AND('BC1'!P36=0,'BC2'!O35=0)," ",'BC1'!A36)</f>
        <v xml:space="preserve"> </v>
      </c>
      <c r="D22" s="483">
        <f>IF(OR(('FD1'!$O24+'FD1'!$O35+'FD1'!$O46+'FD1'!$O57+'FD1'!$O68+'FD1'!$O79)&gt;0,C39&gt;0),IF(C22="Publicité",('FD1'!$O24+'FD1'!$O35+'FD1'!$O46+'FD1'!$O57+'FD1'!$O68+'FD1'!$O79)+$C$34,('FD1'!$O24+'FD1'!$O35+'FD1'!$O46+'FD1'!$O57+'FD1'!$O68+'FD1'!$O79)),0)</f>
        <v>0</v>
      </c>
      <c r="E22" s="54"/>
      <c r="F22" s="483">
        <f>IF(OR(('FD2'!$O22+'FD2'!$O33+'FD2'!$O44+'FD2'!$O55+'FD2'!$O66+'FD2'!$O77)&gt;0,F38&gt;0),IF(C22="Publicité",('FD2'!$O22+'FD2'!$O33+'FD2'!$O44+'FD2'!$O55+'FD2'!$O66+'FD2'!$O77)+$C$34,('FD2'!$O22+'FD2'!$O33+'FD2'!$O44+'FD2'!$O55+'FD2'!$O66+'FD2'!$O77)),0)</f>
        <v>0</v>
      </c>
      <c r="G22" s="54"/>
      <c r="H22" s="484">
        <f>IF(('FD3'!$O$82&gt;0),IF(C22="Publicité",('FD3'!$O22+'FD3'!$O33+'FD3'!$O44+'FD3'!$O55+'FD3'!$O66+'FD3'!$O77)+$C$34,('FD3'!$O22+'FD3'!$O33+'FD3'!$O44+'FD3'!$O55+'FD3'!$O66+'FD3'!$O77)),0)</f>
        <v>0</v>
      </c>
      <c r="I22" s="58"/>
      <c r="J22"/>
      <c r="K22"/>
      <c r="L22" s="484">
        <f>IF(('FD4'!$O$82&gt;0),IF(C22="Publicité",('FD4'!O22+'FD4'!O33+'FD4'!O44+'FD4'!O55+'FD4'!O66+'FD4'!O77)+$C$34,('FD4'!O22+'FD4'!O33+'FD4'!O44+'FD4'!O55+'FD4'!O66+'FD4'!O77)),0)</f>
        <v>0</v>
      </c>
      <c r="M22"/>
      <c r="N22" s="484">
        <f>IF(('FD5'!$O$82&gt;0),IF(C22="Publicité",('FD5'!O22+'FD5'!O33+'FD5'!O44+'FD5'!O55+'FD5'!O66)+$C$34,('FD5'!O22+'FD5'!O33+'FD5'!O44+'FD5'!O55+'FD5'!O66+'FD5'!O77)),0)</f>
        <v>0</v>
      </c>
    </row>
    <row r="23" spans="1:14" ht="15.5">
      <c r="A23"/>
      <c r="B23" s="58"/>
      <c r="C23" s="58" t="str">
        <f>IF(AND('BC1'!P37=0,'BC2'!O36=0)," ",'BC1'!A37)</f>
        <v xml:space="preserve"> </v>
      </c>
      <c r="D23" s="483">
        <f>IF(OR(('FD1'!$O25+'FD1'!$O36+'FD1'!$O47+'FD1'!$O58+'FD1'!$O69+'FD1'!$O80)&gt;0,C40&gt;0),IF(C23="Publicité",('FD1'!$O25+'FD1'!$O36+'FD1'!$O47+'FD1'!$O58+'FD1'!$O69+'FD1'!$O80)+$C$34,('FD1'!$O25+'FD1'!$O36+'FD1'!$O47+'FD1'!$O58+'FD1'!$O69+'FD1'!$O80)),0)</f>
        <v>0</v>
      </c>
      <c r="E23" s="54"/>
      <c r="F23" s="483">
        <f>IF(OR(('FD2'!$O23+'FD2'!$O34+'FD2'!$O45+'FD2'!$O56+'FD2'!$O67+'FD2'!$O78)&gt;0,F39&gt;0),IF(C23="Publicité",('FD2'!$O23+'FD2'!$O34+'FD2'!$O45+'FD2'!$O56+'FD2'!$O67+'FD2'!$O78)+$C$34,('FD2'!$O23+'FD2'!$O34+'FD2'!$O45+'FD2'!$O56+'FD2'!$O67+'FD2'!$O78)),0)</f>
        <v>0</v>
      </c>
      <c r="G23" s="54"/>
      <c r="H23" s="484">
        <f>IF(('FD3'!$O$82&gt;0),IF(C23="Publicité",('FD3'!$O23+'FD3'!$O34+'FD3'!$O45+'FD3'!$O56+'FD3'!$O67+'FD3'!$O78)+$C$34,('FD3'!$O23+'FD3'!$O34+'FD3'!$O45+'FD3'!$O56+'FD3'!$O67+'FD3'!$O78)),0)</f>
        <v>0</v>
      </c>
      <c r="I23" s="58"/>
      <c r="J23"/>
      <c r="K23"/>
      <c r="L23" s="484">
        <f>IF(('FD4'!$O$82&gt;0),IF(C23="Publicité",('FD4'!O23+'FD4'!O34+'FD4'!O45+'FD4'!O56+'FD4'!O67+'FD4'!O78)+$C$34,('FD4'!O23+'FD4'!O34+'FD4'!O45+'FD4'!O56+'FD4'!O67+'FD4'!O78)),0)</f>
        <v>0</v>
      </c>
      <c r="M23"/>
      <c r="N23" s="484">
        <f>IF(('FD5'!$O$82&gt;0),IF(C23="Publicité",('FD5'!O23+'FD5'!O34+'FD5'!O45+'FD5'!O56+'FD5'!O67)+$C$34,('FD5'!O23+'FD5'!O34+'FD5'!O45+'FD5'!O56+'FD5'!O67+'FD5'!O78)),0)</f>
        <v>0</v>
      </c>
    </row>
    <row r="24" spans="1:14" ht="15.5">
      <c r="A24"/>
      <c r="B24" s="58"/>
      <c r="C24" s="58" t="str">
        <f>IF(AND(TE!$P$131=0,TE!$P$179=0)," ",'BC1'!A30)</f>
        <v xml:space="preserve"> </v>
      </c>
      <c r="D24" s="483">
        <f>IF(TE!P131&gt;0,TE!P131,0)</f>
        <v>0</v>
      </c>
      <c r="E24" s="54"/>
      <c r="F24" s="483">
        <f>IF(TE!P143&gt;0,TE!P143,0)</f>
        <v>0</v>
      </c>
      <c r="G24" s="54"/>
      <c r="H24" s="483">
        <f>IF(TE!P155&gt;0,TE!P155,0)</f>
        <v>0</v>
      </c>
      <c r="I24" s="58"/>
      <c r="J24"/>
      <c r="K24"/>
      <c r="L24" s="483">
        <f>IF(TE!P167&gt;0,TE!P167,0)</f>
        <v>0</v>
      </c>
      <c r="M24"/>
      <c r="N24" s="483">
        <f>IF(TE!P179&gt;0,TE!P179,0)</f>
        <v>0</v>
      </c>
    </row>
    <row r="25" spans="1:14" ht="15.5">
      <c r="A25"/>
      <c r="B25" s="58"/>
      <c r="C25" s="58" t="str">
        <f>IF(AND(TE!$P$131=0,TE!$P$179=0)," ",'BC1'!A31)</f>
        <v xml:space="preserve"> </v>
      </c>
      <c r="D25" s="49">
        <f>IF(D24=" "," ",TE!R131)</f>
        <v>0</v>
      </c>
      <c r="E25" s="54"/>
      <c r="F25" s="49">
        <f>IF(F24=" "," ",TE!R143)</f>
        <v>0</v>
      </c>
      <c r="G25" s="54"/>
      <c r="H25" s="49">
        <f>IF(H24=" "," ",TE!R155)</f>
        <v>0</v>
      </c>
      <c r="I25" s="58"/>
      <c r="J25"/>
      <c r="K25"/>
      <c r="L25" s="49">
        <f>IF(L24=" "," ",TE!R167)</f>
        <v>0</v>
      </c>
      <c r="M25"/>
      <c r="N25" s="49">
        <f>IF(N24=" "," ",TE!R179)</f>
        <v>0</v>
      </c>
    </row>
    <row r="26" spans="1:14" ht="15.5">
      <c r="A26"/>
      <c r="B26" s="58"/>
      <c r="C26"/>
      <c r="D26"/>
      <c r="E26"/>
      <c r="F26"/>
      <c r="G26"/>
      <c r="H26"/>
      <c r="I26" s="58"/>
      <c r="J26"/>
      <c r="K26"/>
      <c r="L26"/>
      <c r="M26"/>
      <c r="N26"/>
    </row>
    <row r="27" spans="1:14" ht="15.5">
      <c r="A27"/>
      <c r="B27" s="58"/>
      <c r="C27"/>
      <c r="D27"/>
      <c r="E27"/>
      <c r="F27"/>
      <c r="G27"/>
      <c r="H27"/>
      <c r="I27" s="58"/>
      <c r="J27"/>
      <c r="K27"/>
      <c r="L27"/>
      <c r="M27"/>
      <c r="N27"/>
    </row>
    <row r="28" spans="1:14" ht="16" thickBot="1">
      <c r="A28"/>
      <c r="B28" s="48" t="s">
        <v>673</v>
      </c>
      <c r="C28" s="58"/>
      <c r="D28" s="56">
        <f>SUM(D18:D25)</f>
        <v>1208</v>
      </c>
      <c r="E28" s="485"/>
      <c r="F28" s="56">
        <f>SUM(F18:F25)</f>
        <v>1269</v>
      </c>
      <c r="G28" s="485"/>
      <c r="H28" s="56">
        <f>SUM(H18:H25)</f>
        <v>1329</v>
      </c>
      <c r="I28" s="58"/>
      <c r="J28"/>
      <c r="K28"/>
      <c r="L28" s="56">
        <f>SUM(L18:L25)</f>
        <v>1329</v>
      </c>
      <c r="M28"/>
      <c r="N28" s="56">
        <f>SUM(N18:N25)</f>
        <v>1329</v>
      </c>
    </row>
    <row r="29" spans="1:14" ht="16" thickTop="1">
      <c r="A29"/>
      <c r="B29" s="58"/>
      <c r="C29" s="58"/>
      <c r="D29" s="58"/>
      <c r="E29" s="58"/>
      <c r="F29" s="58"/>
      <c r="G29" s="58"/>
      <c r="H29" s="58"/>
      <c r="I29" s="58"/>
      <c r="J29"/>
      <c r="K29"/>
      <c r="L29"/>
      <c r="M29"/>
      <c r="N29"/>
    </row>
    <row r="30" spans="1:14" ht="17.5">
      <c r="A30" s="334" t="s">
        <v>303</v>
      </c>
      <c r="B30" s="58"/>
      <c r="C30" s="58"/>
      <c r="D30" s="58"/>
      <c r="E30" s="58"/>
      <c r="F30" s="58"/>
      <c r="G30" s="58"/>
      <c r="H30" s="58"/>
      <c r="I30" s="58"/>
      <c r="J30"/>
      <c r="K30"/>
      <c r="L30"/>
      <c r="M30"/>
      <c r="N30"/>
    </row>
    <row r="31" spans="1:14" ht="15.5">
      <c r="A31"/>
      <c r="B31" s="45" t="s">
        <v>305</v>
      </c>
      <c r="C31" s="58"/>
      <c r="D31" s="58"/>
      <c r="E31" s="58"/>
      <c r="F31" s="58"/>
      <c r="G31" s="58"/>
      <c r="H31" s="58"/>
      <c r="I31" s="58"/>
      <c r="J31"/>
      <c r="K31"/>
      <c r="L31"/>
      <c r="M31"/>
      <c r="N31"/>
    </row>
    <row r="32" spans="1:14" ht="15.5">
      <c r="A32"/>
      <c r="B32" s="45"/>
      <c r="C32" s="58"/>
      <c r="D32" s="58"/>
      <c r="E32" s="58"/>
      <c r="F32" s="58"/>
      <c r="G32" s="58"/>
      <c r="H32" s="58"/>
      <c r="I32" s="58"/>
      <c r="J32"/>
      <c r="K32"/>
      <c r="L32"/>
      <c r="M32"/>
      <c r="N32"/>
    </row>
    <row r="33" spans="1:14" ht="15">
      <c r="A33"/>
      <c r="B33" s="231"/>
      <c r="C33" s="231"/>
      <c r="D33" s="231"/>
      <c r="E33" s="231"/>
      <c r="F33" s="231"/>
      <c r="G33" s="231"/>
      <c r="H33" s="231"/>
      <c r="I33" s="231"/>
      <c r="J33"/>
      <c r="K33"/>
      <c r="L33"/>
      <c r="M33"/>
      <c r="N33"/>
    </row>
    <row r="34" spans="1:14" ht="15.5">
      <c r="A34" s="58" t="str">
        <f>DG!AS158</f>
        <v>Honoraires professionnels</v>
      </c>
      <c r="B34" s="58"/>
      <c r="C34" s="252">
        <f>DG!AR158</f>
        <v>1</v>
      </c>
      <c r="E34" s="341"/>
      <c r="F34" s="58" t="str">
        <f>DG!AS166</f>
        <v/>
      </c>
      <c r="G34" s="58"/>
      <c r="I34" s="252">
        <f>DG!AR166</f>
        <v>0</v>
      </c>
      <c r="J34" s="725"/>
      <c r="K34"/>
      <c r="L34"/>
      <c r="M34"/>
      <c r="N34"/>
    </row>
    <row r="35" spans="1:14" ht="15.5">
      <c r="A35" s="58" t="str">
        <f>DG!AS159</f>
        <v>Publicité</v>
      </c>
      <c r="B35" s="58"/>
      <c r="C35" s="252">
        <f>DG!AR159</f>
        <v>1</v>
      </c>
      <c r="E35" s="341"/>
      <c r="F35" s="58" t="str">
        <f>DG!AS167</f>
        <v/>
      </c>
      <c r="G35" s="58"/>
      <c r="I35" s="252">
        <f>DG!AR167</f>
        <v>0</v>
      </c>
      <c r="J35" s="725"/>
      <c r="K35"/>
      <c r="L35"/>
      <c r="M35"/>
      <c r="N35"/>
    </row>
    <row r="36" spans="1:14" ht="15.5">
      <c r="A36" s="58" t="str">
        <f>DG!AS160</f>
        <v>Immatriculation et permis</v>
      </c>
      <c r="B36" s="58"/>
      <c r="C36" s="252">
        <f>DG!AR160</f>
        <v>1</v>
      </c>
      <c r="E36" s="341"/>
      <c r="F36" s="58" t="str">
        <f>DG!AS168</f>
        <v/>
      </c>
      <c r="G36" s="58"/>
      <c r="I36" s="252">
        <f>DG!AR168</f>
        <v>0</v>
      </c>
      <c r="J36" s="725"/>
      <c r="K36"/>
      <c r="L36"/>
      <c r="M36"/>
      <c r="N36"/>
    </row>
    <row r="37" spans="1:14" ht="15.5">
      <c r="A37" s="58" t="str">
        <f>DG!AS161</f>
        <v>Assurances</v>
      </c>
      <c r="B37" s="58"/>
      <c r="C37" s="252">
        <f>DG!AR161</f>
        <v>1</v>
      </c>
      <c r="E37" s="341"/>
      <c r="F37" s="58" t="str">
        <f>DG!AS169</f>
        <v/>
      </c>
      <c r="G37" s="58"/>
      <c r="I37" s="252">
        <f>DG!AR169</f>
        <v>0</v>
      </c>
      <c r="J37" s="725"/>
      <c r="K37"/>
      <c r="L37"/>
      <c r="M37"/>
      <c r="N37"/>
    </row>
    <row r="38" spans="1:14" ht="15.5">
      <c r="A38" s="58" t="str">
        <f>DG!AS162</f>
        <v>Frais bancaires</v>
      </c>
      <c r="B38" s="58"/>
      <c r="C38" s="252">
        <f>DG!AR162</f>
        <v>1</v>
      </c>
      <c r="E38" s="341"/>
      <c r="F38" s="58" t="str">
        <f>DG!AS170</f>
        <v/>
      </c>
      <c r="G38" s="58"/>
      <c r="I38" s="252">
        <f>DG!AR170</f>
        <v>0</v>
      </c>
      <c r="J38" s="725"/>
      <c r="K38"/>
      <c r="L38"/>
      <c r="M38"/>
      <c r="N38"/>
    </row>
    <row r="39" spans="1:14" ht="15.5">
      <c r="A39" s="58" t="str">
        <f>DG!AS163</f>
        <v>Fournitures de bureau</v>
      </c>
      <c r="B39" s="58"/>
      <c r="C39" s="252">
        <f>DG!AR163</f>
        <v>1</v>
      </c>
      <c r="E39" s="341"/>
      <c r="F39" s="58" t="str">
        <f>DG!AS171</f>
        <v/>
      </c>
      <c r="G39" s="58"/>
      <c r="I39" s="252">
        <f>DG!AR171</f>
        <v>0</v>
      </c>
      <c r="J39"/>
      <c r="K39"/>
      <c r="L39"/>
      <c r="M39"/>
      <c r="N39"/>
    </row>
    <row r="40" spans="1:14" ht="15.5">
      <c r="A40" s="58" t="str">
        <f>DG!AS164</f>
        <v>Téléphonie et internet</v>
      </c>
      <c r="B40" s="58"/>
      <c r="C40" s="252">
        <f>DG!AR164</f>
        <v>0</v>
      </c>
      <c r="E40" s="341"/>
      <c r="F40" s="58" t="str">
        <f>DG!AS172</f>
        <v/>
      </c>
      <c r="G40" s="58"/>
      <c r="I40" s="252">
        <f>DG!AR172</f>
        <v>0</v>
      </c>
      <c r="J40" s="726"/>
      <c r="K40"/>
      <c r="L40"/>
      <c r="M40"/>
      <c r="N40"/>
    </row>
    <row r="41" spans="1:14" ht="15.5">
      <c r="A41" s="58" t="str">
        <f>DG!AS165</f>
        <v/>
      </c>
      <c r="B41" s="58"/>
      <c r="C41" s="252">
        <f>DG!AR165</f>
        <v>0</v>
      </c>
      <c r="E41" s="341"/>
      <c r="F41" s="58" t="str">
        <f>DG!AS173</f>
        <v/>
      </c>
      <c r="G41" s="58"/>
      <c r="I41" s="252">
        <f>DG!AR173</f>
        <v>0</v>
      </c>
      <c r="J41"/>
      <c r="K41"/>
      <c r="L41"/>
      <c r="M41"/>
      <c r="N41"/>
    </row>
    <row r="42" spans="1:14" ht="15.5">
      <c r="E42" s="341"/>
      <c r="F42" s="58"/>
      <c r="G42" s="58"/>
      <c r="H42" s="58"/>
      <c r="I42" s="58"/>
      <c r="J42"/>
      <c r="K42"/>
      <c r="L42"/>
      <c r="M42"/>
      <c r="N42"/>
    </row>
    <row r="43" spans="1:14" ht="15.5" hidden="1">
      <c r="E43" s="341"/>
      <c r="F43" s="58"/>
      <c r="G43" s="58"/>
      <c r="H43" s="58"/>
      <c r="I43" s="58"/>
      <c r="J43"/>
      <c r="K43"/>
      <c r="L43"/>
      <c r="M43"/>
      <c r="N43"/>
    </row>
    <row r="44" spans="1:14" ht="15.5" hidden="1">
      <c r="E44" s="341"/>
      <c r="F44" s="58"/>
      <c r="G44" s="58"/>
      <c r="H44" s="58"/>
      <c r="I44" s="58"/>
      <c r="J44"/>
      <c r="K44"/>
      <c r="L44"/>
      <c r="M44"/>
      <c r="N44"/>
    </row>
    <row r="45" spans="1:14" ht="15.5" hidden="1">
      <c r="A45" s="71"/>
      <c r="B45" s="58"/>
      <c r="C45" s="58"/>
      <c r="D45" s="252"/>
      <c r="E45" s="341"/>
      <c r="F45" s="58"/>
      <c r="G45" s="58"/>
      <c r="H45" s="58"/>
      <c r="I45" s="58"/>
      <c r="J45"/>
      <c r="K45"/>
      <c r="L45"/>
      <c r="M45"/>
      <c r="N45"/>
    </row>
    <row r="46" spans="1:14" ht="15.5" hidden="1">
      <c r="A46" s="71"/>
      <c r="B46" s="58"/>
      <c r="C46" s="58"/>
      <c r="D46" s="252"/>
      <c r="E46" s="341"/>
      <c r="F46" s="58"/>
      <c r="G46" s="58"/>
      <c r="H46" s="58"/>
      <c r="I46" s="58"/>
      <c r="J46"/>
      <c r="K46"/>
      <c r="L46"/>
      <c r="M46"/>
      <c r="N46"/>
    </row>
    <row r="47" spans="1:14" ht="15.5" hidden="1">
      <c r="A47" s="71"/>
      <c r="B47" s="58"/>
      <c r="C47" s="58"/>
      <c r="D47" s="252"/>
      <c r="E47" s="341"/>
      <c r="F47" s="58"/>
      <c r="G47" s="58"/>
      <c r="H47" s="58"/>
      <c r="I47" s="58"/>
      <c r="J47"/>
      <c r="K47"/>
      <c r="L47"/>
      <c r="M47"/>
      <c r="N47"/>
    </row>
    <row r="48" spans="1:14" ht="15.5" hidden="1">
      <c r="A48" s="71"/>
      <c r="B48" s="58"/>
      <c r="C48" s="58"/>
      <c r="D48" s="252"/>
      <c r="E48" s="341"/>
      <c r="F48" s="58"/>
      <c r="G48" s="58"/>
      <c r="H48" s="58"/>
      <c r="I48" s="58"/>
      <c r="J48"/>
      <c r="K48"/>
      <c r="L48"/>
      <c r="M48"/>
      <c r="N48"/>
    </row>
    <row r="49" spans="1:14" ht="15.5" hidden="1">
      <c r="A49"/>
      <c r="B49" s="58"/>
      <c r="C49" s="58"/>
      <c r="D49" s="356"/>
      <c r="E49" s="58"/>
      <c r="F49" s="58"/>
      <c r="G49" s="58"/>
      <c r="H49" s="58"/>
      <c r="I49" s="58"/>
      <c r="J49"/>
      <c r="K49"/>
      <c r="L49"/>
      <c r="M49"/>
      <c r="N49"/>
    </row>
    <row r="50" spans="1:14" ht="15.5" hidden="1">
      <c r="A50"/>
      <c r="B50" s="58"/>
      <c r="C50" s="58"/>
      <c r="E50" s="342"/>
      <c r="F50" s="58"/>
      <c r="G50" s="58"/>
      <c r="H50" s="58"/>
      <c r="I50" s="58"/>
      <c r="J50"/>
      <c r="K50"/>
      <c r="L50"/>
      <c r="M50"/>
      <c r="N50"/>
    </row>
    <row r="51" spans="1:14" ht="15.5">
      <c r="A51"/>
      <c r="B51" s="59"/>
      <c r="C51" s="58"/>
      <c r="D51" s="545"/>
      <c r="E51" s="58"/>
      <c r="F51" s="58"/>
      <c r="G51" s="58"/>
      <c r="H51" s="58"/>
      <c r="I51" s="58"/>
      <c r="J51"/>
      <c r="K51"/>
      <c r="L51"/>
      <c r="M51"/>
      <c r="N51"/>
    </row>
    <row r="52" spans="1:14" ht="15.5">
      <c r="A52"/>
      <c r="B52" s="59"/>
      <c r="C52" s="58"/>
      <c r="D52" s="545"/>
      <c r="E52" s="58"/>
      <c r="F52" s="58"/>
      <c r="G52" s="58"/>
      <c r="H52" s="58"/>
      <c r="I52" s="58"/>
      <c r="J52"/>
      <c r="K52"/>
      <c r="L52"/>
      <c r="M52"/>
      <c r="N52"/>
    </row>
    <row r="53" spans="1:14" ht="17.5">
      <c r="A53" s="334" t="s">
        <v>304</v>
      </c>
      <c r="B53" s="58"/>
      <c r="C53" s="58"/>
      <c r="D53" s="58"/>
      <c r="E53" s="58"/>
      <c r="F53" s="58"/>
      <c r="G53" s="58"/>
      <c r="H53" s="58"/>
      <c r="I53" s="58"/>
      <c r="J53"/>
      <c r="K53"/>
      <c r="L53"/>
      <c r="M53"/>
      <c r="N53"/>
    </row>
    <row r="54" spans="1:14" ht="15.5">
      <c r="A54"/>
      <c r="B54" s="58"/>
      <c r="C54" s="58"/>
      <c r="D54" s="58"/>
      <c r="E54" s="58"/>
      <c r="F54" s="58"/>
      <c r="G54" s="58"/>
      <c r="H54" s="58"/>
      <c r="I54" s="58"/>
      <c r="J54"/>
      <c r="K54"/>
      <c r="L54"/>
      <c r="M54"/>
      <c r="N54"/>
    </row>
    <row r="55" spans="1:14" ht="15.5">
      <c r="A55"/>
      <c r="B55" s="45" t="s">
        <v>573</v>
      </c>
      <c r="C55" s="58"/>
      <c r="D55" s="58"/>
      <c r="E55" s="58"/>
      <c r="F55" s="58"/>
      <c r="G55" s="58"/>
      <c r="H55" s="58"/>
      <c r="J55" s="727"/>
      <c r="K55"/>
      <c r="L55"/>
      <c r="M55"/>
      <c r="N55"/>
    </row>
    <row r="56" spans="1:14" ht="15.5">
      <c r="A56" s="71">
        <v>1</v>
      </c>
      <c r="B56" s="58" t="s">
        <v>185</v>
      </c>
      <c r="C56" s="196"/>
      <c r="D56" s="58"/>
      <c r="E56" s="196"/>
      <c r="F56" s="196"/>
      <c r="I56" s="727">
        <f>IF(RG!A90=1,500,IF(RG!A90=2,1000,5000))</f>
        <v>500</v>
      </c>
      <c r="J56"/>
      <c r="K56"/>
      <c r="L56" s="58"/>
      <c r="M56"/>
      <c r="N56"/>
    </row>
    <row r="57" spans="1:14" ht="15.5">
      <c r="A57"/>
      <c r="B57" s="196" t="s">
        <v>334</v>
      </c>
      <c r="C57" s="58"/>
      <c r="D57" s="196"/>
      <c r="E57" s="58"/>
      <c r="F57" s="58"/>
      <c r="G57" s="58"/>
      <c r="H57" s="1209">
        <f>'BC1'!C135*12</f>
        <v>0</v>
      </c>
      <c r="I57" s="1209"/>
      <c r="J57"/>
      <c r="K57"/>
      <c r="L57"/>
      <c r="M57"/>
      <c r="N57"/>
    </row>
    <row r="58" spans="1:14" ht="17.5">
      <c r="A58" s="334" t="s">
        <v>333</v>
      </c>
      <c r="B58" s="58" t="str">
        <f>IF(RG!J42&gt;0,"Une garantie bancaire d'une valeur de ","")</f>
        <v/>
      </c>
      <c r="C58"/>
      <c r="D58" s="494" t="str">
        <f>IF(RG!J42&gt;0,RG!J42,"")</f>
        <v/>
      </c>
      <c r="E58"/>
      <c r="F58"/>
      <c r="G58"/>
      <c r="H58"/>
      <c r="I58"/>
      <c r="J58"/>
      <c r="K58"/>
      <c r="L58"/>
      <c r="M58"/>
      <c r="N58"/>
    </row>
    <row r="59" spans="1:14">
      <c r="A59" s="778"/>
      <c r="B59"/>
      <c r="C59" s="778"/>
      <c r="D59"/>
      <c r="E59" s="778"/>
      <c r="F59" s="778"/>
      <c r="G59" s="778"/>
      <c r="H59" s="67" t="s">
        <v>603</v>
      </c>
      <c r="I59" s="67" t="s">
        <v>603</v>
      </c>
      <c r="J59" s="67"/>
      <c r="K59"/>
      <c r="L59"/>
      <c r="M59"/>
      <c r="N59"/>
    </row>
    <row r="60" spans="1:14" ht="15">
      <c r="A60" s="778"/>
      <c r="B60" s="45" t="s">
        <v>275</v>
      </c>
      <c r="C60" s="778"/>
      <c r="D60" s="778"/>
      <c r="E60" s="778"/>
      <c r="F60" s="778"/>
      <c r="G60" s="778"/>
      <c r="H60" s="67" t="s">
        <v>186</v>
      </c>
      <c r="I60" s="67" t="s">
        <v>187</v>
      </c>
      <c r="J60" s="67"/>
      <c r="K60"/>
      <c r="L60"/>
      <c r="M60"/>
      <c r="N60"/>
    </row>
    <row r="61" spans="1:14" ht="5.25" customHeight="1">
      <c r="A61" s="778"/>
      <c r="B61" s="778"/>
      <c r="C61" s="778"/>
      <c r="D61" s="778"/>
      <c r="E61" s="778"/>
      <c r="F61" s="778"/>
      <c r="G61" s="778"/>
      <c r="H61" s="67"/>
      <c r="I61" s="778"/>
      <c r="J61" s="778"/>
      <c r="K61"/>
      <c r="L61"/>
      <c r="M61"/>
      <c r="N61"/>
    </row>
    <row r="62" spans="1:14" ht="15.5">
      <c r="A62" s="778"/>
      <c r="B62" s="58" t="str">
        <f>CS!B11</f>
        <v>Assurance-emploi</v>
      </c>
      <c r="C62" s="778"/>
      <c r="D62" s="778"/>
      <c r="E62" s="58"/>
      <c r="F62" s="58"/>
      <c r="G62" s="58"/>
      <c r="H62" s="423">
        <f>'RH1'!T18*1.4</f>
        <v>2.1559999999999999E-2</v>
      </c>
      <c r="I62" s="423">
        <v>0</v>
      </c>
      <c r="J62" s="423"/>
      <c r="K62"/>
      <c r="L62"/>
      <c r="M62"/>
      <c r="N62"/>
    </row>
    <row r="63" spans="1:14" ht="15.5">
      <c r="A63" s="778"/>
      <c r="B63" s="58" t="str">
        <f>CS!B15</f>
        <v>Régime des rentes du Québec (RRQ)</v>
      </c>
      <c r="C63" s="778"/>
      <c r="D63" s="58"/>
      <c r="E63" s="58"/>
      <c r="F63" s="58"/>
      <c r="G63" s="58"/>
      <c r="H63" s="423">
        <f>'RH1'!P18</f>
        <v>5.2499999999999998E-2</v>
      </c>
      <c r="I63" s="423">
        <f>H63</f>
        <v>5.2499999999999998E-2</v>
      </c>
      <c r="J63" s="423"/>
      <c r="K63"/>
      <c r="L63"/>
      <c r="M63"/>
      <c r="N63"/>
    </row>
    <row r="64" spans="1:14" ht="15.5">
      <c r="A64" s="778"/>
      <c r="B64" s="58" t="str">
        <f>CS!B17</f>
        <v>Fonds du services de santé du Québec (FSSQ)</v>
      </c>
      <c r="C64" s="778"/>
      <c r="D64" s="58"/>
      <c r="E64" s="58"/>
      <c r="F64" s="58"/>
      <c r="G64" s="58"/>
      <c r="H64" s="423">
        <f>'RH1'!R18</f>
        <v>2.7E-2</v>
      </c>
      <c r="I64" s="486">
        <f>H64</f>
        <v>2.7E-2</v>
      </c>
      <c r="J64" s="486"/>
      <c r="K64"/>
      <c r="L64"/>
      <c r="M64"/>
      <c r="N64"/>
    </row>
    <row r="65" spans="1:14" ht="15.5">
      <c r="A65" s="778"/>
      <c r="B65" s="58" t="str">
        <f>CS!B19</f>
        <v>Commission des normes du travail (CNT)</v>
      </c>
      <c r="C65" s="778"/>
      <c r="D65" s="58"/>
      <c r="E65" s="58"/>
      <c r="F65" s="58"/>
      <c r="G65" s="58"/>
      <c r="H65" s="423">
        <f>'RH1'!U18</f>
        <v>8.0000000000000004E-4</v>
      </c>
      <c r="I65" s="423">
        <f>H65</f>
        <v>8.0000000000000004E-4</v>
      </c>
      <c r="J65" s="423"/>
      <c r="K65"/>
      <c r="L65"/>
      <c r="M65"/>
      <c r="N65"/>
    </row>
    <row r="66" spans="1:14" ht="15.5">
      <c r="A66" s="778"/>
      <c r="B66" s="58" t="str">
        <f>CS!B21</f>
        <v>Commission de la santé et de la sécurité au travail (CSST)</v>
      </c>
      <c r="C66" s="778"/>
      <c r="D66" s="58"/>
      <c r="E66" s="58"/>
      <c r="F66" s="58"/>
      <c r="G66" s="58"/>
      <c r="H66" s="423">
        <f>'RH1'!S18</f>
        <v>0.11</v>
      </c>
      <c r="I66" s="423">
        <v>0</v>
      </c>
      <c r="J66" s="423"/>
      <c r="K66"/>
      <c r="L66"/>
      <c r="M66"/>
      <c r="N66"/>
    </row>
    <row r="67" spans="1:14" ht="15.5">
      <c r="A67" s="778"/>
      <c r="B67" s="58" t="str">
        <f>CS!B23</f>
        <v>Régime d'assurance parentale du Québec (RQAP)</v>
      </c>
      <c r="C67" s="778"/>
      <c r="D67" s="58"/>
      <c r="E67" s="58"/>
      <c r="F67" s="58"/>
      <c r="G67" s="58"/>
      <c r="H67" s="423">
        <f>'RH1'!Q18*1.4</f>
        <v>7.8399999999999997E-3</v>
      </c>
      <c r="I67" s="423">
        <v>0</v>
      </c>
      <c r="J67" s="423"/>
      <c r="K67"/>
      <c r="L67"/>
      <c r="M67"/>
      <c r="N67"/>
    </row>
    <row r="68" spans="1:14" ht="15.5">
      <c r="A68" s="778"/>
      <c r="B68" s="58" t="s">
        <v>879</v>
      </c>
      <c r="C68" s="778"/>
      <c r="D68" s="58"/>
      <c r="E68" s="58"/>
      <c r="F68" s="58"/>
      <c r="G68" s="58"/>
      <c r="H68" s="423">
        <f>'RH1'!W18</f>
        <v>0</v>
      </c>
      <c r="I68" s="423">
        <v>0</v>
      </c>
      <c r="J68" s="423"/>
      <c r="K68"/>
      <c r="L68"/>
      <c r="M68"/>
      <c r="N68"/>
    </row>
    <row r="69" spans="1:14" ht="15.5">
      <c r="A69" s="778"/>
      <c r="B69" s="779" t="str">
        <f>CS!B28</f>
        <v>Vacances</v>
      </c>
      <c r="C69" s="780"/>
      <c r="D69" s="779"/>
      <c r="E69" s="779"/>
      <c r="F69" s="779"/>
      <c r="G69" s="779"/>
      <c r="H69" s="487">
        <f>'RH1'!V18</f>
        <v>0.04</v>
      </c>
      <c r="I69" s="487">
        <f>H69</f>
        <v>0.04</v>
      </c>
      <c r="J69" s="487"/>
      <c r="K69"/>
      <c r="L69"/>
      <c r="M69"/>
      <c r="N69"/>
    </row>
    <row r="70" spans="1:14" ht="15.5">
      <c r="A70" s="778"/>
      <c r="C70" s="778"/>
      <c r="E70" s="58"/>
      <c r="F70" s="58"/>
      <c r="G70" s="58"/>
      <c r="H70" s="781"/>
      <c r="I70" s="58"/>
      <c r="J70" s="778"/>
      <c r="K70"/>
      <c r="L70"/>
      <c r="M70"/>
      <c r="N70"/>
    </row>
    <row r="71" spans="1:14" ht="15.5">
      <c r="A71" s="778"/>
      <c r="B71" s="58"/>
      <c r="C71" s="195"/>
      <c r="D71" s="58"/>
      <c r="E71" s="58"/>
      <c r="F71" s="58"/>
      <c r="G71" s="58"/>
      <c r="H71" s="427">
        <f>SUM(H62:H69)</f>
        <v>0.25969999999999999</v>
      </c>
      <c r="I71" s="427">
        <f>SUM(I62:I69)</f>
        <v>0.12029999999999999</v>
      </c>
      <c r="J71" s="427"/>
      <c r="K71"/>
      <c r="L71"/>
      <c r="M71"/>
      <c r="N71"/>
    </row>
    <row r="72" spans="1:14" ht="15.5">
      <c r="A72" s="778"/>
      <c r="B72" s="195" t="s">
        <v>276</v>
      </c>
      <c r="C72" s="778"/>
      <c r="D72" s="58"/>
      <c r="E72" s="778"/>
      <c r="F72" s="778"/>
      <c r="G72" s="778"/>
      <c r="H72" s="778"/>
      <c r="I72" s="778"/>
      <c r="J72" s="778"/>
      <c r="K72"/>
      <c r="L72"/>
      <c r="M72"/>
      <c r="N72"/>
    </row>
    <row r="73" spans="1:14" ht="17.5">
      <c r="A73" s="334" t="s">
        <v>22</v>
      </c>
      <c r="B73" s="778"/>
      <c r="C73"/>
      <c r="D73" s="778"/>
      <c r="E73"/>
      <c r="F73"/>
      <c r="G73"/>
      <c r="H73"/>
      <c r="I73"/>
      <c r="J73"/>
      <c r="K73"/>
      <c r="L73"/>
      <c r="M73"/>
      <c r="N73"/>
    </row>
    <row r="74" spans="1:14">
      <c r="A74"/>
      <c r="B74"/>
      <c r="C74" s="44"/>
      <c r="D74"/>
      <c r="E74"/>
      <c r="F74"/>
      <c r="G74"/>
      <c r="H74"/>
      <c r="I74"/>
      <c r="J74"/>
      <c r="K74"/>
      <c r="L74"/>
      <c r="M74"/>
      <c r="N74"/>
    </row>
    <row r="75" spans="1:14" ht="15">
      <c r="A75" s="45" t="str">
        <f>IF(RG!A78&lt;3,"COÛT DES MARCHANDISES VENDUES ",IF(RG!A78=5,"COÛT D'ALIMENTATION, DE REPRODUCTION ET DE SEMENCES",IF(RG!A78=6,"COÛT DES MATÉRIAUX","COÛT DES SERVICES RENDUS")))</f>
        <v>COÛT DES SERVICES RENDUS</v>
      </c>
      <c r="C75" s="44"/>
      <c r="D75" s="231" t="s">
        <v>345</v>
      </c>
      <c r="E75" s="231"/>
      <c r="F75" s="231" t="s">
        <v>492</v>
      </c>
      <c r="G75" s="231"/>
      <c r="H75" s="231" t="s">
        <v>493</v>
      </c>
      <c r="I75"/>
      <c r="J75"/>
      <c r="K75"/>
      <c r="L75" s="231" t="s">
        <v>9</v>
      </c>
      <c r="M75"/>
      <c r="N75" s="231" t="s">
        <v>10</v>
      </c>
    </row>
    <row r="76" spans="1:14" ht="15.5">
      <c r="A76" s="335" t="s">
        <v>23</v>
      </c>
      <c r="B76" s="44"/>
      <c r="C76" s="58"/>
      <c r="D76" s="488">
        <f>BILAN!D20</f>
        <v>0</v>
      </c>
      <c r="E76" s="489"/>
      <c r="F76" s="488">
        <f>BILAN!F20</f>
        <v>0</v>
      </c>
      <c r="G76" s="489"/>
      <c r="H76" s="488">
        <f>BILAN!H20</f>
        <v>0</v>
      </c>
      <c r="I76"/>
      <c r="J76"/>
      <c r="K76"/>
      <c r="L76" s="488">
        <f>BILAN!J20</f>
        <v>0</v>
      </c>
      <c r="M76"/>
      <c r="N76" s="488">
        <f>BILAN!L20</f>
        <v>0</v>
      </c>
    </row>
    <row r="77" spans="1:14" ht="15.5">
      <c r="A77" s="335"/>
      <c r="B77" s="58"/>
      <c r="C77" s="58"/>
      <c r="D77" s="490"/>
      <c r="E77" s="490"/>
      <c r="F77" s="490"/>
      <c r="G77" s="490"/>
      <c r="H77" s="490"/>
      <c r="I77"/>
      <c r="J77"/>
      <c r="K77"/>
      <c r="L77" s="490"/>
      <c r="M77"/>
      <c r="N77" s="490"/>
    </row>
    <row r="78" spans="1:14" ht="15.5">
      <c r="A78" s="336" t="s">
        <v>70</v>
      </c>
      <c r="B78" s="58"/>
      <c r="C78" s="58"/>
      <c r="D78" s="1083">
        <f>'A1'!Q94</f>
        <v>0</v>
      </c>
      <c r="E78" s="489"/>
      <c r="F78" s="1083">
        <f>'A2'!Q94</f>
        <v>0</v>
      </c>
      <c r="G78" s="489"/>
      <c r="H78" s="1083">
        <f>'A3'!Q94</f>
        <v>0</v>
      </c>
      <c r="I78" s="112"/>
      <c r="J78"/>
      <c r="K78"/>
      <c r="L78" s="1083">
        <f>'A4'!Q94</f>
        <v>0</v>
      </c>
      <c r="M78" s="112"/>
      <c r="N78" s="1083">
        <f>'A5'!Q94</f>
        <v>0</v>
      </c>
    </row>
    <row r="79" spans="1:14" ht="15.5">
      <c r="A79" s="335"/>
      <c r="B79" s="58"/>
      <c r="C79" s="58"/>
      <c r="D79" s="490"/>
      <c r="E79" s="490"/>
      <c r="F79" s="490"/>
      <c r="G79" s="490"/>
      <c r="H79" s="490"/>
      <c r="I79"/>
      <c r="J79"/>
      <c r="K79"/>
      <c r="L79" s="490"/>
      <c r="M79"/>
      <c r="N79" s="490"/>
    </row>
    <row r="80" spans="1:14" ht="15.5">
      <c r="A80" s="336" t="s">
        <v>71</v>
      </c>
      <c r="B80" s="58"/>
      <c r="C80" s="58"/>
      <c r="D80" s="490">
        <f>D76+D78</f>
        <v>0</v>
      </c>
      <c r="E80" s="490"/>
      <c r="F80" s="490">
        <f>F76+F78</f>
        <v>0</v>
      </c>
      <c r="G80" s="490"/>
      <c r="H80" s="490">
        <f>H76+H78</f>
        <v>0</v>
      </c>
      <c r="I80"/>
      <c r="J80"/>
      <c r="K80"/>
      <c r="L80" s="490">
        <f>L76+L78</f>
        <v>0</v>
      </c>
      <c r="M80"/>
      <c r="N80" s="490">
        <f>N76+N78</f>
        <v>0</v>
      </c>
    </row>
    <row r="81" spans="1:14" ht="15.5">
      <c r="A81" s="335"/>
      <c r="B81" s="58"/>
      <c r="C81" s="58"/>
      <c r="D81" s="490"/>
      <c r="E81" s="490"/>
      <c r="F81" s="490"/>
      <c r="G81" s="490"/>
      <c r="H81" s="490"/>
      <c r="I81"/>
      <c r="J81"/>
      <c r="K81"/>
      <c r="L81" s="490"/>
      <c r="M81"/>
      <c r="N81" s="490"/>
    </row>
    <row r="82" spans="1:14" ht="15.5">
      <c r="A82" s="336" t="s">
        <v>72</v>
      </c>
      <c r="B82" s="58"/>
      <c r="C82" s="58"/>
      <c r="D82" s="491">
        <f>-BILAN!F20</f>
        <v>0</v>
      </c>
      <c r="E82" s="489"/>
      <c r="F82" s="491">
        <f>-BILAN!H20</f>
        <v>0</v>
      </c>
      <c r="G82" s="489"/>
      <c r="H82" s="491">
        <f>-BILAN!J20</f>
        <v>0</v>
      </c>
      <c r="I82"/>
      <c r="J82"/>
      <c r="K82"/>
      <c r="L82" s="491">
        <f>-BILAN!L20</f>
        <v>0</v>
      </c>
      <c r="M82"/>
      <c r="N82" s="491">
        <f>-BILAN!N20</f>
        <v>0</v>
      </c>
    </row>
    <row r="83" spans="1:14" ht="15.5">
      <c r="A83" s="58"/>
      <c r="B83" s="58"/>
      <c r="C83" s="58"/>
      <c r="D83" s="490"/>
      <c r="E83" s="490"/>
      <c r="F83" s="490"/>
      <c r="G83" s="490"/>
      <c r="H83" s="490"/>
      <c r="I83"/>
      <c r="J83"/>
      <c r="K83"/>
      <c r="L83" s="490"/>
      <c r="M83"/>
      <c r="N83" s="490"/>
    </row>
    <row r="84" spans="1:14" ht="16" thickBot="1">
      <c r="A84" s="337" t="str">
        <f>IF(RG!A78&lt;3,"= Coût des marchandises vendues",IF(RG!A78=5,"= Coût d'alimentation, de reproduction et de semences",IF(RG!A78=6,"= Coût des matériaux","= Coût des services rendus")))</f>
        <v>= Coût des services rendus</v>
      </c>
      <c r="B84" s="58"/>
      <c r="C84" s="58"/>
      <c r="D84" s="1086">
        <f>D80+D82</f>
        <v>0</v>
      </c>
      <c r="E84" s="1084"/>
      <c r="F84" s="1086">
        <f>F80+F82</f>
        <v>0</v>
      </c>
      <c r="G84" s="1084"/>
      <c r="H84" s="1086">
        <f>H80+H82</f>
        <v>0</v>
      </c>
      <c r="I84" s="1085"/>
      <c r="J84" s="1085"/>
      <c r="K84" s="1085"/>
      <c r="L84" s="1086">
        <f>L80+L82</f>
        <v>0</v>
      </c>
      <c r="M84" s="1085"/>
      <c r="N84" s="1086">
        <f>N80+N82</f>
        <v>0</v>
      </c>
    </row>
    <row r="85" spans="1:14" ht="16" thickTop="1">
      <c r="A85" s="58"/>
      <c r="B85" s="58"/>
      <c r="C85" s="337"/>
      <c r="E85" s="58"/>
      <c r="F85" s="58"/>
      <c r="G85" s="58"/>
      <c r="H85" s="338"/>
    </row>
    <row r="86" spans="1:14" ht="15.5">
      <c r="B86" s="58"/>
      <c r="C86" s="339"/>
      <c r="D86" s="58"/>
      <c r="H86" s="340"/>
    </row>
  </sheetData>
  <sheetProtection password="E242" sheet="1" objects="1" scenarios="1"/>
  <customSheetViews>
    <customSheetView guid="{30D0538C-360A-4CDF-8D89-584CED1967CC}" scale="80" showGridLines="0" outlineSymbols="0" fitToPage="1">
      <selection activeCell="L6" sqref="L6"/>
      <pageMargins left="1.38" right="0.74" top="0.5" bottom="0.5" header="0.4921259845" footer="0.4921259845"/>
      <pageSetup scale="59" orientation="portrait" horizontalDpi="4294967293" verticalDpi="300" r:id="rId1"/>
      <headerFooter alignWithMargins="0">
        <oddHeader>&amp;RPRF - 7</oddHeader>
      </headerFooter>
    </customSheetView>
    <customSheetView guid="{4F3169C3-3348-49DE-A6DC-8AA4D2A9D7A1}" scale="80" showGridLines="0" outlineSymbols="0" fitToPage="1">
      <selection activeCell="L6" sqref="L6"/>
      <pageMargins left="1.38" right="0.74" top="0.5" bottom="0.5" header="0.4921259845" footer="0.4921259845"/>
      <pageSetup scale="59" orientation="portrait" horizontalDpi="4294967293" verticalDpi="300" r:id="rId2"/>
      <headerFooter alignWithMargins="0">
        <oddHeader>&amp;RPRF - 7</oddHeader>
      </headerFooter>
    </customSheetView>
  </customSheetViews>
  <mergeCells count="1">
    <mergeCell ref="H57:I57"/>
  </mergeCells>
  <phoneticPr fontId="0" type="noConversion"/>
  <pageMargins left="1.3779527559055118" right="0.74803149606299213" top="0.51181102362204722" bottom="0.51181102362204722" header="0.51181102362204722" footer="0.51181102362204722"/>
  <pageSetup scale="78" fitToHeight="0" orientation="portrait" r:id="rId3"/>
  <headerFooter alignWithMargins="0">
    <oddHeader>&amp;RPRF - 8</oddHeader>
  </headerFooter>
  <rowBreaks count="1" manualBreakCount="1">
    <brk id="51" max="16383" man="1"/>
  </rowBreaks>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15">
    <pageSetUpPr fitToPage="1"/>
  </sheetPr>
  <dimension ref="A2:Q93"/>
  <sheetViews>
    <sheetView showGridLines="0" showRowColHeaders="0" showOutlineSymbols="0" topLeftCell="A58" zoomScale="80" zoomScaleNormal="80" workbookViewId="0">
      <selection activeCell="J94" sqref="J94"/>
    </sheetView>
  </sheetViews>
  <sheetFormatPr baseColWidth="10" defaultColWidth="11.453125" defaultRowHeight="13"/>
  <cols>
    <col min="1" max="1" width="12" style="167" bestFit="1" customWidth="1"/>
    <col min="2" max="2" width="14.6328125" style="167" customWidth="1"/>
    <col min="3" max="3" width="15.36328125" style="167" customWidth="1"/>
    <col min="4" max="4" width="14.453125" style="167" customWidth="1"/>
    <col min="5" max="5" width="30.81640625" style="167" customWidth="1"/>
    <col min="6" max="6" width="18.36328125" style="167" customWidth="1"/>
    <col min="7" max="7" width="3.453125" style="167" customWidth="1"/>
    <col min="8" max="8" width="18.36328125" style="625" customWidth="1"/>
    <col min="9" max="9" width="4" style="167" customWidth="1"/>
    <col min="10" max="10" width="18.36328125" style="167" customWidth="1"/>
    <col min="11" max="11" width="4" style="167" customWidth="1"/>
    <col min="12" max="12" width="18.36328125" style="167" customWidth="1"/>
    <col min="13" max="13" width="4" style="167" customWidth="1"/>
    <col min="14" max="14" width="18.36328125" style="167" customWidth="1"/>
    <col min="15" max="15" width="4" style="167" customWidth="1"/>
    <col min="16" max="16" width="18.36328125" style="167" customWidth="1"/>
    <col min="17" max="17" width="4" style="167" customWidth="1"/>
    <col min="18" max="16384" width="11.453125" style="167"/>
  </cols>
  <sheetData>
    <row r="2" spans="1:17">
      <c r="A2" s="556"/>
    </row>
    <row r="3" spans="1:17">
      <c r="A3" s="626"/>
    </row>
    <row r="4" spans="1:17" ht="16.5" customHeight="1"/>
    <row r="5" spans="1:17" ht="16.5" customHeight="1"/>
    <row r="6" spans="1:17" ht="16.5" customHeight="1"/>
    <row r="7" spans="1:17" ht="16.5" customHeight="1"/>
    <row r="8" spans="1:17" ht="25.5">
      <c r="A8" s="627" t="str">
        <f>RG!$D$17</f>
        <v>Jhon Wesly inc.</v>
      </c>
      <c r="B8" s="576"/>
      <c r="C8" s="576"/>
      <c r="D8" s="576"/>
      <c r="E8" s="576"/>
      <c r="F8" s="811"/>
      <c r="G8" s="576"/>
      <c r="I8" s="576"/>
      <c r="J8" s="576"/>
      <c r="K8" s="576"/>
      <c r="M8" s="576"/>
      <c r="N8" s="576"/>
      <c r="O8" s="576"/>
      <c r="Q8" s="576"/>
    </row>
    <row r="9" spans="1:17">
      <c r="A9" s="576"/>
      <c r="B9" s="576"/>
      <c r="C9" s="576"/>
      <c r="D9" s="576"/>
      <c r="E9" s="576"/>
      <c r="F9" s="576"/>
      <c r="G9" s="576"/>
      <c r="I9" s="576"/>
      <c r="J9" s="576"/>
      <c r="K9" s="576"/>
      <c r="M9" s="576"/>
      <c r="N9" s="576"/>
      <c r="O9" s="576"/>
      <c r="Q9" s="576"/>
    </row>
    <row r="10" spans="1:17" ht="15">
      <c r="A10" s="577" t="s">
        <v>473</v>
      </c>
      <c r="B10" s="576"/>
      <c r="C10" s="576"/>
      <c r="D10" s="576"/>
      <c r="E10" s="576"/>
      <c r="F10" s="576"/>
      <c r="G10" s="576"/>
      <c r="I10" s="576"/>
      <c r="J10" s="576"/>
      <c r="K10" s="576"/>
      <c r="M10" s="576"/>
      <c r="N10" s="576"/>
      <c r="O10" s="576"/>
      <c r="Q10" s="576"/>
    </row>
    <row r="11" spans="1:17" ht="15">
      <c r="A11" s="577" t="s">
        <v>519</v>
      </c>
      <c r="B11" s="576"/>
      <c r="C11" s="576"/>
      <c r="D11" s="576"/>
      <c r="E11" s="576"/>
      <c r="F11" s="576"/>
      <c r="G11" s="576"/>
      <c r="I11" s="576"/>
      <c r="J11" s="576"/>
      <c r="K11" s="576"/>
      <c r="M11" s="576"/>
      <c r="N11" s="576"/>
      <c r="O11" s="576"/>
      <c r="Q11" s="576"/>
    </row>
    <row r="12" spans="1:17">
      <c r="A12" s="578"/>
      <c r="B12" s="576"/>
      <c r="C12" s="576"/>
      <c r="D12" s="576"/>
      <c r="E12" s="576"/>
      <c r="F12" s="576"/>
      <c r="G12" s="576"/>
      <c r="I12" s="576"/>
      <c r="J12" s="576"/>
      <c r="K12" s="576"/>
      <c r="M12" s="576"/>
      <c r="N12" s="576"/>
      <c r="O12" s="576"/>
      <c r="Q12" s="576"/>
    </row>
    <row r="13" spans="1:17">
      <c r="F13" s="576"/>
      <c r="G13" s="576"/>
      <c r="H13" s="579" t="s">
        <v>130</v>
      </c>
      <c r="I13" s="576"/>
      <c r="J13" s="579" t="s">
        <v>130</v>
      </c>
      <c r="K13" s="576"/>
      <c r="L13" s="579" t="s">
        <v>130</v>
      </c>
      <c r="M13" s="576"/>
      <c r="N13" s="579" t="s">
        <v>130</v>
      </c>
      <c r="O13" s="576"/>
      <c r="P13" s="579" t="s">
        <v>130</v>
      </c>
      <c r="Q13" s="576"/>
    </row>
    <row r="14" spans="1:17" ht="15.5" thickBot="1">
      <c r="F14" s="628" t="s">
        <v>584</v>
      </c>
      <c r="G14" s="580"/>
      <c r="H14" s="581">
        <f>'BC1'!$O$13</f>
        <v>45627</v>
      </c>
      <c r="I14" s="579"/>
      <c r="J14" s="581">
        <f>'BC2'!$N$13</f>
        <v>45992</v>
      </c>
      <c r="K14" s="579"/>
      <c r="L14" s="581">
        <f>'BC3'!$N$13</f>
        <v>46357</v>
      </c>
      <c r="M14" s="429"/>
      <c r="N14" s="581">
        <f>'BC4'!$N$13</f>
        <v>46722</v>
      </c>
      <c r="O14" s="579"/>
      <c r="P14" s="581">
        <f>'BC5'!$N$13</f>
        <v>47088</v>
      </c>
      <c r="Q14" s="579"/>
    </row>
    <row r="15" spans="1:17" ht="15">
      <c r="A15" s="629" t="s">
        <v>535</v>
      </c>
      <c r="B15"/>
      <c r="C15"/>
      <c r="D15"/>
      <c r="E15"/>
      <c r="F15"/>
      <c r="G15"/>
      <c r="H15" s="630"/>
      <c r="I15"/>
      <c r="J15" s="168"/>
      <c r="K15"/>
      <c r="L15" s="168"/>
      <c r="M15"/>
      <c r="N15" s="168"/>
      <c r="O15"/>
      <c r="P15" s="168"/>
      <c r="Q15"/>
    </row>
    <row r="16" spans="1:17">
      <c r="A16"/>
      <c r="B16"/>
      <c r="C16"/>
      <c r="D16"/>
      <c r="E16"/>
      <c r="F16"/>
      <c r="G16"/>
      <c r="H16" s="630"/>
      <c r="I16"/>
      <c r="J16" s="168"/>
      <c r="K16"/>
      <c r="L16" s="168"/>
      <c r="M16"/>
      <c r="N16" s="168"/>
      <c r="O16"/>
      <c r="P16" s="168"/>
      <c r="Q16"/>
    </row>
    <row r="17" spans="1:17" ht="18">
      <c r="A17" s="429" t="s">
        <v>536</v>
      </c>
      <c r="B17" s="631"/>
      <c r="C17" s="631"/>
      <c r="D17" s="631"/>
      <c r="E17" s="631"/>
      <c r="F17" s="632">
        <f>IF(BILAN!D65&lt;1,"s/o",BILAN!D65/BILAN!D38)</f>
        <v>0.64516126951092678</v>
      </c>
      <c r="G17" s="631"/>
      <c r="H17" s="632">
        <f>IF(BILAN!F65&lt;1,"s/o",BILAN!F65/BILAN!F38)</f>
        <v>1.3311596229723557</v>
      </c>
      <c r="I17" s="631"/>
      <c r="J17" s="632">
        <f>IF(BILAN!H65&lt;1,"s/o",BILAN!H65/BILAN!H38)</f>
        <v>2.5684052486069384</v>
      </c>
      <c r="K17" s="631"/>
      <c r="L17" s="632">
        <f>IF(BILAN!J65&lt;1,"s/o",BILAN!J65/BILAN!J38)</f>
        <v>3.9463141761414851</v>
      </c>
      <c r="M17" s="631"/>
      <c r="N17" s="632">
        <f>IF(BILAN!L65&lt;1,"s/o",BILAN!L65/BILAN!L38)</f>
        <v>6.101261458132381</v>
      </c>
      <c r="O17" s="631"/>
      <c r="P17" s="632">
        <f>IF(BILAN!N65&lt;1,"s/o",BILAN!N65/BILAN!N38)</f>
        <v>7.5423903556355922</v>
      </c>
      <c r="Q17" s="631"/>
    </row>
    <row r="18" spans="1:17" ht="15.5">
      <c r="A18" s="631" t="s">
        <v>890</v>
      </c>
      <c r="B18" s="631"/>
      <c r="C18" s="631"/>
      <c r="D18" s="631"/>
      <c r="E18" s="631"/>
      <c r="F18" s="631"/>
      <c r="G18" s="631"/>
      <c r="H18" s="633"/>
      <c r="I18" s="631"/>
      <c r="J18" s="634"/>
      <c r="K18" s="631"/>
      <c r="L18" s="634"/>
      <c r="M18" s="631"/>
      <c r="N18" s="634"/>
      <c r="O18" s="631"/>
      <c r="P18" s="634"/>
      <c r="Q18" s="631"/>
    </row>
    <row r="19" spans="1:17" ht="15.5">
      <c r="A19" s="631"/>
      <c r="B19" s="631"/>
      <c r="C19" s="631"/>
      <c r="D19" s="631"/>
      <c r="E19" s="631"/>
      <c r="F19" s="631"/>
      <c r="G19" s="631"/>
      <c r="H19" s="635"/>
      <c r="I19" s="631"/>
      <c r="J19" s="634"/>
      <c r="K19" s="631"/>
      <c r="L19" s="634"/>
      <c r="M19" s="631"/>
      <c r="N19" s="634"/>
      <c r="O19" s="631"/>
      <c r="P19" s="634"/>
      <c r="Q19" s="631"/>
    </row>
    <row r="20" spans="1:17" ht="18">
      <c r="A20" s="429" t="s">
        <v>537</v>
      </c>
      <c r="B20" s="631"/>
      <c r="C20" s="631"/>
      <c r="D20" s="631"/>
      <c r="E20" s="631"/>
      <c r="F20" s="632">
        <f>IF(BILAN!D65&lt;1,"s/o",BILAN!D65/BILAN!D74)</f>
        <v>1.8181816528925769</v>
      </c>
      <c r="G20" s="631"/>
      <c r="H20" s="632">
        <f>IF(BILAN!F65&lt;1,"s/o",BILAN!F65/BILAN!F74)</f>
        <v>-4.0196918060976214</v>
      </c>
      <c r="I20" s="631"/>
      <c r="J20" s="632">
        <f>IF(BILAN!H65&lt;1,"s/o",BILAN!H65/BILAN!H74)</f>
        <v>-1.637590317227134</v>
      </c>
      <c r="K20" s="631"/>
      <c r="L20" s="632">
        <f>IF(BILAN!J65&lt;1,"s/o",BILAN!J65/BILAN!J74)</f>
        <v>-1.3394071168980382</v>
      </c>
      <c r="M20" s="631"/>
      <c r="N20" s="632">
        <f>IF(BILAN!L65&lt;1,"s/o",BILAN!L65/BILAN!L74)</f>
        <v>-1.1960299443985192</v>
      </c>
      <c r="O20" s="631"/>
      <c r="P20" s="632">
        <f>IF(BILAN!N65&lt;1,"s/o",BILAN!N65/BILAN!N74)</f>
        <v>-1.1528493326813805</v>
      </c>
      <c r="Q20" s="631"/>
    </row>
    <row r="21" spans="1:17" ht="15.5">
      <c r="A21" s="631" t="s">
        <v>891</v>
      </c>
      <c r="B21" s="631"/>
      <c r="C21" s="631"/>
      <c r="D21" s="631"/>
      <c r="E21" s="631"/>
      <c r="F21" s="631"/>
      <c r="G21" s="631"/>
      <c r="H21" s="635"/>
      <c r="I21" s="631"/>
      <c r="J21" s="634"/>
      <c r="K21" s="631"/>
      <c r="L21" s="634"/>
      <c r="M21" s="631"/>
      <c r="N21" s="634"/>
      <c r="O21" s="631"/>
      <c r="P21" s="634"/>
      <c r="Q21" s="631"/>
    </row>
    <row r="22" spans="1:17" ht="15.5">
      <c r="A22" s="631"/>
      <c r="B22" s="631"/>
      <c r="C22" s="631"/>
      <c r="D22" s="631"/>
      <c r="E22" s="631"/>
      <c r="F22" s="631"/>
      <c r="G22" s="631"/>
      <c r="H22" s="635"/>
      <c r="I22" s="631"/>
      <c r="J22" s="634"/>
      <c r="K22" s="631"/>
      <c r="L22" s="634"/>
      <c r="M22" s="631"/>
      <c r="N22" s="634"/>
      <c r="O22" s="631"/>
      <c r="P22" s="634"/>
      <c r="Q22" s="631"/>
    </row>
    <row r="23" spans="1:17" ht="15.5">
      <c r="A23" s="629" t="s">
        <v>509</v>
      </c>
      <c r="B23" s="631"/>
      <c r="C23" s="631"/>
      <c r="D23" s="631"/>
      <c r="E23" s="631"/>
      <c r="F23" s="631"/>
      <c r="G23" s="631"/>
      <c r="H23" s="635"/>
      <c r="I23" s="631"/>
      <c r="J23" s="634"/>
      <c r="K23" s="631"/>
      <c r="L23" s="634"/>
      <c r="M23" s="631"/>
      <c r="N23" s="634"/>
      <c r="O23" s="631"/>
      <c r="P23" s="634"/>
      <c r="Q23" s="631"/>
    </row>
    <row r="24" spans="1:17" ht="15.5">
      <c r="A24" s="631"/>
      <c r="B24" s="631"/>
      <c r="C24" s="631"/>
      <c r="D24" s="631"/>
      <c r="E24" s="631"/>
      <c r="F24" s="631"/>
      <c r="G24" s="631"/>
      <c r="H24" s="633"/>
      <c r="I24" s="631"/>
      <c r="J24" s="631"/>
      <c r="K24" s="631"/>
      <c r="L24" s="631"/>
      <c r="M24" s="631"/>
      <c r="N24" s="631"/>
      <c r="O24" s="631"/>
      <c r="P24" s="631"/>
      <c r="Q24" s="631"/>
    </row>
    <row r="25" spans="1:17" ht="18">
      <c r="A25" s="429" t="s">
        <v>474</v>
      </c>
      <c r="B25" s="631"/>
      <c r="C25" s="631"/>
      <c r="D25" s="631"/>
      <c r="E25" s="631"/>
      <c r="F25" s="632">
        <f>IF(BILAN!D50&lt;1,"s/o",BILAN!D22/BILAN!D50)</f>
        <v>1.937984772978959</v>
      </c>
      <c r="G25" s="631"/>
      <c r="H25" s="632">
        <f>IF(BILAN!F50&lt;1,"s/o",(BILAN!F17+BILAN!F18+BILAN!F19+BILAN!F20)/(BILAN!F42+BILAN!F43+BILAN!F44+BILAN!F45+BILAN!F46+BILAN!F47+BILAN!F48+BILAN!F49))</f>
        <v>7.3961712597641588E-2</v>
      </c>
      <c r="I25" s="631"/>
      <c r="J25" s="632">
        <f>IF(BILAN!H50&lt;1,"s/o",(BILAN!H17+BILAN!H18+BILAN!H19+BILAN!H20)/(BILAN!H42+BILAN!H43+BILAN!H44+BILAN!H45+BILAN!H46+BILAN!H47+BILAN!H48+BILAN!H49))</f>
        <v>1.6503537013242163E-2</v>
      </c>
      <c r="K25" s="631"/>
      <c r="L25" s="632">
        <f>IF(BILAN!J50&lt;1,"s/o",(BILAN!J17+BILAN!J18+BILAN!J19+BILAN!J20)/(BILAN!J42+BILAN!J43+BILAN!J44+BILAN!J45+BILAN!J46+BILAN!J47+BILAN!J48+BILAN!J49))</f>
        <v>2.0963913038967993E-2</v>
      </c>
      <c r="M25" s="631"/>
      <c r="N25" s="632">
        <f>IF(BILAN!L50&lt;1,"s/o",(BILAN!L17+BILAN!L18+BILAN!L19+BILAN!L20)/(BILAN!L42+BILAN!L43+BILAN!L44+BILAN!L46+BILAN!L47+BILAN!L48+BILAN!L49))</f>
        <v>4.9029454042715729E-4</v>
      </c>
      <c r="O25" s="631"/>
      <c r="P25" s="632">
        <f>IF(BILAN!N50&lt;1,"s/o",(BILAN!N17+BILAN!N18+BILAN!N19+BILAN!N20)/(BILAN!N42+BILAN!N43+BILAN!N44+BILAN!N46+BILAN!N47+BILAN!N48+BILAN!N49))</f>
        <v>1.4985066052012559E-2</v>
      </c>
      <c r="Q25" s="631"/>
    </row>
    <row r="26" spans="1:17" ht="15.5">
      <c r="A26" s="631" t="s">
        <v>405</v>
      </c>
      <c r="B26" s="631"/>
      <c r="C26" s="631"/>
      <c r="D26" s="631"/>
      <c r="E26" s="631"/>
      <c r="F26" s="631"/>
      <c r="G26" s="631"/>
      <c r="H26" s="633"/>
      <c r="I26" s="631"/>
      <c r="J26" s="631"/>
      <c r="K26" s="631"/>
      <c r="L26" s="631"/>
      <c r="M26" s="631"/>
      <c r="N26" s="631"/>
      <c r="O26" s="631"/>
      <c r="P26" s="631"/>
      <c r="Q26" s="631"/>
    </row>
    <row r="27" spans="1:17" ht="15.5">
      <c r="A27" s="631"/>
      <c r="B27" s="631"/>
      <c r="C27" s="631"/>
      <c r="D27" s="631"/>
      <c r="E27" s="631"/>
      <c r="F27" s="631"/>
      <c r="G27" s="631"/>
      <c r="H27" s="633"/>
      <c r="I27" s="631"/>
      <c r="J27" s="631"/>
      <c r="K27" s="631"/>
      <c r="L27" s="631"/>
      <c r="M27" s="631"/>
      <c r="N27" s="631"/>
      <c r="O27" s="631"/>
      <c r="P27" s="631"/>
      <c r="Q27" s="631"/>
    </row>
    <row r="28" spans="1:17" ht="18">
      <c r="A28" s="429" t="s">
        <v>12</v>
      </c>
      <c r="B28" s="631"/>
      <c r="C28" s="631"/>
      <c r="D28" s="631"/>
      <c r="E28" s="631"/>
      <c r="F28" s="632">
        <f>IF(BILAN!D50&lt;1,"s/o",(BILAN!D17+BILAN!D18)/(BILAN!D42+BILAN!D43+BILAN!D44+BILAN!D45+BILAN!D46+BILAN!D47+BILAN!D48+BILAN!D49))</f>
        <v>1.9363236434108528</v>
      </c>
      <c r="G28" s="631"/>
      <c r="H28" s="632">
        <f>IF(BILAN!F50&lt;1,"s/o",(BILAN!F17+BILAN!F18)/(BILAN!F42+BILAN!F43+BILAN!F44+BILAN!F45+BILAN!F46+BILAN!F47+BILAN!F48+BILAN!F49))</f>
        <v>7.3961712597641588E-2</v>
      </c>
      <c r="I28" s="631"/>
      <c r="J28" s="632">
        <f>IF(BILAN!H50&lt;1,"s/o",(BILAN!H17+BILAN!H18)/(BILAN!H42+BILAN!H43+BILAN!H44+BILAN!H45+BILAN!H46+BILAN!H47+BILAN!H48+BILAN!H49))</f>
        <v>1.6503537013242163E-2</v>
      </c>
      <c r="K28" s="631"/>
      <c r="L28" s="632">
        <f>IF(BILAN!J50&lt;1,"s/o",(BILAN!J17+BILAN!J18)/(BILAN!J42+BILAN!J43+BILAN!J44+BILAN!J45+BILAN!J46+BILAN!J47+BILAN!J48+BILAN!J49))</f>
        <v>2.0963434958960251E-2</v>
      </c>
      <c r="M28" s="631"/>
      <c r="N28" s="632">
        <f>IF(BILAN!L50&lt;1,"s/o",(BILAN!L17+BILAN!L18)/(BILAN!L42+BILAN!L43+BILAN!L44+BILAN!L46+BILAN!L47+BILAN!L48+BILAN!L49))</f>
        <v>4.8956362644590214E-4</v>
      </c>
      <c r="O28" s="631"/>
      <c r="P28" s="632">
        <f>IF(BILAN!N50&lt;1,"s/o",(BILAN!N17+BILAN!N18)/(BILAN!N42+BILAN!N43+BILAN!N44+BILAN!N46+BILAN!N47+BILAN!N48+BILAN!N49))</f>
        <v>1.4984127731011007E-2</v>
      </c>
      <c r="Q28" s="631"/>
    </row>
    <row r="29" spans="1:17" ht="15.5">
      <c r="A29" s="631" t="s">
        <v>403</v>
      </c>
      <c r="B29" s="631"/>
      <c r="C29" s="631"/>
      <c r="D29" s="631"/>
      <c r="E29" s="631"/>
      <c r="F29" s="631"/>
      <c r="G29" s="631"/>
      <c r="H29" s="633"/>
      <c r="I29" s="631"/>
      <c r="J29" s="631"/>
      <c r="K29" s="631"/>
      <c r="L29" s="631"/>
      <c r="M29" s="631"/>
      <c r="N29" s="631"/>
      <c r="O29" s="631"/>
      <c r="P29" s="631"/>
      <c r="Q29" s="631"/>
    </row>
    <row r="30" spans="1:17" ht="15.5">
      <c r="A30" s="631"/>
      <c r="B30" s="631"/>
      <c r="C30" s="631"/>
      <c r="D30" s="631"/>
      <c r="E30" s="631"/>
      <c r="F30" s="631"/>
      <c r="G30" s="631"/>
      <c r="H30" s="633"/>
      <c r="I30" s="631"/>
      <c r="J30" s="631"/>
      <c r="K30" s="631"/>
      <c r="L30" s="631"/>
      <c r="M30" s="631"/>
      <c r="N30" s="631"/>
      <c r="O30" s="631"/>
      <c r="P30" s="631"/>
      <c r="Q30" s="631"/>
    </row>
    <row r="31" spans="1:17" ht="18">
      <c r="A31" s="429" t="s">
        <v>931</v>
      </c>
      <c r="B31" s="631"/>
      <c r="C31" s="631"/>
      <c r="D31" s="631"/>
      <c r="E31" s="631"/>
      <c r="F31" s="632"/>
      <c r="G31" s="631"/>
      <c r="H31" s="632">
        <f>IF(OR((BILAN!$F$50+ER!C74)&lt;0.02,'BC1'!P87&lt;0.02),"s/o",(ER!C89+ER!C74)/'BC1'!$P$87)</f>
        <v>-1.0178803336711559</v>
      </c>
      <c r="I31" s="631"/>
      <c r="J31" s="632">
        <f>IF(OR((BILAN!$H$50+ER!E74)&lt;0.02,'BC2'!O85&lt;0.02),"s/o",(ER!E89+ER!E74)/'BC2'!$O$85)</f>
        <v>-0.72137429025112376</v>
      </c>
      <c r="K31" s="631"/>
      <c r="L31" s="632">
        <f>IF(OR((BILAN!$J$50+ER!G74)&lt;0.02,'BC3'!O85&lt;0.02),"s/o",(ER!G89+ER!G74)/'BC3'!$O$85)</f>
        <v>-0.4024170220472128</v>
      </c>
      <c r="M31" s="631"/>
      <c r="N31" s="632">
        <f>IF(OR((BILAN!$L$50+ER!I74)&lt;0.02,'BC4'!O85&lt;0.02),"s/o",(ER!I89+ER!I74)/'BC4'!$O$85)</f>
        <v>-0.64328691548142281</v>
      </c>
      <c r="O31" s="631"/>
      <c r="P31" s="632">
        <f>IF(OR((BILAN!$N$50+ER!K74)&lt;0.02,'BC5'!O85&lt;0.02),"s/o",(ER!K89+ER!K74)/'BC5'!$O$85)</f>
        <v>-0.88814887454994385</v>
      </c>
      <c r="Q31" s="631"/>
    </row>
    <row r="32" spans="1:17" ht="15.5">
      <c r="A32" s="631" t="s">
        <v>932</v>
      </c>
      <c r="B32" s="631"/>
      <c r="C32" s="631"/>
      <c r="D32" s="631"/>
      <c r="E32" s="631"/>
      <c r="F32" s="631"/>
      <c r="G32" s="631"/>
      <c r="H32" s="633"/>
      <c r="I32" s="631"/>
      <c r="J32" s="631"/>
      <c r="K32" s="631"/>
      <c r="L32" s="631"/>
      <c r="M32" s="631"/>
      <c r="N32" s="631"/>
      <c r="O32" s="631"/>
      <c r="P32" s="631"/>
      <c r="Q32" s="631"/>
    </row>
    <row r="33" spans="1:17" ht="15.5">
      <c r="A33" s="631"/>
      <c r="B33" s="631"/>
      <c r="C33" s="631"/>
      <c r="D33" s="631"/>
      <c r="E33" s="631"/>
      <c r="F33" s="631"/>
      <c r="G33" s="631"/>
      <c r="H33" s="633"/>
      <c r="I33" s="631"/>
      <c r="J33" s="631"/>
      <c r="K33" s="631"/>
      <c r="L33" s="631"/>
      <c r="M33" s="631"/>
      <c r="N33" s="631"/>
      <c r="O33" s="631"/>
      <c r="P33" s="631"/>
      <c r="Q33" s="631"/>
    </row>
    <row r="34" spans="1:17" ht="18">
      <c r="A34" s="429" t="s">
        <v>508</v>
      </c>
      <c r="B34" s="631"/>
      <c r="C34" s="631"/>
      <c r="D34" s="631"/>
      <c r="E34" s="631"/>
      <c r="F34" s="632" t="str">
        <f>IF(OR(BILAN!D20&lt;1,BILAN!D50&lt;1),"s/o",(BILAN!D20/(BILAN!D17+BILAN!D18+BILAN!D19+BILAN!D20-BILAN!D42-BILAN!D43-BILAN!D44-BILAN!D45-BILAN!D46-BILAN!D47-BILAN!D48-BILAN!D49)))</f>
        <v>s/o</v>
      </c>
      <c r="G34" s="631"/>
      <c r="H34" s="632" t="str">
        <f>IF(OR(BILAN!F20&lt;1,BILAN!F50&lt;1),"s/o",(BILAN!F20/(BILAN!F17+BILAN!F18+BILAN!F19+BILAN!F20-BILAN!F42-BILAN!F43-BILAN!F44-BILAN!F45-BILAN!F46-BILAN!F47-BILAN!F48-BILAN!F49)))</f>
        <v>s/o</v>
      </c>
      <c r="I34" s="631"/>
      <c r="J34" s="632" t="str">
        <f>IF(OR(BILAN!H20&lt;1,BILAN!H50&lt;1),"s/o",(BILAN!H20/(BILAN!H17+BILAN!H18+BILAN!H19+BILAN!H20-BILAN!H42-BILAN!H43-BILAN!H44-BILAN!H45-BILAN!H46-BILAN!H47-BILAN!H48-BILAN!H49)))</f>
        <v>s/o</v>
      </c>
      <c r="K34" s="631"/>
      <c r="L34" s="632" t="str">
        <f>IF(OR(BILAN!J20&lt;1,BILAN!J50&lt;1),"s/o",(BILAN!J20/(BILAN!J17+BILAN!J18+BILAN!J19+BILAN!J20-BILAN!J42-BILAN!J43-BILAN!J44-BILAN!J45-BILAN!J46-BILAN!J47-BILAN!J48-BILAN!J49)))</f>
        <v>s/o</v>
      </c>
      <c r="M34" s="631"/>
      <c r="N34" s="632" t="str">
        <f>IF(OR(BILAN!L20&lt;1,BILAN!L50&lt;1),"s/o",(BILAN!L20/(BILAN!L17+BILAN!L18+BILAN!L19+BILAN!L20-BILAN!L42-BILAN!L43-BILAN!L44-BILAN!L46-BILAN!L47-BILAN!L48-BILAN!L49)))</f>
        <v>s/o</v>
      </c>
      <c r="O34" s="631"/>
      <c r="P34" s="632" t="str">
        <f>IF(OR(BILAN!N20&lt;1,BILAN!N50&lt;1),"s/o",(BILAN!N20/(BILAN!N17+BILAN!N18+BILAN!N19+BILAN!N20-BILAN!N42-BILAN!N43-BILAN!N44-BILAN!N46-BILAN!N47-BILAN!N48-BILAN!N49)))</f>
        <v>s/o</v>
      </c>
      <c r="Q34" s="631"/>
    </row>
    <row r="35" spans="1:17" ht="15.5">
      <c r="A35" s="631" t="s">
        <v>404</v>
      </c>
      <c r="B35" s="631"/>
      <c r="C35" s="631"/>
      <c r="D35" s="631"/>
      <c r="E35" s="631"/>
      <c r="F35" s="631"/>
      <c r="G35" s="631"/>
      <c r="H35" s="633"/>
      <c r="I35" s="631"/>
      <c r="J35" s="631"/>
      <c r="K35" s="631"/>
      <c r="L35" s="631"/>
      <c r="M35" s="631"/>
      <c r="N35" s="631"/>
      <c r="O35" s="631"/>
      <c r="P35" s="631"/>
      <c r="Q35" s="631"/>
    </row>
    <row r="36" spans="1:17" ht="15.5">
      <c r="A36" s="631"/>
      <c r="B36" s="631"/>
      <c r="C36" s="631"/>
      <c r="D36" s="631"/>
      <c r="E36" s="631"/>
      <c r="F36" s="631"/>
      <c r="G36" s="631"/>
      <c r="H36" s="633"/>
      <c r="I36" s="631"/>
      <c r="J36" s="631"/>
      <c r="K36" s="631"/>
      <c r="L36" s="631"/>
      <c r="M36" s="631"/>
      <c r="N36" s="631"/>
      <c r="O36" s="631"/>
      <c r="P36" s="631"/>
      <c r="Q36" s="631"/>
    </row>
    <row r="37" spans="1:17" ht="15.5">
      <c r="A37" s="631"/>
      <c r="B37" s="631"/>
      <c r="C37" s="631"/>
      <c r="D37" s="631"/>
      <c r="E37" s="631"/>
      <c r="F37" s="631"/>
      <c r="G37" s="631"/>
      <c r="M37" s="576"/>
      <c r="Q37" s="576"/>
    </row>
    <row r="38" spans="1:17" ht="15.5">
      <c r="A38" s="629" t="s">
        <v>538</v>
      </c>
      <c r="B38" s="631"/>
      <c r="C38" s="631"/>
      <c r="D38" s="631"/>
      <c r="E38" s="631"/>
      <c r="F38" s="580"/>
      <c r="G38" s="631"/>
      <c r="M38" s="579"/>
      <c r="Q38" s="579"/>
    </row>
    <row r="40" spans="1:17" ht="15.5">
      <c r="A40" s="429" t="s">
        <v>551</v>
      </c>
      <c r="B40" s="631"/>
      <c r="C40" s="631"/>
      <c r="D40" s="631"/>
      <c r="E40" s="631"/>
      <c r="F40" s="631"/>
      <c r="G40" s="631"/>
      <c r="H40" s="636" t="str">
        <f>IF(NE!D24=0,"s/o",ER!C17/SUM('RH1'!Y20:Y27))</f>
        <v>s/o</v>
      </c>
      <c r="I40" s="631"/>
      <c r="J40" s="636" t="str">
        <f>IF(NE!D24=0,"s/o",ER!E17/SUM('RH2'!Y20:Y27))</f>
        <v>s/o</v>
      </c>
      <c r="K40" s="631"/>
      <c r="L40" s="636" t="str">
        <f>IF(NE!D24=0,"s/o",ER!G17/SUM('RH3'!Y20:Y27))</f>
        <v>s/o</v>
      </c>
      <c r="M40" s="631"/>
      <c r="N40" s="636" t="str">
        <f>IF(NE!H24=0,"s/o",ER!I17/SUM('RH4'!P20:P27))</f>
        <v>s/o</v>
      </c>
      <c r="O40" s="631"/>
      <c r="P40" s="636" t="str">
        <f>IF(NE!H24=0,"s/o",ER!K17/SUM('RH5'!P20:P27))</f>
        <v>s/o</v>
      </c>
      <c r="Q40" s="631"/>
    </row>
    <row r="41" spans="1:17" ht="15.5">
      <c r="A41" s="631" t="s">
        <v>550</v>
      </c>
      <c r="B41" s="631"/>
      <c r="C41" s="631"/>
      <c r="D41" s="631"/>
      <c r="E41" s="631"/>
      <c r="F41" s="631"/>
      <c r="G41" s="631"/>
      <c r="H41" s="633"/>
      <c r="I41" s="631"/>
      <c r="J41" s="631"/>
      <c r="K41" s="631"/>
      <c r="L41" s="631"/>
      <c r="M41" s="631"/>
      <c r="N41" s="631"/>
      <c r="O41" s="631"/>
      <c r="P41" s="631"/>
      <c r="Q41" s="631"/>
    </row>
    <row r="42" spans="1:17" ht="15.5">
      <c r="A42" s="631"/>
      <c r="B42" s="631"/>
      <c r="C42" s="631"/>
      <c r="D42" s="631"/>
      <c r="E42" s="631"/>
      <c r="F42" s="631"/>
      <c r="G42" s="631"/>
      <c r="H42" s="633"/>
      <c r="I42" s="631"/>
      <c r="J42" s="631"/>
      <c r="K42" s="631"/>
      <c r="L42" s="631"/>
      <c r="M42" s="631"/>
      <c r="N42" s="631"/>
      <c r="O42" s="631"/>
      <c r="P42" s="631"/>
      <c r="Q42" s="631"/>
    </row>
    <row r="43" spans="1:17" ht="15.5">
      <c r="A43" s="429" t="s">
        <v>290</v>
      </c>
      <c r="B43" s="631"/>
      <c r="C43" s="631"/>
      <c r="D43" s="631"/>
      <c r="E43" s="631"/>
      <c r="F43" s="631"/>
      <c r="G43" s="631"/>
      <c r="H43" s="635" t="str">
        <f>IF(ER!C20&lt;0,(365*((NE!D76-NE!D82)/2))/NE!D84,"s/o")</f>
        <v>s/o</v>
      </c>
      <c r="I43" s="429" t="s">
        <v>306</v>
      </c>
      <c r="J43" s="635" t="str">
        <f>IF(ER!E20&lt;0,(365*((NE!F76-NE!F82)/2))/NE!F84,"s/o")</f>
        <v>s/o</v>
      </c>
      <c r="K43" s="429" t="s">
        <v>306</v>
      </c>
      <c r="L43" s="635" t="str">
        <f>IF(ER!G20&lt;0,(365*((NE!H76-NE!H82)/2))/NE!H84,"s/o")</f>
        <v>s/o</v>
      </c>
      <c r="M43" s="429" t="s">
        <v>306</v>
      </c>
      <c r="N43" s="635" t="str">
        <f>IF(ER!I20&lt;0,(365*((NE!L76-NE!L82)/2))/NE!L84,"s/o")</f>
        <v>s/o</v>
      </c>
      <c r="O43" s="429" t="s">
        <v>306</v>
      </c>
      <c r="P43" s="635" t="str">
        <f>IF(ER!K20&lt;0,(365*((NE!N76-NE!N82)/2))/NE!N84,"s/o")</f>
        <v>s/o</v>
      </c>
      <c r="Q43" s="429" t="s">
        <v>306</v>
      </c>
    </row>
    <row r="44" spans="1:17" ht="15.5">
      <c r="A44" s="631" t="s">
        <v>406</v>
      </c>
      <c r="B44" s="631"/>
      <c r="C44" s="631"/>
      <c r="D44" s="631"/>
      <c r="E44" s="631"/>
      <c r="F44" s="631"/>
      <c r="G44" s="631"/>
      <c r="H44" s="637"/>
      <c r="I44" s="429"/>
      <c r="J44" s="429"/>
      <c r="K44" s="429"/>
      <c r="L44" s="429"/>
      <c r="M44" s="429"/>
      <c r="N44" s="429"/>
      <c r="O44" s="429"/>
      <c r="P44" s="429"/>
      <c r="Q44" s="429"/>
    </row>
    <row r="45" spans="1:17" ht="15.5">
      <c r="A45" s="631"/>
      <c r="B45" s="631"/>
      <c r="C45" s="631"/>
      <c r="D45" s="631"/>
      <c r="E45" s="631"/>
      <c r="F45" s="631"/>
      <c r="G45" s="631"/>
      <c r="H45" s="637"/>
      <c r="I45" s="429"/>
      <c r="J45" s="429"/>
      <c r="K45" s="429"/>
      <c r="L45" s="429"/>
      <c r="M45" s="429"/>
      <c r="N45" s="429"/>
      <c r="O45" s="429"/>
      <c r="P45" s="429"/>
      <c r="Q45" s="429"/>
    </row>
    <row r="46" spans="1:17" ht="15.5">
      <c r="A46" s="429" t="s">
        <v>137</v>
      </c>
      <c r="B46" s="631"/>
      <c r="C46" s="631"/>
      <c r="D46" s="631"/>
      <c r="E46" s="631"/>
      <c r="F46" s="631"/>
      <c r="G46" s="631"/>
      <c r="H46" s="635" t="str">
        <f>IF(BILAN!F18=0,"s/o",(365*BILAN!F18)/ER!C17)</f>
        <v>s/o</v>
      </c>
      <c r="I46" s="429" t="s">
        <v>306</v>
      </c>
      <c r="J46" s="635" t="str">
        <f>IF(BILAN!H18=0,"s/o",(365*(BILAN!H18)/ER!E17))</f>
        <v>s/o</v>
      </c>
      <c r="K46" s="429" t="s">
        <v>306</v>
      </c>
      <c r="L46" s="635" t="str">
        <f>IF(BILAN!J18&lt;0.2,"s/o",(365*(BILAN!J18)/ER!G17))</f>
        <v>s/o</v>
      </c>
      <c r="M46" s="429" t="s">
        <v>306</v>
      </c>
      <c r="N46" s="635" t="str">
        <f>IF(BILAN!L18&lt;0.2,"s/o",(365*(BILAN!L18)/ER!I17))</f>
        <v>s/o</v>
      </c>
      <c r="O46" s="429" t="s">
        <v>306</v>
      </c>
      <c r="P46" s="635" t="str">
        <f>IF(BILAN!N18&lt;0.2,"s/o",(365*(BILAN!N18)/ER!K17))</f>
        <v>s/o</v>
      </c>
      <c r="Q46" s="429" t="s">
        <v>306</v>
      </c>
    </row>
    <row r="47" spans="1:17" ht="15.5">
      <c r="A47" s="631" t="s">
        <v>549</v>
      </c>
      <c r="B47" s="631"/>
      <c r="C47" s="631"/>
      <c r="D47" s="631"/>
      <c r="E47" s="631"/>
      <c r="F47" s="631"/>
      <c r="G47" s="631"/>
      <c r="H47" s="637"/>
      <c r="I47" s="429"/>
      <c r="J47" s="429"/>
      <c r="K47" s="429"/>
      <c r="L47" s="429"/>
      <c r="M47" s="429"/>
      <c r="N47" s="429"/>
      <c r="O47" s="429"/>
      <c r="P47" s="429"/>
      <c r="Q47" s="429"/>
    </row>
    <row r="48" spans="1:17" ht="15.5">
      <c r="A48" s="631"/>
      <c r="B48" s="631"/>
      <c r="C48" s="631"/>
      <c r="D48" s="631"/>
      <c r="E48" s="631"/>
      <c r="F48" s="631"/>
      <c r="G48" s="631"/>
      <c r="H48" s="637"/>
      <c r="I48" s="429"/>
      <c r="J48" s="429"/>
      <c r="K48" s="429"/>
      <c r="L48" s="429"/>
      <c r="M48" s="429"/>
      <c r="N48" s="429"/>
      <c r="O48" s="429"/>
      <c r="P48" s="429"/>
      <c r="Q48" s="429"/>
    </row>
    <row r="49" spans="1:17" ht="15.5">
      <c r="A49" s="429" t="s">
        <v>69</v>
      </c>
      <c r="B49" s="631"/>
      <c r="C49" s="631"/>
      <c r="D49" s="631"/>
      <c r="E49" s="631"/>
      <c r="F49" s="631"/>
      <c r="G49" s="631"/>
      <c r="H49" s="637" t="str">
        <f>IF(BILAN!F42=0,"s/o",(365*BILAN!F42)/-ER!C20)</f>
        <v>s/o</v>
      </c>
      <c r="I49" s="429" t="s">
        <v>306</v>
      </c>
      <c r="J49" s="637" t="str">
        <f>IF(BILAN!H42=0,"s/o",(365*(BILAN!H42)/-ER!E20))</f>
        <v>s/o</v>
      </c>
      <c r="K49" s="429" t="s">
        <v>306</v>
      </c>
      <c r="L49" s="637" t="str">
        <f>IF(BILAN!J42=0,"s/o",(365*(BILAN!J42)/-ER!G20))</f>
        <v>s/o</v>
      </c>
      <c r="M49" s="429" t="s">
        <v>306</v>
      </c>
      <c r="N49" s="637" t="str">
        <f>IF(BILAN!L42=0,"s/o",(365*(BILAN!L42)/-ER!I20))</f>
        <v>s/o</v>
      </c>
      <c r="O49" s="429" t="s">
        <v>306</v>
      </c>
      <c r="P49" s="637" t="str">
        <f>IF(BILAN!N42=0,"s/o",(365*(BILAN!N42)/-ER!K20))</f>
        <v>s/o</v>
      </c>
      <c r="Q49" s="429" t="s">
        <v>306</v>
      </c>
    </row>
    <row r="50" spans="1:17" ht="15.5">
      <c r="A50" s="631" t="s">
        <v>136</v>
      </c>
      <c r="B50" s="631"/>
      <c r="C50" s="631"/>
      <c r="D50" s="631"/>
      <c r="E50" s="631"/>
      <c r="F50" s="631"/>
      <c r="G50" s="631"/>
      <c r="H50" s="637"/>
      <c r="I50" s="429"/>
      <c r="J50" s="429"/>
      <c r="K50" s="429"/>
      <c r="L50" s="429"/>
      <c r="M50" s="429"/>
      <c r="N50" s="429"/>
      <c r="O50" s="429"/>
      <c r="P50" s="429"/>
      <c r="Q50" s="429"/>
    </row>
    <row r="51" spans="1:17" ht="15.5">
      <c r="A51" s="631"/>
      <c r="B51" s="631"/>
      <c r="C51" s="631"/>
      <c r="D51" s="631"/>
      <c r="E51" s="631"/>
      <c r="F51" s="631"/>
      <c r="G51" s="631"/>
      <c r="H51" s="637"/>
      <c r="I51" s="429"/>
      <c r="J51" s="429"/>
      <c r="K51" s="429"/>
      <c r="L51" s="429"/>
      <c r="M51" s="429"/>
      <c r="N51" s="429"/>
      <c r="O51" s="429"/>
      <c r="P51" s="429"/>
      <c r="Q51" s="429"/>
    </row>
    <row r="52" spans="1:17" ht="15.5">
      <c r="A52" s="429" t="s">
        <v>398</v>
      </c>
      <c r="B52" s="631"/>
      <c r="C52" s="631"/>
      <c r="D52" s="631"/>
      <c r="E52" s="631"/>
      <c r="F52" s="631"/>
      <c r="G52" s="631"/>
      <c r="H52" s="637">
        <f>ER!C17/BILAN!D38</f>
        <v>1.5774193039542159</v>
      </c>
      <c r="I52" s="429"/>
      <c r="J52" s="637">
        <f>ER!E17/BILAN!F38</f>
        <v>3.5970944077425187</v>
      </c>
      <c r="K52" s="429"/>
      <c r="L52" s="637">
        <f>ER!G17/BILAN!H38</f>
        <v>6.0841208253530219</v>
      </c>
      <c r="M52" s="429"/>
      <c r="N52" s="637">
        <f>ER!I17/BILAN!J38</f>
        <v>8.4013061302591918</v>
      </c>
      <c r="O52" s="429"/>
      <c r="P52" s="637">
        <f>ER!K17/BILAN!L38</f>
        <v>11.685829652060447</v>
      </c>
      <c r="Q52" s="429"/>
    </row>
    <row r="53" spans="1:17" ht="15.5">
      <c r="A53" s="631" t="s">
        <v>889</v>
      </c>
      <c r="B53" s="631"/>
      <c r="C53" s="631"/>
      <c r="D53" s="631"/>
      <c r="E53" s="631"/>
      <c r="F53" s="631"/>
      <c r="G53" s="631"/>
      <c r="H53" s="637"/>
      <c r="I53" s="429"/>
      <c r="J53" s="429"/>
      <c r="K53" s="429"/>
      <c r="L53" s="429"/>
      <c r="M53" s="429"/>
      <c r="N53" s="429"/>
      <c r="O53" s="429"/>
      <c r="P53" s="429"/>
      <c r="Q53" s="429"/>
    </row>
    <row r="54" spans="1:17" ht="15.5">
      <c r="A54" s="631"/>
      <c r="B54" s="631"/>
      <c r="C54" s="631"/>
      <c r="D54" s="631"/>
      <c r="E54" s="631"/>
      <c r="F54" s="631"/>
      <c r="G54" s="631"/>
      <c r="H54" s="637"/>
      <c r="I54" s="429"/>
      <c r="J54" s="429"/>
      <c r="K54" s="429"/>
      <c r="L54" s="429"/>
      <c r="M54" s="429"/>
      <c r="N54" s="429"/>
      <c r="O54" s="429"/>
      <c r="P54" s="429"/>
      <c r="Q54" s="429"/>
    </row>
    <row r="55" spans="1:17" ht="15.5">
      <c r="A55" s="429" t="s">
        <v>399</v>
      </c>
      <c r="B55" s="631"/>
      <c r="C55" s="631"/>
      <c r="D55" s="631"/>
      <c r="E55" s="631"/>
      <c r="F55" s="631"/>
      <c r="G55" s="631"/>
      <c r="H55" s="637">
        <f>IF(ER!C17=0,"s/o",((BILAN!D37+BILAN!F37)/2)/ER!C17)</f>
        <v>0.38650306748466257</v>
      </c>
      <c r="I55" s="429"/>
      <c r="J55" s="637">
        <f>IF(ER!E17=0,"s/o",((BILAN!F37+BILAN!H37)/2)/ER!E17)</f>
        <v>0.21840003895218618</v>
      </c>
      <c r="K55" s="429"/>
      <c r="L55" s="637">
        <f>IF(ER!G17=0,"s/o",(((BILAN!H37+BILAN!J37)/2)/ER!G17))</f>
        <v>0.13546202393704584</v>
      </c>
      <c r="M55" s="429"/>
      <c r="N55" s="637">
        <f>IF(ER!I17=0,"s/o",((BILAN!J37+BILAN!L37)/2)/ER!I17)</f>
        <v>9.8110181359524054E-2</v>
      </c>
      <c r="O55" s="429"/>
      <c r="P55" s="637">
        <f>IF(ER!K17=0,"s/o",(((BILAN!L37+BILAN!N37)/2)/ER!K17))</f>
        <v>7.8497990368608273E-2</v>
      </c>
      <c r="Q55" s="429"/>
    </row>
    <row r="56" spans="1:17" ht="15.5">
      <c r="A56" s="631" t="s">
        <v>545</v>
      </c>
      <c r="B56" s="631"/>
      <c r="C56" s="631"/>
      <c r="D56" s="631"/>
      <c r="E56" s="631"/>
      <c r="F56" s="631"/>
      <c r="G56" s="631"/>
      <c r="H56" s="637"/>
      <c r="I56" s="429"/>
      <c r="J56" s="429"/>
      <c r="K56" s="429"/>
      <c r="L56" s="429"/>
      <c r="M56" s="429"/>
      <c r="N56" s="429"/>
      <c r="O56" s="429"/>
      <c r="P56" s="429"/>
      <c r="Q56" s="429"/>
    </row>
    <row r="57" spans="1:17" ht="15.5">
      <c r="A57" s="631"/>
      <c r="B57" s="631"/>
      <c r="C57" s="631"/>
      <c r="D57" s="631"/>
      <c r="E57" s="631"/>
      <c r="F57" s="631"/>
      <c r="G57" s="631"/>
      <c r="H57" s="637"/>
      <c r="I57" s="429"/>
      <c r="J57" s="429"/>
      <c r="K57" s="429"/>
      <c r="L57" s="429"/>
      <c r="M57" s="429"/>
      <c r="N57" s="429"/>
      <c r="O57" s="429"/>
      <c r="P57" s="429"/>
      <c r="Q57" s="429"/>
    </row>
    <row r="58" spans="1:17" ht="15.5">
      <c r="A58" s="429" t="s">
        <v>400</v>
      </c>
      <c r="B58" s="631"/>
      <c r="C58" s="631"/>
      <c r="D58" s="631"/>
      <c r="E58" s="631"/>
      <c r="F58" s="631"/>
      <c r="G58" s="631"/>
      <c r="H58" s="635" t="str">
        <f>IF(BILAN!F18=0,"s/o",ER!C17/(BILAN!F18))</f>
        <v>s/o</v>
      </c>
      <c r="I58" s="634"/>
      <c r="J58" s="635" t="str">
        <f>IF(BILAN!F18=0,"s/o",ER!E17/((BILAN!H18+BILAN!F18)/2))</f>
        <v>s/o</v>
      </c>
      <c r="K58" s="634"/>
      <c r="L58" s="728" t="str">
        <f>IF(BILAN!F18=0,"s/o",ER!G17/((BILAN!J18+BILAN!H18)/2))</f>
        <v>s/o</v>
      </c>
      <c r="M58" s="634"/>
      <c r="N58" s="635">
        <f>IF(BILAN!J18=0,"s/o",ER!I17/((BILAN!L18+BILAN!J18)/2))</f>
        <v>5391225</v>
      </c>
      <c r="O58" s="634"/>
      <c r="P58" s="728">
        <f>IF(BILAN!J18=0,"s/o",ER!K17/((BILAN!N18+BILAN!L18)/2))</f>
        <v>5391225</v>
      </c>
      <c r="Q58" s="634"/>
    </row>
    <row r="59" spans="1:17" ht="15.5">
      <c r="A59" s="631" t="s">
        <v>342</v>
      </c>
      <c r="B59" s="631"/>
      <c r="C59" s="631"/>
      <c r="D59" s="631"/>
      <c r="E59" s="631"/>
      <c r="F59" s="631"/>
      <c r="G59" s="631"/>
      <c r="H59" s="635"/>
      <c r="I59" s="634"/>
      <c r="J59" s="634"/>
      <c r="K59" s="634"/>
      <c r="L59" s="634"/>
      <c r="M59" s="634"/>
      <c r="N59" s="634"/>
      <c r="O59" s="634"/>
      <c r="P59" s="634"/>
      <c r="Q59" s="634"/>
    </row>
    <row r="60" spans="1:17" ht="15.5">
      <c r="A60" s="631"/>
      <c r="B60" s="631"/>
      <c r="C60" s="631"/>
      <c r="D60" s="631"/>
      <c r="E60" s="631"/>
      <c r="F60" s="631"/>
      <c r="G60" s="631"/>
      <c r="H60" s="635"/>
      <c r="I60" s="634"/>
      <c r="J60" s="634"/>
      <c r="K60" s="634"/>
      <c r="L60" s="634"/>
      <c r="M60" s="634"/>
      <c r="N60" s="634"/>
      <c r="O60" s="634"/>
      <c r="P60" s="634"/>
      <c r="Q60" s="634"/>
    </row>
    <row r="61" spans="1:17" ht="15.5">
      <c r="A61" s="429" t="s">
        <v>401</v>
      </c>
      <c r="B61" s="631"/>
      <c r="C61" s="631"/>
      <c r="D61" s="631"/>
      <c r="E61" s="631"/>
      <c r="F61" s="631"/>
      <c r="G61" s="631"/>
      <c r="H61" s="635" t="str">
        <f>IF(ER!C20&lt;0,NE!D78/((NE!D76-NE!D82)/2),"s/o")</f>
        <v>s/o</v>
      </c>
      <c r="I61" s="634"/>
      <c r="J61" s="635" t="str">
        <f>IF(ER!E20&lt;0,NE!F78/((NE!F76-NE!F82)/2),"s/o")</f>
        <v>s/o</v>
      </c>
      <c r="K61" s="634"/>
      <c r="L61" s="635" t="str">
        <f>IF(ER!G20&lt;0,NE!H78/((NE!H76-NE!H82)/2),"s/o")</f>
        <v>s/o</v>
      </c>
      <c r="M61" s="634"/>
      <c r="N61" s="635" t="str">
        <f>IF(ER!I20&lt;0,NE!L78/((NE!L76-NE!L82)/2),"s/o")</f>
        <v>s/o</v>
      </c>
      <c r="O61" s="634"/>
      <c r="P61" s="635" t="str">
        <f>IF(ER!K20&lt;0,NE!N78/((NE!N76-NE!N82)/2),"s/o")</f>
        <v>s/o</v>
      </c>
      <c r="Q61" s="634"/>
    </row>
    <row r="62" spans="1:17" ht="15.5">
      <c r="A62" s="631" t="s">
        <v>341</v>
      </c>
      <c r="B62" s="631"/>
      <c r="C62" s="631"/>
      <c r="D62" s="631"/>
      <c r="E62" s="631"/>
      <c r="F62" s="631"/>
      <c r="G62" s="631"/>
      <c r="H62" s="637"/>
      <c r="I62" s="429"/>
      <c r="J62" s="429"/>
      <c r="K62" s="429"/>
      <c r="L62" s="429"/>
      <c r="M62" s="429"/>
      <c r="N62" s="429"/>
      <c r="O62" s="429"/>
      <c r="P62" s="429"/>
      <c r="Q62" s="429"/>
    </row>
    <row r="63" spans="1:17" ht="25.5">
      <c r="A63" s="627" t="str">
        <f>RG!$D$17</f>
        <v>Jhon Wesly inc.</v>
      </c>
      <c r="B63" s="631"/>
      <c r="C63" s="631"/>
      <c r="D63" s="631"/>
      <c r="E63" s="631"/>
      <c r="F63" s="631"/>
      <c r="G63" s="631"/>
      <c r="H63" s="579" t="s">
        <v>130</v>
      </c>
      <c r="I63" s="576"/>
      <c r="J63" s="579" t="s">
        <v>130</v>
      </c>
      <c r="K63" s="576"/>
      <c r="L63" s="579" t="s">
        <v>130</v>
      </c>
      <c r="M63" s="429"/>
      <c r="N63" s="579" t="s">
        <v>130</v>
      </c>
      <c r="O63" s="576"/>
      <c r="P63" s="579" t="s">
        <v>130</v>
      </c>
      <c r="Q63" s="429"/>
    </row>
    <row r="64" spans="1:17" ht="16" thickBot="1">
      <c r="A64" s="576"/>
      <c r="B64" s="631"/>
      <c r="C64" s="631"/>
      <c r="D64" s="631"/>
      <c r="E64" s="631"/>
      <c r="F64" s="631"/>
      <c r="G64" s="631"/>
      <c r="H64" s="581">
        <f>'BC1'!$O$13</f>
        <v>45627</v>
      </c>
      <c r="I64" s="579"/>
      <c r="J64" s="581">
        <f>'BC2'!$N$13</f>
        <v>45992</v>
      </c>
      <c r="K64" s="579"/>
      <c r="L64" s="581">
        <f>'BC3'!$N$13</f>
        <v>46357</v>
      </c>
      <c r="M64" s="429"/>
      <c r="N64" s="581">
        <f>'BC4'!$N$13</f>
        <v>46722</v>
      </c>
      <c r="O64" s="579"/>
      <c r="P64" s="581">
        <f>'BC5'!$N$13</f>
        <v>47088</v>
      </c>
      <c r="Q64" s="429"/>
    </row>
    <row r="65" spans="1:17" ht="15.5">
      <c r="A65" s="577" t="s">
        <v>892</v>
      </c>
      <c r="B65" s="631"/>
      <c r="C65" s="631"/>
      <c r="D65" s="631"/>
      <c r="E65" s="631"/>
      <c r="F65" s="631"/>
      <c r="G65" s="631"/>
      <c r="M65" s="429"/>
      <c r="N65" s="429"/>
      <c r="O65" s="429"/>
      <c r="P65" s="429"/>
      <c r="Q65" s="429"/>
    </row>
    <row r="66" spans="1:17" ht="15.5">
      <c r="A66" s="577" t="s">
        <v>519</v>
      </c>
      <c r="B66" s="631"/>
      <c r="C66" s="631"/>
      <c r="D66" s="631"/>
      <c r="E66" s="631"/>
      <c r="F66" s="631"/>
      <c r="G66" s="631"/>
      <c r="H66" s="637"/>
      <c r="I66" s="429"/>
      <c r="J66" s="429"/>
      <c r="K66" s="429"/>
      <c r="L66" s="429"/>
      <c r="M66" s="429"/>
      <c r="N66" s="429"/>
      <c r="O66" s="429"/>
      <c r="P66" s="429"/>
      <c r="Q66" s="429"/>
    </row>
    <row r="67" spans="1:17" ht="15.5">
      <c r="A67" s="577"/>
      <c r="B67" s="631"/>
      <c r="C67" s="631"/>
      <c r="D67" s="631"/>
      <c r="E67" s="631"/>
      <c r="F67" s="631"/>
      <c r="G67" s="631"/>
      <c r="H67" s="637"/>
      <c r="I67" s="429"/>
      <c r="J67" s="429"/>
      <c r="K67" s="429"/>
      <c r="L67" s="429"/>
      <c r="M67" s="429"/>
      <c r="N67" s="429"/>
      <c r="O67" s="429"/>
      <c r="P67" s="429"/>
      <c r="Q67" s="429"/>
    </row>
    <row r="68" spans="1:17" ht="15.5">
      <c r="A68" s="577"/>
      <c r="B68" s="631"/>
      <c r="C68" s="631"/>
      <c r="D68" s="631"/>
      <c r="E68" s="631"/>
      <c r="F68" s="631"/>
      <c r="G68" s="631"/>
      <c r="H68" s="637"/>
      <c r="I68" s="429"/>
      <c r="J68" s="429"/>
      <c r="K68" s="429"/>
      <c r="L68" s="429"/>
      <c r="M68" s="429"/>
      <c r="N68" s="429"/>
      <c r="O68" s="429"/>
      <c r="P68" s="429"/>
      <c r="Q68" s="429"/>
    </row>
    <row r="69" spans="1:17" ht="15.5">
      <c r="A69" s="429" t="s">
        <v>615</v>
      </c>
      <c r="B69" s="631"/>
      <c r="C69" s="631"/>
      <c r="D69" s="631"/>
      <c r="E69" s="631"/>
      <c r="F69" s="631"/>
      <c r="G69" s="631"/>
      <c r="H69" s="798">
        <f>(ER!C25/ER!C17)</f>
        <v>0.97529652351738239</v>
      </c>
      <c r="I69" s="799"/>
      <c r="J69" s="798">
        <f>(ER!E25/ER!E17)</f>
        <v>0.97528483786152498</v>
      </c>
      <c r="K69" s="799"/>
      <c r="L69" s="798">
        <f>(ER!G25/ER!G17)</f>
        <v>0.97534883073883949</v>
      </c>
      <c r="M69" s="799"/>
      <c r="N69" s="798">
        <f>(ER!I25/ER!I17)</f>
        <v>0.97534883073883949</v>
      </c>
      <c r="O69" s="799"/>
      <c r="P69" s="798">
        <f>(ER!K25/ER!K17)</f>
        <v>0.97534883073883949</v>
      </c>
      <c r="Q69" s="799"/>
    </row>
    <row r="70" spans="1:17" ht="15.5">
      <c r="A70" s="631" t="s">
        <v>617</v>
      </c>
      <c r="B70" s="631"/>
      <c r="C70" s="631"/>
      <c r="D70" s="631"/>
      <c r="E70" s="631"/>
      <c r="F70" s="631"/>
      <c r="G70" s="631"/>
      <c r="H70" s="633"/>
      <c r="I70" s="631"/>
      <c r="J70" s="631"/>
      <c r="K70" s="631"/>
      <c r="L70" s="631"/>
      <c r="M70" s="631"/>
      <c r="N70" s="631"/>
      <c r="O70" s="631"/>
      <c r="P70" s="631"/>
      <c r="Q70" s="631"/>
    </row>
    <row r="71" spans="1:17" ht="15.5">
      <c r="A71" s="631"/>
      <c r="B71" s="631"/>
      <c r="C71" s="631"/>
      <c r="D71" s="631"/>
      <c r="E71" s="631"/>
      <c r="F71" s="631"/>
      <c r="G71" s="631"/>
      <c r="H71" s="633"/>
      <c r="I71" s="631"/>
      <c r="J71" s="631"/>
      <c r="K71" s="631"/>
      <c r="L71" s="631"/>
      <c r="M71" s="631"/>
      <c r="N71" s="631"/>
      <c r="O71" s="631"/>
      <c r="P71" s="631"/>
      <c r="Q71" s="631"/>
    </row>
    <row r="72" spans="1:17" ht="15.5">
      <c r="A72" s="429" t="s">
        <v>616</v>
      </c>
      <c r="B72" s="631"/>
      <c r="C72" s="631"/>
      <c r="D72" s="631"/>
      <c r="E72" s="631"/>
      <c r="F72" s="631"/>
      <c r="G72" s="631"/>
      <c r="H72" s="800">
        <f>ER!C95/ER!C17</f>
        <v>-0.32161534376278123</v>
      </c>
      <c r="I72" s="801"/>
      <c r="J72" s="800">
        <f>ER!E95/ER!E17</f>
        <v>-0.17861310935826258</v>
      </c>
      <c r="K72" s="801"/>
      <c r="L72" s="800">
        <f>ER!G95/ER!G17</f>
        <v>-9.2910672435299962E-2</v>
      </c>
      <c r="M72" s="801"/>
      <c r="N72" s="800">
        <f>ER!I95/ER!I17</f>
        <v>-8.5836985286275397E-2</v>
      </c>
      <c r="O72" s="801"/>
      <c r="P72" s="800">
        <f>ER!K95/ER!K17</f>
        <v>-9.0506875908536413E-2</v>
      </c>
      <c r="Q72" s="801"/>
    </row>
    <row r="73" spans="1:17" ht="15.5">
      <c r="A73" s="631" t="s">
        <v>618</v>
      </c>
      <c r="B73" s="631"/>
      <c r="C73" s="631"/>
      <c r="D73" s="631"/>
      <c r="E73" s="631"/>
      <c r="F73" s="631"/>
      <c r="G73" s="631"/>
      <c r="H73" s="637"/>
      <c r="I73" s="429"/>
      <c r="J73" s="429"/>
      <c r="K73" s="429"/>
      <c r="L73" s="429"/>
      <c r="M73" s="429"/>
      <c r="N73" s="429"/>
      <c r="O73" s="429"/>
      <c r="P73" s="429"/>
      <c r="Q73" s="429"/>
    </row>
    <row r="74" spans="1:17" ht="15.5">
      <c r="A74" s="629"/>
      <c r="B74" s="631"/>
      <c r="C74" s="631"/>
      <c r="D74" s="631"/>
      <c r="E74" s="631"/>
      <c r="F74" s="580"/>
      <c r="G74" s="631"/>
      <c r="H74" s="797"/>
      <c r="I74" s="579"/>
      <c r="J74" s="797"/>
      <c r="K74" s="579"/>
      <c r="L74" s="797"/>
      <c r="M74" s="579"/>
      <c r="N74" s="797"/>
      <c r="O74" s="579"/>
      <c r="P74" s="797"/>
      <c r="Q74" s="579"/>
    </row>
    <row r="75" spans="1:17" ht="15.5">
      <c r="A75" s="429" t="s">
        <v>622</v>
      </c>
      <c r="B75" s="631"/>
      <c r="C75" s="631"/>
      <c r="D75" s="631"/>
      <c r="E75" s="631"/>
      <c r="F75" s="631"/>
      <c r="G75" s="631"/>
      <c r="H75" s="800">
        <f>IF(RG!$A$74=3,ER!C100/BILAN!F68,"s/o")</f>
        <v>-1.4297263918181822</v>
      </c>
      <c r="I75" s="801"/>
      <c r="J75" s="800">
        <f>IF(RG!$A$74=3,ER!E100/BILAN!H68,"s/o")</f>
        <v>-0.83371728181818106</v>
      </c>
      <c r="K75" s="801"/>
      <c r="L75" s="800">
        <f>IF(RG!$A$74=3,ER!G100/BILAN!J68,"s/o")</f>
        <v>-0.45536576363636366</v>
      </c>
      <c r="M75" s="801"/>
      <c r="N75" s="800">
        <f>IF(RG!$A$74=3,ER!I100/BILAN!L68,"s/o")</f>
        <v>-0.42069681909090917</v>
      </c>
      <c r="O75" s="801"/>
      <c r="P75" s="800">
        <f>IF(RG!$A$74=3,ER!K100/BILAN!N68,"s/o")</f>
        <v>-0.44358448369999925</v>
      </c>
      <c r="Q75" s="801"/>
    </row>
    <row r="76" spans="1:17" ht="15.5">
      <c r="A76" s="631" t="s">
        <v>623</v>
      </c>
      <c r="B76" s="631"/>
      <c r="C76" s="631"/>
      <c r="D76" s="631"/>
      <c r="E76" s="631"/>
      <c r="F76" s="631"/>
      <c r="G76" s="631"/>
      <c r="H76" s="637"/>
      <c r="I76" s="429"/>
      <c r="J76" s="429"/>
      <c r="K76" s="429"/>
      <c r="L76" s="429"/>
      <c r="M76" s="429"/>
      <c r="N76" s="429"/>
      <c r="O76" s="429"/>
      <c r="P76" s="429"/>
      <c r="Q76" s="429"/>
    </row>
    <row r="77" spans="1:17" ht="15.5">
      <c r="A77" s="629"/>
      <c r="B77" s="631"/>
      <c r="C77" s="631"/>
      <c r="D77" s="631"/>
      <c r="E77" s="631"/>
      <c r="F77" s="580"/>
      <c r="G77" s="631"/>
      <c r="H77" s="797"/>
      <c r="I77" s="579"/>
      <c r="J77" s="797"/>
      <c r="K77" s="579"/>
      <c r="L77" s="797"/>
      <c r="M77" s="579"/>
      <c r="N77" s="797"/>
      <c r="O77" s="579"/>
      <c r="P77" s="797"/>
      <c r="Q77" s="579"/>
    </row>
    <row r="78" spans="1:17" ht="15.5">
      <c r="A78" s="429" t="s">
        <v>619</v>
      </c>
      <c r="B78" s="631"/>
      <c r="C78" s="631"/>
      <c r="D78" s="631"/>
      <c r="E78" s="631"/>
      <c r="F78" s="580"/>
      <c r="G78" s="631"/>
      <c r="H78" s="802">
        <f>(ER!C95-ER!C77)/-ER!C77</f>
        <v>0.70448542403294911</v>
      </c>
      <c r="I78" s="579" t="s">
        <v>620</v>
      </c>
      <c r="J78" s="802">
        <f>(ER!E95-ER!E77)/-ER!E77</f>
        <v>0.83040237001168338</v>
      </c>
      <c r="K78" s="579" t="s">
        <v>620</v>
      </c>
      <c r="L78" s="802">
        <f>(ER!G95-ER!G77)/-ER!G77</f>
        <v>0.90883304210883287</v>
      </c>
      <c r="M78" s="579" t="s">
        <v>620</v>
      </c>
      <c r="N78" s="802">
        <f>(ER!I95-ER!I77)/-ER!I77</f>
        <v>0.91711499710938404</v>
      </c>
      <c r="O78" s="579" t="s">
        <v>620</v>
      </c>
      <c r="P78" s="802">
        <f>(ER!K95-ER!K77)/-ER!K77</f>
        <v>0.91398337376079175</v>
      </c>
      <c r="Q78" s="579" t="s">
        <v>620</v>
      </c>
    </row>
    <row r="79" spans="1:17" ht="15.5">
      <c r="A79" s="803" t="s">
        <v>621</v>
      </c>
      <c r="B79" s="631"/>
      <c r="C79" s="631"/>
      <c r="D79" s="631"/>
      <c r="E79" s="631"/>
      <c r="F79" s="580"/>
      <c r="G79" s="631"/>
      <c r="H79" s="797"/>
      <c r="I79" s="579"/>
      <c r="J79" s="797"/>
      <c r="K79" s="579"/>
      <c r="L79" s="797"/>
      <c r="M79" s="579"/>
      <c r="N79" s="797"/>
      <c r="O79" s="579"/>
      <c r="P79" s="797"/>
      <c r="Q79" s="579"/>
    </row>
    <row r="80" spans="1:17" ht="15.5">
      <c r="A80" s="629"/>
      <c r="B80" s="631"/>
      <c r="C80" s="631"/>
      <c r="D80" s="631"/>
      <c r="E80" s="631"/>
      <c r="F80" s="580"/>
      <c r="G80" s="631"/>
      <c r="H80" s="797"/>
      <c r="I80" s="579"/>
      <c r="J80" s="797"/>
      <c r="K80" s="579"/>
      <c r="L80" s="797"/>
      <c r="M80" s="579"/>
      <c r="N80" s="797"/>
      <c r="O80" s="579"/>
      <c r="P80" s="797"/>
      <c r="Q80" s="579"/>
    </row>
    <row r="81" spans="1:17" ht="15.75" customHeight="1">
      <c r="A81" s="429" t="s">
        <v>298</v>
      </c>
      <c r="B81" s="631"/>
      <c r="C81" s="631"/>
      <c r="D81" s="631"/>
      <c r="E81" s="631"/>
      <c r="F81" s="631"/>
      <c r="G81" s="631"/>
      <c r="H81" s="636">
        <f>IF(ER!$C$17=0,"s/o",((-ER!$C$77)/ER!$D$25))</f>
        <v>54566.994782332469</v>
      </c>
      <c r="I81" s="429"/>
      <c r="J81" s="636">
        <f>IF(ER!$E$25=0,"s/o",(-ER!$E$77/ER!$F$25))</f>
        <v>55444.725479960449</v>
      </c>
      <c r="K81" s="429"/>
      <c r="L81" s="636">
        <f>IF(ER!$G$25=0,"s/o",(-ER!$G$77/ER!$H$25))</f>
        <v>56332.059534412576</v>
      </c>
      <c r="M81" s="429"/>
      <c r="N81" s="636">
        <f>IF(ER!$E$25=0,"s/o",(-ER!$E$77/ER!$F$25))</f>
        <v>55444.725479960449</v>
      </c>
      <c r="O81" s="429"/>
      <c r="P81" s="636">
        <f>IF(ER!$G$25=0,"s/o",(-ER!$G$77/ER!$H$25))</f>
        <v>56332.059534412576</v>
      </c>
      <c r="Q81" s="429"/>
    </row>
    <row r="82" spans="1:17" ht="15.5">
      <c r="A82" s="631" t="s">
        <v>924</v>
      </c>
      <c r="B82" s="631"/>
      <c r="C82" s="631"/>
      <c r="D82" s="631"/>
      <c r="E82" s="631"/>
      <c r="F82" s="631"/>
      <c r="G82" s="631"/>
      <c r="H82" s="637"/>
      <c r="I82" s="429"/>
      <c r="J82" s="429"/>
      <c r="K82" s="429"/>
      <c r="L82" s="429"/>
      <c r="M82" s="429"/>
      <c r="N82" s="429"/>
      <c r="O82" s="429"/>
      <c r="P82" s="429"/>
      <c r="Q82" s="429"/>
    </row>
    <row r="83" spans="1:17" ht="15.5">
      <c r="A83" s="631"/>
      <c r="B83" s="631"/>
      <c r="C83" s="631"/>
      <c r="D83" s="631"/>
      <c r="E83" s="631"/>
      <c r="F83" s="631"/>
      <c r="G83" s="631"/>
      <c r="H83" s="637"/>
      <c r="I83" s="429"/>
      <c r="J83" s="429"/>
      <c r="K83" s="429"/>
      <c r="L83" s="429"/>
      <c r="M83" s="429"/>
      <c r="N83" s="429"/>
      <c r="O83" s="429"/>
      <c r="P83" s="429"/>
      <c r="Q83" s="429"/>
    </row>
    <row r="84" spans="1:17" ht="15.5">
      <c r="A84" s="429" t="s">
        <v>300</v>
      </c>
      <c r="B84" s="631"/>
      <c r="C84" s="631"/>
      <c r="D84" s="631"/>
      <c r="E84" s="631"/>
      <c r="F84" s="631"/>
      <c r="G84" s="631"/>
      <c r="H84" s="636">
        <f>IF(ER!$C$25=0,"s/o",((-(ER!$C$77+ER!$C$92))/((ER!$C$25)/ER!$C$17)))</f>
        <v>65025.352578189217</v>
      </c>
      <c r="I84" s="429"/>
      <c r="J84" s="636">
        <f>IF(ER!$E$25=0,"s/o",(-(ER!$E$77+ER!$E$92)/ER!$F$25))</f>
        <v>60748.304290168933</v>
      </c>
      <c r="K84" s="429"/>
      <c r="L84" s="636">
        <f>IF(ER!$G$25=0,"s/o",(-(ER!$G$77+ER!$G$92)/ER!$H$25))</f>
        <v>59047.882752238591</v>
      </c>
      <c r="M84" s="429"/>
      <c r="N84" s="636">
        <f>IF(ER!$E$25=0,"s/o",(-(ER!$E$77+ER!$E$92)/ER!$F$25))</f>
        <v>60748.304290168933</v>
      </c>
      <c r="O84" s="429"/>
      <c r="P84" s="636">
        <f>IF(ER!$G$25=0,"s/o",(-(ER!$G$77+ER!$G$92)/ER!$H$25))</f>
        <v>59047.882752238591</v>
      </c>
      <c r="Q84" s="429"/>
    </row>
    <row r="85" spans="1:17" ht="15.5">
      <c r="A85" s="631" t="s">
        <v>925</v>
      </c>
      <c r="B85" s="631"/>
      <c r="C85" s="631"/>
      <c r="D85" s="631"/>
      <c r="E85" s="631"/>
      <c r="F85" s="631"/>
      <c r="G85" s="631"/>
      <c r="H85" s="637"/>
      <c r="I85" s="429"/>
      <c r="J85" s="429"/>
      <c r="K85" s="429"/>
      <c r="L85" s="429"/>
      <c r="M85" s="429"/>
      <c r="N85" s="429"/>
      <c r="O85" s="429"/>
      <c r="P85" s="429"/>
      <c r="Q85" s="429"/>
    </row>
    <row r="86" spans="1:17" ht="15.5">
      <c r="A86" s="631"/>
      <c r="B86" s="631"/>
      <c r="C86" s="631"/>
      <c r="D86" s="631"/>
      <c r="E86" s="631"/>
      <c r="F86" s="631"/>
      <c r="G86" s="631"/>
      <c r="H86" s="637"/>
      <c r="I86" s="429"/>
      <c r="J86" s="429"/>
      <c r="K86" s="429"/>
      <c r="L86" s="429"/>
      <c r="M86" s="429"/>
      <c r="N86" s="429"/>
      <c r="O86" s="429"/>
      <c r="P86" s="429"/>
      <c r="Q86" s="429"/>
    </row>
    <row r="87" spans="1:17" ht="15.5">
      <c r="A87" s="429" t="str">
        <f>IF(RG!A74&lt;3,"Seuil de rentabilité après amortissements et prise en compte des prélèvements","Seuil de rentabilité après amortissements et prise en compte des dividendes")</f>
        <v>Seuil de rentabilité après amortissements et prise en compte des dividendes</v>
      </c>
      <c r="B87" s="631"/>
      <c r="C87" s="631"/>
      <c r="D87" s="631"/>
      <c r="E87" s="631"/>
      <c r="F87" s="631"/>
      <c r="G87" s="631"/>
      <c r="H87" s="636">
        <f>IF(ER!$C$25=0,"s/o",((-(ER!$C$77+ER!$C$92+BILAN!F70))/((ER!$C$25)/ER!$C$17)))</f>
        <v>65025.352578189217</v>
      </c>
      <c r="I87" s="429"/>
      <c r="J87" s="636">
        <f>IF(ER!$E$25=0,"s/o",(-(ER!$E$77+ER!$E$92+BILAN!H70)/ER!$F$25))</f>
        <v>60748.304290168933</v>
      </c>
      <c r="K87" s="429"/>
      <c r="L87" s="636">
        <f>IF(ER!$G$25=0,"s/o",(-(ER!$G$77+ER!$G$92+BILAN!J70)/ER!$H$25))</f>
        <v>59047.882752238591</v>
      </c>
      <c r="M87" s="429"/>
      <c r="N87" s="636">
        <f>IF(ER!$E$25=0,"s/o",(-(ER!$E$77+ER!$E$92+BILAN!L70)/ER!$F$25))</f>
        <v>60748.304290168933</v>
      </c>
      <c r="O87" s="429"/>
      <c r="P87" s="636">
        <f>IF(ER!$G$25=0,"s/o",(-(ER!$G$77+ER!$G$92+BILAN!N70)/ER!$H$25))</f>
        <v>59047.882752238591</v>
      </c>
      <c r="Q87" s="429"/>
    </row>
    <row r="88" spans="1:17" ht="15.5">
      <c r="A88" s="631" t="s">
        <v>926</v>
      </c>
      <c r="B88" s="631"/>
      <c r="C88" s="631"/>
      <c r="D88" s="631"/>
      <c r="E88" s="631"/>
      <c r="F88" s="631"/>
      <c r="G88" s="631"/>
      <c r="H88" s="637"/>
      <c r="I88" s="429"/>
      <c r="J88" s="429"/>
      <c r="K88" s="429"/>
      <c r="L88" s="429"/>
      <c r="M88" s="429"/>
      <c r="N88" s="429"/>
      <c r="O88" s="429"/>
      <c r="P88" s="429"/>
      <c r="Q88" s="429"/>
    </row>
    <row r="89" spans="1:17">
      <c r="H89" s="638"/>
      <c r="I89" s="108"/>
      <c r="J89" s="108"/>
      <c r="K89" s="108"/>
      <c r="L89" s="108"/>
      <c r="M89" s="108"/>
      <c r="N89" s="108"/>
      <c r="O89" s="108"/>
      <c r="P89" s="108"/>
      <c r="Q89" s="108"/>
    </row>
    <row r="90" spans="1:17" ht="19.5" customHeight="1">
      <c r="H90" s="638"/>
      <c r="I90" s="108"/>
      <c r="J90" s="108"/>
      <c r="K90" s="108"/>
      <c r="L90" s="108"/>
      <c r="M90" s="108"/>
      <c r="N90" s="108"/>
      <c r="O90" s="108"/>
      <c r="P90" s="108"/>
      <c r="Q90" s="108"/>
    </row>
    <row r="91" spans="1:17">
      <c r="H91" s="638"/>
      <c r="I91" s="108"/>
      <c r="J91" s="108"/>
      <c r="K91" s="108"/>
      <c r="L91" s="108"/>
      <c r="M91" s="108"/>
      <c r="N91" s="108"/>
      <c r="O91" s="108"/>
      <c r="P91" s="108"/>
      <c r="Q91" s="108"/>
    </row>
    <row r="92" spans="1:17">
      <c r="H92" s="638"/>
      <c r="I92" s="108"/>
      <c r="J92" s="108"/>
      <c r="K92" s="108"/>
      <c r="L92" s="108"/>
      <c r="M92" s="108"/>
      <c r="N92" s="108"/>
      <c r="O92" s="108"/>
      <c r="P92" s="108"/>
      <c r="Q92" s="108"/>
    </row>
    <row r="93" spans="1:17" hidden="1">
      <c r="A93" s="639">
        <v>1</v>
      </c>
    </row>
  </sheetData>
  <sheetProtection password="E242" sheet="1" objects="1" scenarios="1"/>
  <customSheetViews>
    <customSheetView guid="{30D0538C-360A-4CDF-8D89-584CED1967CC}"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1"/>
      <headerFooter alignWithMargins="0">
        <oddHeader>&amp;RPRF - 8</oddHeader>
      </headerFooter>
    </customSheetView>
    <customSheetView guid="{4F3169C3-3348-49DE-A6DC-8AA4D2A9D7A1}"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2"/>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40" fitToHeight="0" orientation="portrait" r:id="rId3"/>
  <headerFooter alignWithMargins="0">
    <oddHeader>&amp;RPRF - 9</oddHeader>
  </headerFooter>
  <rowBreaks count="1" manualBreakCount="1">
    <brk id="62" max="16383" man="1"/>
  </rowBreaks>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13">
    <pageSetUpPr fitToPage="1"/>
  </sheetPr>
  <dimension ref="A2:M101"/>
  <sheetViews>
    <sheetView showGridLines="0" showOutlineSymbols="0" zoomScaleNormal="100" workbookViewId="0">
      <selection activeCell="K7" sqref="K7"/>
    </sheetView>
  </sheetViews>
  <sheetFormatPr baseColWidth="10" defaultColWidth="11.453125" defaultRowHeight="12.5"/>
  <cols>
    <col min="1" max="1" width="21.36328125" customWidth="1"/>
    <col min="2" max="2" width="9.08984375" customWidth="1"/>
    <col min="3" max="3" width="6.453125" customWidth="1"/>
    <col min="4" max="4" width="17.36328125" customWidth="1"/>
    <col min="5" max="5" width="13.453125" customWidth="1"/>
    <col min="6" max="6" width="7.08984375" style="555" customWidth="1"/>
    <col min="7" max="7" width="11.6328125" customWidth="1"/>
    <col min="8" max="8" width="11.81640625" customWidth="1"/>
    <col min="9" max="9" width="7.453125" customWidth="1"/>
    <col min="10" max="10" width="12.453125" customWidth="1"/>
  </cols>
  <sheetData>
    <row r="2" spans="1:13">
      <c r="K2" s="556"/>
    </row>
    <row r="8" spans="1:13" ht="25">
      <c r="A8" s="557" t="str">
        <f>RG!D17</f>
        <v>Jhon Wesly inc.</v>
      </c>
      <c r="B8" s="558"/>
      <c r="C8" s="558"/>
      <c r="D8" s="558"/>
      <c r="E8" s="558"/>
      <c r="F8" s="558"/>
      <c r="G8" s="558"/>
      <c r="H8" s="558"/>
      <c r="I8" s="558"/>
      <c r="J8" s="558"/>
    </row>
    <row r="9" spans="1:13">
      <c r="A9" s="558"/>
      <c r="B9" s="558"/>
      <c r="C9" s="558"/>
      <c r="D9" s="558"/>
      <c r="E9" s="558"/>
      <c r="F9" s="558"/>
      <c r="G9" s="558"/>
      <c r="H9" s="558"/>
      <c r="I9" s="558"/>
      <c r="J9" s="558"/>
    </row>
    <row r="10" spans="1:13" ht="15.5">
      <c r="A10" s="559" t="s">
        <v>314</v>
      </c>
      <c r="B10" s="558"/>
      <c r="C10" s="558"/>
      <c r="D10" s="558"/>
      <c r="E10" s="558"/>
      <c r="F10" s="558"/>
      <c r="G10" s="558"/>
      <c r="H10" s="558"/>
      <c r="I10" s="558"/>
      <c r="J10" s="558"/>
    </row>
    <row r="11" spans="1:13" ht="13">
      <c r="A11" s="560" t="s">
        <v>199</v>
      </c>
      <c r="B11" s="558"/>
      <c r="C11" s="558"/>
      <c r="D11" s="558"/>
      <c r="E11" s="558"/>
      <c r="F11" s="558"/>
      <c r="G11" s="558"/>
      <c r="H11" s="558"/>
      <c r="I11" s="558"/>
      <c r="J11" s="558"/>
    </row>
    <row r="13" spans="1:13" s="257" customFormat="1" ht="13">
      <c r="A13" s="561" t="s">
        <v>552</v>
      </c>
      <c r="B13" s="561"/>
      <c r="C13" s="561"/>
      <c r="D13" s="561" t="s">
        <v>553</v>
      </c>
      <c r="E13" s="561" t="s">
        <v>184</v>
      </c>
      <c r="F13" s="562" t="s">
        <v>554</v>
      </c>
      <c r="G13" s="561" t="s">
        <v>466</v>
      </c>
      <c r="H13" s="561" t="s">
        <v>555</v>
      </c>
      <c r="I13" s="561" t="s">
        <v>131</v>
      </c>
      <c r="J13" s="561" t="s">
        <v>556</v>
      </c>
      <c r="L13" s="1099" t="s">
        <v>927</v>
      </c>
      <c r="M13" s="1099" t="s">
        <v>928</v>
      </c>
    </row>
    <row r="14" spans="1:13" ht="13" thickBot="1">
      <c r="A14" s="563"/>
      <c r="B14" s="563"/>
      <c r="C14" s="563"/>
      <c r="D14" s="563"/>
      <c r="E14" s="563"/>
      <c r="F14" s="564"/>
      <c r="G14" s="563"/>
      <c r="H14" s="563"/>
      <c r="I14" s="563"/>
      <c r="J14" s="563"/>
    </row>
    <row r="15" spans="1:13" ht="13" thickBot="1">
      <c r="A15" s="565" t="str">
        <f>CF!B31</f>
        <v>Terrain</v>
      </c>
      <c r="B15" s="565"/>
      <c r="C15" s="565"/>
      <c r="D15" s="558">
        <f>DG!D241</f>
        <v>0</v>
      </c>
      <c r="E15" s="729">
        <f>'HISTO BILAN'!E23</f>
        <v>0</v>
      </c>
      <c r="F15" s="553">
        <v>0</v>
      </c>
      <c r="G15" s="566">
        <f>DG!E241</f>
        <v>0</v>
      </c>
      <c r="H15" s="661">
        <f>MROUND(((D15+G15)*(F15/2)+(E15*F15)),1)</f>
        <v>0</v>
      </c>
      <c r="I15" s="662"/>
      <c r="J15" s="558">
        <f t="shared" ref="J15:J23" si="0">D15+E15+G15-H15</f>
        <v>0</v>
      </c>
      <c r="K15">
        <f>H15*I15</f>
        <v>0</v>
      </c>
    </row>
    <row r="16" spans="1:13" ht="13" thickBot="1">
      <c r="A16" s="565" t="str">
        <f>CF!B32</f>
        <v>Aménagement de terrain</v>
      </c>
      <c r="B16" s="565"/>
      <c r="C16" s="565"/>
      <c r="D16" s="558">
        <f>DG!P241</f>
        <v>0</v>
      </c>
      <c r="E16" s="729">
        <f>'HISTO BILAN'!E24</f>
        <v>0</v>
      </c>
      <c r="F16" s="553">
        <v>0.08</v>
      </c>
      <c r="G16" s="566">
        <f>DG!Q241</f>
        <v>0</v>
      </c>
      <c r="H16" s="661">
        <f t="shared" ref="H16:H17" si="1">MROUND(((D16+G16)*(F16/2)+(E16*F16)),1)</f>
        <v>0</v>
      </c>
      <c r="I16" s="662"/>
      <c r="J16" s="558">
        <f t="shared" si="0"/>
        <v>0</v>
      </c>
      <c r="K16">
        <f t="shared" ref="K16:K25" si="2">H16*I16</f>
        <v>0</v>
      </c>
    </row>
    <row r="17" spans="1:13" ht="13" thickBot="1">
      <c r="A17" s="565" t="str">
        <f>CF!B33</f>
        <v>Bâtiment</v>
      </c>
      <c r="B17" s="565"/>
      <c r="C17" s="565"/>
      <c r="D17" s="558">
        <f>DG!AB241</f>
        <v>0</v>
      </c>
      <c r="E17" s="729">
        <f>'HISTO BILAN'!E25</f>
        <v>0</v>
      </c>
      <c r="F17" s="553">
        <v>0.04</v>
      </c>
      <c r="G17" s="566">
        <f>DG!AC241</f>
        <v>0</v>
      </c>
      <c r="H17" s="661">
        <f t="shared" si="1"/>
        <v>0</v>
      </c>
      <c r="I17" s="662"/>
      <c r="J17" s="558">
        <f t="shared" si="0"/>
        <v>0</v>
      </c>
      <c r="K17">
        <f t="shared" si="2"/>
        <v>0</v>
      </c>
    </row>
    <row r="18" spans="1:13" ht="13" thickBot="1">
      <c r="A18" s="565" t="str">
        <f>CF!B34</f>
        <v>Améliorations locatives</v>
      </c>
      <c r="B18" s="565"/>
      <c r="C18" s="565"/>
      <c r="D18" s="558">
        <f>DG!AN241</f>
        <v>0</v>
      </c>
      <c r="E18" s="729">
        <f>'HISTO BILAN'!E26</f>
        <v>0</v>
      </c>
      <c r="F18" s="553" t="str">
        <f>IF(RG!$A$73=1,"N/P",IF(RG!$A$73=2,"1 an",IF(RG!$A$73=3,"2 ans",IF(RG!$A$73=4,"5 ans",IF(RG!$A$73=5,"10 ans",IF(RG!$A$73=6,"15 ans",IF(RG!$A$73=7,"20 ans")))))))</f>
        <v>N/P</v>
      </c>
      <c r="G18" s="566">
        <f>DG!AO241</f>
        <v>0</v>
      </c>
      <c r="H18" s="661">
        <f>IF(RG!$A$77&lt;4,MROUND((D18+E18+G18)/5,1),IF(RG!$A$77=4,MROUND((D18+E18+G18)/(5+1),1),IF(RG!$A$77=5,MROUND((D18+E18+G18)/(10+1),1),IF(RG!$A$77=6,MROUND((D18+E18+G18)/(15+1),1),IF(RG!$A$77=7,MROUND((D18+E18+G18)/(20+1),1))))))</f>
        <v>0</v>
      </c>
      <c r="I18" s="662"/>
      <c r="J18" s="558">
        <f t="shared" si="0"/>
        <v>0</v>
      </c>
      <c r="K18">
        <f t="shared" si="2"/>
        <v>0</v>
      </c>
    </row>
    <row r="19" spans="1:13" ht="13" thickBot="1">
      <c r="A19" s="565" t="str">
        <f>CF!B35</f>
        <v>Matériel roulant</v>
      </c>
      <c r="B19" s="565"/>
      <c r="C19" s="565"/>
      <c r="D19" s="558">
        <f>DG!AZ241</f>
        <v>0</v>
      </c>
      <c r="E19" s="729">
        <f>'HISTO BILAN'!E27</f>
        <v>0</v>
      </c>
      <c r="F19" s="553">
        <v>0.3</v>
      </c>
      <c r="G19" s="566">
        <f>DG!BA241</f>
        <v>0</v>
      </c>
      <c r="H19" s="661">
        <f t="shared" ref="H19:H25" si="3">(D19+G19)*(F19/2)+(E19*F19)</f>
        <v>0</v>
      </c>
      <c r="I19" s="662"/>
      <c r="J19" s="558">
        <f t="shared" si="0"/>
        <v>0</v>
      </c>
      <c r="K19">
        <f t="shared" si="2"/>
        <v>0</v>
      </c>
    </row>
    <row r="20" spans="1:13" ht="13" thickBot="1">
      <c r="A20" s="565" t="str">
        <f>CF!B36</f>
        <v>Équipement</v>
      </c>
      <c r="B20" s="565"/>
      <c r="C20" s="565"/>
      <c r="D20" s="558">
        <f>DG!BL241</f>
        <v>500</v>
      </c>
      <c r="E20" s="729">
        <f>'HISTO BILAN'!E28</f>
        <v>0</v>
      </c>
      <c r="F20" s="553">
        <v>0.2</v>
      </c>
      <c r="G20" s="566">
        <f>DG!BM241</f>
        <v>0</v>
      </c>
      <c r="H20" s="661">
        <f t="shared" si="3"/>
        <v>50</v>
      </c>
      <c r="I20" s="662"/>
      <c r="J20" s="558">
        <f t="shared" si="0"/>
        <v>450</v>
      </c>
      <c r="K20">
        <f t="shared" si="2"/>
        <v>0</v>
      </c>
    </row>
    <row r="21" spans="1:13" ht="13" thickBot="1">
      <c r="A21" s="565" t="str">
        <f>CF!B37</f>
        <v>Système informatique</v>
      </c>
      <c r="B21" s="565"/>
      <c r="C21" s="565"/>
      <c r="D21" s="558">
        <f>DG!BX241</f>
        <v>1000</v>
      </c>
      <c r="E21" s="729">
        <f>'HISTO BILAN'!E29</f>
        <v>0</v>
      </c>
      <c r="F21" s="553">
        <v>0.3</v>
      </c>
      <c r="G21" s="566">
        <f>DG!BY241</f>
        <v>0</v>
      </c>
      <c r="H21" s="661">
        <f t="shared" si="3"/>
        <v>150</v>
      </c>
      <c r="I21" s="662"/>
      <c r="J21" s="558">
        <f t="shared" si="0"/>
        <v>850</v>
      </c>
      <c r="K21">
        <f t="shared" si="2"/>
        <v>0</v>
      </c>
    </row>
    <row r="22" spans="1:13" ht="13" thickBot="1">
      <c r="A22" s="565" t="str">
        <f>CF!B38</f>
        <v>Logiciel</v>
      </c>
      <c r="B22" s="565"/>
      <c r="C22" s="565"/>
      <c r="D22" s="558">
        <f>DG!CJ241</f>
        <v>15000</v>
      </c>
      <c r="E22" s="729">
        <f>'HISTO BILAN'!E30</f>
        <v>0</v>
      </c>
      <c r="F22" s="553">
        <v>1</v>
      </c>
      <c r="G22" s="566">
        <f>DG!CK241</f>
        <v>0</v>
      </c>
      <c r="H22" s="661">
        <f t="shared" si="3"/>
        <v>7500</v>
      </c>
      <c r="I22" s="662"/>
      <c r="J22" s="558">
        <f t="shared" si="0"/>
        <v>7500</v>
      </c>
      <c r="K22">
        <f t="shared" si="2"/>
        <v>0</v>
      </c>
    </row>
    <row r="23" spans="1:13" ht="13" thickBot="1">
      <c r="A23" s="565" t="str">
        <f>CF!B39</f>
        <v>Mobilier de bureau</v>
      </c>
      <c r="B23" s="565"/>
      <c r="C23" s="565"/>
      <c r="D23" s="558">
        <f>DG!CV241</f>
        <v>0</v>
      </c>
      <c r="E23" s="729">
        <f>'HISTO BILAN'!E31</f>
        <v>0</v>
      </c>
      <c r="F23" s="553">
        <v>0.2</v>
      </c>
      <c r="G23" s="566">
        <f>DG!CW241</f>
        <v>0</v>
      </c>
      <c r="H23" s="661">
        <f t="shared" si="3"/>
        <v>0</v>
      </c>
      <c r="I23" s="662"/>
      <c r="J23" s="558">
        <f t="shared" si="0"/>
        <v>0</v>
      </c>
      <c r="K23">
        <f t="shared" si="2"/>
        <v>0</v>
      </c>
    </row>
    <row r="24" spans="1:13" ht="13" thickBot="1">
      <c r="A24" t="str">
        <f>CF!B42</f>
        <v>Site internet</v>
      </c>
      <c r="D24" s="558">
        <f>DG!DH241</f>
        <v>5000</v>
      </c>
      <c r="E24" s="729">
        <f>'HISTO BILAN'!E32</f>
        <v>0</v>
      </c>
      <c r="F24" s="553">
        <v>1</v>
      </c>
      <c r="G24" s="566">
        <f>DG!DI241</f>
        <v>0</v>
      </c>
      <c r="H24" s="661">
        <f t="shared" si="3"/>
        <v>2500</v>
      </c>
      <c r="I24" s="662"/>
      <c r="J24" s="558">
        <f>D24+E24+G24-H24</f>
        <v>2500</v>
      </c>
      <c r="K24">
        <f t="shared" si="2"/>
        <v>0</v>
      </c>
    </row>
    <row r="25" spans="1:13" ht="13" thickBot="1">
      <c r="A25" s="567" t="str">
        <f>CF!B43</f>
        <v>Autres actifs intangibles</v>
      </c>
      <c r="B25" s="567"/>
      <c r="C25" s="567"/>
      <c r="D25" s="568">
        <f>DG!DT241</f>
        <v>2500</v>
      </c>
      <c r="E25" s="730">
        <f>'HISTO BILAN'!E33</f>
        <v>0</v>
      </c>
      <c r="F25" s="553">
        <v>0</v>
      </c>
      <c r="G25" s="569">
        <f>DG!DU241</f>
        <v>0</v>
      </c>
      <c r="H25" s="661">
        <f t="shared" si="3"/>
        <v>0</v>
      </c>
      <c r="I25" s="662"/>
      <c r="J25" s="568">
        <f>D25+E25+G25-H25</f>
        <v>2500</v>
      </c>
      <c r="K25">
        <f t="shared" si="2"/>
        <v>0</v>
      </c>
    </row>
    <row r="26" spans="1:13">
      <c r="A26" s="565" t="s">
        <v>242</v>
      </c>
      <c r="B26" s="565"/>
      <c r="C26" s="565"/>
      <c r="D26" s="558">
        <f>SUM(D15:D25)</f>
        <v>24000</v>
      </c>
      <c r="E26" s="558"/>
      <c r="F26"/>
      <c r="G26" s="558">
        <f>SUM(G15:G25)</f>
        <v>0</v>
      </c>
      <c r="H26" s="558"/>
      <c r="I26" s="558"/>
      <c r="J26" s="558">
        <f>SUM(J15:J25)</f>
        <v>13800</v>
      </c>
      <c r="K26">
        <f>SUM(K15:K25)</f>
        <v>0</v>
      </c>
      <c r="L26">
        <f>IF((SUBV!C66-A!K26)&gt;0,A!K26,SUBV!C66)</f>
        <v>0</v>
      </c>
      <c r="M26">
        <f>SUBV!C66-A!L26</f>
        <v>0</v>
      </c>
    </row>
    <row r="27" spans="1:13">
      <c r="F27"/>
    </row>
    <row r="28" spans="1:13" s="257" customFormat="1" ht="13.5" thickBot="1">
      <c r="A28" s="570" t="s">
        <v>162</v>
      </c>
      <c r="B28" s="570"/>
      <c r="C28" s="570"/>
      <c r="D28" s="679">
        <f>RG!D27+364</f>
        <v>45656</v>
      </c>
      <c r="E28" s="679"/>
      <c r="F28" s="680"/>
      <c r="G28" s="571"/>
      <c r="H28" s="572">
        <f>H15+H16+H17+H18+H19+H20+H21+H22+H23+H24+H25</f>
        <v>10200</v>
      </c>
      <c r="I28" s="572"/>
      <c r="J28" s="571"/>
    </row>
    <row r="29" spans="1:13" ht="13" thickTop="1">
      <c r="A29" s="573"/>
      <c r="B29" s="573"/>
      <c r="C29" s="573"/>
      <c r="F29"/>
      <c r="G29" s="574"/>
    </row>
    <row r="30" spans="1:13">
      <c r="A30" s="573"/>
      <c r="B30" s="573"/>
      <c r="C30" s="573"/>
      <c r="F30"/>
      <c r="G30" s="574"/>
    </row>
    <row r="31" spans="1:13" s="257" customFormat="1" ht="13">
      <c r="A31" s="561" t="s">
        <v>552</v>
      </c>
      <c r="B31" s="561"/>
      <c r="C31" s="561"/>
      <c r="D31" s="561" t="s">
        <v>443</v>
      </c>
      <c r="E31" s="561"/>
      <c r="F31" s="562" t="s">
        <v>554</v>
      </c>
      <c r="G31" s="561" t="s">
        <v>467</v>
      </c>
      <c r="H31" s="561" t="s">
        <v>557</v>
      </c>
      <c r="I31" s="561"/>
      <c r="J31" s="561" t="s">
        <v>558</v>
      </c>
    </row>
    <row r="32" spans="1:13">
      <c r="A32" s="563"/>
      <c r="B32" s="563"/>
      <c r="C32" s="563"/>
      <c r="D32" s="563"/>
      <c r="E32" s="563"/>
      <c r="F32" s="564"/>
      <c r="G32" s="563"/>
      <c r="H32" s="563"/>
      <c r="I32" s="563"/>
      <c r="J32" s="563"/>
    </row>
    <row r="33" spans="1:13">
      <c r="A33" s="565" t="str">
        <f t="shared" ref="A33:A41" si="4">A15</f>
        <v>Terrain</v>
      </c>
      <c r="B33" s="565"/>
      <c r="C33" s="565"/>
      <c r="D33" s="558">
        <f t="shared" ref="D33:D41" si="5">J15</f>
        <v>0</v>
      </c>
      <c r="E33" s="558"/>
      <c r="F33" s="553">
        <f>F15</f>
        <v>0</v>
      </c>
      <c r="G33" s="566">
        <f>DG!I241</f>
        <v>0</v>
      </c>
      <c r="H33" s="661">
        <f>MROUND(((D33+G33)*(F33/2)+(E33*F33)),1)</f>
        <v>0</v>
      </c>
      <c r="I33" s="663">
        <f>I15</f>
        <v>0</v>
      </c>
      <c r="J33" s="558">
        <f t="shared" ref="J33:J43" si="6">D33+G33-H33</f>
        <v>0</v>
      </c>
      <c r="K33">
        <f>H33*I33</f>
        <v>0</v>
      </c>
    </row>
    <row r="34" spans="1:13">
      <c r="A34" s="565" t="str">
        <f t="shared" si="4"/>
        <v>Aménagement de terrain</v>
      </c>
      <c r="B34" s="565"/>
      <c r="C34" s="565"/>
      <c r="D34" s="558">
        <f t="shared" si="5"/>
        <v>0</v>
      </c>
      <c r="E34" s="558"/>
      <c r="F34" s="553">
        <f>F16</f>
        <v>0.08</v>
      </c>
      <c r="G34" s="566">
        <f>DG!U241</f>
        <v>0</v>
      </c>
      <c r="H34" s="661">
        <f t="shared" ref="H34:H35" si="7">MROUND(((D34+G34)*(F34/2)+(E34*F34)),1)</f>
        <v>0</v>
      </c>
      <c r="I34" s="663">
        <f>I16</f>
        <v>0</v>
      </c>
      <c r="J34" s="558">
        <f t="shared" si="6"/>
        <v>0</v>
      </c>
      <c r="K34">
        <f t="shared" ref="K34:K43" si="8">H34*I34</f>
        <v>0</v>
      </c>
    </row>
    <row r="35" spans="1:13">
      <c r="A35" s="565" t="str">
        <f t="shared" si="4"/>
        <v>Bâtiment</v>
      </c>
      <c r="B35" s="565"/>
      <c r="C35" s="565"/>
      <c r="D35" s="558">
        <f t="shared" si="5"/>
        <v>0</v>
      </c>
      <c r="E35" s="558"/>
      <c r="F35" s="553">
        <f>F17</f>
        <v>0.04</v>
      </c>
      <c r="G35" s="566">
        <f>DG!AG241</f>
        <v>0</v>
      </c>
      <c r="H35" s="661">
        <f t="shared" si="7"/>
        <v>0</v>
      </c>
      <c r="I35" s="663">
        <f t="shared" ref="I35:I43" si="9">I17</f>
        <v>0</v>
      </c>
      <c r="J35" s="558">
        <f t="shared" si="6"/>
        <v>0</v>
      </c>
      <c r="K35">
        <f t="shared" si="8"/>
        <v>0</v>
      </c>
    </row>
    <row r="36" spans="1:13">
      <c r="A36" s="565" t="str">
        <f t="shared" si="4"/>
        <v>Améliorations locatives</v>
      </c>
      <c r="B36" s="565"/>
      <c r="C36" s="565"/>
      <c r="D36" s="558">
        <f t="shared" si="5"/>
        <v>0</v>
      </c>
      <c r="E36" s="558"/>
      <c r="F36" s="553" t="str">
        <f>F18</f>
        <v>N/P</v>
      </c>
      <c r="G36" s="566">
        <f>DG!AS241</f>
        <v>0</v>
      </c>
      <c r="H36" s="661">
        <f>IF(RG!$A$77&lt;4,MROUND((D36+E36+G36)/5,1),IF(RG!$A$77=4,MROUND((D36+E36+G36)/(5+1),1),IF(RG!$A$77=5,MROUND((D36+E36+G36)/(10+1),1),IF(RG!$A$77=6,MROUND((D36+E36+G36)/(15+1),1),IF(RG!$A$77=7,MROUND((D36+E36+G36)/(20+1),1))))))</f>
        <v>0</v>
      </c>
      <c r="I36" s="663">
        <f t="shared" si="9"/>
        <v>0</v>
      </c>
      <c r="J36" s="558">
        <f t="shared" si="6"/>
        <v>0</v>
      </c>
      <c r="K36">
        <f t="shared" si="8"/>
        <v>0</v>
      </c>
    </row>
    <row r="37" spans="1:13">
      <c r="A37" s="565" t="str">
        <f t="shared" si="4"/>
        <v>Matériel roulant</v>
      </c>
      <c r="B37" s="565"/>
      <c r="C37" s="565"/>
      <c r="D37" s="558">
        <f t="shared" si="5"/>
        <v>0</v>
      </c>
      <c r="E37" s="558"/>
      <c r="F37" s="553">
        <f t="shared" ref="F37:F43" si="10">F19</f>
        <v>0.3</v>
      </c>
      <c r="G37" s="566">
        <f>DG!BE241</f>
        <v>0</v>
      </c>
      <c r="H37" s="661">
        <f t="shared" ref="H37:H43" si="11">(D37+G37)*(F37/2)+(E37*F37)</f>
        <v>0</v>
      </c>
      <c r="I37" s="663">
        <f t="shared" si="9"/>
        <v>0</v>
      </c>
      <c r="J37" s="558">
        <f t="shared" si="6"/>
        <v>0</v>
      </c>
      <c r="K37">
        <f t="shared" si="8"/>
        <v>0</v>
      </c>
    </row>
    <row r="38" spans="1:13">
      <c r="A38" s="565" t="str">
        <f t="shared" si="4"/>
        <v>Équipement</v>
      </c>
      <c r="B38" s="565"/>
      <c r="C38" s="565"/>
      <c r="D38" s="558">
        <f t="shared" si="5"/>
        <v>450</v>
      </c>
      <c r="E38" s="558"/>
      <c r="F38" s="553">
        <f t="shared" si="10"/>
        <v>0.2</v>
      </c>
      <c r="G38" s="566">
        <f>DG!BQ241</f>
        <v>0</v>
      </c>
      <c r="H38" s="661">
        <f t="shared" si="11"/>
        <v>45</v>
      </c>
      <c r="I38" s="663">
        <f t="shared" si="9"/>
        <v>0</v>
      </c>
      <c r="J38" s="558">
        <f t="shared" si="6"/>
        <v>405</v>
      </c>
      <c r="K38">
        <f t="shared" si="8"/>
        <v>0</v>
      </c>
    </row>
    <row r="39" spans="1:13">
      <c r="A39" s="565" t="str">
        <f t="shared" si="4"/>
        <v>Système informatique</v>
      </c>
      <c r="B39" s="565"/>
      <c r="C39" s="565"/>
      <c r="D39" s="558">
        <f t="shared" si="5"/>
        <v>850</v>
      </c>
      <c r="E39" s="558"/>
      <c r="F39" s="553">
        <f t="shared" si="10"/>
        <v>0.3</v>
      </c>
      <c r="G39" s="566">
        <f>DG!CC241</f>
        <v>0</v>
      </c>
      <c r="H39" s="661">
        <f t="shared" si="11"/>
        <v>127.5</v>
      </c>
      <c r="I39" s="663">
        <f t="shared" si="9"/>
        <v>0</v>
      </c>
      <c r="J39" s="558">
        <f t="shared" si="6"/>
        <v>722.5</v>
      </c>
      <c r="K39">
        <f t="shared" si="8"/>
        <v>0</v>
      </c>
    </row>
    <row r="40" spans="1:13">
      <c r="A40" s="565" t="str">
        <f t="shared" si="4"/>
        <v>Logiciel</v>
      </c>
      <c r="B40" s="565"/>
      <c r="C40" s="565"/>
      <c r="D40" s="558">
        <f t="shared" si="5"/>
        <v>7500</v>
      </c>
      <c r="E40" s="558"/>
      <c r="F40" s="553">
        <f t="shared" si="10"/>
        <v>1</v>
      </c>
      <c r="G40" s="566">
        <f>DG!CO241</f>
        <v>0</v>
      </c>
      <c r="H40" s="661">
        <f t="shared" si="11"/>
        <v>3750</v>
      </c>
      <c r="I40" s="663">
        <f t="shared" si="9"/>
        <v>0</v>
      </c>
      <c r="J40" s="558">
        <f t="shared" si="6"/>
        <v>3750</v>
      </c>
      <c r="K40">
        <f t="shared" si="8"/>
        <v>0</v>
      </c>
    </row>
    <row r="41" spans="1:13">
      <c r="A41" s="565" t="str">
        <f t="shared" si="4"/>
        <v>Mobilier de bureau</v>
      </c>
      <c r="B41" s="565"/>
      <c r="C41" s="565"/>
      <c r="D41" s="558">
        <f t="shared" si="5"/>
        <v>0</v>
      </c>
      <c r="E41" s="558"/>
      <c r="F41" s="553">
        <f t="shared" si="10"/>
        <v>0.2</v>
      </c>
      <c r="G41" s="566">
        <f>DG!DA241</f>
        <v>0</v>
      </c>
      <c r="H41" s="661">
        <f t="shared" si="11"/>
        <v>0</v>
      </c>
      <c r="I41" s="663">
        <f t="shared" si="9"/>
        <v>0</v>
      </c>
      <c r="J41" s="558">
        <f t="shared" si="6"/>
        <v>0</v>
      </c>
      <c r="K41">
        <f t="shared" si="8"/>
        <v>0</v>
      </c>
    </row>
    <row r="42" spans="1:13">
      <c r="A42" t="str">
        <f>A24</f>
        <v>Site internet</v>
      </c>
      <c r="D42" s="558">
        <f>J24</f>
        <v>2500</v>
      </c>
      <c r="E42" s="558"/>
      <c r="F42" s="553">
        <f t="shared" si="10"/>
        <v>1</v>
      </c>
      <c r="G42" s="566">
        <f>DG!DM241</f>
        <v>0</v>
      </c>
      <c r="H42" s="661">
        <f t="shared" si="11"/>
        <v>1250</v>
      </c>
      <c r="I42" s="663">
        <f t="shared" si="9"/>
        <v>0</v>
      </c>
      <c r="J42" s="558">
        <f t="shared" si="6"/>
        <v>1250</v>
      </c>
      <c r="K42">
        <f t="shared" si="8"/>
        <v>0</v>
      </c>
    </row>
    <row r="43" spans="1:13">
      <c r="A43" s="567" t="str">
        <f>A25</f>
        <v>Autres actifs intangibles</v>
      </c>
      <c r="B43" s="567"/>
      <c r="C43" s="567"/>
      <c r="D43" s="568">
        <f>J25</f>
        <v>2500</v>
      </c>
      <c r="E43" s="568"/>
      <c r="F43" s="553">
        <f t="shared" si="10"/>
        <v>0</v>
      </c>
      <c r="G43" s="569">
        <f>DG!DY241</f>
        <v>0</v>
      </c>
      <c r="H43" s="661">
        <f t="shared" si="11"/>
        <v>0</v>
      </c>
      <c r="I43" s="663">
        <f t="shared" si="9"/>
        <v>0</v>
      </c>
      <c r="J43" s="568">
        <f t="shared" si="6"/>
        <v>2500</v>
      </c>
      <c r="K43">
        <f t="shared" si="8"/>
        <v>0</v>
      </c>
    </row>
    <row r="44" spans="1:13">
      <c r="A44" s="565" t="s">
        <v>242</v>
      </c>
      <c r="B44" s="565"/>
      <c r="C44" s="565"/>
      <c r="D44" s="558">
        <f>SUM(D33:D43)</f>
        <v>13800</v>
      </c>
      <c r="E44" s="558"/>
      <c r="F44"/>
      <c r="G44" s="558">
        <f>SUM(G33:G43)</f>
        <v>0</v>
      </c>
      <c r="H44" s="558"/>
      <c r="I44" s="558"/>
      <c r="J44" s="558">
        <f>SUM(J33:J43)</f>
        <v>8627.5</v>
      </c>
      <c r="K44">
        <f>SUM(K33:K43)</f>
        <v>0</v>
      </c>
      <c r="L44">
        <f>IF(M26&gt;0,MIN(M26,K44),0)</f>
        <v>0</v>
      </c>
      <c r="M44">
        <f>M26-L44</f>
        <v>0</v>
      </c>
    </row>
    <row r="45" spans="1:13">
      <c r="F45"/>
    </row>
    <row r="46" spans="1:13" s="257" customFormat="1" ht="13.5" thickBot="1">
      <c r="A46" s="570" t="s">
        <v>162</v>
      </c>
      <c r="B46" s="570"/>
      <c r="C46" s="570"/>
      <c r="D46" s="679">
        <f>D28+365</f>
        <v>46021</v>
      </c>
      <c r="E46" s="679"/>
      <c r="F46" s="680"/>
      <c r="G46" s="571"/>
      <c r="H46" s="572">
        <f>H33+H34+H35+H36+H37+H38+H39+H40+H41+H42+H43</f>
        <v>5172.5</v>
      </c>
      <c r="I46" s="572"/>
      <c r="J46" s="571"/>
    </row>
    <row r="47" spans="1:13" ht="13" thickTop="1">
      <c r="A47" s="573"/>
      <c r="B47" s="573"/>
      <c r="C47" s="573"/>
      <c r="F47"/>
      <c r="H47" s="574"/>
      <c r="I47" s="574"/>
    </row>
    <row r="48" spans="1:13">
      <c r="F48"/>
    </row>
    <row r="49" spans="1:13" s="257" customFormat="1" ht="13">
      <c r="A49" s="561" t="s">
        <v>552</v>
      </c>
      <c r="B49" s="561"/>
      <c r="C49" s="561"/>
      <c r="D49" s="561" t="s">
        <v>443</v>
      </c>
      <c r="E49" s="561"/>
      <c r="F49" s="562" t="s">
        <v>554</v>
      </c>
      <c r="G49" s="561" t="s">
        <v>540</v>
      </c>
      <c r="H49" s="561" t="s">
        <v>559</v>
      </c>
      <c r="I49" s="561"/>
      <c r="J49" s="561" t="s">
        <v>560</v>
      </c>
    </row>
    <row r="50" spans="1:13">
      <c r="A50" s="563"/>
      <c r="B50" s="563"/>
      <c r="C50" s="563"/>
      <c r="D50" s="563"/>
      <c r="E50" s="563"/>
      <c r="F50" s="564"/>
      <c r="G50" s="563"/>
      <c r="H50" s="563"/>
      <c r="I50" s="563"/>
      <c r="J50" s="563"/>
    </row>
    <row r="51" spans="1:13">
      <c r="A51" s="565" t="str">
        <f t="shared" ref="A51:A59" si="12">A33</f>
        <v>Terrain</v>
      </c>
      <c r="B51" s="565"/>
      <c r="C51" s="565"/>
      <c r="D51" s="558">
        <f t="shared" ref="D51:D59" si="13">J33</f>
        <v>0</v>
      </c>
      <c r="E51" s="558"/>
      <c r="F51" s="553">
        <f>F15</f>
        <v>0</v>
      </c>
      <c r="G51" s="566">
        <f>DG!M241</f>
        <v>0</v>
      </c>
      <c r="H51" s="661">
        <f>MROUND(((D51+G51)*(F51/2)+(E51*F51)),1)</f>
        <v>0</v>
      </c>
      <c r="I51" s="663">
        <f>I33</f>
        <v>0</v>
      </c>
      <c r="J51" s="558">
        <f t="shared" ref="J51:J61" si="14">D51+G51-H51</f>
        <v>0</v>
      </c>
      <c r="K51">
        <f>H51*I51</f>
        <v>0</v>
      </c>
    </row>
    <row r="52" spans="1:13">
      <c r="A52" s="565" t="str">
        <f t="shared" si="12"/>
        <v>Aménagement de terrain</v>
      </c>
      <c r="B52" s="565"/>
      <c r="C52" s="565"/>
      <c r="D52" s="558">
        <f t="shared" si="13"/>
        <v>0</v>
      </c>
      <c r="E52" s="558"/>
      <c r="F52" s="553">
        <f>F16</f>
        <v>0.08</v>
      </c>
      <c r="G52" s="566">
        <f>DG!Y241</f>
        <v>0</v>
      </c>
      <c r="H52" s="661">
        <f t="shared" ref="H52:H53" si="15">MROUND(((D52+G52)*(F52/2)+(E52*F52)),1)</f>
        <v>0</v>
      </c>
      <c r="I52" s="663">
        <f t="shared" ref="I52:I61" si="16">I34</f>
        <v>0</v>
      </c>
      <c r="J52" s="558">
        <f t="shared" si="14"/>
        <v>0</v>
      </c>
      <c r="K52">
        <f t="shared" ref="K52:K61" si="17">H52*I52</f>
        <v>0</v>
      </c>
    </row>
    <row r="53" spans="1:13">
      <c r="A53" s="565" t="str">
        <f t="shared" si="12"/>
        <v>Bâtiment</v>
      </c>
      <c r="B53" s="565"/>
      <c r="C53" s="565"/>
      <c r="D53" s="558">
        <f t="shared" si="13"/>
        <v>0</v>
      </c>
      <c r="E53" s="558"/>
      <c r="F53" s="553">
        <f>F17</f>
        <v>0.04</v>
      </c>
      <c r="G53" s="566">
        <f>DG!AK241</f>
        <v>0</v>
      </c>
      <c r="H53" s="661">
        <f t="shared" si="15"/>
        <v>0</v>
      </c>
      <c r="I53" s="663">
        <f t="shared" si="16"/>
        <v>0</v>
      </c>
      <c r="J53" s="558">
        <f t="shared" si="14"/>
        <v>0</v>
      </c>
      <c r="K53">
        <f t="shared" si="17"/>
        <v>0</v>
      </c>
    </row>
    <row r="54" spans="1:13">
      <c r="A54" s="565" t="str">
        <f t="shared" si="12"/>
        <v>Améliorations locatives</v>
      </c>
      <c r="B54" s="565"/>
      <c r="C54" s="565"/>
      <c r="D54" s="558">
        <f t="shared" si="13"/>
        <v>0</v>
      </c>
      <c r="E54" s="558"/>
      <c r="F54" s="553" t="str">
        <f>F36</f>
        <v>N/P</v>
      </c>
      <c r="G54" s="566">
        <f>DG!AW241</f>
        <v>0</v>
      </c>
      <c r="H54" s="661">
        <f>IF(RG!$A$77&lt;4,MROUND((D54+E54+G54)/5,1),IF(RG!$A$77=4,MROUND((D54+E54+G54)/(5+1),1),IF(RG!$A$77=5,MROUND((D54+E54+G54)/(10+1),1),IF(RG!$A$77=6,MROUND((D54+E54+G54)/(15+1),1),IF(RG!$A$77=7,MROUND((D54+E54+G54)/(20+1),1))))))</f>
        <v>0</v>
      </c>
      <c r="I54" s="663">
        <f t="shared" si="16"/>
        <v>0</v>
      </c>
      <c r="J54" s="558">
        <f t="shared" si="14"/>
        <v>0</v>
      </c>
      <c r="K54">
        <f t="shared" si="17"/>
        <v>0</v>
      </c>
    </row>
    <row r="55" spans="1:13">
      <c r="A55" s="565" t="str">
        <f t="shared" si="12"/>
        <v>Matériel roulant</v>
      </c>
      <c r="B55" s="565"/>
      <c r="C55" s="565"/>
      <c r="D55" s="558">
        <f t="shared" si="13"/>
        <v>0</v>
      </c>
      <c r="E55" s="558"/>
      <c r="F55" s="553">
        <f t="shared" ref="F55:F61" si="18">F19</f>
        <v>0.3</v>
      </c>
      <c r="G55" s="566">
        <f>DG!BI241</f>
        <v>0</v>
      </c>
      <c r="H55" s="661">
        <f t="shared" ref="H55:H61" si="19">(D55+G55)*(F55/2)+(E55*F55)</f>
        <v>0</v>
      </c>
      <c r="I55" s="663">
        <f t="shared" si="16"/>
        <v>0</v>
      </c>
      <c r="J55" s="558">
        <f t="shared" si="14"/>
        <v>0</v>
      </c>
      <c r="K55">
        <f t="shared" si="17"/>
        <v>0</v>
      </c>
    </row>
    <row r="56" spans="1:13">
      <c r="A56" s="565" t="str">
        <f t="shared" si="12"/>
        <v>Équipement</v>
      </c>
      <c r="B56" s="565"/>
      <c r="C56" s="565"/>
      <c r="D56" s="558">
        <f t="shared" si="13"/>
        <v>405</v>
      </c>
      <c r="E56" s="558"/>
      <c r="F56" s="553">
        <f t="shared" si="18"/>
        <v>0.2</v>
      </c>
      <c r="G56" s="566">
        <f>DG!BU241</f>
        <v>0</v>
      </c>
      <c r="H56" s="661">
        <f t="shared" si="19"/>
        <v>40.5</v>
      </c>
      <c r="I56" s="663">
        <f t="shared" si="16"/>
        <v>0</v>
      </c>
      <c r="J56" s="558">
        <f t="shared" si="14"/>
        <v>364.5</v>
      </c>
      <c r="K56">
        <f t="shared" si="17"/>
        <v>0</v>
      </c>
    </row>
    <row r="57" spans="1:13">
      <c r="A57" s="565" t="str">
        <f t="shared" si="12"/>
        <v>Système informatique</v>
      </c>
      <c r="B57" s="565"/>
      <c r="C57" s="565"/>
      <c r="D57" s="558">
        <f t="shared" si="13"/>
        <v>722.5</v>
      </c>
      <c r="E57" s="558"/>
      <c r="F57" s="553">
        <f t="shared" si="18"/>
        <v>0.3</v>
      </c>
      <c r="G57" s="566">
        <f>DG!CG241</f>
        <v>0</v>
      </c>
      <c r="H57" s="661">
        <f t="shared" si="19"/>
        <v>108.375</v>
      </c>
      <c r="I57" s="663">
        <f t="shared" si="16"/>
        <v>0</v>
      </c>
      <c r="J57" s="558">
        <f t="shared" si="14"/>
        <v>614.125</v>
      </c>
      <c r="K57">
        <f t="shared" si="17"/>
        <v>0</v>
      </c>
    </row>
    <row r="58" spans="1:13">
      <c r="A58" s="565" t="str">
        <f t="shared" si="12"/>
        <v>Logiciel</v>
      </c>
      <c r="B58" s="565"/>
      <c r="C58" s="565"/>
      <c r="D58" s="558">
        <f t="shared" si="13"/>
        <v>3750</v>
      </c>
      <c r="E58" s="558"/>
      <c r="F58" s="553">
        <f t="shared" si="18"/>
        <v>1</v>
      </c>
      <c r="G58" s="566">
        <f>DG!CS241</f>
        <v>0</v>
      </c>
      <c r="H58" s="661">
        <f t="shared" si="19"/>
        <v>1875</v>
      </c>
      <c r="I58" s="663">
        <f t="shared" si="16"/>
        <v>0</v>
      </c>
      <c r="J58" s="558">
        <f t="shared" si="14"/>
        <v>1875</v>
      </c>
      <c r="K58">
        <f t="shared" si="17"/>
        <v>0</v>
      </c>
    </row>
    <row r="59" spans="1:13">
      <c r="A59" s="565" t="str">
        <f t="shared" si="12"/>
        <v>Mobilier de bureau</v>
      </c>
      <c r="B59" s="565"/>
      <c r="C59" s="565"/>
      <c r="D59" s="558">
        <f t="shared" si="13"/>
        <v>0</v>
      </c>
      <c r="E59" s="558"/>
      <c r="F59" s="554">
        <f t="shared" si="18"/>
        <v>0.2</v>
      </c>
      <c r="G59" s="566">
        <f>DG!DE241</f>
        <v>0</v>
      </c>
      <c r="H59" s="661">
        <f t="shared" si="19"/>
        <v>0</v>
      </c>
      <c r="I59" s="663">
        <f t="shared" si="16"/>
        <v>0</v>
      </c>
      <c r="J59" s="558">
        <f t="shared" si="14"/>
        <v>0</v>
      </c>
      <c r="K59">
        <f t="shared" si="17"/>
        <v>0</v>
      </c>
    </row>
    <row r="60" spans="1:13">
      <c r="A60" s="565" t="str">
        <f>A42</f>
        <v>Site internet</v>
      </c>
      <c r="B60" s="565"/>
      <c r="C60" s="565"/>
      <c r="D60" s="558">
        <f>J42</f>
        <v>1250</v>
      </c>
      <c r="E60" s="558"/>
      <c r="F60" s="553">
        <f>F42</f>
        <v>1</v>
      </c>
      <c r="G60" s="566">
        <f>DG!DQ241</f>
        <v>0</v>
      </c>
      <c r="H60" s="661">
        <f t="shared" si="19"/>
        <v>625</v>
      </c>
      <c r="I60" s="663">
        <f t="shared" si="16"/>
        <v>0</v>
      </c>
      <c r="J60" s="558">
        <f t="shared" si="14"/>
        <v>625</v>
      </c>
      <c r="K60">
        <f t="shared" si="17"/>
        <v>0</v>
      </c>
    </row>
    <row r="61" spans="1:13">
      <c r="A61" s="567" t="str">
        <f>A43</f>
        <v>Autres actifs intangibles</v>
      </c>
      <c r="B61" s="567"/>
      <c r="C61" s="567"/>
      <c r="D61" s="568">
        <f>J43</f>
        <v>2500</v>
      </c>
      <c r="E61" s="568"/>
      <c r="F61" s="553">
        <f t="shared" si="18"/>
        <v>0</v>
      </c>
      <c r="G61" s="569">
        <f>DG!EC241</f>
        <v>0</v>
      </c>
      <c r="H61" s="661">
        <f t="shared" si="19"/>
        <v>0</v>
      </c>
      <c r="I61" s="663">
        <f t="shared" si="16"/>
        <v>0</v>
      </c>
      <c r="J61" s="568">
        <f t="shared" si="14"/>
        <v>2500</v>
      </c>
      <c r="K61">
        <f t="shared" si="17"/>
        <v>0</v>
      </c>
    </row>
    <row r="62" spans="1:13">
      <c r="A62" s="565" t="s">
        <v>242</v>
      </c>
      <c r="B62" s="565"/>
      <c r="C62" s="565"/>
      <c r="D62" s="558">
        <f>SUM(D51:D61)</f>
        <v>8627.5</v>
      </c>
      <c r="E62" s="558"/>
      <c r="F62" s="553"/>
      <c r="G62" s="566">
        <f>SUM(G51:G61)</f>
        <v>0</v>
      </c>
      <c r="H62" s="661"/>
      <c r="I62" s="663"/>
      <c r="J62" s="558">
        <f>SUM(J51:J61)</f>
        <v>5978.625</v>
      </c>
      <c r="K62">
        <f>SUM(K51:K61)</f>
        <v>0</v>
      </c>
      <c r="L62">
        <f>IF(M44&gt;0,MIN(M44,K62),0)</f>
        <v>0</v>
      </c>
      <c r="M62" s="875">
        <f>M44-L62</f>
        <v>0</v>
      </c>
    </row>
    <row r="63" spans="1:13">
      <c r="F63"/>
    </row>
    <row r="64" spans="1:13" s="257" customFormat="1" ht="13.5" thickBot="1">
      <c r="A64" s="570" t="s">
        <v>162</v>
      </c>
      <c r="B64" s="570"/>
      <c r="C64" s="570"/>
      <c r="D64" s="679">
        <f>D46+365</f>
        <v>46386</v>
      </c>
      <c r="E64" s="679"/>
      <c r="F64" s="680"/>
      <c r="G64" s="571"/>
      <c r="H64" s="572">
        <f>H51+H52+H53+H54+H55+H56+H57+H58+H59+H60+H61</f>
        <v>2648.875</v>
      </c>
      <c r="I64" s="572"/>
      <c r="J64" s="571"/>
    </row>
    <row r="65" spans="1:13" ht="13" thickTop="1">
      <c r="A65" s="573"/>
      <c r="B65" s="573"/>
      <c r="C65" s="573"/>
      <c r="F65"/>
      <c r="H65" s="574"/>
      <c r="I65" s="574"/>
    </row>
    <row r="66" spans="1:13">
      <c r="F66"/>
    </row>
    <row r="67" spans="1:13" s="257" customFormat="1" ht="13">
      <c r="A67" s="561" t="s">
        <v>552</v>
      </c>
      <c r="B67" s="561"/>
      <c r="C67" s="561"/>
      <c r="D67" s="561" t="s">
        <v>443</v>
      </c>
      <c r="E67" s="561"/>
      <c r="F67" s="562" t="s">
        <v>554</v>
      </c>
      <c r="G67" s="561" t="s">
        <v>29</v>
      </c>
      <c r="H67" s="561" t="s">
        <v>3</v>
      </c>
      <c r="I67" s="561"/>
      <c r="J67" s="561" t="s">
        <v>560</v>
      </c>
    </row>
    <row r="68" spans="1:13">
      <c r="A68" s="563"/>
      <c r="B68" s="563"/>
      <c r="C68" s="563"/>
      <c r="D68" s="563"/>
      <c r="E68" s="563"/>
      <c r="F68" s="564"/>
      <c r="G68" s="563"/>
      <c r="H68" s="563"/>
      <c r="I68" s="563"/>
      <c r="J68" s="563"/>
    </row>
    <row r="69" spans="1:13">
      <c r="A69" s="565" t="str">
        <f>A51</f>
        <v>Terrain</v>
      </c>
      <c r="B69" s="565"/>
      <c r="C69" s="565"/>
      <c r="D69" s="558">
        <f>J51</f>
        <v>0</v>
      </c>
      <c r="E69" s="558"/>
      <c r="F69" s="553">
        <f>F15</f>
        <v>0</v>
      </c>
      <c r="G69" s="566">
        <f>DG!M261</f>
        <v>0</v>
      </c>
      <c r="H69" s="661">
        <f>MROUND(((D69+G69)*(F69/2)+(E69*F69)),1)</f>
        <v>0</v>
      </c>
      <c r="I69" s="663">
        <f>I51</f>
        <v>0</v>
      </c>
      <c r="J69" s="558">
        <f t="shared" ref="J69:J79" si="20">D69+G69-H69</f>
        <v>0</v>
      </c>
      <c r="K69">
        <f>H69*I69</f>
        <v>0</v>
      </c>
    </row>
    <row r="70" spans="1:13">
      <c r="A70" s="565" t="str">
        <f t="shared" ref="A70:A77" si="21">A52</f>
        <v>Aménagement de terrain</v>
      </c>
      <c r="B70" s="565"/>
      <c r="C70" s="565"/>
      <c r="D70" s="558">
        <f t="shared" ref="D70:D79" si="22">J52</f>
        <v>0</v>
      </c>
      <c r="E70" s="558"/>
      <c r="F70" s="553">
        <f t="shared" ref="F70:F79" si="23">F16</f>
        <v>0.08</v>
      </c>
      <c r="G70" s="566">
        <f>DG!W261</f>
        <v>0</v>
      </c>
      <c r="H70" s="661">
        <f t="shared" ref="H70:H71" si="24">MROUND(((D70+G70)*(F70/2)+(E70*F70)),1)</f>
        <v>0</v>
      </c>
      <c r="I70" s="663">
        <f t="shared" ref="I70:I79" si="25">I52</f>
        <v>0</v>
      </c>
      <c r="J70" s="558">
        <f t="shared" si="20"/>
        <v>0</v>
      </c>
      <c r="K70">
        <f t="shared" ref="K70:K79" si="26">H70*I70</f>
        <v>0</v>
      </c>
    </row>
    <row r="71" spans="1:13">
      <c r="A71" s="565" t="str">
        <f t="shared" si="21"/>
        <v>Bâtiment</v>
      </c>
      <c r="B71" s="565"/>
      <c r="C71" s="565"/>
      <c r="D71" s="558">
        <f t="shared" si="22"/>
        <v>0</v>
      </c>
      <c r="E71" s="558"/>
      <c r="F71" s="553">
        <f t="shared" si="23"/>
        <v>0.04</v>
      </c>
      <c r="G71" s="566">
        <f>DG!AG261</f>
        <v>0</v>
      </c>
      <c r="H71" s="661">
        <f t="shared" si="24"/>
        <v>0</v>
      </c>
      <c r="I71" s="663">
        <f t="shared" si="25"/>
        <v>0</v>
      </c>
      <c r="J71" s="558">
        <f t="shared" si="20"/>
        <v>0</v>
      </c>
      <c r="K71">
        <f t="shared" si="26"/>
        <v>0</v>
      </c>
    </row>
    <row r="72" spans="1:13">
      <c r="A72" s="565" t="str">
        <f t="shared" si="21"/>
        <v>Améliorations locatives</v>
      </c>
      <c r="B72" s="565"/>
      <c r="C72" s="565"/>
      <c r="D72" s="558">
        <f t="shared" si="22"/>
        <v>0</v>
      </c>
      <c r="E72" s="558"/>
      <c r="F72" s="553" t="str">
        <f t="shared" si="23"/>
        <v>N/P</v>
      </c>
      <c r="G72" s="566">
        <f>DG!AX241</f>
        <v>0</v>
      </c>
      <c r="H72" s="661">
        <f>IF(RG!$A$77&lt;4,MROUND((D72+E72+G72)/5,1),IF(RG!$A$77=4,MROUND((D72+E72+G72)/(5+1),1),IF(RG!$A$77=5,MROUND((D72+E72+G72)/(10+1),1),IF(RG!$A$77=6,MROUND((D72+E72+G72)/(15+1),1),IF(RG!$A$77=7,MROUND((D72+E72+G72)/(20+1),1))))))</f>
        <v>0</v>
      </c>
      <c r="I72" s="663">
        <f t="shared" si="25"/>
        <v>0</v>
      </c>
      <c r="J72" s="558">
        <f t="shared" si="20"/>
        <v>0</v>
      </c>
      <c r="K72">
        <f t="shared" si="26"/>
        <v>0</v>
      </c>
    </row>
    <row r="73" spans="1:13">
      <c r="A73" s="565" t="str">
        <f t="shared" si="21"/>
        <v>Matériel roulant</v>
      </c>
      <c r="B73" s="565"/>
      <c r="C73" s="565"/>
      <c r="D73" s="558">
        <f t="shared" si="22"/>
        <v>0</v>
      </c>
      <c r="E73" s="558"/>
      <c r="F73" s="553">
        <f t="shared" si="23"/>
        <v>0.3</v>
      </c>
      <c r="G73" s="566">
        <f>DG!BA261</f>
        <v>0</v>
      </c>
      <c r="H73" s="661">
        <f t="shared" ref="H73:H79" si="27">(D73+G73)*(F73/2)+(E73*F73)</f>
        <v>0</v>
      </c>
      <c r="I73" s="663">
        <f t="shared" si="25"/>
        <v>0</v>
      </c>
      <c r="J73" s="558">
        <f t="shared" si="20"/>
        <v>0</v>
      </c>
      <c r="K73">
        <f t="shared" si="26"/>
        <v>0</v>
      </c>
    </row>
    <row r="74" spans="1:13">
      <c r="A74" s="565" t="str">
        <f t="shared" si="21"/>
        <v>Équipement</v>
      </c>
      <c r="B74" s="565"/>
      <c r="C74" s="565"/>
      <c r="D74" s="558">
        <f t="shared" si="22"/>
        <v>364.5</v>
      </c>
      <c r="E74" s="558"/>
      <c r="F74" s="553">
        <f t="shared" si="23"/>
        <v>0.2</v>
      </c>
      <c r="G74" s="566">
        <f>DG!BK261</f>
        <v>0</v>
      </c>
      <c r="H74" s="661">
        <f t="shared" si="27"/>
        <v>36.450000000000003</v>
      </c>
      <c r="I74" s="663">
        <f t="shared" si="25"/>
        <v>0</v>
      </c>
      <c r="J74" s="558">
        <f t="shared" si="20"/>
        <v>328.05</v>
      </c>
      <c r="K74">
        <f t="shared" si="26"/>
        <v>0</v>
      </c>
    </row>
    <row r="75" spans="1:13">
      <c r="A75" s="565" t="str">
        <f t="shared" si="21"/>
        <v>Système informatique</v>
      </c>
      <c r="B75" s="565"/>
      <c r="C75" s="565"/>
      <c r="D75" s="558">
        <f t="shared" si="22"/>
        <v>614.125</v>
      </c>
      <c r="E75" s="558"/>
      <c r="F75" s="553">
        <f t="shared" si="23"/>
        <v>0.3</v>
      </c>
      <c r="G75" s="566">
        <f>DG!BU261</f>
        <v>0</v>
      </c>
      <c r="H75" s="661">
        <f t="shared" si="27"/>
        <v>92.118749999999991</v>
      </c>
      <c r="I75" s="663">
        <f t="shared" si="25"/>
        <v>0</v>
      </c>
      <c r="J75" s="558">
        <f t="shared" si="20"/>
        <v>522.00625000000002</v>
      </c>
      <c r="K75">
        <f t="shared" si="26"/>
        <v>0</v>
      </c>
    </row>
    <row r="76" spans="1:13">
      <c r="A76" s="565" t="str">
        <f t="shared" si="21"/>
        <v>Logiciel</v>
      </c>
      <c r="B76" s="565"/>
      <c r="C76" s="565"/>
      <c r="D76" s="558">
        <f t="shared" si="22"/>
        <v>1875</v>
      </c>
      <c r="E76" s="558"/>
      <c r="F76" s="553">
        <f t="shared" si="23"/>
        <v>1</v>
      </c>
      <c r="G76" s="566">
        <f>DG!CE261</f>
        <v>0</v>
      </c>
      <c r="H76" s="661">
        <f t="shared" si="27"/>
        <v>937.5</v>
      </c>
      <c r="I76" s="663">
        <f t="shared" si="25"/>
        <v>0</v>
      </c>
      <c r="J76" s="558">
        <f t="shared" si="20"/>
        <v>937.5</v>
      </c>
      <c r="K76">
        <f t="shared" si="26"/>
        <v>0</v>
      </c>
    </row>
    <row r="77" spans="1:13">
      <c r="A77" s="565" t="str">
        <f t="shared" si="21"/>
        <v>Mobilier de bureau</v>
      </c>
      <c r="B77" s="565"/>
      <c r="C77" s="565"/>
      <c r="D77" s="558">
        <f t="shared" si="22"/>
        <v>0</v>
      </c>
      <c r="E77" s="558"/>
      <c r="F77" s="553">
        <f t="shared" si="23"/>
        <v>0.2</v>
      </c>
      <c r="G77" s="566">
        <f>DG!CO261</f>
        <v>0</v>
      </c>
      <c r="H77" s="661">
        <f t="shared" si="27"/>
        <v>0</v>
      </c>
      <c r="I77" s="663">
        <f t="shared" si="25"/>
        <v>0</v>
      </c>
      <c r="J77" s="558">
        <f t="shared" si="20"/>
        <v>0</v>
      </c>
      <c r="K77">
        <f t="shared" si="26"/>
        <v>0</v>
      </c>
    </row>
    <row r="78" spans="1:13">
      <c r="A78" s="565" t="str">
        <f>A60</f>
        <v>Site internet</v>
      </c>
      <c r="B78" s="565"/>
      <c r="C78" s="565"/>
      <c r="D78" s="558">
        <f t="shared" si="22"/>
        <v>625</v>
      </c>
      <c r="E78" s="558"/>
      <c r="F78" s="553">
        <f t="shared" si="23"/>
        <v>1</v>
      </c>
      <c r="G78" s="566">
        <f>DG!CY261</f>
        <v>0</v>
      </c>
      <c r="H78" s="661">
        <f t="shared" si="27"/>
        <v>312.5</v>
      </c>
      <c r="I78" s="663">
        <f t="shared" si="25"/>
        <v>0</v>
      </c>
      <c r="J78" s="558">
        <f t="shared" si="20"/>
        <v>312.5</v>
      </c>
      <c r="K78">
        <f t="shared" si="26"/>
        <v>0</v>
      </c>
    </row>
    <row r="79" spans="1:13">
      <c r="A79" s="567" t="str">
        <f>A61</f>
        <v>Autres actifs intangibles</v>
      </c>
      <c r="B79" s="567"/>
      <c r="C79" s="567"/>
      <c r="D79" s="568">
        <f t="shared" si="22"/>
        <v>2500</v>
      </c>
      <c r="E79" s="568"/>
      <c r="F79" s="553">
        <f t="shared" si="23"/>
        <v>0</v>
      </c>
      <c r="G79" s="569">
        <f>DG!DI261</f>
        <v>0</v>
      </c>
      <c r="H79" s="661">
        <f t="shared" si="27"/>
        <v>0</v>
      </c>
      <c r="I79" s="663">
        <f t="shared" si="25"/>
        <v>0</v>
      </c>
      <c r="J79" s="568">
        <f t="shared" si="20"/>
        <v>2500</v>
      </c>
      <c r="K79">
        <f t="shared" si="26"/>
        <v>0</v>
      </c>
    </row>
    <row r="80" spans="1:13">
      <c r="A80" s="565" t="s">
        <v>242</v>
      </c>
      <c r="B80" s="565"/>
      <c r="C80" s="565"/>
      <c r="D80" s="558">
        <f>SUM(D69:D79)</f>
        <v>5978.625</v>
      </c>
      <c r="E80" s="558"/>
      <c r="F80" s="553"/>
      <c r="G80" s="566">
        <f>SUM(G69:G79)</f>
        <v>0</v>
      </c>
      <c r="H80" s="661"/>
      <c r="I80" s="663"/>
      <c r="J80" s="558">
        <f>SUM(J69:J79)</f>
        <v>4600.0562499999996</v>
      </c>
      <c r="K80">
        <f>SUM(K69:K79)</f>
        <v>0</v>
      </c>
      <c r="L80">
        <f>IF(M62&gt;0,MIN(M62,K80),0)</f>
        <v>0</v>
      </c>
      <c r="M80" s="875">
        <f>M62-L80</f>
        <v>0</v>
      </c>
    </row>
    <row r="81" spans="1:11">
      <c r="F81"/>
    </row>
    <row r="82" spans="1:11" s="257" customFormat="1" ht="13.5" thickBot="1">
      <c r="A82" s="570" t="s">
        <v>162</v>
      </c>
      <c r="B82" s="570"/>
      <c r="C82" s="570"/>
      <c r="D82" s="679">
        <f>D64+366</f>
        <v>46752</v>
      </c>
      <c r="E82" s="679"/>
      <c r="F82" s="680"/>
      <c r="G82" s="571"/>
      <c r="H82" s="572">
        <f>H69+H70+H71+H72+H73+H74+H75+H76+H77+H78+H79</f>
        <v>1378.5687499999999</v>
      </c>
      <c r="I82" s="572"/>
      <c r="J82" s="571"/>
    </row>
    <row r="83" spans="1:11" ht="13" thickTop="1">
      <c r="A83" s="573"/>
      <c r="B83" s="573"/>
      <c r="C83" s="573"/>
      <c r="F83"/>
      <c r="H83" s="574"/>
      <c r="I83" s="574"/>
    </row>
    <row r="84" spans="1:11">
      <c r="F84"/>
    </row>
    <row r="85" spans="1:11" s="257" customFormat="1" ht="13">
      <c r="A85" s="561" t="s">
        <v>552</v>
      </c>
      <c r="B85" s="561"/>
      <c r="C85" s="561"/>
      <c r="D85" s="561" t="s">
        <v>443</v>
      </c>
      <c r="E85" s="561"/>
      <c r="F85" s="562" t="s">
        <v>554</v>
      </c>
      <c r="G85" s="561" t="s">
        <v>36</v>
      </c>
      <c r="H85" s="561" t="s">
        <v>4</v>
      </c>
      <c r="I85" s="561"/>
      <c r="J85" s="561" t="s">
        <v>560</v>
      </c>
    </row>
    <row r="86" spans="1:11">
      <c r="A86" s="563"/>
      <c r="B86" s="563"/>
      <c r="C86" s="563"/>
      <c r="D86" s="563"/>
      <c r="E86" s="563"/>
      <c r="F86" s="564"/>
      <c r="G86" s="563"/>
      <c r="H86" s="563"/>
      <c r="I86" s="563"/>
      <c r="J86" s="563"/>
    </row>
    <row r="87" spans="1:11">
      <c r="A87" s="565" t="str">
        <f>A69</f>
        <v>Terrain</v>
      </c>
      <c r="B87" s="565"/>
      <c r="C87" s="565"/>
      <c r="D87" s="558">
        <f>J69</f>
        <v>0</v>
      </c>
      <c r="E87" s="558"/>
      <c r="F87" s="553">
        <f>F15</f>
        <v>0</v>
      </c>
      <c r="G87" s="566">
        <f>DG!M281</f>
        <v>0</v>
      </c>
      <c r="H87" s="661">
        <f>MROUND(((D87+G87)*(F87/2)+(E87*F87)),1)</f>
        <v>0</v>
      </c>
      <c r="I87" s="663">
        <f>I69</f>
        <v>0</v>
      </c>
      <c r="J87" s="558">
        <f t="shared" ref="J87:J97" si="28">D87+G87-H87</f>
        <v>0</v>
      </c>
      <c r="K87">
        <f>H87*I87</f>
        <v>0</v>
      </c>
    </row>
    <row r="88" spans="1:11">
      <c r="A88" s="565" t="str">
        <f t="shared" ref="A88:A95" si="29">A70</f>
        <v>Aménagement de terrain</v>
      </c>
      <c r="B88" s="565"/>
      <c r="C88" s="565"/>
      <c r="D88" s="558">
        <f t="shared" ref="D88:D97" si="30">J70</f>
        <v>0</v>
      </c>
      <c r="E88" s="558"/>
      <c r="F88" s="553">
        <f t="shared" ref="F88:F97" si="31">F16</f>
        <v>0.08</v>
      </c>
      <c r="G88" s="566">
        <f>DG!W281</f>
        <v>0</v>
      </c>
      <c r="H88" s="661">
        <f t="shared" ref="H88:H89" si="32">MROUND(((D88+G88)*(F88/2)+(E88*F88)),1)</f>
        <v>0</v>
      </c>
      <c r="I88" s="663">
        <f t="shared" ref="I88:I97" si="33">I70</f>
        <v>0</v>
      </c>
      <c r="J88" s="558">
        <f t="shared" si="28"/>
        <v>0</v>
      </c>
      <c r="K88">
        <f t="shared" ref="K88:K97" si="34">H88*I88</f>
        <v>0</v>
      </c>
    </row>
    <row r="89" spans="1:11">
      <c r="A89" s="565" t="str">
        <f t="shared" si="29"/>
        <v>Bâtiment</v>
      </c>
      <c r="B89" s="565"/>
      <c r="C89" s="565"/>
      <c r="D89" s="558">
        <f t="shared" si="30"/>
        <v>0</v>
      </c>
      <c r="E89" s="558"/>
      <c r="F89" s="553">
        <f t="shared" si="31"/>
        <v>0.04</v>
      </c>
      <c r="G89" s="566">
        <f>DG!AG281</f>
        <v>0</v>
      </c>
      <c r="H89" s="661">
        <f t="shared" si="32"/>
        <v>0</v>
      </c>
      <c r="I89" s="663">
        <f t="shared" si="33"/>
        <v>0</v>
      </c>
      <c r="J89" s="558">
        <f t="shared" si="28"/>
        <v>0</v>
      </c>
      <c r="K89">
        <f t="shared" si="34"/>
        <v>0</v>
      </c>
    </row>
    <row r="90" spans="1:11">
      <c r="A90" s="565" t="str">
        <f t="shared" si="29"/>
        <v>Améliorations locatives</v>
      </c>
      <c r="B90" s="565"/>
      <c r="C90" s="565"/>
      <c r="D90" s="558">
        <f t="shared" si="30"/>
        <v>0</v>
      </c>
      <c r="E90" s="558"/>
      <c r="F90" s="553" t="str">
        <f t="shared" si="31"/>
        <v>N/P</v>
      </c>
      <c r="G90" s="566">
        <f>DG!AY241</f>
        <v>0</v>
      </c>
      <c r="H90" s="661">
        <f>IF(RG!$A$77&lt;4,MROUND((D90+E90+G90)/5,1),IF(RG!$A$77=4,MROUND((D90+E90+G90)/(5+1),1),IF(RG!$A$77=5,MROUND((D90+E90+G90)/(10+1),1),IF(RG!$A$77=6,MROUND((D90+E90+G90)/(15+1),1),IF(RG!$A$77=7,MROUND((D90+E90+G90)/(20+1),1))))))</f>
        <v>0</v>
      </c>
      <c r="I90" s="663">
        <f t="shared" si="33"/>
        <v>0</v>
      </c>
      <c r="J90" s="558">
        <f t="shared" si="28"/>
        <v>0</v>
      </c>
      <c r="K90">
        <f t="shared" si="34"/>
        <v>0</v>
      </c>
    </row>
    <row r="91" spans="1:11">
      <c r="A91" s="565" t="str">
        <f t="shared" si="29"/>
        <v>Matériel roulant</v>
      </c>
      <c r="B91" s="565"/>
      <c r="C91" s="565"/>
      <c r="D91" s="558">
        <f t="shared" si="30"/>
        <v>0</v>
      </c>
      <c r="E91" s="558"/>
      <c r="F91" s="553">
        <f t="shared" si="31"/>
        <v>0.3</v>
      </c>
      <c r="G91" s="566">
        <f>DG!BA281</f>
        <v>0</v>
      </c>
      <c r="H91" s="661">
        <f t="shared" ref="H91:H97" si="35">(D91+G91)*(F91/2)+(E91*F91)</f>
        <v>0</v>
      </c>
      <c r="I91" s="663">
        <f t="shared" si="33"/>
        <v>0</v>
      </c>
      <c r="J91" s="558">
        <f t="shared" si="28"/>
        <v>0</v>
      </c>
      <c r="K91">
        <f t="shared" si="34"/>
        <v>0</v>
      </c>
    </row>
    <row r="92" spans="1:11">
      <c r="A92" s="565" t="str">
        <f t="shared" si="29"/>
        <v>Équipement</v>
      </c>
      <c r="B92" s="565"/>
      <c r="C92" s="565"/>
      <c r="D92" s="558">
        <f t="shared" si="30"/>
        <v>328.05</v>
      </c>
      <c r="E92" s="558"/>
      <c r="F92" s="553">
        <f t="shared" si="31"/>
        <v>0.2</v>
      </c>
      <c r="G92" s="566">
        <f>DG!BK281</f>
        <v>0</v>
      </c>
      <c r="H92" s="661">
        <f t="shared" si="35"/>
        <v>32.805</v>
      </c>
      <c r="I92" s="663">
        <f t="shared" si="33"/>
        <v>0</v>
      </c>
      <c r="J92" s="558">
        <f t="shared" si="28"/>
        <v>295.245</v>
      </c>
      <c r="K92">
        <f t="shared" si="34"/>
        <v>0</v>
      </c>
    </row>
    <row r="93" spans="1:11">
      <c r="A93" s="565" t="str">
        <f t="shared" si="29"/>
        <v>Système informatique</v>
      </c>
      <c r="B93" s="565"/>
      <c r="C93" s="565"/>
      <c r="D93" s="558">
        <f t="shared" si="30"/>
        <v>522.00625000000002</v>
      </c>
      <c r="E93" s="558"/>
      <c r="F93" s="553">
        <f t="shared" si="31"/>
        <v>0.3</v>
      </c>
      <c r="G93" s="566">
        <f>DG!BU281</f>
        <v>0</v>
      </c>
      <c r="H93" s="661">
        <f t="shared" si="35"/>
        <v>78.300937500000003</v>
      </c>
      <c r="I93" s="663">
        <f t="shared" si="33"/>
        <v>0</v>
      </c>
      <c r="J93" s="558">
        <f t="shared" si="28"/>
        <v>443.70531249999999</v>
      </c>
      <c r="K93">
        <f t="shared" si="34"/>
        <v>0</v>
      </c>
    </row>
    <row r="94" spans="1:11">
      <c r="A94" s="565" t="str">
        <f t="shared" si="29"/>
        <v>Logiciel</v>
      </c>
      <c r="B94" s="565"/>
      <c r="C94" s="565"/>
      <c r="D94" s="558">
        <f t="shared" si="30"/>
        <v>937.5</v>
      </c>
      <c r="E94" s="558"/>
      <c r="F94" s="553">
        <f t="shared" si="31"/>
        <v>1</v>
      </c>
      <c r="G94" s="566">
        <f>DG!CE281</f>
        <v>0</v>
      </c>
      <c r="H94" s="661">
        <f t="shared" si="35"/>
        <v>468.75</v>
      </c>
      <c r="I94" s="663">
        <f t="shared" si="33"/>
        <v>0</v>
      </c>
      <c r="J94" s="558">
        <f t="shared" si="28"/>
        <v>468.75</v>
      </c>
      <c r="K94">
        <f t="shared" si="34"/>
        <v>0</v>
      </c>
    </row>
    <row r="95" spans="1:11">
      <c r="A95" s="565" t="str">
        <f t="shared" si="29"/>
        <v>Mobilier de bureau</v>
      </c>
      <c r="B95" s="565"/>
      <c r="C95" s="565"/>
      <c r="D95" s="558">
        <f t="shared" si="30"/>
        <v>0</v>
      </c>
      <c r="E95" s="558"/>
      <c r="F95" s="553">
        <f t="shared" si="31"/>
        <v>0.2</v>
      </c>
      <c r="G95" s="566">
        <f>DG!CO281</f>
        <v>0</v>
      </c>
      <c r="H95" s="661">
        <f t="shared" si="35"/>
        <v>0</v>
      </c>
      <c r="I95" s="663">
        <f t="shared" si="33"/>
        <v>0</v>
      </c>
      <c r="J95" s="558">
        <f t="shared" si="28"/>
        <v>0</v>
      </c>
      <c r="K95">
        <f t="shared" si="34"/>
        <v>0</v>
      </c>
    </row>
    <row r="96" spans="1:11">
      <c r="A96" t="str">
        <f>A78</f>
        <v>Site internet</v>
      </c>
      <c r="D96" s="558">
        <f t="shared" si="30"/>
        <v>312.5</v>
      </c>
      <c r="E96" s="558"/>
      <c r="F96" s="553">
        <f t="shared" si="31"/>
        <v>1</v>
      </c>
      <c r="G96" s="566">
        <f>DG!CY281</f>
        <v>0</v>
      </c>
      <c r="H96" s="661">
        <f t="shared" si="35"/>
        <v>156.25</v>
      </c>
      <c r="I96" s="663">
        <f t="shared" si="33"/>
        <v>0</v>
      </c>
      <c r="J96" s="558">
        <f t="shared" si="28"/>
        <v>156.25</v>
      </c>
      <c r="K96">
        <f t="shared" si="34"/>
        <v>0</v>
      </c>
    </row>
    <row r="97" spans="1:13">
      <c r="A97" s="567" t="str">
        <f>A79</f>
        <v>Autres actifs intangibles</v>
      </c>
      <c r="B97" s="567"/>
      <c r="C97" s="567"/>
      <c r="D97" s="568">
        <f t="shared" si="30"/>
        <v>2500</v>
      </c>
      <c r="E97" s="568"/>
      <c r="F97" s="553">
        <f t="shared" si="31"/>
        <v>0</v>
      </c>
      <c r="G97" s="569">
        <f>DG!DI281</f>
        <v>0</v>
      </c>
      <c r="H97" s="661">
        <f t="shared" si="35"/>
        <v>0</v>
      </c>
      <c r="I97" s="663">
        <f t="shared" si="33"/>
        <v>0</v>
      </c>
      <c r="J97" s="568">
        <f t="shared" si="28"/>
        <v>2500</v>
      </c>
      <c r="K97">
        <f t="shared" si="34"/>
        <v>0</v>
      </c>
    </row>
    <row r="98" spans="1:13">
      <c r="A98" s="565" t="s">
        <v>242</v>
      </c>
      <c r="B98" s="565"/>
      <c r="C98" s="565"/>
      <c r="D98" s="558">
        <f>SUM(D87:D97)</f>
        <v>4600.0562499999996</v>
      </c>
      <c r="E98" s="558"/>
      <c r="F98" s="553"/>
      <c r="G98" s="566">
        <f>SUM(G87:G97)</f>
        <v>0</v>
      </c>
      <c r="H98" s="661"/>
      <c r="I98" s="663"/>
      <c r="J98" s="558">
        <f>SUM(J87:J97)</f>
        <v>3863.9503125000001</v>
      </c>
      <c r="K98">
        <f>SUM(K87:K97)</f>
        <v>0</v>
      </c>
      <c r="L98">
        <f>IF(M80&gt;0,MIN(M80,K98),0)</f>
        <v>0</v>
      </c>
      <c r="M98" s="875">
        <f>M80-L98</f>
        <v>0</v>
      </c>
    </row>
    <row r="99" spans="1:13">
      <c r="F99"/>
    </row>
    <row r="100" spans="1:13" s="257" customFormat="1" ht="13.5" thickBot="1">
      <c r="A100" s="570" t="s">
        <v>162</v>
      </c>
      <c r="B100" s="570"/>
      <c r="C100" s="570"/>
      <c r="D100" s="679">
        <f>D82+365</f>
        <v>47117</v>
      </c>
      <c r="E100" s="679"/>
      <c r="F100" s="680"/>
      <c r="G100" s="571"/>
      <c r="H100" s="572">
        <f>H87+H88+H89+H90+H91+H92+H93+H94+H95+H96+H97</f>
        <v>736.10593749999998</v>
      </c>
      <c r="I100" s="572"/>
      <c r="J100" s="571"/>
    </row>
    <row r="101" spans="1:13" ht="13" thickTop="1">
      <c r="F101"/>
    </row>
  </sheetData>
  <sheetProtection password="E242" sheet="1" objects="1" scenarios="1"/>
  <customSheetViews>
    <customSheetView guid="{30D0538C-360A-4CDF-8D89-584CED1967CC}"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 guid="{4F3169C3-3348-49DE-A6DC-8AA4D2A9D7A1}"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s>
  <phoneticPr fontId="0" type="noConversion"/>
  <pageMargins left="0.78740157499999996" right="0.78740157499999996" top="0.984251969" bottom="0.984251969" header="0.4921259845" footer="0.4921259845"/>
  <pageSetup scale="60" fitToHeight="0" orientation="portrait" horizontalDpi="4294967293" r:id="rId1"/>
  <headerFooter alignWithMargins="0"/>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GFM1">
    <pageSetUpPr fitToPage="1"/>
  </sheetPr>
  <dimension ref="A1:T136"/>
  <sheetViews>
    <sheetView showGridLines="0" showOutlineSymbols="0" zoomScaleNormal="100" workbookViewId="0">
      <selection activeCell="N138" sqref="N138"/>
    </sheetView>
  </sheetViews>
  <sheetFormatPr baseColWidth="10" defaultColWidth="11.453125" defaultRowHeight="13"/>
  <cols>
    <col min="1" max="1" width="32.36328125" style="43" customWidth="1"/>
    <col min="2" max="2" width="10.453125" style="43" customWidth="1"/>
    <col min="3" max="6" width="11.81640625" style="43" customWidth="1"/>
    <col min="7" max="7" width="11.81640625" style="44" customWidth="1"/>
    <col min="8" max="8" width="11.81640625" style="61" customWidth="1"/>
    <col min="9" max="9" width="11.81640625" style="62" customWidth="1"/>
    <col min="10" max="10" width="11.81640625" style="43" customWidth="1"/>
    <col min="11" max="12" width="11.81640625" style="62" customWidth="1"/>
    <col min="13" max="13" width="11.81640625" style="43" customWidth="1"/>
    <col min="14" max="14" width="11.81640625" style="62" customWidth="1"/>
    <col min="15" max="15" width="14.36328125" style="62" customWidth="1"/>
    <col min="16" max="16" width="11.453125" style="62"/>
    <col min="17" max="17" width="2.81640625" style="43" customWidth="1"/>
    <col min="18" max="18" width="11.453125" style="43"/>
    <col min="19" max="19" width="2.81640625" style="43" customWidth="1"/>
    <col min="20" max="20" width="11.453125" style="43"/>
    <col min="21" max="21" width="9.6328125" style="43" customWidth="1"/>
    <col min="22" max="22" width="12.6328125" style="43" customWidth="1"/>
    <col min="23" max="24" width="7.6328125" style="43" customWidth="1"/>
    <col min="25" max="25" width="12.6328125" style="43" customWidth="1"/>
    <col min="26" max="27" width="7.6328125" style="43" customWidth="1"/>
    <col min="28" max="28" width="12.6328125" style="43" customWidth="1"/>
    <col min="29" max="30" width="7.6328125" style="43" customWidth="1"/>
    <col min="31" max="16384" width="11.453125" style="43"/>
  </cols>
  <sheetData>
    <row r="1" spans="1:16" customFormat="1" ht="12.5"/>
    <row r="2" spans="1:16" customFormat="1" ht="12.5"/>
    <row r="3" spans="1:16" customFormat="1" ht="12.5"/>
    <row r="4" spans="1:16" s="261" customFormat="1" ht="12.5"/>
    <row r="5" spans="1:16" s="261" customFormat="1" ht="12.5"/>
    <row r="6" spans="1:16" s="261" customFormat="1" ht="12.5"/>
    <row r="7" spans="1:16" s="261" customFormat="1" ht="12.5"/>
    <row r="8" spans="1:16" s="287" customFormat="1" ht="10">
      <c r="C8" s="288"/>
      <c r="H8" s="288"/>
      <c r="I8" s="289"/>
      <c r="J8" s="290"/>
      <c r="L8" s="290"/>
      <c r="M8" s="290"/>
      <c r="O8" s="290"/>
      <c r="P8" s="290"/>
    </row>
    <row r="9" spans="1:16" ht="25.5">
      <c r="A9" s="42" t="str">
        <f>RG!D17</f>
        <v>Jhon Wesly inc.</v>
      </c>
      <c r="B9" s="44"/>
      <c r="C9" s="44"/>
      <c r="D9" s="44"/>
      <c r="E9" s="44"/>
      <c r="F9" s="44"/>
      <c r="H9" s="44"/>
      <c r="I9" s="44"/>
      <c r="K9" s="43"/>
      <c r="L9" s="43"/>
      <c r="N9" s="43"/>
      <c r="O9" s="43"/>
      <c r="P9" s="43"/>
    </row>
    <row r="10" spans="1:16">
      <c r="A10" s="44"/>
      <c r="B10" s="44"/>
      <c r="C10" s="44"/>
      <c r="D10" s="44"/>
      <c r="E10" s="44"/>
      <c r="F10" s="44"/>
      <c r="H10" s="44"/>
      <c r="I10" s="44"/>
      <c r="K10" s="43"/>
      <c r="L10" s="43"/>
      <c r="N10" s="43"/>
      <c r="O10" s="43"/>
      <c r="P10" s="43"/>
    </row>
    <row r="11" spans="1:16" ht="15">
      <c r="A11" s="45" t="s">
        <v>218</v>
      </c>
      <c r="B11" s="44"/>
      <c r="C11" s="44"/>
      <c r="D11" s="44"/>
      <c r="E11" s="44"/>
      <c r="F11" s="44"/>
      <c r="H11" s="44"/>
      <c r="I11" s="44"/>
      <c r="K11" s="43"/>
      <c r="L11" s="43"/>
      <c r="N11" s="43"/>
      <c r="O11" s="43"/>
      <c r="P11" s="43"/>
    </row>
    <row r="12" spans="1:16">
      <c r="B12" s="44"/>
      <c r="C12" s="44"/>
      <c r="D12" s="44"/>
      <c r="E12" s="44"/>
      <c r="F12" s="44"/>
      <c r="H12" s="44"/>
      <c r="I12" s="44"/>
      <c r="K12" s="43"/>
      <c r="L12" s="43"/>
      <c r="N12" s="43"/>
      <c r="O12" s="43"/>
      <c r="P12" s="43"/>
    </row>
    <row r="13" spans="1:16">
      <c r="A13" s="46" t="s">
        <v>471</v>
      </c>
      <c r="B13" s="44"/>
      <c r="C13" s="44"/>
      <c r="D13" s="44"/>
      <c r="E13" s="44"/>
      <c r="F13" s="44"/>
      <c r="H13" s="44"/>
      <c r="I13" s="44"/>
      <c r="K13" s="43"/>
      <c r="L13" s="43"/>
      <c r="N13" s="43"/>
      <c r="O13" s="43"/>
      <c r="P13" s="43"/>
    </row>
    <row r="14" spans="1:16" ht="19.5" customHeight="1" thickBot="1">
      <c r="A14" s="46"/>
      <c r="B14" s="44"/>
      <c r="C14" s="44"/>
      <c r="D14" s="44"/>
      <c r="E14" s="44"/>
      <c r="F14" s="44"/>
      <c r="H14" s="44"/>
      <c r="I14" s="44"/>
      <c r="K14" s="43"/>
      <c r="L14" s="43"/>
      <c r="N14" s="43"/>
      <c r="O14" s="43"/>
      <c r="P14" s="43"/>
    </row>
    <row r="15" spans="1:16" s="58" customFormat="1" ht="18" customHeight="1" thickBot="1">
      <c r="C15" s="291">
        <f>'V1'!G12</f>
        <v>45292</v>
      </c>
      <c r="D15" s="291">
        <f>'V1'!H12</f>
        <v>45323</v>
      </c>
      <c r="E15" s="291">
        <f>'V1'!I12</f>
        <v>45354</v>
      </c>
      <c r="F15" s="291">
        <f>'V1'!J12</f>
        <v>45385</v>
      </c>
      <c r="G15" s="291">
        <f>'V1'!K12</f>
        <v>45416</v>
      </c>
      <c r="H15" s="291">
        <f>'V1'!L12</f>
        <v>45447</v>
      </c>
      <c r="I15" s="291">
        <f>'V1'!M12</f>
        <v>45478</v>
      </c>
      <c r="J15" s="291">
        <f>'V1'!N12</f>
        <v>45509</v>
      </c>
      <c r="K15" s="291">
        <f>'V1'!O12</f>
        <v>45540</v>
      </c>
      <c r="L15" s="291">
        <f>'V1'!P12</f>
        <v>45571</v>
      </c>
      <c r="M15" s="291">
        <f>'V1'!Q12</f>
        <v>45602</v>
      </c>
      <c r="N15" s="291">
        <f>'V1'!R12</f>
        <v>45633</v>
      </c>
      <c r="O15" s="406" t="s">
        <v>180</v>
      </c>
    </row>
    <row r="16" spans="1:16" s="58" customFormat="1" ht="18" customHeight="1" thickBot="1">
      <c r="C16" s="292"/>
      <c r="D16" s="292"/>
      <c r="E16" s="292"/>
      <c r="F16" s="292"/>
      <c r="G16" s="292"/>
      <c r="H16" s="292"/>
      <c r="I16" s="292"/>
      <c r="J16" s="292"/>
      <c r="K16" s="292"/>
      <c r="L16" s="292"/>
      <c r="M16" s="292"/>
      <c r="N16" s="292"/>
      <c r="O16" s="292"/>
    </row>
    <row r="17" spans="1:15" s="48" customFormat="1" ht="13.5" thickBot="1">
      <c r="A17" s="48" t="s">
        <v>216</v>
      </c>
      <c r="C17" s="401">
        <v>0</v>
      </c>
      <c r="D17" s="396">
        <f t="shared" ref="D17:N17" si="0">C56</f>
        <v>0</v>
      </c>
      <c r="E17" s="293">
        <f t="shared" si="0"/>
        <v>0</v>
      </c>
      <c r="F17" s="293">
        <f t="shared" si="0"/>
        <v>0</v>
      </c>
      <c r="G17" s="293">
        <f t="shared" si="0"/>
        <v>0</v>
      </c>
      <c r="H17" s="293">
        <f t="shared" si="0"/>
        <v>0</v>
      </c>
      <c r="I17" s="293">
        <f t="shared" si="0"/>
        <v>0</v>
      </c>
      <c r="J17" s="293">
        <f t="shared" si="0"/>
        <v>0</v>
      </c>
      <c r="K17" s="293">
        <f t="shared" si="0"/>
        <v>0</v>
      </c>
      <c r="L17" s="293">
        <f t="shared" si="0"/>
        <v>0</v>
      </c>
      <c r="M17" s="293">
        <f t="shared" si="0"/>
        <v>0</v>
      </c>
      <c r="N17" s="293">
        <f t="shared" si="0"/>
        <v>0</v>
      </c>
      <c r="O17" s="293">
        <f>SUM(C17:N17)</f>
        <v>0</v>
      </c>
    </row>
    <row r="18" spans="1:15" s="58" customFormat="1" ht="12" customHeight="1" thickBot="1">
      <c r="A18" s="48"/>
      <c r="C18" s="294"/>
      <c r="D18" s="295"/>
      <c r="E18" s="295"/>
      <c r="F18" s="295"/>
      <c r="G18" s="295"/>
      <c r="H18" s="295"/>
      <c r="I18" s="295"/>
      <c r="J18" s="295"/>
      <c r="K18" s="295"/>
      <c r="L18" s="295"/>
      <c r="M18" s="295"/>
      <c r="N18" s="295"/>
      <c r="O18" s="295"/>
    </row>
    <row r="19" spans="1:15" s="59" customFormat="1" ht="12" customHeight="1" thickBot="1">
      <c r="A19" s="48" t="s">
        <v>309</v>
      </c>
      <c r="C19" s="402">
        <v>0</v>
      </c>
      <c r="D19" s="397">
        <f t="shared" ref="D19:N19" si="1">C52</f>
        <v>0</v>
      </c>
      <c r="E19" s="296">
        <f t="shared" si="1"/>
        <v>0</v>
      </c>
      <c r="F19" s="296">
        <f t="shared" si="1"/>
        <v>0</v>
      </c>
      <c r="G19" s="296">
        <f t="shared" si="1"/>
        <v>0</v>
      </c>
      <c r="H19" s="296">
        <f t="shared" si="1"/>
        <v>0</v>
      </c>
      <c r="I19" s="296">
        <f t="shared" si="1"/>
        <v>0</v>
      </c>
      <c r="J19" s="296">
        <f t="shared" si="1"/>
        <v>0</v>
      </c>
      <c r="K19" s="296">
        <f t="shared" si="1"/>
        <v>0</v>
      </c>
      <c r="L19" s="296">
        <f t="shared" si="1"/>
        <v>0</v>
      </c>
      <c r="M19" s="296">
        <f t="shared" si="1"/>
        <v>0</v>
      </c>
      <c r="N19" s="296">
        <f t="shared" si="1"/>
        <v>0</v>
      </c>
      <c r="O19" s="293">
        <f>SUM(C19:N19)</f>
        <v>0</v>
      </c>
    </row>
    <row r="20" spans="1:15" s="58" customFormat="1" ht="12" customHeight="1" thickBot="1">
      <c r="A20" s="48"/>
      <c r="C20" s="294"/>
      <c r="D20" s="295"/>
      <c r="E20" s="295"/>
      <c r="F20" s="295"/>
      <c r="G20" s="295"/>
      <c r="H20" s="295"/>
      <c r="I20" s="295"/>
      <c r="J20" s="295"/>
      <c r="K20" s="295"/>
      <c r="L20" s="295"/>
      <c r="M20" s="295"/>
      <c r="N20" s="295"/>
      <c r="O20" s="295"/>
    </row>
    <row r="21" spans="1:15" s="59" customFormat="1" ht="12" customHeight="1" thickBot="1">
      <c r="A21" s="48" t="s">
        <v>517</v>
      </c>
      <c r="C21" s="297">
        <f>CF!D18</f>
        <v>0</v>
      </c>
      <c r="D21" s="298">
        <f>C24</f>
        <v>0</v>
      </c>
      <c r="E21" s="298">
        <f t="shared" ref="E21:N21" si="2">D24</f>
        <v>0</v>
      </c>
      <c r="F21" s="298">
        <f t="shared" si="2"/>
        <v>0</v>
      </c>
      <c r="G21" s="298">
        <f t="shared" si="2"/>
        <v>0</v>
      </c>
      <c r="H21" s="298">
        <f t="shared" si="2"/>
        <v>0</v>
      </c>
      <c r="I21" s="298">
        <f t="shared" si="2"/>
        <v>0</v>
      </c>
      <c r="J21" s="298">
        <f t="shared" si="2"/>
        <v>0</v>
      </c>
      <c r="K21" s="298">
        <f t="shared" si="2"/>
        <v>0</v>
      </c>
      <c r="L21" s="298">
        <f t="shared" si="2"/>
        <v>0</v>
      </c>
      <c r="M21" s="298">
        <f t="shared" si="2"/>
        <v>0</v>
      </c>
      <c r="N21" s="298">
        <f t="shared" si="2"/>
        <v>0</v>
      </c>
      <c r="O21" s="293">
        <f>SUM(C21:N21)</f>
        <v>0</v>
      </c>
    </row>
    <row r="22" spans="1:15" s="58" customFormat="1" ht="12" customHeight="1" thickBot="1">
      <c r="A22" s="162" t="s">
        <v>518</v>
      </c>
      <c r="B22" s="43"/>
      <c r="C22" s="299">
        <f>'A1'!E94</f>
        <v>0</v>
      </c>
      <c r="D22" s="299">
        <f>'A1'!F26+'A1'!F33+'A1'!F43</f>
        <v>0</v>
      </c>
      <c r="E22" s="299">
        <f>'A1'!G26+'A1'!G33+'A1'!G43</f>
        <v>0</v>
      </c>
      <c r="F22" s="299">
        <f>'A1'!H26+'A1'!H33+'A1'!H43</f>
        <v>0</v>
      </c>
      <c r="G22" s="299">
        <f>'A1'!I26+'A1'!I33+'A1'!I43</f>
        <v>0</v>
      </c>
      <c r="H22" s="299">
        <f>'A1'!J26+'A1'!J33+'A1'!J43</f>
        <v>0</v>
      </c>
      <c r="I22" s="299">
        <f>'A1'!K26+'A1'!K33+'A1'!K43</f>
        <v>0</v>
      </c>
      <c r="J22" s="299">
        <f>'A1'!L26+'A1'!L33+'A1'!L43</f>
        <v>0</v>
      </c>
      <c r="K22" s="299">
        <f>'A1'!M26+'A1'!M33+'A1'!M43</f>
        <v>0</v>
      </c>
      <c r="L22" s="299">
        <f>'A1'!N26+'A1'!N33+'A1'!N43</f>
        <v>0</v>
      </c>
      <c r="M22" s="299">
        <f>'A1'!O26+'A1'!O33+'A1'!O43</f>
        <v>0</v>
      </c>
      <c r="N22" s="300">
        <f>'A1'!P26+'A1'!P33+'A1'!P43</f>
        <v>0</v>
      </c>
      <c r="O22" s="293">
        <f>SUM(C22:N22)</f>
        <v>0</v>
      </c>
    </row>
    <row r="23" spans="1:15" s="58" customFormat="1" ht="12" customHeight="1" thickBot="1">
      <c r="A23" s="162" t="s">
        <v>371</v>
      </c>
      <c r="B23" s="43"/>
      <c r="C23" s="305">
        <f t="shared" ref="C23:N23" si="3">C21+C22</f>
        <v>0</v>
      </c>
      <c r="D23" s="305">
        <f t="shared" si="3"/>
        <v>0</v>
      </c>
      <c r="E23" s="305">
        <f t="shared" si="3"/>
        <v>0</v>
      </c>
      <c r="F23" s="305">
        <f t="shared" si="3"/>
        <v>0</v>
      </c>
      <c r="G23" s="305">
        <f t="shared" si="3"/>
        <v>0</v>
      </c>
      <c r="H23" s="305">
        <f t="shared" si="3"/>
        <v>0</v>
      </c>
      <c r="I23" s="305">
        <f t="shared" si="3"/>
        <v>0</v>
      </c>
      <c r="J23" s="305">
        <f t="shared" si="3"/>
        <v>0</v>
      </c>
      <c r="K23" s="305">
        <f t="shared" si="3"/>
        <v>0</v>
      </c>
      <c r="L23" s="305">
        <f t="shared" si="3"/>
        <v>0</v>
      </c>
      <c r="M23" s="305">
        <f t="shared" si="3"/>
        <v>0</v>
      </c>
      <c r="N23" s="305">
        <f t="shared" si="3"/>
        <v>0</v>
      </c>
      <c r="O23" s="293">
        <f>SUM(C23:N23)</f>
        <v>0</v>
      </c>
    </row>
    <row r="24" spans="1:15" s="58" customFormat="1" ht="12" customHeight="1" thickBot="1">
      <c r="A24" s="162" t="s">
        <v>372</v>
      </c>
      <c r="B24" s="43"/>
      <c r="C24" s="403">
        <v>0</v>
      </c>
      <c r="D24" s="400">
        <f>C24</f>
        <v>0</v>
      </c>
      <c r="E24" s="399">
        <f t="shared" ref="E24:N24" si="4">D24</f>
        <v>0</v>
      </c>
      <c r="F24" s="399">
        <f t="shared" si="4"/>
        <v>0</v>
      </c>
      <c r="G24" s="399">
        <f t="shared" si="4"/>
        <v>0</v>
      </c>
      <c r="H24" s="399">
        <f t="shared" si="4"/>
        <v>0</v>
      </c>
      <c r="I24" s="399">
        <f t="shared" si="4"/>
        <v>0</v>
      </c>
      <c r="J24" s="399">
        <f t="shared" si="4"/>
        <v>0</v>
      </c>
      <c r="K24" s="399">
        <f t="shared" si="4"/>
        <v>0</v>
      </c>
      <c r="L24" s="399">
        <f t="shared" si="4"/>
        <v>0</v>
      </c>
      <c r="M24" s="399">
        <f t="shared" si="4"/>
        <v>0</v>
      </c>
      <c r="N24" s="399">
        <f t="shared" si="4"/>
        <v>0</v>
      </c>
      <c r="O24" s="293">
        <f>SUM(C24:N24)</f>
        <v>0</v>
      </c>
    </row>
    <row r="25" spans="1:15" s="59" customFormat="1" ht="12" customHeight="1" thickBot="1">
      <c r="A25" s="78" t="s">
        <v>524</v>
      </c>
      <c r="B25" s="48"/>
      <c r="C25" s="398">
        <f>C23-C24</f>
        <v>0</v>
      </c>
      <c r="D25" s="398">
        <f t="shared" ref="D25:O25" si="5">D23-D24</f>
        <v>0</v>
      </c>
      <c r="E25" s="398">
        <f t="shared" si="5"/>
        <v>0</v>
      </c>
      <c r="F25" s="398">
        <f t="shared" si="5"/>
        <v>0</v>
      </c>
      <c r="G25" s="398">
        <f t="shared" si="5"/>
        <v>0</v>
      </c>
      <c r="H25" s="398">
        <f t="shared" si="5"/>
        <v>0</v>
      </c>
      <c r="I25" s="398">
        <f t="shared" si="5"/>
        <v>0</v>
      </c>
      <c r="J25" s="398">
        <f t="shared" si="5"/>
        <v>0</v>
      </c>
      <c r="K25" s="398">
        <f t="shared" si="5"/>
        <v>0</v>
      </c>
      <c r="L25" s="398">
        <f t="shared" si="5"/>
        <v>0</v>
      </c>
      <c r="M25" s="398">
        <f t="shared" si="5"/>
        <v>0</v>
      </c>
      <c r="N25" s="398">
        <f t="shared" si="5"/>
        <v>0</v>
      </c>
      <c r="O25" s="293">
        <f t="shared" si="5"/>
        <v>0</v>
      </c>
    </row>
    <row r="26" spans="1:15" s="58" customFormat="1" ht="12" customHeight="1">
      <c r="A26" s="48"/>
      <c r="C26" s="294"/>
      <c r="D26" s="295"/>
      <c r="E26" s="295"/>
      <c r="F26" s="295"/>
      <c r="G26" s="295"/>
      <c r="H26" s="295"/>
      <c r="I26" s="295"/>
      <c r="J26" s="295"/>
      <c r="K26" s="295"/>
      <c r="L26" s="295"/>
      <c r="M26" s="295"/>
      <c r="N26" s="295"/>
      <c r="O26" s="295"/>
    </row>
    <row r="27" spans="1:15" s="59" customFormat="1" ht="12" customHeight="1" thickBot="1">
      <c r="A27" s="78" t="s">
        <v>525</v>
      </c>
      <c r="B27" s="48"/>
      <c r="C27" s="302">
        <f>B29</f>
        <v>0</v>
      </c>
      <c r="D27" s="302">
        <f t="shared" ref="D27:N27" si="6">C27</f>
        <v>0</v>
      </c>
      <c r="E27" s="303">
        <f t="shared" si="6"/>
        <v>0</v>
      </c>
      <c r="F27" s="303">
        <f t="shared" si="6"/>
        <v>0</v>
      </c>
      <c r="G27" s="303">
        <f t="shared" si="6"/>
        <v>0</v>
      </c>
      <c r="H27" s="303">
        <f t="shared" si="6"/>
        <v>0</v>
      </c>
      <c r="I27" s="303">
        <f t="shared" si="6"/>
        <v>0</v>
      </c>
      <c r="J27" s="303">
        <f t="shared" si="6"/>
        <v>0</v>
      </c>
      <c r="K27" s="303">
        <f t="shared" si="6"/>
        <v>0</v>
      </c>
      <c r="L27" s="303">
        <f t="shared" si="6"/>
        <v>0</v>
      </c>
      <c r="M27" s="303">
        <f t="shared" si="6"/>
        <v>0</v>
      </c>
      <c r="N27" s="303">
        <f t="shared" si="6"/>
        <v>0</v>
      </c>
      <c r="O27" s="304"/>
    </row>
    <row r="28" spans="1:15" s="58" customFormat="1" ht="12" customHeight="1" thickBot="1">
      <c r="A28" s="162" t="s">
        <v>526</v>
      </c>
      <c r="B28" s="43"/>
      <c r="C28" s="301">
        <f>TE!C128</f>
        <v>0</v>
      </c>
      <c r="D28" s="301">
        <f>TE!D128</f>
        <v>0</v>
      </c>
      <c r="E28" s="301">
        <f>TE!E128</f>
        <v>0</v>
      </c>
      <c r="F28" s="301">
        <f>TE!F128</f>
        <v>0</v>
      </c>
      <c r="G28" s="301">
        <f>TE!G128</f>
        <v>0</v>
      </c>
      <c r="H28" s="301">
        <f>TE!H128</f>
        <v>0</v>
      </c>
      <c r="I28" s="301">
        <f>TE!I128</f>
        <v>0</v>
      </c>
      <c r="J28" s="301">
        <f>TE!J128</f>
        <v>0</v>
      </c>
      <c r="K28" s="301">
        <f>TE!K128</f>
        <v>0</v>
      </c>
      <c r="L28" s="301">
        <f>TE!L128</f>
        <v>0</v>
      </c>
      <c r="M28" s="301">
        <f>TE!M128</f>
        <v>0</v>
      </c>
      <c r="N28" s="301">
        <f>TE!N128</f>
        <v>0</v>
      </c>
      <c r="O28" s="293">
        <f>SUM(C28:N28)</f>
        <v>0</v>
      </c>
    </row>
    <row r="29" spans="1:15" s="58" customFormat="1" ht="12" customHeight="1" thickBot="1">
      <c r="A29" s="162" t="s">
        <v>527</v>
      </c>
      <c r="B29" s="62"/>
      <c r="C29" s="305">
        <f>C28*TE!$B$129</f>
        <v>0</v>
      </c>
      <c r="D29" s="305">
        <f>D28*TE!$B$129</f>
        <v>0</v>
      </c>
      <c r="E29" s="305">
        <f>E28*TE!$B$129</f>
        <v>0</v>
      </c>
      <c r="F29" s="305">
        <f>F28*TE!$B$129</f>
        <v>0</v>
      </c>
      <c r="G29" s="305">
        <f>G28*TE!$B$129</f>
        <v>0</v>
      </c>
      <c r="H29" s="305">
        <f>H28*TE!$B$129</f>
        <v>0</v>
      </c>
      <c r="I29" s="305">
        <f>I28*TE!$B$129</f>
        <v>0</v>
      </c>
      <c r="J29" s="305">
        <f>J28*TE!$B$129</f>
        <v>0</v>
      </c>
      <c r="K29" s="305">
        <f>K28*TE!$B$129</f>
        <v>0</v>
      </c>
      <c r="L29" s="305">
        <f>L28*TE!$B$129</f>
        <v>0</v>
      </c>
      <c r="M29" s="305">
        <f>M28*TE!$B$129</f>
        <v>0</v>
      </c>
      <c r="N29" s="306">
        <f>N28*TE!$B$129</f>
        <v>0</v>
      </c>
      <c r="O29" s="293">
        <f>SUM(C29:N29)</f>
        <v>0</v>
      </c>
    </row>
    <row r="30" spans="1:15" s="59" customFormat="1" ht="12" customHeight="1" thickBot="1">
      <c r="A30" s="78" t="s">
        <v>528</v>
      </c>
      <c r="B30" s="48"/>
      <c r="C30" s="293">
        <f t="shared" ref="C30:O30" si="7">C28+C29</f>
        <v>0</v>
      </c>
      <c r="D30" s="293">
        <f t="shared" si="7"/>
        <v>0</v>
      </c>
      <c r="E30" s="293">
        <f t="shared" si="7"/>
        <v>0</v>
      </c>
      <c r="F30" s="293">
        <f t="shared" si="7"/>
        <v>0</v>
      </c>
      <c r="G30" s="293">
        <f t="shared" si="7"/>
        <v>0</v>
      </c>
      <c r="H30" s="293">
        <f t="shared" si="7"/>
        <v>0</v>
      </c>
      <c r="I30" s="293">
        <f t="shared" si="7"/>
        <v>0</v>
      </c>
      <c r="J30" s="293">
        <f t="shared" si="7"/>
        <v>0</v>
      </c>
      <c r="K30" s="293">
        <f t="shared" si="7"/>
        <v>0</v>
      </c>
      <c r="L30" s="293">
        <f t="shared" si="7"/>
        <v>0</v>
      </c>
      <c r="M30" s="293">
        <f t="shared" si="7"/>
        <v>0</v>
      </c>
      <c r="N30" s="293">
        <f t="shared" si="7"/>
        <v>0</v>
      </c>
      <c r="O30" s="293">
        <f t="shared" si="7"/>
        <v>0</v>
      </c>
    </row>
    <row r="31" spans="1:15" s="58" customFormat="1" ht="12" customHeight="1">
      <c r="A31" s="48"/>
      <c r="C31" s="294"/>
      <c r="D31" s="295"/>
      <c r="E31" s="295"/>
      <c r="F31" s="295"/>
      <c r="G31" s="295"/>
      <c r="H31" s="295"/>
      <c r="I31" s="295"/>
      <c r="J31" s="295"/>
      <c r="K31" s="295"/>
      <c r="L31" s="295"/>
      <c r="M31" s="295"/>
      <c r="N31" s="295"/>
      <c r="O31" s="295"/>
    </row>
    <row r="32" spans="1:15" s="59" customFormat="1" ht="12" customHeight="1" thickBot="1">
      <c r="A32" s="78" t="s">
        <v>380</v>
      </c>
      <c r="B32" s="48"/>
      <c r="C32" s="46"/>
      <c r="D32" s="46"/>
      <c r="E32" s="46"/>
      <c r="F32" s="46"/>
      <c r="G32" s="46"/>
      <c r="H32" s="46"/>
      <c r="I32" s="46"/>
      <c r="J32" s="46"/>
      <c r="K32" s="46"/>
      <c r="L32" s="46"/>
      <c r="M32" s="46"/>
      <c r="N32" s="46"/>
      <c r="O32" s="46"/>
    </row>
    <row r="33" spans="1:15" s="58" customFormat="1" ht="12" customHeight="1" thickBot="1">
      <c r="A33" s="162" t="str">
        <f>'FG1'!A14</f>
        <v>Loyer</v>
      </c>
      <c r="B33" s="43"/>
      <c r="C33" s="301">
        <f>'FG1'!C14</f>
        <v>0</v>
      </c>
      <c r="D33" s="301">
        <f>'FG1'!D14</f>
        <v>0</v>
      </c>
      <c r="E33" s="301">
        <f>'FG1'!E14</f>
        <v>0</v>
      </c>
      <c r="F33" s="301">
        <f>'FG1'!F14</f>
        <v>0</v>
      </c>
      <c r="G33" s="301">
        <f>'FG1'!G14</f>
        <v>0</v>
      </c>
      <c r="H33" s="301">
        <f>'FG1'!H14</f>
        <v>0</v>
      </c>
      <c r="I33" s="301">
        <f>'FG1'!I14</f>
        <v>0</v>
      </c>
      <c r="J33" s="301">
        <f>'FG1'!J14</f>
        <v>0</v>
      </c>
      <c r="K33" s="301">
        <f>'FG1'!K14</f>
        <v>0</v>
      </c>
      <c r="L33" s="301">
        <f>'FG1'!L14</f>
        <v>0</v>
      </c>
      <c r="M33" s="301">
        <f>'FG1'!M14</f>
        <v>0</v>
      </c>
      <c r="N33" s="301">
        <f>'FG1'!N14</f>
        <v>0</v>
      </c>
      <c r="O33" s="293">
        <f t="shared" ref="O33:O38" si="8">SUM(C33:N33)</f>
        <v>0</v>
      </c>
    </row>
    <row r="34" spans="1:15" s="58" customFormat="1" ht="12" customHeight="1" thickBot="1">
      <c r="A34" s="162" t="str">
        <f>'FG1'!A16</f>
        <v>Coût d'énergie</v>
      </c>
      <c r="B34" s="43"/>
      <c r="C34" s="301">
        <f>'FG1'!C16</f>
        <v>0</v>
      </c>
      <c r="D34" s="301">
        <f>'FG1'!D16</f>
        <v>0</v>
      </c>
      <c r="E34" s="301">
        <f>'FG1'!E16</f>
        <v>0</v>
      </c>
      <c r="F34" s="301">
        <f>'FG1'!F16</f>
        <v>0</v>
      </c>
      <c r="G34" s="301">
        <f>'FG1'!G16</f>
        <v>0</v>
      </c>
      <c r="H34" s="301">
        <f>'FG1'!H16</f>
        <v>0</v>
      </c>
      <c r="I34" s="301">
        <f>'FG1'!I16</f>
        <v>0</v>
      </c>
      <c r="J34" s="301">
        <f>'FG1'!J16</f>
        <v>0</v>
      </c>
      <c r="K34" s="301">
        <f>'FG1'!K16</f>
        <v>0</v>
      </c>
      <c r="L34" s="301">
        <f>'FG1'!L16</f>
        <v>0</v>
      </c>
      <c r="M34" s="301">
        <f>'FG1'!M16</f>
        <v>0</v>
      </c>
      <c r="N34" s="301">
        <f>'FG1'!N16</f>
        <v>0</v>
      </c>
      <c r="O34" s="293">
        <f t="shared" si="8"/>
        <v>0</v>
      </c>
    </row>
    <row r="35" spans="1:15" s="58" customFormat="1" ht="12" customHeight="1" thickBot="1">
      <c r="A35" s="162" t="str">
        <f>'FG1'!A18</f>
        <v>Entretien / réparation</v>
      </c>
      <c r="B35" s="43"/>
      <c r="C35" s="301">
        <f>'FG1'!C18</f>
        <v>0</v>
      </c>
      <c r="D35" s="301">
        <f>'FG1'!D18</f>
        <v>0</v>
      </c>
      <c r="E35" s="301">
        <f>'FG1'!E18</f>
        <v>0</v>
      </c>
      <c r="F35" s="301">
        <f>'FG1'!F18</f>
        <v>0</v>
      </c>
      <c r="G35" s="301">
        <f>'FG1'!G18</f>
        <v>0</v>
      </c>
      <c r="H35" s="301">
        <f>'FG1'!H18</f>
        <v>0</v>
      </c>
      <c r="I35" s="301">
        <f>'FG1'!I18</f>
        <v>0</v>
      </c>
      <c r="J35" s="301">
        <f>'FG1'!J18</f>
        <v>0</v>
      </c>
      <c r="K35" s="301">
        <f>'FG1'!K18</f>
        <v>0</v>
      </c>
      <c r="L35" s="301">
        <f>'FG1'!L18</f>
        <v>0</v>
      </c>
      <c r="M35" s="301">
        <f>'FG1'!M18</f>
        <v>0</v>
      </c>
      <c r="N35" s="301">
        <f>'FG1'!N18</f>
        <v>0</v>
      </c>
      <c r="O35" s="293">
        <f t="shared" si="8"/>
        <v>0</v>
      </c>
    </row>
    <row r="36" spans="1:15" s="58" customFormat="1" ht="12" customHeight="1" thickBot="1">
      <c r="A36" s="162" t="str">
        <f>'FG1'!A20</f>
        <v>Services sanitaires</v>
      </c>
      <c r="B36" s="43"/>
      <c r="C36" s="301">
        <f>'FG1'!C20</f>
        <v>0</v>
      </c>
      <c r="D36" s="301">
        <f>'FG1'!D20</f>
        <v>0</v>
      </c>
      <c r="E36" s="301">
        <f>'FG1'!E20</f>
        <v>0</v>
      </c>
      <c r="F36" s="301">
        <f>'FG1'!F20</f>
        <v>0</v>
      </c>
      <c r="G36" s="301">
        <f>'FG1'!G20</f>
        <v>0</v>
      </c>
      <c r="H36" s="301">
        <f>'FG1'!H20</f>
        <v>0</v>
      </c>
      <c r="I36" s="301">
        <f>'FG1'!I20</f>
        <v>0</v>
      </c>
      <c r="J36" s="301">
        <f>'FG1'!J20</f>
        <v>0</v>
      </c>
      <c r="K36" s="301">
        <f>'FG1'!K20</f>
        <v>0</v>
      </c>
      <c r="L36" s="301">
        <f>'FG1'!L20</f>
        <v>0</v>
      </c>
      <c r="M36" s="301">
        <f>'FG1'!M20</f>
        <v>0</v>
      </c>
      <c r="N36" s="301">
        <f>'FG1'!N20</f>
        <v>0</v>
      </c>
      <c r="O36" s="293">
        <f t="shared" si="8"/>
        <v>0</v>
      </c>
    </row>
    <row r="37" spans="1:15" s="58" customFormat="1" ht="12" customHeight="1" thickBot="1">
      <c r="A37" s="162" t="s">
        <v>587</v>
      </c>
      <c r="B37" s="307"/>
      <c r="C37" s="301">
        <f>(A!H17+A!H18+A!H20)/12</f>
        <v>4.166666666666667</v>
      </c>
      <c r="D37" s="301">
        <f t="shared" ref="D37:N37" si="9">C37</f>
        <v>4.166666666666667</v>
      </c>
      <c r="E37" s="301">
        <f t="shared" si="9"/>
        <v>4.166666666666667</v>
      </c>
      <c r="F37" s="301">
        <f t="shared" si="9"/>
        <v>4.166666666666667</v>
      </c>
      <c r="G37" s="301">
        <f t="shared" si="9"/>
        <v>4.166666666666667</v>
      </c>
      <c r="H37" s="301">
        <f t="shared" si="9"/>
        <v>4.166666666666667</v>
      </c>
      <c r="I37" s="301">
        <f t="shared" si="9"/>
        <v>4.166666666666667</v>
      </c>
      <c r="J37" s="301">
        <f t="shared" si="9"/>
        <v>4.166666666666667</v>
      </c>
      <c r="K37" s="301">
        <f t="shared" si="9"/>
        <v>4.166666666666667</v>
      </c>
      <c r="L37" s="301">
        <f t="shared" si="9"/>
        <v>4.166666666666667</v>
      </c>
      <c r="M37" s="301">
        <f t="shared" si="9"/>
        <v>4.166666666666667</v>
      </c>
      <c r="N37" s="301">
        <f t="shared" si="9"/>
        <v>4.166666666666667</v>
      </c>
      <c r="O37" s="293">
        <f t="shared" si="8"/>
        <v>49.999999999999993</v>
      </c>
    </row>
    <row r="38" spans="1:15" s="58" customFormat="1" ht="12" customHeight="1" thickBot="1">
      <c r="A38" s="162" t="str">
        <f>'FG1'!A22</f>
        <v>Frais de déplacement</v>
      </c>
      <c r="B38" s="43"/>
      <c r="C38" s="301">
        <f>'FG1'!C22</f>
        <v>0</v>
      </c>
      <c r="D38" s="301">
        <f>'FG1'!D22</f>
        <v>0</v>
      </c>
      <c r="E38" s="301">
        <f>'FG1'!E22</f>
        <v>0</v>
      </c>
      <c r="F38" s="301">
        <f>'FG1'!F22</f>
        <v>0</v>
      </c>
      <c r="G38" s="301">
        <f>'FG1'!G22</f>
        <v>0</v>
      </c>
      <c r="H38" s="301">
        <f>'FG1'!H22</f>
        <v>0</v>
      </c>
      <c r="I38" s="301">
        <f>'FG1'!I22</f>
        <v>0</v>
      </c>
      <c r="J38" s="301">
        <f>'FG1'!J22</f>
        <v>0</v>
      </c>
      <c r="K38" s="301">
        <f>'FG1'!K22</f>
        <v>0</v>
      </c>
      <c r="L38" s="301">
        <f>'FG1'!L22</f>
        <v>0</v>
      </c>
      <c r="M38" s="301">
        <f>'FG1'!M22</f>
        <v>0</v>
      </c>
      <c r="N38" s="301">
        <f>'FG1'!N22</f>
        <v>0</v>
      </c>
      <c r="O38" s="293">
        <f t="shared" si="8"/>
        <v>0</v>
      </c>
    </row>
    <row r="39" spans="1:15" s="58" customFormat="1" ht="12" customHeight="1" thickBot="1">
      <c r="A39" s="162" t="str">
        <f>'FG1'!A24</f>
        <v>Immatriculation et permis</v>
      </c>
      <c r="B39" s="43"/>
      <c r="C39" s="301">
        <f>'FG1'!C24</f>
        <v>0</v>
      </c>
      <c r="D39" s="301">
        <f>'FG1'!D24</f>
        <v>0</v>
      </c>
      <c r="E39" s="301">
        <f>'FG1'!E24</f>
        <v>0</v>
      </c>
      <c r="F39" s="301">
        <f>'FG1'!F24</f>
        <v>0</v>
      </c>
      <c r="G39" s="301">
        <f>'FG1'!G24</f>
        <v>0</v>
      </c>
      <c r="H39" s="301">
        <f>'FG1'!H24</f>
        <v>0</v>
      </c>
      <c r="I39" s="301">
        <f>'FG1'!I24</f>
        <v>0</v>
      </c>
      <c r="J39" s="301">
        <f>'FG1'!J24</f>
        <v>0</v>
      </c>
      <c r="K39" s="301">
        <f>'FG1'!K24</f>
        <v>0</v>
      </c>
      <c r="L39" s="301">
        <f>'FG1'!L24</f>
        <v>0</v>
      </c>
      <c r="M39" s="301">
        <f>'FG1'!M24</f>
        <v>0</v>
      </c>
      <c r="N39" s="301">
        <f>'FG1'!N24</f>
        <v>0</v>
      </c>
      <c r="O39" s="293">
        <f t="shared" ref="O39:O46" si="10">SUM(C39:N39)</f>
        <v>0</v>
      </c>
    </row>
    <row r="40" spans="1:15" s="58" customFormat="1" ht="12" customHeight="1" thickBot="1">
      <c r="A40" s="162" t="str">
        <f>'FG1'!A26</f>
        <v>Assurances</v>
      </c>
      <c r="B40" s="43"/>
      <c r="C40" s="301">
        <f>'FG1'!C26</f>
        <v>0</v>
      </c>
      <c r="D40" s="301">
        <f>'FG1'!D26</f>
        <v>0</v>
      </c>
      <c r="E40" s="301">
        <f>'FG1'!E26</f>
        <v>0</v>
      </c>
      <c r="F40" s="301">
        <f>'FG1'!F26</f>
        <v>0</v>
      </c>
      <c r="G40" s="301">
        <f>'FG1'!G26</f>
        <v>0</v>
      </c>
      <c r="H40" s="301">
        <f>'FG1'!H26</f>
        <v>0</v>
      </c>
      <c r="I40" s="301">
        <f>'FG1'!I26</f>
        <v>0</v>
      </c>
      <c r="J40" s="301">
        <f>'FG1'!J26</f>
        <v>0</v>
      </c>
      <c r="K40" s="301">
        <f>'FG1'!K26</f>
        <v>0</v>
      </c>
      <c r="L40" s="301">
        <f>'FG1'!L26</f>
        <v>0</v>
      </c>
      <c r="M40" s="301">
        <f>'FG1'!M26</f>
        <v>0</v>
      </c>
      <c r="N40" s="301">
        <f>'FG1'!N26</f>
        <v>0</v>
      </c>
      <c r="O40" s="293">
        <f t="shared" si="10"/>
        <v>0</v>
      </c>
    </row>
    <row r="41" spans="1:15" s="58" customFormat="1" ht="12" customHeight="1" thickBot="1">
      <c r="A41" s="162" t="str">
        <f>'FG1'!A28</f>
        <v>Dépenses R&amp;D</v>
      </c>
      <c r="B41" s="43"/>
      <c r="C41" s="301">
        <f>'FG1'!C28</f>
        <v>0</v>
      </c>
      <c r="D41" s="301">
        <f>'FG1'!D28</f>
        <v>0</v>
      </c>
      <c r="E41" s="301">
        <f>'FG1'!E28</f>
        <v>0</v>
      </c>
      <c r="F41" s="301">
        <f>'FG1'!F28</f>
        <v>0</v>
      </c>
      <c r="G41" s="301">
        <f>'FG1'!G28</f>
        <v>0</v>
      </c>
      <c r="H41" s="301">
        <f>'FG1'!H28</f>
        <v>0</v>
      </c>
      <c r="I41" s="301">
        <f>'FG1'!I28</f>
        <v>0</v>
      </c>
      <c r="J41" s="301">
        <f>'FG1'!J28</f>
        <v>0</v>
      </c>
      <c r="K41" s="301">
        <f>'FG1'!K28</f>
        <v>0</v>
      </c>
      <c r="L41" s="301">
        <f>'FG1'!L28</f>
        <v>0</v>
      </c>
      <c r="M41" s="301">
        <f>'FG1'!M28</f>
        <v>0</v>
      </c>
      <c r="N41" s="301">
        <f>'FG1'!N28</f>
        <v>0</v>
      </c>
      <c r="O41" s="293">
        <f t="shared" si="10"/>
        <v>0</v>
      </c>
    </row>
    <row r="42" spans="1:15" s="58" customFormat="1" ht="12" customHeight="1" thickBot="1">
      <c r="A42" s="162" t="str">
        <f>'FG1'!A30</f>
        <v>Autre frais d'exploitation 1</v>
      </c>
      <c r="B42" s="43"/>
      <c r="C42" s="301">
        <f>'FG1'!C30</f>
        <v>0</v>
      </c>
      <c r="D42" s="301">
        <f>'FG1'!D30</f>
        <v>0</v>
      </c>
      <c r="E42" s="301">
        <f>'FG1'!E30</f>
        <v>0</v>
      </c>
      <c r="F42" s="301">
        <f>'FG1'!F30</f>
        <v>0</v>
      </c>
      <c r="G42" s="301">
        <f>'FG1'!G30</f>
        <v>0</v>
      </c>
      <c r="H42" s="301">
        <f>'FG1'!H30</f>
        <v>0</v>
      </c>
      <c r="I42" s="301">
        <f>'FG1'!I30</f>
        <v>0</v>
      </c>
      <c r="J42" s="301">
        <f>'FG1'!J30</f>
        <v>0</v>
      </c>
      <c r="K42" s="301">
        <f>'FG1'!K30</f>
        <v>0</v>
      </c>
      <c r="L42" s="301">
        <f>'FG1'!L30</f>
        <v>0</v>
      </c>
      <c r="M42" s="301">
        <f>'FG1'!M30</f>
        <v>0</v>
      </c>
      <c r="N42" s="301">
        <f>'FG1'!N30</f>
        <v>0</v>
      </c>
      <c r="O42" s="293">
        <f t="shared" si="10"/>
        <v>0</v>
      </c>
    </row>
    <row r="43" spans="1:15" s="58" customFormat="1" ht="12" customHeight="1" thickBot="1">
      <c r="A43" s="162" t="str">
        <f>'FG1'!A32</f>
        <v>Autre frais d'exploitation 2</v>
      </c>
      <c r="B43" s="43"/>
      <c r="C43" s="301">
        <f>'FG1'!C32</f>
        <v>0</v>
      </c>
      <c r="D43" s="301">
        <f>'FG1'!D32</f>
        <v>0</v>
      </c>
      <c r="E43" s="301">
        <f>'FG1'!E32</f>
        <v>0</v>
      </c>
      <c r="F43" s="301">
        <f>'FG1'!F32</f>
        <v>0</v>
      </c>
      <c r="G43" s="301">
        <f>'FG1'!G32</f>
        <v>0</v>
      </c>
      <c r="H43" s="301">
        <f>'FG1'!H32</f>
        <v>0</v>
      </c>
      <c r="I43" s="301">
        <f>'FG1'!I32</f>
        <v>0</v>
      </c>
      <c r="J43" s="301">
        <f>'FG1'!J32</f>
        <v>0</v>
      </c>
      <c r="K43" s="301">
        <f>'FG1'!K32</f>
        <v>0</v>
      </c>
      <c r="L43" s="301">
        <f>'FG1'!L32</f>
        <v>0</v>
      </c>
      <c r="M43" s="301">
        <f>'FG1'!M32</f>
        <v>0</v>
      </c>
      <c r="N43" s="301">
        <f>'FG1'!N32</f>
        <v>0</v>
      </c>
      <c r="O43" s="293">
        <f t="shared" si="10"/>
        <v>0</v>
      </c>
    </row>
    <row r="44" spans="1:15" s="58" customFormat="1" ht="12" customHeight="1" thickBot="1">
      <c r="A44" s="162" t="str">
        <f>'FG1'!A34</f>
        <v>Autre frais d'exploitation 3</v>
      </c>
      <c r="B44" s="43"/>
      <c r="C44" s="301">
        <f>'FG1'!C34</f>
        <v>0</v>
      </c>
      <c r="D44" s="301">
        <f>'FG1'!D34</f>
        <v>0</v>
      </c>
      <c r="E44" s="301">
        <f>'FG1'!E34</f>
        <v>0</v>
      </c>
      <c r="F44" s="301">
        <f>'FG1'!F34</f>
        <v>0</v>
      </c>
      <c r="G44" s="301">
        <f>'FG1'!G34</f>
        <v>0</v>
      </c>
      <c r="H44" s="301">
        <f>'FG1'!H34</f>
        <v>0</v>
      </c>
      <c r="I44" s="301">
        <f>'FG1'!I34</f>
        <v>0</v>
      </c>
      <c r="J44" s="301">
        <f>'FG1'!J34</f>
        <v>0</v>
      </c>
      <c r="K44" s="301">
        <f>'FG1'!K34</f>
        <v>0</v>
      </c>
      <c r="L44" s="301">
        <f>'FG1'!L34</f>
        <v>0</v>
      </c>
      <c r="M44" s="301">
        <f>'FG1'!M34</f>
        <v>0</v>
      </c>
      <c r="N44" s="301">
        <f>'FG1'!N34</f>
        <v>0</v>
      </c>
      <c r="O44" s="293">
        <f t="shared" si="10"/>
        <v>0</v>
      </c>
    </row>
    <row r="45" spans="1:15" s="58" customFormat="1" ht="12" customHeight="1" thickBot="1">
      <c r="A45" s="162" t="str">
        <f>'FG1'!A36</f>
        <v>Autre frais d'exploitation 4</v>
      </c>
      <c r="B45" s="43"/>
      <c r="C45" s="301">
        <f>'FG1'!C36</f>
        <v>0</v>
      </c>
      <c r="D45" s="301">
        <f>'FG1'!D36</f>
        <v>0</v>
      </c>
      <c r="E45" s="301">
        <f>'FG1'!E36</f>
        <v>0</v>
      </c>
      <c r="F45" s="301">
        <f>'FG1'!F36</f>
        <v>0</v>
      </c>
      <c r="G45" s="301">
        <f>'FG1'!G36</f>
        <v>0</v>
      </c>
      <c r="H45" s="301">
        <f>'FG1'!H36</f>
        <v>0</v>
      </c>
      <c r="I45" s="301">
        <f>'FG1'!I36</f>
        <v>0</v>
      </c>
      <c r="J45" s="301">
        <f>'FG1'!J36</f>
        <v>0</v>
      </c>
      <c r="K45" s="301">
        <f>'FG1'!K36</f>
        <v>0</v>
      </c>
      <c r="L45" s="301">
        <f>'FG1'!L36</f>
        <v>0</v>
      </c>
      <c r="M45" s="301">
        <f>'FG1'!M36</f>
        <v>0</v>
      </c>
      <c r="N45" s="301">
        <f>'FG1'!N36</f>
        <v>0</v>
      </c>
      <c r="O45" s="293">
        <f t="shared" si="10"/>
        <v>0</v>
      </c>
    </row>
    <row r="46" spans="1:15" s="58" customFormat="1" ht="12" customHeight="1" thickBot="1">
      <c r="A46" s="162" t="str">
        <f>'FG1'!A38</f>
        <v>Autre frais d'exploitation 5</v>
      </c>
      <c r="B46" s="43"/>
      <c r="C46" s="301">
        <f>'FG1'!C38</f>
        <v>0</v>
      </c>
      <c r="D46" s="301">
        <f>'FG1'!D38</f>
        <v>0</v>
      </c>
      <c r="E46" s="301">
        <f>'FG1'!E38</f>
        <v>0</v>
      </c>
      <c r="F46" s="301">
        <f>'FG1'!F38</f>
        <v>0</v>
      </c>
      <c r="G46" s="301">
        <f>'FG1'!G38</f>
        <v>0</v>
      </c>
      <c r="H46" s="301">
        <f>'FG1'!H38</f>
        <v>0</v>
      </c>
      <c r="I46" s="301">
        <f>'FG1'!I38</f>
        <v>0</v>
      </c>
      <c r="J46" s="301">
        <f>'FG1'!J38</f>
        <v>0</v>
      </c>
      <c r="K46" s="301">
        <f>'FG1'!K38</f>
        <v>0</v>
      </c>
      <c r="L46" s="301">
        <f>'FG1'!L38</f>
        <v>0</v>
      </c>
      <c r="M46" s="301">
        <f>'FG1'!M38</f>
        <v>0</v>
      </c>
      <c r="N46" s="301">
        <f>'FG1'!N38</f>
        <v>0</v>
      </c>
      <c r="O46" s="293">
        <f t="shared" si="10"/>
        <v>0</v>
      </c>
    </row>
    <row r="47" spans="1:15" s="58" customFormat="1" ht="12" customHeight="1" thickBot="1">
      <c r="A47" s="162" t="str">
        <f>'FG1'!A40</f>
        <v>Autre frais d'exploitation 6</v>
      </c>
      <c r="B47" s="43"/>
      <c r="C47" s="301">
        <f>'FG1'!C40</f>
        <v>0</v>
      </c>
      <c r="D47" s="301">
        <f>'FG1'!D40</f>
        <v>0</v>
      </c>
      <c r="E47" s="301">
        <f>'FG1'!E40</f>
        <v>0</v>
      </c>
      <c r="F47" s="301">
        <f>'FG1'!F40</f>
        <v>0</v>
      </c>
      <c r="G47" s="301">
        <f>'FG1'!G40</f>
        <v>0</v>
      </c>
      <c r="H47" s="301">
        <f>'FG1'!H40</f>
        <v>0</v>
      </c>
      <c r="I47" s="301">
        <f>'FG1'!I40</f>
        <v>0</v>
      </c>
      <c r="J47" s="301">
        <f>'FG1'!J40</f>
        <v>0</v>
      </c>
      <c r="K47" s="301">
        <f>'FG1'!K40</f>
        <v>0</v>
      </c>
      <c r="L47" s="301">
        <f>'FG1'!L40</f>
        <v>0</v>
      </c>
      <c r="M47" s="301">
        <f>'FG1'!M40</f>
        <v>0</v>
      </c>
      <c r="N47" s="301">
        <f>'FG1'!N40</f>
        <v>0</v>
      </c>
      <c r="O47" s="293">
        <f>SUM(C47:N47)</f>
        <v>0</v>
      </c>
    </row>
    <row r="48" spans="1:15" s="58" customFormat="1" ht="12" customHeight="1" thickBot="1">
      <c r="A48" s="162" t="str">
        <f>'FG1'!A42</f>
        <v>Autre frais d'exploitation 7</v>
      </c>
      <c r="B48" s="43"/>
      <c r="C48" s="301">
        <f>'FG1'!C42</f>
        <v>0</v>
      </c>
      <c r="D48" s="301">
        <f>'FG1'!D42</f>
        <v>0</v>
      </c>
      <c r="E48" s="301">
        <f>'FG1'!E42</f>
        <v>0</v>
      </c>
      <c r="F48" s="301">
        <f>'FG1'!F42</f>
        <v>0</v>
      </c>
      <c r="G48" s="301">
        <f>'FG1'!G42</f>
        <v>0</v>
      </c>
      <c r="H48" s="301">
        <f>'FG1'!H42</f>
        <v>0</v>
      </c>
      <c r="I48" s="301">
        <f>'FG1'!I42</f>
        <v>0</v>
      </c>
      <c r="J48" s="301">
        <f>'FG1'!J42</f>
        <v>0</v>
      </c>
      <c r="K48" s="301">
        <f>'FG1'!K42</f>
        <v>0</v>
      </c>
      <c r="L48" s="301">
        <f>'FG1'!L42</f>
        <v>0</v>
      </c>
      <c r="M48" s="301">
        <f>'FG1'!M42</f>
        <v>0</v>
      </c>
      <c r="N48" s="301">
        <f>'FG1'!N42</f>
        <v>0</v>
      </c>
      <c r="O48" s="293">
        <f>SUM(C48:N48)</f>
        <v>0</v>
      </c>
    </row>
    <row r="49" spans="1:20" s="58" customFormat="1" ht="12" customHeight="1" thickBot="1">
      <c r="A49" s="162" t="str">
        <f>'FG1'!A44</f>
        <v>Autre frais d'exploitation 8</v>
      </c>
      <c r="B49" s="43"/>
      <c r="C49" s="301">
        <f>'FG1'!C44</f>
        <v>0</v>
      </c>
      <c r="D49" s="301">
        <f>'FG1'!D44</f>
        <v>0</v>
      </c>
      <c r="E49" s="301">
        <f>'FG1'!E44</f>
        <v>0</v>
      </c>
      <c r="F49" s="301">
        <f>'FG1'!F44</f>
        <v>0</v>
      </c>
      <c r="G49" s="301">
        <f>'FG1'!G44</f>
        <v>0</v>
      </c>
      <c r="H49" s="301">
        <f>'FG1'!H44</f>
        <v>0</v>
      </c>
      <c r="I49" s="301">
        <f>'FG1'!I44</f>
        <v>0</v>
      </c>
      <c r="J49" s="301">
        <f>'FG1'!J44</f>
        <v>0</v>
      </c>
      <c r="K49" s="301">
        <f>'FG1'!K44</f>
        <v>0</v>
      </c>
      <c r="L49" s="301">
        <f>'FG1'!L44</f>
        <v>0</v>
      </c>
      <c r="M49" s="301">
        <f>'FG1'!M44</f>
        <v>0</v>
      </c>
      <c r="N49" s="301">
        <f>'FG1'!N44</f>
        <v>0</v>
      </c>
      <c r="O49" s="293">
        <f>SUM(C49:N49)</f>
        <v>0</v>
      </c>
    </row>
    <row r="50" spans="1:20" s="59" customFormat="1" ht="12" customHeight="1" thickBot="1">
      <c r="A50" s="78" t="s">
        <v>384</v>
      </c>
      <c r="B50" s="48"/>
      <c r="C50" s="293">
        <f>SUM(C33:C41)</f>
        <v>4.166666666666667</v>
      </c>
      <c r="D50" s="293">
        <f t="shared" ref="D50:O50" si="11">SUM(D33:D41)</f>
        <v>4.166666666666667</v>
      </c>
      <c r="E50" s="293">
        <f t="shared" si="11"/>
        <v>4.166666666666667</v>
      </c>
      <c r="F50" s="293">
        <f t="shared" si="11"/>
        <v>4.166666666666667</v>
      </c>
      <c r="G50" s="293">
        <f t="shared" si="11"/>
        <v>4.166666666666667</v>
      </c>
      <c r="H50" s="293">
        <f t="shared" si="11"/>
        <v>4.166666666666667</v>
      </c>
      <c r="I50" s="293">
        <f t="shared" si="11"/>
        <v>4.166666666666667</v>
      </c>
      <c r="J50" s="293">
        <f t="shared" si="11"/>
        <v>4.166666666666667</v>
      </c>
      <c r="K50" s="293">
        <f t="shared" si="11"/>
        <v>4.166666666666667</v>
      </c>
      <c r="L50" s="293">
        <f t="shared" si="11"/>
        <v>4.166666666666667</v>
      </c>
      <c r="M50" s="293">
        <f t="shared" si="11"/>
        <v>4.166666666666667</v>
      </c>
      <c r="N50" s="293">
        <f t="shared" si="11"/>
        <v>4.166666666666667</v>
      </c>
      <c r="O50" s="293">
        <f t="shared" si="11"/>
        <v>49.999999999999993</v>
      </c>
    </row>
    <row r="51" spans="1:20" s="58" customFormat="1" ht="12" customHeight="1" thickBot="1">
      <c r="A51" s="43"/>
      <c r="B51" s="43"/>
      <c r="C51" s="117"/>
      <c r="D51" s="117"/>
      <c r="E51" s="117"/>
      <c r="F51" s="117"/>
      <c r="G51" s="117"/>
      <c r="H51" s="117"/>
      <c r="I51" s="117"/>
      <c r="J51" s="117"/>
      <c r="K51" s="117"/>
      <c r="L51" s="117"/>
      <c r="M51" s="117"/>
      <c r="N51" s="117"/>
      <c r="O51" s="117"/>
    </row>
    <row r="52" spans="1:20" s="58" customFormat="1" ht="12" customHeight="1" thickBot="1">
      <c r="A52" s="78" t="s">
        <v>385</v>
      </c>
      <c r="B52" s="43"/>
      <c r="C52" s="403">
        <v>0</v>
      </c>
      <c r="D52" s="400">
        <f t="shared" ref="D52:N52" si="12">C52</f>
        <v>0</v>
      </c>
      <c r="E52" s="399">
        <f t="shared" si="12"/>
        <v>0</v>
      </c>
      <c r="F52" s="399">
        <f t="shared" si="12"/>
        <v>0</v>
      </c>
      <c r="G52" s="399">
        <f t="shared" si="12"/>
        <v>0</v>
      </c>
      <c r="H52" s="399">
        <f t="shared" si="12"/>
        <v>0</v>
      </c>
      <c r="I52" s="399">
        <f t="shared" si="12"/>
        <v>0</v>
      </c>
      <c r="J52" s="399">
        <f t="shared" si="12"/>
        <v>0</v>
      </c>
      <c r="K52" s="399">
        <f t="shared" si="12"/>
        <v>0</v>
      </c>
      <c r="L52" s="399">
        <f t="shared" si="12"/>
        <v>0</v>
      </c>
      <c r="M52" s="399">
        <f t="shared" si="12"/>
        <v>0</v>
      </c>
      <c r="N52" s="399">
        <f t="shared" si="12"/>
        <v>0</v>
      </c>
      <c r="O52" s="293">
        <f>SUM(C52:N52)</f>
        <v>0</v>
      </c>
    </row>
    <row r="53" spans="1:20" s="58" customFormat="1" ht="12" customHeight="1" thickBot="1">
      <c r="A53" s="43"/>
      <c r="B53" s="43"/>
      <c r="C53" s="117"/>
      <c r="D53" s="117"/>
      <c r="E53" s="117"/>
      <c r="F53" s="117"/>
      <c r="G53" s="117"/>
      <c r="H53" s="117"/>
      <c r="I53" s="117"/>
      <c r="J53" s="117"/>
      <c r="K53" s="117"/>
      <c r="L53" s="117"/>
      <c r="M53" s="117"/>
      <c r="N53" s="117"/>
      <c r="O53" s="117"/>
    </row>
    <row r="54" spans="1:20" s="59" customFormat="1" ht="12" customHeight="1" thickBot="1">
      <c r="A54" s="78" t="s">
        <v>386</v>
      </c>
      <c r="B54" s="48"/>
      <c r="C54" s="293">
        <f t="shared" ref="C54:N54" si="13">C19+C25+C30+C50-C52</f>
        <v>4.166666666666667</v>
      </c>
      <c r="D54" s="293">
        <f t="shared" si="13"/>
        <v>4.166666666666667</v>
      </c>
      <c r="E54" s="293">
        <f t="shared" si="13"/>
        <v>4.166666666666667</v>
      </c>
      <c r="F54" s="293">
        <f t="shared" si="13"/>
        <v>4.166666666666667</v>
      </c>
      <c r="G54" s="293">
        <f t="shared" si="13"/>
        <v>4.166666666666667</v>
      </c>
      <c r="H54" s="293">
        <f t="shared" si="13"/>
        <v>4.166666666666667</v>
      </c>
      <c r="I54" s="293">
        <f t="shared" si="13"/>
        <v>4.166666666666667</v>
      </c>
      <c r="J54" s="293">
        <f t="shared" si="13"/>
        <v>4.166666666666667</v>
      </c>
      <c r="K54" s="293">
        <f t="shared" si="13"/>
        <v>4.166666666666667</v>
      </c>
      <c r="L54" s="293">
        <f t="shared" si="13"/>
        <v>4.166666666666667</v>
      </c>
      <c r="M54" s="293">
        <f t="shared" si="13"/>
        <v>4.166666666666667</v>
      </c>
      <c r="N54" s="293">
        <f t="shared" si="13"/>
        <v>4.166666666666667</v>
      </c>
      <c r="O54" s="308">
        <f>O13+O50-O52</f>
        <v>49.999999999999993</v>
      </c>
    </row>
    <row r="55" spans="1:20" s="58" customFormat="1" ht="12" customHeight="1" thickBot="1">
      <c r="A55" s="43"/>
      <c r="B55" s="43"/>
      <c r="C55" s="117"/>
      <c r="D55" s="117"/>
      <c r="E55" s="117"/>
      <c r="F55" s="117"/>
      <c r="G55" s="117"/>
      <c r="H55" s="117"/>
      <c r="I55" s="117"/>
      <c r="J55" s="117"/>
      <c r="K55" s="117"/>
      <c r="L55" s="117"/>
      <c r="M55" s="117"/>
      <c r="N55" s="117"/>
      <c r="O55" s="117"/>
    </row>
    <row r="56" spans="1:20" s="58" customFormat="1" ht="12" customHeight="1" thickBot="1">
      <c r="A56" s="78" t="s">
        <v>387</v>
      </c>
      <c r="B56" s="43"/>
      <c r="C56" s="403">
        <v>0</v>
      </c>
      <c r="D56" s="400">
        <f t="shared" ref="D56:N56" si="14">C56</f>
        <v>0</v>
      </c>
      <c r="E56" s="399">
        <f t="shared" si="14"/>
        <v>0</v>
      </c>
      <c r="F56" s="399">
        <f t="shared" si="14"/>
        <v>0</v>
      </c>
      <c r="G56" s="399">
        <f t="shared" si="14"/>
        <v>0</v>
      </c>
      <c r="H56" s="399">
        <f t="shared" si="14"/>
        <v>0</v>
      </c>
      <c r="I56" s="399">
        <f t="shared" si="14"/>
        <v>0</v>
      </c>
      <c r="J56" s="399">
        <f t="shared" si="14"/>
        <v>0</v>
      </c>
      <c r="K56" s="399">
        <f t="shared" si="14"/>
        <v>0</v>
      </c>
      <c r="L56" s="399">
        <f t="shared" si="14"/>
        <v>0</v>
      </c>
      <c r="M56" s="399">
        <f t="shared" si="14"/>
        <v>0</v>
      </c>
      <c r="N56" s="399">
        <f t="shared" si="14"/>
        <v>0</v>
      </c>
      <c r="O56" s="293">
        <f>SUM(C56:N56)</f>
        <v>0</v>
      </c>
    </row>
    <row r="57" spans="1:20" s="58" customFormat="1" ht="12" customHeight="1" thickBot="1">
      <c r="A57" s="43"/>
      <c r="B57" s="43"/>
      <c r="C57" s="117"/>
      <c r="D57" s="117"/>
      <c r="E57" s="117"/>
      <c r="F57" s="117"/>
      <c r="G57" s="117"/>
      <c r="H57" s="117"/>
      <c r="I57" s="117"/>
      <c r="J57" s="117"/>
      <c r="K57" s="117"/>
      <c r="L57" s="117"/>
      <c r="M57" s="117"/>
      <c r="N57" s="117"/>
      <c r="O57" s="117"/>
    </row>
    <row r="58" spans="1:20" s="59" customFormat="1" ht="12" customHeight="1" thickBot="1">
      <c r="A58" s="78" t="s">
        <v>388</v>
      </c>
      <c r="B58" s="48"/>
      <c r="C58" s="308">
        <f>C17+C54-C56</f>
        <v>4.166666666666667</v>
      </c>
      <c r="D58" s="308">
        <f t="shared" ref="D58:O58" si="15">D17+D54-D56</f>
        <v>4.166666666666667</v>
      </c>
      <c r="E58" s="308">
        <f t="shared" si="15"/>
        <v>4.166666666666667</v>
      </c>
      <c r="F58" s="308">
        <f t="shared" si="15"/>
        <v>4.166666666666667</v>
      </c>
      <c r="G58" s="308">
        <f t="shared" si="15"/>
        <v>4.166666666666667</v>
      </c>
      <c r="H58" s="308">
        <f t="shared" si="15"/>
        <v>4.166666666666667</v>
      </c>
      <c r="I58" s="308">
        <f t="shared" si="15"/>
        <v>4.166666666666667</v>
      </c>
      <c r="J58" s="308">
        <f t="shared" si="15"/>
        <v>4.166666666666667</v>
      </c>
      <c r="K58" s="308">
        <f t="shared" si="15"/>
        <v>4.166666666666667</v>
      </c>
      <c r="L58" s="308">
        <f t="shared" si="15"/>
        <v>4.166666666666667</v>
      </c>
      <c r="M58" s="308">
        <f t="shared" si="15"/>
        <v>4.166666666666667</v>
      </c>
      <c r="N58" s="308">
        <f t="shared" si="15"/>
        <v>4.166666666666667</v>
      </c>
      <c r="O58" s="308">
        <f t="shared" si="15"/>
        <v>49.999999999999993</v>
      </c>
    </row>
    <row r="59" spans="1:20" s="58" customFormat="1" ht="12" customHeight="1">
      <c r="A59" s="78"/>
      <c r="B59" s="43"/>
      <c r="C59" s="142"/>
      <c r="D59" s="142"/>
      <c r="E59" s="142"/>
      <c r="F59" s="142"/>
      <c r="G59" s="142"/>
      <c r="H59" s="142"/>
      <c r="I59" s="142"/>
      <c r="J59" s="142"/>
      <c r="K59" s="142"/>
      <c r="L59" s="142"/>
      <c r="M59" s="142"/>
      <c r="N59" s="142"/>
      <c r="O59" s="142"/>
      <c r="P59" s="77"/>
      <c r="Q59" s="309"/>
      <c r="R59" s="309"/>
      <c r="S59" s="309"/>
      <c r="T59" s="309"/>
    </row>
    <row r="60" spans="1:20" s="58" customFormat="1" ht="12" customHeight="1">
      <c r="A60" s="78"/>
      <c r="B60" s="43"/>
      <c r="C60" s="142"/>
      <c r="D60" s="142"/>
      <c r="E60" s="142"/>
      <c r="F60" s="142"/>
      <c r="G60" s="142"/>
      <c r="H60" s="142"/>
      <c r="I60" s="142"/>
      <c r="J60" s="142"/>
      <c r="K60" s="142"/>
      <c r="L60" s="142"/>
      <c r="M60" s="142"/>
      <c r="N60" s="142"/>
      <c r="O60" s="142"/>
      <c r="P60" s="77"/>
      <c r="Q60" s="309"/>
      <c r="R60" s="309"/>
      <c r="S60" s="309"/>
      <c r="T60" s="309"/>
    </row>
    <row r="61" spans="1:20" ht="12" customHeight="1">
      <c r="A61" s="310"/>
      <c r="B61" s="274"/>
      <c r="C61" s="311"/>
      <c r="D61" s="311"/>
      <c r="E61" s="311"/>
      <c r="F61" s="311"/>
      <c r="G61" s="311"/>
      <c r="H61" s="311"/>
      <c r="I61" s="311"/>
      <c r="J61" s="311"/>
      <c r="K61" s="311"/>
      <c r="L61" s="311"/>
      <c r="M61" s="311"/>
      <c r="N61" s="311"/>
      <c r="O61" s="311"/>
      <c r="P61" s="312"/>
      <c r="Q61" s="171"/>
      <c r="R61" s="171"/>
      <c r="S61" s="171"/>
      <c r="T61" s="171"/>
    </row>
    <row r="62" spans="1:20" ht="19.5" hidden="1" customHeight="1">
      <c r="A62" s="48"/>
      <c r="P62" s="313"/>
      <c r="Q62" s="171"/>
      <c r="R62" s="171"/>
      <c r="S62" s="171"/>
      <c r="T62" s="171"/>
    </row>
    <row r="63" spans="1:20" s="58" customFormat="1" ht="19.5" hidden="1" customHeight="1">
      <c r="A63" s="46" t="s">
        <v>515</v>
      </c>
      <c r="C63" s="291">
        <f>'V2'!F12</f>
        <v>45658</v>
      </c>
      <c r="D63" s="291">
        <f>'V2'!G12</f>
        <v>45689</v>
      </c>
      <c r="E63" s="291">
        <f>'V2'!H12</f>
        <v>45720</v>
      </c>
      <c r="F63" s="291">
        <f>'V2'!I12</f>
        <v>45751</v>
      </c>
      <c r="G63" s="291">
        <f>'V2'!J12</f>
        <v>45782</v>
      </c>
      <c r="H63" s="291">
        <f>'V2'!K12</f>
        <v>45813</v>
      </c>
      <c r="I63" s="291">
        <f>'V2'!L12</f>
        <v>45844</v>
      </c>
      <c r="J63" s="291">
        <f>'V2'!M12</f>
        <v>45875</v>
      </c>
      <c r="K63" s="291">
        <f>'V2'!N12</f>
        <v>45906</v>
      </c>
      <c r="L63" s="291">
        <f>'V2'!O12</f>
        <v>45937</v>
      </c>
      <c r="M63" s="291">
        <f>'V2'!P12</f>
        <v>45968</v>
      </c>
      <c r="N63" s="291">
        <f>'V2'!Q12</f>
        <v>45999</v>
      </c>
      <c r="O63" s="292"/>
      <c r="P63" s="309"/>
      <c r="Q63" s="309"/>
      <c r="R63" s="309"/>
      <c r="S63" s="309"/>
      <c r="T63" s="309"/>
    </row>
    <row r="64" spans="1:20" s="58" customFormat="1" ht="19.5" hidden="1" customHeight="1">
      <c r="C64" s="292"/>
      <c r="D64" s="292"/>
      <c r="E64" s="292"/>
      <c r="F64" s="292"/>
      <c r="G64" s="292"/>
      <c r="H64" s="292"/>
      <c r="I64" s="292"/>
      <c r="J64" s="292"/>
      <c r="K64" s="292"/>
      <c r="L64" s="292"/>
      <c r="M64" s="292"/>
      <c r="N64" s="292"/>
      <c r="O64" s="292"/>
      <c r="P64" s="309"/>
      <c r="Q64" s="309"/>
      <c r="R64" s="309"/>
      <c r="S64" s="309"/>
      <c r="T64" s="309"/>
    </row>
    <row r="65" spans="1:20" s="58" customFormat="1" ht="19.5" hidden="1" customHeight="1">
      <c r="C65" s="292"/>
      <c r="D65" s="292"/>
      <c r="E65" s="292"/>
      <c r="F65" s="292"/>
      <c r="G65" s="292"/>
      <c r="H65" s="292"/>
      <c r="I65" s="292"/>
      <c r="J65" s="292"/>
      <c r="K65" s="292"/>
      <c r="L65" s="292"/>
      <c r="M65" s="292"/>
      <c r="N65" s="292"/>
      <c r="O65" s="292"/>
      <c r="P65" s="309"/>
      <c r="Q65" s="309"/>
      <c r="R65" s="309"/>
      <c r="S65" s="309"/>
      <c r="T65" s="309"/>
    </row>
    <row r="66" spans="1:20" hidden="1">
      <c r="A66" s="48" t="s">
        <v>512</v>
      </c>
      <c r="C66" s="314">
        <f>N56</f>
        <v>0</v>
      </c>
      <c r="D66" s="314">
        <f>C95</f>
        <v>0</v>
      </c>
      <c r="E66" s="314"/>
      <c r="F66" s="314"/>
      <c r="G66" s="314"/>
      <c r="H66" s="315"/>
      <c r="I66" s="315"/>
      <c r="J66" s="314"/>
      <c r="K66" s="315"/>
      <c r="L66" s="315"/>
      <c r="M66" s="314"/>
      <c r="N66" s="315"/>
      <c r="O66" s="304"/>
      <c r="P66" s="171"/>
      <c r="Q66" s="171"/>
      <c r="R66" s="171"/>
      <c r="S66" s="171"/>
      <c r="T66" s="171"/>
    </row>
    <row r="67" spans="1:20" s="58" customFormat="1" ht="12" hidden="1" customHeight="1">
      <c r="A67" s="48"/>
      <c r="C67" s="294"/>
      <c r="D67" s="295"/>
      <c r="E67" s="295"/>
      <c r="F67" s="295"/>
      <c r="G67" s="295"/>
      <c r="H67" s="295"/>
      <c r="I67" s="295"/>
      <c r="J67" s="295"/>
      <c r="K67" s="295"/>
      <c r="L67" s="295"/>
      <c r="M67" s="295"/>
      <c r="N67" s="295"/>
      <c r="O67" s="295"/>
      <c r="P67" s="309"/>
      <c r="Q67" s="309"/>
      <c r="R67" s="309"/>
      <c r="S67" s="309"/>
      <c r="T67" s="309"/>
    </row>
    <row r="68" spans="1:20" s="58" customFormat="1" ht="12" hidden="1" customHeight="1">
      <c r="A68" s="48" t="s">
        <v>513</v>
      </c>
      <c r="C68" s="316">
        <f>N52</f>
        <v>0</v>
      </c>
      <c r="D68" s="317">
        <f>C91</f>
        <v>0</v>
      </c>
      <c r="E68" s="317"/>
      <c r="F68" s="317"/>
      <c r="G68" s="317"/>
      <c r="H68" s="317"/>
      <c r="I68" s="317"/>
      <c r="J68" s="317"/>
      <c r="K68" s="317"/>
      <c r="L68" s="317"/>
      <c r="M68" s="317"/>
      <c r="N68" s="317"/>
      <c r="O68" s="295"/>
      <c r="P68" s="309"/>
      <c r="Q68" s="309"/>
      <c r="R68" s="309"/>
      <c r="S68" s="309"/>
      <c r="T68" s="309"/>
    </row>
    <row r="69" spans="1:20" s="58" customFormat="1" ht="12" hidden="1" customHeight="1">
      <c r="A69" s="48"/>
      <c r="C69" s="294"/>
      <c r="D69" s="295"/>
      <c r="E69" s="295"/>
      <c r="F69" s="295"/>
      <c r="G69" s="295"/>
      <c r="H69" s="295"/>
      <c r="I69" s="295"/>
      <c r="J69" s="295"/>
      <c r="K69" s="295"/>
      <c r="L69" s="295"/>
      <c r="M69" s="295"/>
      <c r="N69" s="295"/>
      <c r="O69" s="295"/>
      <c r="P69" s="309"/>
      <c r="Q69" s="309"/>
      <c r="R69" s="309"/>
      <c r="S69" s="309"/>
      <c r="T69" s="309"/>
    </row>
    <row r="70" spans="1:20" s="58" customFormat="1" ht="12" hidden="1" customHeight="1">
      <c r="A70" s="48" t="s">
        <v>517</v>
      </c>
      <c r="C70" s="316">
        <f>-N24</f>
        <v>0</v>
      </c>
      <c r="D70" s="317">
        <f>-C73</f>
        <v>0</v>
      </c>
      <c r="E70" s="317">
        <f t="shared" ref="E70:N70" si="16">-D73</f>
        <v>0</v>
      </c>
      <c r="F70" s="317">
        <f t="shared" si="16"/>
        <v>0</v>
      </c>
      <c r="G70" s="317">
        <f t="shared" si="16"/>
        <v>0</v>
      </c>
      <c r="H70" s="317">
        <f t="shared" si="16"/>
        <v>0</v>
      </c>
      <c r="I70" s="317">
        <f t="shared" si="16"/>
        <v>0</v>
      </c>
      <c r="J70" s="317">
        <f t="shared" si="16"/>
        <v>0</v>
      </c>
      <c r="K70" s="317">
        <f t="shared" si="16"/>
        <v>0</v>
      </c>
      <c r="L70" s="317">
        <f t="shared" si="16"/>
        <v>0</v>
      </c>
      <c r="M70" s="317">
        <f t="shared" si="16"/>
        <v>0</v>
      </c>
      <c r="N70" s="317">
        <f t="shared" si="16"/>
        <v>0</v>
      </c>
      <c r="O70" s="295"/>
      <c r="P70" s="309"/>
      <c r="Q70" s="309"/>
      <c r="R70" s="309"/>
      <c r="S70" s="309"/>
      <c r="T70" s="309"/>
    </row>
    <row r="71" spans="1:20" s="58" customFormat="1" ht="12" hidden="1" customHeight="1">
      <c r="A71" s="162" t="s">
        <v>518</v>
      </c>
      <c r="B71" s="43"/>
      <c r="C71" s="301">
        <f>'A2'!E20+'A2'!E30+'A2'!E34</f>
        <v>0</v>
      </c>
      <c r="D71" s="301">
        <f>'A2'!F20+'A2'!F30+'A2'!F34</f>
        <v>0</v>
      </c>
      <c r="E71" s="301">
        <f>'A2'!G20+'A2'!G30+'A2'!G34</f>
        <v>0</v>
      </c>
      <c r="F71" s="301">
        <f>'A2'!H20+'A2'!H30+'A2'!H34</f>
        <v>0</v>
      </c>
      <c r="G71" s="301">
        <f>'A2'!I20+'A2'!I30+'A2'!I34</f>
        <v>0</v>
      </c>
      <c r="H71" s="301">
        <f>'A2'!J20+'A2'!J30+'A2'!J34</f>
        <v>0</v>
      </c>
      <c r="I71" s="301">
        <f>'A2'!K20+'A2'!K30+'A2'!K34</f>
        <v>0</v>
      </c>
      <c r="J71" s="301">
        <f>'A2'!L20+'A2'!L30+'A2'!L34</f>
        <v>0</v>
      </c>
      <c r="K71" s="301">
        <f>'A2'!M20+'A2'!M30+'A2'!M34</f>
        <v>0</v>
      </c>
      <c r="L71" s="301">
        <f>'A2'!N20+'A2'!N30+'A2'!N34</f>
        <v>0</v>
      </c>
      <c r="M71" s="301">
        <f>'A2'!O20+'A2'!O30+'A2'!O34</f>
        <v>0</v>
      </c>
      <c r="N71" s="301">
        <f>'A2'!P20+'A2'!P30+'A2'!P34</f>
        <v>0</v>
      </c>
      <c r="O71" s="117"/>
      <c r="P71" s="309"/>
      <c r="Q71" s="309"/>
      <c r="R71" s="309"/>
      <c r="S71" s="309"/>
      <c r="T71" s="309"/>
    </row>
    <row r="72" spans="1:20" s="58" customFormat="1" ht="12" hidden="1" customHeight="1">
      <c r="A72" s="162" t="s">
        <v>371</v>
      </c>
      <c r="B72" s="43"/>
      <c r="C72" s="301">
        <f t="shared" ref="C72:N72" si="17">C70+C71</f>
        <v>0</v>
      </c>
      <c r="D72" s="301">
        <f t="shared" si="17"/>
        <v>0</v>
      </c>
      <c r="E72" s="301">
        <f t="shared" si="17"/>
        <v>0</v>
      </c>
      <c r="F72" s="301">
        <f t="shared" si="17"/>
        <v>0</v>
      </c>
      <c r="G72" s="301">
        <f t="shared" si="17"/>
        <v>0</v>
      </c>
      <c r="H72" s="301">
        <f t="shared" si="17"/>
        <v>0</v>
      </c>
      <c r="I72" s="301">
        <f t="shared" si="17"/>
        <v>0</v>
      </c>
      <c r="J72" s="301">
        <f t="shared" si="17"/>
        <v>0</v>
      </c>
      <c r="K72" s="301">
        <f t="shared" si="17"/>
        <v>0</v>
      </c>
      <c r="L72" s="301">
        <f t="shared" si="17"/>
        <v>0</v>
      </c>
      <c r="M72" s="301">
        <f t="shared" si="17"/>
        <v>0</v>
      </c>
      <c r="N72" s="301">
        <f t="shared" si="17"/>
        <v>0</v>
      </c>
      <c r="O72" s="117"/>
      <c r="P72" s="309"/>
      <c r="Q72" s="309"/>
      <c r="R72" s="309"/>
      <c r="S72" s="309"/>
      <c r="T72" s="309"/>
    </row>
    <row r="73" spans="1:20" s="58" customFormat="1" ht="12" hidden="1" customHeight="1">
      <c r="A73" s="162" t="s">
        <v>372</v>
      </c>
      <c r="B73" s="43"/>
      <c r="C73" s="301">
        <f>-C70</f>
        <v>0</v>
      </c>
      <c r="D73" s="301">
        <f t="shared" ref="D73:N73" si="18">-D70</f>
        <v>0</v>
      </c>
      <c r="E73" s="301">
        <f t="shared" si="18"/>
        <v>0</v>
      </c>
      <c r="F73" s="301">
        <f t="shared" si="18"/>
        <v>0</v>
      </c>
      <c r="G73" s="301">
        <f t="shared" si="18"/>
        <v>0</v>
      </c>
      <c r="H73" s="301">
        <f t="shared" si="18"/>
        <v>0</v>
      </c>
      <c r="I73" s="301">
        <f t="shared" si="18"/>
        <v>0</v>
      </c>
      <c r="J73" s="301">
        <f t="shared" si="18"/>
        <v>0</v>
      </c>
      <c r="K73" s="301">
        <f t="shared" si="18"/>
        <v>0</v>
      </c>
      <c r="L73" s="301">
        <f t="shared" si="18"/>
        <v>0</v>
      </c>
      <c r="M73" s="301">
        <f t="shared" si="18"/>
        <v>0</v>
      </c>
      <c r="N73" s="301">
        <f t="shared" si="18"/>
        <v>0</v>
      </c>
      <c r="O73" s="117"/>
      <c r="P73" s="309"/>
      <c r="Q73" s="309"/>
      <c r="R73" s="309"/>
      <c r="S73" s="309"/>
      <c r="T73" s="309"/>
    </row>
    <row r="74" spans="1:20" s="58" customFormat="1" ht="12" hidden="1" customHeight="1">
      <c r="A74" s="78" t="s">
        <v>524</v>
      </c>
      <c r="B74" s="43"/>
      <c r="C74" s="301">
        <f t="shared" ref="C74:N74" si="19">C72-C73</f>
        <v>0</v>
      </c>
      <c r="D74" s="301">
        <f t="shared" si="19"/>
        <v>0</v>
      </c>
      <c r="E74" s="301">
        <f t="shared" si="19"/>
        <v>0</v>
      </c>
      <c r="F74" s="301">
        <f t="shared" si="19"/>
        <v>0</v>
      </c>
      <c r="G74" s="301">
        <f t="shared" si="19"/>
        <v>0</v>
      </c>
      <c r="H74" s="301">
        <f t="shared" si="19"/>
        <v>0</v>
      </c>
      <c r="I74" s="301">
        <f t="shared" si="19"/>
        <v>0</v>
      </c>
      <c r="J74" s="301">
        <f t="shared" si="19"/>
        <v>0</v>
      </c>
      <c r="K74" s="301">
        <f t="shared" si="19"/>
        <v>0</v>
      </c>
      <c r="L74" s="301">
        <f t="shared" si="19"/>
        <v>0</v>
      </c>
      <c r="M74" s="301">
        <f t="shared" si="19"/>
        <v>0</v>
      </c>
      <c r="N74" s="301">
        <f t="shared" si="19"/>
        <v>0</v>
      </c>
      <c r="O74" s="117"/>
      <c r="P74" s="309"/>
      <c r="Q74" s="309"/>
      <c r="R74" s="309"/>
      <c r="S74" s="309"/>
      <c r="T74" s="309"/>
    </row>
    <row r="75" spans="1:20" s="58" customFormat="1" ht="12" hidden="1" customHeight="1">
      <c r="A75" s="48"/>
      <c r="C75" s="294"/>
      <c r="D75" s="295"/>
      <c r="E75" s="295"/>
      <c r="F75" s="295"/>
      <c r="G75" s="295"/>
      <c r="H75" s="295"/>
      <c r="I75" s="295"/>
      <c r="J75" s="295"/>
      <c r="K75" s="295"/>
      <c r="L75" s="295"/>
      <c r="M75" s="295"/>
      <c r="N75" s="295"/>
      <c r="O75" s="295"/>
      <c r="P75" s="309"/>
      <c r="Q75" s="309"/>
      <c r="R75" s="309"/>
      <c r="S75" s="309"/>
      <c r="T75" s="309"/>
    </row>
    <row r="76" spans="1:20" s="58" customFormat="1" ht="12" hidden="1" customHeight="1">
      <c r="A76" s="78" t="s">
        <v>525</v>
      </c>
      <c r="B76" s="43"/>
      <c r="C76" s="301">
        <f>B78</f>
        <v>0</v>
      </c>
      <c r="D76" s="301">
        <f t="shared" ref="D76:N76" si="20">C76</f>
        <v>0</v>
      </c>
      <c r="E76" s="318">
        <f t="shared" si="20"/>
        <v>0</v>
      </c>
      <c r="F76" s="318">
        <f t="shared" si="20"/>
        <v>0</v>
      </c>
      <c r="G76" s="318">
        <f t="shared" si="20"/>
        <v>0</v>
      </c>
      <c r="H76" s="318">
        <f t="shared" si="20"/>
        <v>0</v>
      </c>
      <c r="I76" s="318">
        <f t="shared" si="20"/>
        <v>0</v>
      </c>
      <c r="J76" s="318">
        <f t="shared" si="20"/>
        <v>0</v>
      </c>
      <c r="K76" s="318">
        <f t="shared" si="20"/>
        <v>0</v>
      </c>
      <c r="L76" s="318">
        <f t="shared" si="20"/>
        <v>0</v>
      </c>
      <c r="M76" s="318">
        <f t="shared" si="20"/>
        <v>0</v>
      </c>
      <c r="N76" s="318">
        <f t="shared" si="20"/>
        <v>0</v>
      </c>
      <c r="O76" s="121"/>
      <c r="P76" s="309"/>
      <c r="Q76" s="309"/>
      <c r="R76" s="309"/>
      <c r="S76" s="309"/>
      <c r="T76" s="309"/>
    </row>
    <row r="77" spans="1:20" s="58" customFormat="1" ht="12" hidden="1" customHeight="1">
      <c r="A77" s="162" t="s">
        <v>526</v>
      </c>
      <c r="B77" s="43"/>
      <c r="C77" s="301">
        <f>TE!C140/12</f>
        <v>0</v>
      </c>
      <c r="D77" s="301">
        <f t="shared" ref="D77:N77" si="21">C77</f>
        <v>0</v>
      </c>
      <c r="E77" s="301">
        <f t="shared" si="21"/>
        <v>0</v>
      </c>
      <c r="F77" s="301">
        <f t="shared" si="21"/>
        <v>0</v>
      </c>
      <c r="G77" s="301">
        <f t="shared" si="21"/>
        <v>0</v>
      </c>
      <c r="H77" s="301">
        <f t="shared" si="21"/>
        <v>0</v>
      </c>
      <c r="I77" s="301">
        <f t="shared" si="21"/>
        <v>0</v>
      </c>
      <c r="J77" s="301">
        <f t="shared" si="21"/>
        <v>0</v>
      </c>
      <c r="K77" s="301">
        <f t="shared" si="21"/>
        <v>0</v>
      </c>
      <c r="L77" s="301">
        <f t="shared" si="21"/>
        <v>0</v>
      </c>
      <c r="M77" s="301">
        <f t="shared" si="21"/>
        <v>0</v>
      </c>
      <c r="N77" s="301">
        <f t="shared" si="21"/>
        <v>0</v>
      </c>
      <c r="O77" s="117"/>
      <c r="P77" s="309"/>
      <c r="Q77" s="309"/>
      <c r="R77" s="309"/>
      <c r="S77" s="309"/>
      <c r="T77" s="309"/>
    </row>
    <row r="78" spans="1:20" s="58" customFormat="1" ht="12" hidden="1" customHeight="1">
      <c r="A78" s="162" t="s">
        <v>527</v>
      </c>
      <c r="B78" s="62"/>
      <c r="C78" s="301">
        <f>C77*TE!B129</f>
        <v>0</v>
      </c>
      <c r="D78" s="301">
        <f t="shared" ref="D78:N78" si="22">C77*0.18</f>
        <v>0</v>
      </c>
      <c r="E78" s="301">
        <f t="shared" si="22"/>
        <v>0</v>
      </c>
      <c r="F78" s="301">
        <f t="shared" si="22"/>
        <v>0</v>
      </c>
      <c r="G78" s="301">
        <f t="shared" si="22"/>
        <v>0</v>
      </c>
      <c r="H78" s="301">
        <f t="shared" si="22"/>
        <v>0</v>
      </c>
      <c r="I78" s="301">
        <f t="shared" si="22"/>
        <v>0</v>
      </c>
      <c r="J78" s="301">
        <f t="shared" si="22"/>
        <v>0</v>
      </c>
      <c r="K78" s="301">
        <f t="shared" si="22"/>
        <v>0</v>
      </c>
      <c r="L78" s="301">
        <f t="shared" si="22"/>
        <v>0</v>
      </c>
      <c r="M78" s="301">
        <f t="shared" si="22"/>
        <v>0</v>
      </c>
      <c r="N78" s="301">
        <f t="shared" si="22"/>
        <v>0</v>
      </c>
      <c r="O78" s="117"/>
      <c r="P78" s="309"/>
      <c r="Q78" s="309"/>
      <c r="R78" s="309"/>
      <c r="S78" s="309"/>
      <c r="T78" s="309"/>
    </row>
    <row r="79" spans="1:20" s="58" customFormat="1" ht="12" hidden="1" customHeight="1">
      <c r="A79" s="78" t="s">
        <v>528</v>
      </c>
      <c r="B79" s="43"/>
      <c r="C79" s="301">
        <f t="shared" ref="C79:N79" si="23">C77+C78</f>
        <v>0</v>
      </c>
      <c r="D79" s="301">
        <f t="shared" si="23"/>
        <v>0</v>
      </c>
      <c r="E79" s="301">
        <f t="shared" si="23"/>
        <v>0</v>
      </c>
      <c r="F79" s="301">
        <f t="shared" si="23"/>
        <v>0</v>
      </c>
      <c r="G79" s="301">
        <f t="shared" si="23"/>
        <v>0</v>
      </c>
      <c r="H79" s="301">
        <f t="shared" si="23"/>
        <v>0</v>
      </c>
      <c r="I79" s="301">
        <f t="shared" si="23"/>
        <v>0</v>
      </c>
      <c r="J79" s="301">
        <f t="shared" si="23"/>
        <v>0</v>
      </c>
      <c r="K79" s="301">
        <f t="shared" si="23"/>
        <v>0</v>
      </c>
      <c r="L79" s="301">
        <f t="shared" si="23"/>
        <v>0</v>
      </c>
      <c r="M79" s="301">
        <f t="shared" si="23"/>
        <v>0</v>
      </c>
      <c r="N79" s="301">
        <f t="shared" si="23"/>
        <v>0</v>
      </c>
      <c r="O79" s="117"/>
      <c r="P79" s="309"/>
      <c r="Q79" s="309"/>
      <c r="R79" s="309"/>
      <c r="S79" s="309"/>
      <c r="T79" s="309"/>
    </row>
    <row r="80" spans="1:20" s="58" customFormat="1" ht="12" hidden="1" customHeight="1">
      <c r="A80" s="48"/>
      <c r="C80" s="294"/>
      <c r="D80" s="295"/>
      <c r="E80" s="295"/>
      <c r="F80" s="295"/>
      <c r="G80" s="295"/>
      <c r="H80" s="295"/>
      <c r="I80" s="295"/>
      <c r="J80" s="295"/>
      <c r="K80" s="295"/>
      <c r="L80" s="295"/>
      <c r="M80" s="295"/>
      <c r="N80" s="295"/>
      <c r="O80" s="295"/>
      <c r="P80" s="309"/>
      <c r="Q80" s="309"/>
      <c r="R80" s="309"/>
      <c r="S80" s="309"/>
      <c r="T80" s="309"/>
    </row>
    <row r="81" spans="1:20" s="58" customFormat="1" ht="12" hidden="1" customHeight="1">
      <c r="A81" s="78" t="s">
        <v>380</v>
      </c>
      <c r="B81" s="43"/>
      <c r="C81" s="44"/>
      <c r="D81" s="44"/>
      <c r="E81" s="44"/>
      <c r="F81" s="44"/>
      <c r="G81" s="44"/>
      <c r="H81" s="44"/>
      <c r="I81" s="44"/>
      <c r="J81" s="44"/>
      <c r="K81" s="44"/>
      <c r="L81" s="44"/>
      <c r="M81" s="44"/>
      <c r="N81" s="44"/>
      <c r="O81" s="44"/>
      <c r="P81" s="309"/>
      <c r="Q81" s="309"/>
      <c r="R81" s="309"/>
      <c r="S81" s="309"/>
      <c r="T81" s="309"/>
    </row>
    <row r="82" spans="1:20" s="58" customFormat="1" ht="12" hidden="1" customHeight="1">
      <c r="A82" s="162" t="s">
        <v>529</v>
      </c>
      <c r="B82" s="43"/>
      <c r="C82" s="301"/>
      <c r="D82" s="301">
        <f t="shared" ref="D82:N82" si="24">C82</f>
        <v>0</v>
      </c>
      <c r="E82" s="301">
        <f t="shared" si="24"/>
        <v>0</v>
      </c>
      <c r="F82" s="301">
        <f t="shared" si="24"/>
        <v>0</v>
      </c>
      <c r="G82" s="301">
        <f t="shared" si="24"/>
        <v>0</v>
      </c>
      <c r="H82" s="301">
        <f t="shared" si="24"/>
        <v>0</v>
      </c>
      <c r="I82" s="301">
        <f t="shared" si="24"/>
        <v>0</v>
      </c>
      <c r="J82" s="301">
        <f t="shared" si="24"/>
        <v>0</v>
      </c>
      <c r="K82" s="301">
        <f t="shared" si="24"/>
        <v>0</v>
      </c>
      <c r="L82" s="301">
        <f t="shared" si="24"/>
        <v>0</v>
      </c>
      <c r="M82" s="301">
        <f t="shared" si="24"/>
        <v>0</v>
      </c>
      <c r="N82" s="301">
        <f t="shared" si="24"/>
        <v>0</v>
      </c>
      <c r="O82" s="117"/>
      <c r="P82" s="309"/>
      <c r="Q82" s="309"/>
      <c r="R82" s="309"/>
      <c r="S82" s="309"/>
      <c r="T82" s="309"/>
    </row>
    <row r="83" spans="1:20" s="58" customFormat="1" ht="12" hidden="1" customHeight="1">
      <c r="A83" s="162" t="s">
        <v>530</v>
      </c>
      <c r="B83" s="43"/>
      <c r="C83" s="301"/>
      <c r="D83" s="301">
        <f t="shared" ref="D83:N83" si="25">C83</f>
        <v>0</v>
      </c>
      <c r="E83" s="301">
        <f t="shared" si="25"/>
        <v>0</v>
      </c>
      <c r="F83" s="301">
        <f t="shared" si="25"/>
        <v>0</v>
      </c>
      <c r="G83" s="301">
        <f t="shared" si="25"/>
        <v>0</v>
      </c>
      <c r="H83" s="301">
        <f t="shared" si="25"/>
        <v>0</v>
      </c>
      <c r="I83" s="301">
        <f t="shared" si="25"/>
        <v>0</v>
      </c>
      <c r="J83" s="301">
        <f t="shared" si="25"/>
        <v>0</v>
      </c>
      <c r="K83" s="301">
        <f t="shared" si="25"/>
        <v>0</v>
      </c>
      <c r="L83" s="301">
        <f t="shared" si="25"/>
        <v>0</v>
      </c>
      <c r="M83" s="301">
        <f t="shared" si="25"/>
        <v>0</v>
      </c>
      <c r="N83" s="301">
        <f t="shared" si="25"/>
        <v>0</v>
      </c>
      <c r="O83" s="117"/>
      <c r="P83" s="309"/>
      <c r="Q83" s="309"/>
      <c r="R83" s="309"/>
      <c r="S83" s="309"/>
      <c r="T83" s="309"/>
    </row>
    <row r="84" spans="1:20" s="58" customFormat="1" ht="12" hidden="1" customHeight="1">
      <c r="A84" s="162" t="s">
        <v>531</v>
      </c>
      <c r="B84" s="43"/>
      <c r="C84" s="301"/>
      <c r="D84" s="301">
        <f t="shared" ref="D84:N84" si="26">C84</f>
        <v>0</v>
      </c>
      <c r="E84" s="301">
        <f t="shared" si="26"/>
        <v>0</v>
      </c>
      <c r="F84" s="301">
        <f t="shared" si="26"/>
        <v>0</v>
      </c>
      <c r="G84" s="301">
        <f t="shared" si="26"/>
        <v>0</v>
      </c>
      <c r="H84" s="301">
        <f t="shared" si="26"/>
        <v>0</v>
      </c>
      <c r="I84" s="301">
        <f t="shared" si="26"/>
        <v>0</v>
      </c>
      <c r="J84" s="301">
        <f t="shared" si="26"/>
        <v>0</v>
      </c>
      <c r="K84" s="301">
        <f t="shared" si="26"/>
        <v>0</v>
      </c>
      <c r="L84" s="301">
        <f t="shared" si="26"/>
        <v>0</v>
      </c>
      <c r="M84" s="301">
        <f t="shared" si="26"/>
        <v>0</v>
      </c>
      <c r="N84" s="301">
        <f t="shared" si="26"/>
        <v>0</v>
      </c>
      <c r="O84" s="117"/>
      <c r="P84" s="309"/>
      <c r="Q84" s="309"/>
      <c r="R84" s="309"/>
      <c r="S84" s="309"/>
      <c r="T84" s="309"/>
    </row>
    <row r="85" spans="1:20" s="58" customFormat="1" ht="12" hidden="1" customHeight="1">
      <c r="A85" s="162" t="s">
        <v>532</v>
      </c>
      <c r="B85" s="43"/>
      <c r="C85" s="301"/>
      <c r="D85" s="301">
        <f t="shared" ref="D85:N85" si="27">C85</f>
        <v>0</v>
      </c>
      <c r="E85" s="301">
        <f t="shared" si="27"/>
        <v>0</v>
      </c>
      <c r="F85" s="301">
        <f t="shared" si="27"/>
        <v>0</v>
      </c>
      <c r="G85" s="301">
        <f t="shared" si="27"/>
        <v>0</v>
      </c>
      <c r="H85" s="301">
        <f t="shared" si="27"/>
        <v>0</v>
      </c>
      <c r="I85" s="301">
        <f t="shared" si="27"/>
        <v>0</v>
      </c>
      <c r="J85" s="301">
        <f t="shared" si="27"/>
        <v>0</v>
      </c>
      <c r="K85" s="301">
        <f t="shared" si="27"/>
        <v>0</v>
      </c>
      <c r="L85" s="301">
        <f t="shared" si="27"/>
        <v>0</v>
      </c>
      <c r="M85" s="301">
        <f t="shared" si="27"/>
        <v>0</v>
      </c>
      <c r="N85" s="301">
        <f t="shared" si="27"/>
        <v>0</v>
      </c>
      <c r="O85" s="117"/>
      <c r="P85" s="309"/>
      <c r="Q85" s="309"/>
      <c r="R85" s="309"/>
      <c r="S85" s="309"/>
      <c r="T85" s="309"/>
    </row>
    <row r="86" spans="1:20" s="58" customFormat="1" ht="12" hidden="1" customHeight="1">
      <c r="A86" s="162" t="s">
        <v>533</v>
      </c>
      <c r="B86" s="43"/>
      <c r="C86" s="301" t="e">
        <f>A!#REF!</f>
        <v>#REF!</v>
      </c>
      <c r="D86" s="301" t="e">
        <f t="shared" ref="D86:N86" si="28">C86</f>
        <v>#REF!</v>
      </c>
      <c r="E86" s="301" t="e">
        <f t="shared" si="28"/>
        <v>#REF!</v>
      </c>
      <c r="F86" s="301" t="e">
        <f t="shared" si="28"/>
        <v>#REF!</v>
      </c>
      <c r="G86" s="301" t="e">
        <f t="shared" si="28"/>
        <v>#REF!</v>
      </c>
      <c r="H86" s="301" t="e">
        <f t="shared" si="28"/>
        <v>#REF!</v>
      </c>
      <c r="I86" s="301" t="e">
        <f t="shared" si="28"/>
        <v>#REF!</v>
      </c>
      <c r="J86" s="301" t="e">
        <f t="shared" si="28"/>
        <v>#REF!</v>
      </c>
      <c r="K86" s="301" t="e">
        <f t="shared" si="28"/>
        <v>#REF!</v>
      </c>
      <c r="L86" s="301" t="e">
        <f t="shared" si="28"/>
        <v>#REF!</v>
      </c>
      <c r="M86" s="301" t="e">
        <f t="shared" si="28"/>
        <v>#REF!</v>
      </c>
      <c r="N86" s="301" t="e">
        <f t="shared" si="28"/>
        <v>#REF!</v>
      </c>
      <c r="O86" s="117"/>
      <c r="P86" s="309"/>
      <c r="Q86" s="309"/>
      <c r="R86" s="309"/>
      <c r="S86" s="309"/>
      <c r="T86" s="309"/>
    </row>
    <row r="87" spans="1:20" s="58" customFormat="1" ht="12" hidden="1" customHeight="1">
      <c r="A87" s="162" t="s">
        <v>534</v>
      </c>
      <c r="B87" s="43"/>
      <c r="C87" s="301"/>
      <c r="D87" s="301">
        <f t="shared" ref="D87:N87" si="29">C87</f>
        <v>0</v>
      </c>
      <c r="E87" s="301">
        <f t="shared" si="29"/>
        <v>0</v>
      </c>
      <c r="F87" s="301">
        <f t="shared" si="29"/>
        <v>0</v>
      </c>
      <c r="G87" s="301">
        <f t="shared" si="29"/>
        <v>0</v>
      </c>
      <c r="H87" s="301">
        <f t="shared" si="29"/>
        <v>0</v>
      </c>
      <c r="I87" s="301">
        <f t="shared" si="29"/>
        <v>0</v>
      </c>
      <c r="J87" s="301">
        <f t="shared" si="29"/>
        <v>0</v>
      </c>
      <c r="K87" s="301">
        <f t="shared" si="29"/>
        <v>0</v>
      </c>
      <c r="L87" s="301">
        <f t="shared" si="29"/>
        <v>0</v>
      </c>
      <c r="M87" s="301">
        <f t="shared" si="29"/>
        <v>0</v>
      </c>
      <c r="N87" s="301">
        <f t="shared" si="29"/>
        <v>0</v>
      </c>
      <c r="O87" s="117"/>
      <c r="P87" s="309"/>
      <c r="Q87" s="309"/>
      <c r="R87" s="309"/>
      <c r="S87" s="309"/>
      <c r="T87" s="309"/>
    </row>
    <row r="88" spans="1:20" s="58" customFormat="1" ht="12" hidden="1" customHeight="1" thickBot="1">
      <c r="A88" s="162" t="s">
        <v>383</v>
      </c>
      <c r="B88" s="43"/>
      <c r="C88" s="305"/>
      <c r="D88" s="305">
        <f t="shared" ref="D88:N88" si="30">C88</f>
        <v>0</v>
      </c>
      <c r="E88" s="305">
        <f t="shared" si="30"/>
        <v>0</v>
      </c>
      <c r="F88" s="305">
        <f t="shared" si="30"/>
        <v>0</v>
      </c>
      <c r="G88" s="305">
        <f t="shared" si="30"/>
        <v>0</v>
      </c>
      <c r="H88" s="305">
        <f t="shared" si="30"/>
        <v>0</v>
      </c>
      <c r="I88" s="305">
        <f t="shared" si="30"/>
        <v>0</v>
      </c>
      <c r="J88" s="305">
        <f t="shared" si="30"/>
        <v>0</v>
      </c>
      <c r="K88" s="305">
        <f t="shared" si="30"/>
        <v>0</v>
      </c>
      <c r="L88" s="305">
        <f t="shared" si="30"/>
        <v>0</v>
      </c>
      <c r="M88" s="305">
        <f t="shared" si="30"/>
        <v>0</v>
      </c>
      <c r="N88" s="305">
        <f t="shared" si="30"/>
        <v>0</v>
      </c>
      <c r="O88" s="117"/>
      <c r="P88" s="309"/>
      <c r="Q88" s="309"/>
      <c r="R88" s="309"/>
      <c r="S88" s="309"/>
      <c r="T88" s="309"/>
    </row>
    <row r="89" spans="1:20" s="58" customFormat="1" ht="12" hidden="1" customHeight="1" thickBot="1">
      <c r="A89" s="78" t="s">
        <v>384</v>
      </c>
      <c r="B89" s="43"/>
      <c r="C89" s="319" t="e">
        <f t="shared" ref="C89:N89" si="31">SUM(C82:C88)-C86</f>
        <v>#REF!</v>
      </c>
      <c r="D89" s="319" t="e">
        <f t="shared" si="31"/>
        <v>#REF!</v>
      </c>
      <c r="E89" s="319" t="e">
        <f t="shared" si="31"/>
        <v>#REF!</v>
      </c>
      <c r="F89" s="319" t="e">
        <f t="shared" si="31"/>
        <v>#REF!</v>
      </c>
      <c r="G89" s="319" t="e">
        <f t="shared" si="31"/>
        <v>#REF!</v>
      </c>
      <c r="H89" s="319" t="e">
        <f t="shared" si="31"/>
        <v>#REF!</v>
      </c>
      <c r="I89" s="319" t="e">
        <f t="shared" si="31"/>
        <v>#REF!</v>
      </c>
      <c r="J89" s="319" t="e">
        <f t="shared" si="31"/>
        <v>#REF!</v>
      </c>
      <c r="K89" s="319" t="e">
        <f t="shared" si="31"/>
        <v>#REF!</v>
      </c>
      <c r="L89" s="319" t="e">
        <f t="shared" si="31"/>
        <v>#REF!</v>
      </c>
      <c r="M89" s="319" t="e">
        <f t="shared" si="31"/>
        <v>#REF!</v>
      </c>
      <c r="N89" s="319" t="e">
        <f t="shared" si="31"/>
        <v>#REF!</v>
      </c>
      <c r="O89" s="117"/>
      <c r="P89" s="309"/>
      <c r="Q89" s="309"/>
      <c r="R89" s="309"/>
      <c r="S89" s="309"/>
      <c r="T89" s="309"/>
    </row>
    <row r="90" spans="1:20" s="58" customFormat="1" ht="12" hidden="1" customHeight="1">
      <c r="A90" s="43"/>
      <c r="B90" s="43"/>
      <c r="C90" s="117"/>
      <c r="D90" s="117"/>
      <c r="E90" s="117"/>
      <c r="F90" s="117"/>
      <c r="G90" s="117"/>
      <c r="H90" s="117"/>
      <c r="I90" s="117"/>
      <c r="J90" s="117"/>
      <c r="K90" s="117"/>
      <c r="L90" s="117"/>
      <c r="M90" s="117"/>
      <c r="N90" s="117"/>
      <c r="O90" s="117"/>
      <c r="P90" s="309"/>
      <c r="Q90" s="309"/>
      <c r="R90" s="309"/>
      <c r="S90" s="309"/>
      <c r="T90" s="309"/>
    </row>
    <row r="91" spans="1:20" s="58" customFormat="1" ht="12" hidden="1" customHeight="1">
      <c r="A91" s="78" t="s">
        <v>385</v>
      </c>
      <c r="B91" s="43"/>
      <c r="C91" s="301">
        <v>0</v>
      </c>
      <c r="D91" s="301">
        <f t="shared" ref="D91:N91" si="32">C91</f>
        <v>0</v>
      </c>
      <c r="E91" s="301">
        <f t="shared" si="32"/>
        <v>0</v>
      </c>
      <c r="F91" s="301">
        <f t="shared" si="32"/>
        <v>0</v>
      </c>
      <c r="G91" s="301">
        <f t="shared" si="32"/>
        <v>0</v>
      </c>
      <c r="H91" s="301">
        <f t="shared" si="32"/>
        <v>0</v>
      </c>
      <c r="I91" s="301">
        <f t="shared" si="32"/>
        <v>0</v>
      </c>
      <c r="J91" s="301">
        <f t="shared" si="32"/>
        <v>0</v>
      </c>
      <c r="K91" s="301">
        <f t="shared" si="32"/>
        <v>0</v>
      </c>
      <c r="L91" s="301">
        <f t="shared" si="32"/>
        <v>0</v>
      </c>
      <c r="M91" s="301">
        <f t="shared" si="32"/>
        <v>0</v>
      </c>
      <c r="N91" s="301">
        <f t="shared" si="32"/>
        <v>0</v>
      </c>
      <c r="O91" s="117"/>
      <c r="P91" s="309"/>
      <c r="Q91" s="309"/>
      <c r="R91" s="309"/>
      <c r="S91" s="309"/>
      <c r="T91" s="309"/>
    </row>
    <row r="92" spans="1:20" s="58" customFormat="1" ht="12" hidden="1" customHeight="1" thickBot="1">
      <c r="A92" s="43"/>
      <c r="B92" s="43"/>
      <c r="C92" s="117"/>
      <c r="D92" s="117"/>
      <c r="E92" s="117"/>
      <c r="F92" s="117"/>
      <c r="G92" s="117"/>
      <c r="H92" s="117"/>
      <c r="I92" s="117"/>
      <c r="J92" s="117"/>
      <c r="K92" s="117"/>
      <c r="L92" s="117"/>
      <c r="M92" s="117"/>
      <c r="N92" s="117"/>
      <c r="O92" s="117"/>
      <c r="P92" s="309"/>
      <c r="Q92" s="309"/>
      <c r="R92" s="309"/>
      <c r="S92" s="309"/>
      <c r="T92" s="309"/>
    </row>
    <row r="93" spans="1:20" s="58" customFormat="1" ht="12" hidden="1" customHeight="1" thickBot="1">
      <c r="A93" s="78" t="s">
        <v>386</v>
      </c>
      <c r="B93" s="43"/>
      <c r="C93" s="320">
        <v>0</v>
      </c>
      <c r="D93" s="319" t="e">
        <f t="shared" ref="D93:N93" si="33">D69+D74+D79+D89-D91</f>
        <v>#REF!</v>
      </c>
      <c r="E93" s="319" t="e">
        <f t="shared" si="33"/>
        <v>#REF!</v>
      </c>
      <c r="F93" s="319" t="e">
        <f t="shared" si="33"/>
        <v>#REF!</v>
      </c>
      <c r="G93" s="319" t="e">
        <f t="shared" si="33"/>
        <v>#REF!</v>
      </c>
      <c r="H93" s="319" t="e">
        <f t="shared" si="33"/>
        <v>#REF!</v>
      </c>
      <c r="I93" s="319" t="e">
        <f t="shared" si="33"/>
        <v>#REF!</v>
      </c>
      <c r="J93" s="319" t="e">
        <f t="shared" si="33"/>
        <v>#REF!</v>
      </c>
      <c r="K93" s="319" t="e">
        <f t="shared" si="33"/>
        <v>#REF!</v>
      </c>
      <c r="L93" s="319" t="e">
        <f t="shared" si="33"/>
        <v>#REF!</v>
      </c>
      <c r="M93" s="319" t="e">
        <f t="shared" si="33"/>
        <v>#REF!</v>
      </c>
      <c r="N93" s="319" t="e">
        <f t="shared" si="33"/>
        <v>#REF!</v>
      </c>
      <c r="O93" s="117"/>
      <c r="P93" s="309"/>
      <c r="Q93" s="309"/>
      <c r="R93" s="309"/>
      <c r="S93" s="309"/>
      <c r="T93" s="309"/>
    </row>
    <row r="94" spans="1:20" s="58" customFormat="1" ht="12" hidden="1" customHeight="1">
      <c r="A94" s="43"/>
      <c r="B94" s="43"/>
      <c r="C94" s="117"/>
      <c r="D94" s="117"/>
      <c r="E94" s="117"/>
      <c r="F94" s="117"/>
      <c r="G94" s="117"/>
      <c r="H94" s="117"/>
      <c r="I94" s="117"/>
      <c r="J94" s="117"/>
      <c r="K94" s="117"/>
      <c r="L94" s="117"/>
      <c r="M94" s="117"/>
      <c r="N94" s="117"/>
      <c r="O94" s="117"/>
      <c r="P94" s="309"/>
      <c r="Q94" s="309"/>
      <c r="R94" s="309"/>
      <c r="S94" s="309"/>
      <c r="T94" s="309"/>
    </row>
    <row r="95" spans="1:20" s="58" customFormat="1" ht="12" hidden="1" customHeight="1">
      <c r="A95" s="78" t="s">
        <v>387</v>
      </c>
      <c r="B95" s="43"/>
      <c r="C95" s="301"/>
      <c r="D95" s="301">
        <f t="shared" ref="D95:N95" si="34">C95</f>
        <v>0</v>
      </c>
      <c r="E95" s="301">
        <f t="shared" si="34"/>
        <v>0</v>
      </c>
      <c r="F95" s="301">
        <f t="shared" si="34"/>
        <v>0</v>
      </c>
      <c r="G95" s="301">
        <f t="shared" si="34"/>
        <v>0</v>
      </c>
      <c r="H95" s="301">
        <f t="shared" si="34"/>
        <v>0</v>
      </c>
      <c r="I95" s="301">
        <f t="shared" si="34"/>
        <v>0</v>
      </c>
      <c r="J95" s="301">
        <f t="shared" si="34"/>
        <v>0</v>
      </c>
      <c r="K95" s="301">
        <f t="shared" si="34"/>
        <v>0</v>
      </c>
      <c r="L95" s="301">
        <f t="shared" si="34"/>
        <v>0</v>
      </c>
      <c r="M95" s="301">
        <f t="shared" si="34"/>
        <v>0</v>
      </c>
      <c r="N95" s="301">
        <f t="shared" si="34"/>
        <v>0</v>
      </c>
      <c r="O95" s="117"/>
      <c r="P95" s="309"/>
      <c r="Q95" s="309"/>
      <c r="R95" s="309"/>
      <c r="S95" s="309"/>
      <c r="T95" s="309"/>
    </row>
    <row r="96" spans="1:20" s="58" customFormat="1" ht="12" hidden="1" customHeight="1" thickBot="1">
      <c r="A96" s="43"/>
      <c r="B96" s="43"/>
      <c r="C96" s="117"/>
      <c r="D96" s="117"/>
      <c r="E96" s="117"/>
      <c r="F96" s="117"/>
      <c r="G96" s="117"/>
      <c r="H96" s="117"/>
      <c r="I96" s="117"/>
      <c r="J96" s="117"/>
      <c r="K96" s="117"/>
      <c r="L96" s="117"/>
      <c r="M96" s="117"/>
      <c r="N96" s="117"/>
      <c r="O96" s="117"/>
      <c r="P96" s="309"/>
      <c r="Q96" s="309"/>
      <c r="R96" s="309"/>
      <c r="S96" s="309"/>
      <c r="T96" s="309"/>
    </row>
    <row r="97" spans="1:20" s="58" customFormat="1" ht="12" hidden="1" customHeight="1" thickBot="1">
      <c r="A97" s="78" t="s">
        <v>388</v>
      </c>
      <c r="B97" s="43"/>
      <c r="C97" s="293">
        <f t="shared" ref="C97:N97" si="35">C67+C93-C95</f>
        <v>0</v>
      </c>
      <c r="D97" s="293" t="e">
        <f t="shared" si="35"/>
        <v>#REF!</v>
      </c>
      <c r="E97" s="293" t="e">
        <f t="shared" si="35"/>
        <v>#REF!</v>
      </c>
      <c r="F97" s="293" t="e">
        <f t="shared" si="35"/>
        <v>#REF!</v>
      </c>
      <c r="G97" s="293" t="e">
        <f t="shared" si="35"/>
        <v>#REF!</v>
      </c>
      <c r="H97" s="293" t="e">
        <f t="shared" si="35"/>
        <v>#REF!</v>
      </c>
      <c r="I97" s="293" t="e">
        <f t="shared" si="35"/>
        <v>#REF!</v>
      </c>
      <c r="J97" s="293" t="e">
        <f t="shared" si="35"/>
        <v>#REF!</v>
      </c>
      <c r="K97" s="293" t="e">
        <f t="shared" si="35"/>
        <v>#REF!</v>
      </c>
      <c r="L97" s="293" t="e">
        <f t="shared" si="35"/>
        <v>#REF!</v>
      </c>
      <c r="M97" s="293" t="e">
        <f t="shared" si="35"/>
        <v>#REF!</v>
      </c>
      <c r="N97" s="293" t="e">
        <f t="shared" si="35"/>
        <v>#REF!</v>
      </c>
      <c r="O97" s="142"/>
      <c r="P97" s="309"/>
      <c r="Q97" s="309"/>
      <c r="R97" s="309"/>
      <c r="S97" s="309"/>
      <c r="T97" s="309"/>
    </row>
    <row r="98" spans="1:20" hidden="1">
      <c r="P98" s="70"/>
      <c r="Q98" s="65"/>
      <c r="R98" s="65"/>
      <c r="S98" s="65"/>
      <c r="T98" s="65"/>
    </row>
    <row r="99" spans="1:20" hidden="1"/>
    <row r="100" spans="1:20" hidden="1"/>
    <row r="101" spans="1:20" hidden="1"/>
    <row r="102" spans="1:20" hidden="1">
      <c r="A102" s="46" t="s">
        <v>516</v>
      </c>
      <c r="C102" s="291">
        <f>N63+30</f>
        <v>46029</v>
      </c>
      <c r="D102" s="291">
        <f>C102+31</f>
        <v>46060</v>
      </c>
      <c r="E102" s="291">
        <f t="shared" ref="E102:N102" si="36">D102+31</f>
        <v>46091</v>
      </c>
      <c r="F102" s="291">
        <f t="shared" si="36"/>
        <v>46122</v>
      </c>
      <c r="G102" s="291">
        <f t="shared" si="36"/>
        <v>46153</v>
      </c>
      <c r="H102" s="291">
        <f t="shared" si="36"/>
        <v>46184</v>
      </c>
      <c r="I102" s="291">
        <f t="shared" si="36"/>
        <v>46215</v>
      </c>
      <c r="J102" s="291">
        <f t="shared" si="36"/>
        <v>46246</v>
      </c>
      <c r="K102" s="291">
        <f t="shared" si="36"/>
        <v>46277</v>
      </c>
      <c r="L102" s="291">
        <f t="shared" si="36"/>
        <v>46308</v>
      </c>
      <c r="M102" s="291">
        <f t="shared" si="36"/>
        <v>46339</v>
      </c>
      <c r="N102" s="291">
        <f t="shared" si="36"/>
        <v>46370</v>
      </c>
      <c r="O102" s="292"/>
    </row>
    <row r="103" spans="1:20" ht="15.5" hidden="1">
      <c r="A103" s="58"/>
      <c r="C103" s="292"/>
      <c r="D103" s="292"/>
      <c r="E103" s="292"/>
      <c r="F103" s="292"/>
      <c r="G103" s="292"/>
      <c r="H103" s="292"/>
      <c r="I103" s="292"/>
      <c r="J103" s="292"/>
      <c r="K103" s="292"/>
      <c r="L103" s="292"/>
      <c r="M103" s="292"/>
      <c r="N103" s="292"/>
      <c r="O103" s="292"/>
    </row>
    <row r="104" spans="1:20" ht="15.5" hidden="1">
      <c r="A104" s="58"/>
      <c r="C104" s="292"/>
      <c r="D104" s="292"/>
      <c r="E104" s="292"/>
      <c r="F104" s="292"/>
      <c r="G104" s="292"/>
      <c r="H104" s="292"/>
      <c r="I104" s="292"/>
      <c r="J104" s="292"/>
      <c r="K104" s="292"/>
      <c r="L104" s="292"/>
      <c r="M104" s="292"/>
      <c r="N104" s="292"/>
      <c r="O104" s="292"/>
    </row>
    <row r="105" spans="1:20" hidden="1">
      <c r="A105" s="48" t="s">
        <v>512</v>
      </c>
      <c r="C105" s="314">
        <f>N95</f>
        <v>0</v>
      </c>
      <c r="D105" s="314">
        <f>C134</f>
        <v>0</v>
      </c>
      <c r="E105" s="314"/>
      <c r="F105" s="314"/>
      <c r="G105" s="314"/>
      <c r="H105" s="315"/>
      <c r="I105" s="315"/>
      <c r="J105" s="314"/>
      <c r="K105" s="315"/>
      <c r="L105" s="315"/>
      <c r="M105" s="314"/>
      <c r="N105" s="315"/>
      <c r="O105" s="304"/>
    </row>
    <row r="106" spans="1:20" hidden="1">
      <c r="A106" s="48"/>
      <c r="C106" s="294"/>
      <c r="D106" s="295"/>
      <c r="E106" s="295"/>
      <c r="F106" s="295"/>
      <c r="G106" s="295"/>
      <c r="H106" s="295"/>
      <c r="I106" s="295"/>
      <c r="J106" s="295"/>
      <c r="K106" s="295"/>
      <c r="L106" s="295"/>
      <c r="M106" s="295"/>
      <c r="N106" s="295"/>
      <c r="O106" s="295"/>
    </row>
    <row r="107" spans="1:20" hidden="1">
      <c r="A107" s="48" t="s">
        <v>513</v>
      </c>
      <c r="C107" s="316">
        <f>N91</f>
        <v>0</v>
      </c>
      <c r="D107" s="317">
        <f>C130</f>
        <v>0</v>
      </c>
      <c r="E107" s="317"/>
      <c r="F107" s="317"/>
      <c r="G107" s="317"/>
      <c r="H107" s="317"/>
      <c r="I107" s="317"/>
      <c r="J107" s="317"/>
      <c r="K107" s="317"/>
      <c r="L107" s="317"/>
      <c r="M107" s="317"/>
      <c r="N107" s="317"/>
      <c r="O107" s="295"/>
    </row>
    <row r="108" spans="1:20" hidden="1">
      <c r="A108" s="48"/>
      <c r="C108" s="294"/>
      <c r="D108" s="295"/>
      <c r="E108" s="295"/>
      <c r="F108" s="295"/>
      <c r="G108" s="295"/>
      <c r="H108" s="295"/>
      <c r="I108" s="295"/>
      <c r="J108" s="295"/>
      <c r="K108" s="295"/>
      <c r="L108" s="295"/>
      <c r="M108" s="295"/>
      <c r="N108" s="295"/>
      <c r="O108" s="295"/>
    </row>
    <row r="109" spans="1:20" hidden="1">
      <c r="A109" s="48" t="s">
        <v>517</v>
      </c>
      <c r="C109" s="316">
        <f>-N73</f>
        <v>0</v>
      </c>
      <c r="D109" s="317">
        <f t="shared" ref="D109:N109" si="37">-C112</f>
        <v>0</v>
      </c>
      <c r="E109" s="317">
        <f t="shared" si="37"/>
        <v>0</v>
      </c>
      <c r="F109" s="317">
        <f t="shared" si="37"/>
        <v>0</v>
      </c>
      <c r="G109" s="317">
        <f t="shared" si="37"/>
        <v>0</v>
      </c>
      <c r="H109" s="317">
        <f t="shared" si="37"/>
        <v>0</v>
      </c>
      <c r="I109" s="317">
        <f t="shared" si="37"/>
        <v>0</v>
      </c>
      <c r="J109" s="317">
        <f t="shared" si="37"/>
        <v>0</v>
      </c>
      <c r="K109" s="317">
        <f t="shared" si="37"/>
        <v>0</v>
      </c>
      <c r="L109" s="317">
        <f t="shared" si="37"/>
        <v>0</v>
      </c>
      <c r="M109" s="317">
        <f t="shared" si="37"/>
        <v>0</v>
      </c>
      <c r="N109" s="317">
        <f t="shared" si="37"/>
        <v>0</v>
      </c>
      <c r="O109" s="295"/>
    </row>
    <row r="110" spans="1:20" hidden="1">
      <c r="A110" s="162" t="s">
        <v>518</v>
      </c>
      <c r="C110" s="301">
        <f>'A1'!E221+'A1'!E225+'A1'!E229</f>
        <v>0</v>
      </c>
      <c r="D110" s="301">
        <f>'A1'!F221+'A1'!F225+'A1'!F229</f>
        <v>0</v>
      </c>
      <c r="E110" s="301">
        <f>'A1'!G221+'A1'!G225+'A1'!G229</f>
        <v>0</v>
      </c>
      <c r="F110" s="301">
        <f>'A1'!H221+'A1'!H225+'A1'!H229</f>
        <v>0</v>
      </c>
      <c r="G110" s="301">
        <f>'A1'!I221+'A1'!I225+'A1'!I229</f>
        <v>0</v>
      </c>
      <c r="H110" s="301">
        <f>'A1'!J221+'A1'!J225+'A1'!J229</f>
        <v>0</v>
      </c>
      <c r="I110" s="301">
        <f>'A1'!K221+'A1'!K225+'A1'!K229</f>
        <v>0</v>
      </c>
      <c r="J110" s="301">
        <f>'A1'!L221+'A1'!L225+'A1'!L229</f>
        <v>0</v>
      </c>
      <c r="K110" s="301">
        <f>'A1'!M221+'A1'!M225+'A1'!M229</f>
        <v>0</v>
      </c>
      <c r="L110" s="301">
        <f>'A1'!N221+'A1'!N225+'A1'!N229</f>
        <v>0</v>
      </c>
      <c r="M110" s="301">
        <f>'A1'!O221+'A1'!O225+'A1'!O229</f>
        <v>0</v>
      </c>
      <c r="N110" s="301">
        <f>'A1'!P221+'A1'!P225+'A1'!P229</f>
        <v>0</v>
      </c>
      <c r="O110" s="117"/>
    </row>
    <row r="111" spans="1:20" hidden="1">
      <c r="A111" s="162" t="s">
        <v>371</v>
      </c>
      <c r="C111" s="301">
        <f t="shared" ref="C111:N111" si="38">C109+C110</f>
        <v>0</v>
      </c>
      <c r="D111" s="301">
        <f t="shared" si="38"/>
        <v>0</v>
      </c>
      <c r="E111" s="301">
        <f t="shared" si="38"/>
        <v>0</v>
      </c>
      <c r="F111" s="301">
        <f t="shared" si="38"/>
        <v>0</v>
      </c>
      <c r="G111" s="301">
        <f t="shared" si="38"/>
        <v>0</v>
      </c>
      <c r="H111" s="301">
        <f t="shared" si="38"/>
        <v>0</v>
      </c>
      <c r="I111" s="301">
        <f t="shared" si="38"/>
        <v>0</v>
      </c>
      <c r="J111" s="301">
        <f t="shared" si="38"/>
        <v>0</v>
      </c>
      <c r="K111" s="301">
        <f t="shared" si="38"/>
        <v>0</v>
      </c>
      <c r="L111" s="301">
        <f t="shared" si="38"/>
        <v>0</v>
      </c>
      <c r="M111" s="301">
        <f t="shared" si="38"/>
        <v>0</v>
      </c>
      <c r="N111" s="301">
        <f t="shared" si="38"/>
        <v>0</v>
      </c>
      <c r="O111" s="117"/>
    </row>
    <row r="112" spans="1:20" hidden="1">
      <c r="A112" s="162" t="s">
        <v>372</v>
      </c>
      <c r="C112" s="301">
        <f>-C109</f>
        <v>0</v>
      </c>
      <c r="D112" s="301">
        <f t="shared" ref="D112:N112" si="39">-D109</f>
        <v>0</v>
      </c>
      <c r="E112" s="301">
        <f t="shared" si="39"/>
        <v>0</v>
      </c>
      <c r="F112" s="301">
        <f t="shared" si="39"/>
        <v>0</v>
      </c>
      <c r="G112" s="301">
        <f t="shared" si="39"/>
        <v>0</v>
      </c>
      <c r="H112" s="301">
        <f t="shared" si="39"/>
        <v>0</v>
      </c>
      <c r="I112" s="301">
        <f t="shared" si="39"/>
        <v>0</v>
      </c>
      <c r="J112" s="301">
        <f t="shared" si="39"/>
        <v>0</v>
      </c>
      <c r="K112" s="301">
        <f t="shared" si="39"/>
        <v>0</v>
      </c>
      <c r="L112" s="301">
        <f t="shared" si="39"/>
        <v>0</v>
      </c>
      <c r="M112" s="301">
        <f t="shared" si="39"/>
        <v>0</v>
      </c>
      <c r="N112" s="301">
        <f t="shared" si="39"/>
        <v>0</v>
      </c>
      <c r="O112" s="117"/>
    </row>
    <row r="113" spans="1:15" hidden="1">
      <c r="A113" s="78" t="s">
        <v>524</v>
      </c>
      <c r="C113" s="301">
        <f t="shared" ref="C113:N113" si="40">C111-C112</f>
        <v>0</v>
      </c>
      <c r="D113" s="301">
        <f t="shared" si="40"/>
        <v>0</v>
      </c>
      <c r="E113" s="301">
        <f t="shared" si="40"/>
        <v>0</v>
      </c>
      <c r="F113" s="301">
        <f t="shared" si="40"/>
        <v>0</v>
      </c>
      <c r="G113" s="301">
        <f t="shared" si="40"/>
        <v>0</v>
      </c>
      <c r="H113" s="301">
        <f t="shared" si="40"/>
        <v>0</v>
      </c>
      <c r="I113" s="301">
        <f t="shared" si="40"/>
        <v>0</v>
      </c>
      <c r="J113" s="301">
        <f t="shared" si="40"/>
        <v>0</v>
      </c>
      <c r="K113" s="301">
        <f t="shared" si="40"/>
        <v>0</v>
      </c>
      <c r="L113" s="301">
        <f t="shared" si="40"/>
        <v>0</v>
      </c>
      <c r="M113" s="301">
        <f t="shared" si="40"/>
        <v>0</v>
      </c>
      <c r="N113" s="301">
        <f t="shared" si="40"/>
        <v>0</v>
      </c>
      <c r="O113" s="117"/>
    </row>
    <row r="114" spans="1:15" hidden="1">
      <c r="A114" s="48"/>
      <c r="C114" s="294"/>
      <c r="D114" s="295"/>
      <c r="E114" s="295"/>
      <c r="F114" s="295"/>
      <c r="G114" s="295"/>
      <c r="H114" s="295"/>
      <c r="I114" s="295"/>
      <c r="J114" s="295"/>
      <c r="K114" s="295"/>
      <c r="L114" s="295"/>
      <c r="M114" s="295"/>
      <c r="N114" s="295"/>
      <c r="O114" s="295"/>
    </row>
    <row r="115" spans="1:15" hidden="1">
      <c r="A115" s="78" t="s">
        <v>525</v>
      </c>
      <c r="C115" s="301">
        <f>B117</f>
        <v>0</v>
      </c>
      <c r="D115" s="301">
        <f t="shared" ref="D115:N115" si="41">C115</f>
        <v>0</v>
      </c>
      <c r="E115" s="318">
        <f t="shared" si="41"/>
        <v>0</v>
      </c>
      <c r="F115" s="318">
        <f t="shared" si="41"/>
        <v>0</v>
      </c>
      <c r="G115" s="318">
        <f t="shared" si="41"/>
        <v>0</v>
      </c>
      <c r="H115" s="318">
        <f t="shared" si="41"/>
        <v>0</v>
      </c>
      <c r="I115" s="318">
        <f t="shared" si="41"/>
        <v>0</v>
      </c>
      <c r="J115" s="318">
        <f t="shared" si="41"/>
        <v>0</v>
      </c>
      <c r="K115" s="318">
        <f t="shared" si="41"/>
        <v>0</v>
      </c>
      <c r="L115" s="318">
        <f t="shared" si="41"/>
        <v>0</v>
      </c>
      <c r="M115" s="318">
        <f t="shared" si="41"/>
        <v>0</v>
      </c>
      <c r="N115" s="318">
        <f t="shared" si="41"/>
        <v>0</v>
      </c>
      <c r="O115" s="121"/>
    </row>
    <row r="116" spans="1:15" hidden="1">
      <c r="A116" s="162" t="s">
        <v>526</v>
      </c>
      <c r="C116" s="301">
        <f>'A1'!E232/12</f>
        <v>0</v>
      </c>
      <c r="D116" s="301">
        <f t="shared" ref="D116:N116" si="42">C116</f>
        <v>0</v>
      </c>
      <c r="E116" s="301">
        <f t="shared" si="42"/>
        <v>0</v>
      </c>
      <c r="F116" s="301">
        <f t="shared" si="42"/>
        <v>0</v>
      </c>
      <c r="G116" s="301">
        <f t="shared" si="42"/>
        <v>0</v>
      </c>
      <c r="H116" s="301">
        <f t="shared" si="42"/>
        <v>0</v>
      </c>
      <c r="I116" s="301">
        <f t="shared" si="42"/>
        <v>0</v>
      </c>
      <c r="J116" s="301">
        <f t="shared" si="42"/>
        <v>0</v>
      </c>
      <c r="K116" s="301">
        <f t="shared" si="42"/>
        <v>0</v>
      </c>
      <c r="L116" s="301">
        <f t="shared" si="42"/>
        <v>0</v>
      </c>
      <c r="M116" s="301">
        <f t="shared" si="42"/>
        <v>0</v>
      </c>
      <c r="N116" s="301">
        <f t="shared" si="42"/>
        <v>0</v>
      </c>
      <c r="O116" s="117"/>
    </row>
    <row r="117" spans="1:15" hidden="1">
      <c r="A117" s="162" t="s">
        <v>527</v>
      </c>
      <c r="C117" s="301">
        <f>C116*'A2'!D13</f>
        <v>0</v>
      </c>
      <c r="D117" s="301">
        <f t="shared" ref="D117:N117" si="43">C116*0.18</f>
        <v>0</v>
      </c>
      <c r="E117" s="301">
        <f t="shared" si="43"/>
        <v>0</v>
      </c>
      <c r="F117" s="301">
        <f t="shared" si="43"/>
        <v>0</v>
      </c>
      <c r="G117" s="301">
        <f t="shared" si="43"/>
        <v>0</v>
      </c>
      <c r="H117" s="301">
        <f t="shared" si="43"/>
        <v>0</v>
      </c>
      <c r="I117" s="301">
        <f t="shared" si="43"/>
        <v>0</v>
      </c>
      <c r="J117" s="301">
        <f t="shared" si="43"/>
        <v>0</v>
      </c>
      <c r="K117" s="301">
        <f t="shared" si="43"/>
        <v>0</v>
      </c>
      <c r="L117" s="301">
        <f t="shared" si="43"/>
        <v>0</v>
      </c>
      <c r="M117" s="301">
        <f t="shared" si="43"/>
        <v>0</v>
      </c>
      <c r="N117" s="301">
        <f t="shared" si="43"/>
        <v>0</v>
      </c>
      <c r="O117" s="117"/>
    </row>
    <row r="118" spans="1:15" hidden="1">
      <c r="A118" s="78" t="s">
        <v>528</v>
      </c>
      <c r="C118" s="301">
        <f t="shared" ref="C118:N118" si="44">C116+C117</f>
        <v>0</v>
      </c>
      <c r="D118" s="301">
        <f t="shared" si="44"/>
        <v>0</v>
      </c>
      <c r="E118" s="301">
        <f t="shared" si="44"/>
        <v>0</v>
      </c>
      <c r="F118" s="301">
        <f t="shared" si="44"/>
        <v>0</v>
      </c>
      <c r="G118" s="301">
        <f t="shared" si="44"/>
        <v>0</v>
      </c>
      <c r="H118" s="301">
        <f t="shared" si="44"/>
        <v>0</v>
      </c>
      <c r="I118" s="301">
        <f t="shared" si="44"/>
        <v>0</v>
      </c>
      <c r="J118" s="301">
        <f t="shared" si="44"/>
        <v>0</v>
      </c>
      <c r="K118" s="301">
        <f t="shared" si="44"/>
        <v>0</v>
      </c>
      <c r="L118" s="301">
        <f t="shared" si="44"/>
        <v>0</v>
      </c>
      <c r="M118" s="301">
        <f t="shared" si="44"/>
        <v>0</v>
      </c>
      <c r="N118" s="301">
        <f t="shared" si="44"/>
        <v>0</v>
      </c>
      <c r="O118" s="117"/>
    </row>
    <row r="119" spans="1:15" hidden="1">
      <c r="A119" s="48"/>
      <c r="C119" s="294"/>
      <c r="D119" s="295"/>
      <c r="E119" s="295"/>
      <c r="F119" s="295"/>
      <c r="G119" s="295"/>
      <c r="H119" s="295"/>
      <c r="I119" s="295"/>
      <c r="J119" s="295"/>
      <c r="K119" s="295"/>
      <c r="L119" s="295"/>
      <c r="M119" s="295"/>
      <c r="N119" s="295"/>
      <c r="O119" s="295"/>
    </row>
    <row r="120" spans="1:15" hidden="1">
      <c r="A120" s="78" t="s">
        <v>380</v>
      </c>
      <c r="C120" s="44"/>
      <c r="D120" s="44"/>
      <c r="E120" s="44"/>
      <c r="F120" s="44"/>
      <c r="H120" s="44"/>
      <c r="I120" s="44"/>
      <c r="J120" s="44"/>
      <c r="K120" s="44"/>
      <c r="L120" s="44"/>
      <c r="M120" s="44"/>
      <c r="N120" s="44"/>
      <c r="O120" s="44"/>
    </row>
    <row r="121" spans="1:15" hidden="1">
      <c r="A121" s="162" t="s">
        <v>529</v>
      </c>
      <c r="C121" s="301"/>
      <c r="D121" s="301">
        <f t="shared" ref="D121:N121" si="45">C121</f>
        <v>0</v>
      </c>
      <c r="E121" s="301">
        <f t="shared" si="45"/>
        <v>0</v>
      </c>
      <c r="F121" s="301">
        <f t="shared" si="45"/>
        <v>0</v>
      </c>
      <c r="G121" s="301">
        <f t="shared" si="45"/>
        <v>0</v>
      </c>
      <c r="H121" s="301">
        <f t="shared" si="45"/>
        <v>0</v>
      </c>
      <c r="I121" s="301">
        <f t="shared" si="45"/>
        <v>0</v>
      </c>
      <c r="J121" s="301">
        <f t="shared" si="45"/>
        <v>0</v>
      </c>
      <c r="K121" s="301">
        <f t="shared" si="45"/>
        <v>0</v>
      </c>
      <c r="L121" s="301">
        <f t="shared" si="45"/>
        <v>0</v>
      </c>
      <c r="M121" s="301">
        <f t="shared" si="45"/>
        <v>0</v>
      </c>
      <c r="N121" s="301">
        <f t="shared" si="45"/>
        <v>0</v>
      </c>
      <c r="O121" s="117"/>
    </row>
    <row r="122" spans="1:15" hidden="1">
      <c r="A122" s="162" t="s">
        <v>530</v>
      </c>
      <c r="C122" s="301"/>
      <c r="D122" s="301">
        <f t="shared" ref="D122:N122" si="46">C122</f>
        <v>0</v>
      </c>
      <c r="E122" s="301">
        <f t="shared" si="46"/>
        <v>0</v>
      </c>
      <c r="F122" s="301">
        <f t="shared" si="46"/>
        <v>0</v>
      </c>
      <c r="G122" s="301">
        <f t="shared" si="46"/>
        <v>0</v>
      </c>
      <c r="H122" s="301">
        <f t="shared" si="46"/>
        <v>0</v>
      </c>
      <c r="I122" s="301">
        <f t="shared" si="46"/>
        <v>0</v>
      </c>
      <c r="J122" s="301">
        <f t="shared" si="46"/>
        <v>0</v>
      </c>
      <c r="K122" s="301">
        <f t="shared" si="46"/>
        <v>0</v>
      </c>
      <c r="L122" s="301">
        <f t="shared" si="46"/>
        <v>0</v>
      </c>
      <c r="M122" s="301">
        <f t="shared" si="46"/>
        <v>0</v>
      </c>
      <c r="N122" s="301">
        <f t="shared" si="46"/>
        <v>0</v>
      </c>
      <c r="O122" s="117"/>
    </row>
    <row r="123" spans="1:15" hidden="1">
      <c r="A123" s="162" t="s">
        <v>531</v>
      </c>
      <c r="C123" s="301"/>
      <c r="D123" s="301">
        <f t="shared" ref="D123:N123" si="47">C123</f>
        <v>0</v>
      </c>
      <c r="E123" s="301">
        <f t="shared" si="47"/>
        <v>0</v>
      </c>
      <c r="F123" s="301">
        <f t="shared" si="47"/>
        <v>0</v>
      </c>
      <c r="G123" s="301">
        <f t="shared" si="47"/>
        <v>0</v>
      </c>
      <c r="H123" s="301">
        <f t="shared" si="47"/>
        <v>0</v>
      </c>
      <c r="I123" s="301">
        <f t="shared" si="47"/>
        <v>0</v>
      </c>
      <c r="J123" s="301">
        <f t="shared" si="47"/>
        <v>0</v>
      </c>
      <c r="K123" s="301">
        <f t="shared" si="47"/>
        <v>0</v>
      </c>
      <c r="L123" s="301">
        <f t="shared" si="47"/>
        <v>0</v>
      </c>
      <c r="M123" s="301">
        <f t="shared" si="47"/>
        <v>0</v>
      </c>
      <c r="N123" s="301">
        <f t="shared" si="47"/>
        <v>0</v>
      </c>
      <c r="O123" s="117"/>
    </row>
    <row r="124" spans="1:15" hidden="1">
      <c r="A124" s="162" t="s">
        <v>532</v>
      </c>
      <c r="C124" s="301"/>
      <c r="D124" s="301">
        <f t="shared" ref="D124:N124" si="48">C124</f>
        <v>0</v>
      </c>
      <c r="E124" s="301">
        <f t="shared" si="48"/>
        <v>0</v>
      </c>
      <c r="F124" s="301">
        <f t="shared" si="48"/>
        <v>0</v>
      </c>
      <c r="G124" s="301">
        <f t="shared" si="48"/>
        <v>0</v>
      </c>
      <c r="H124" s="301">
        <f t="shared" si="48"/>
        <v>0</v>
      </c>
      <c r="I124" s="301">
        <f t="shared" si="48"/>
        <v>0</v>
      </c>
      <c r="J124" s="301">
        <f t="shared" si="48"/>
        <v>0</v>
      </c>
      <c r="K124" s="301">
        <f t="shared" si="48"/>
        <v>0</v>
      </c>
      <c r="L124" s="301">
        <f t="shared" si="48"/>
        <v>0</v>
      </c>
      <c r="M124" s="301">
        <f t="shared" si="48"/>
        <v>0</v>
      </c>
      <c r="N124" s="301">
        <f t="shared" si="48"/>
        <v>0</v>
      </c>
      <c r="O124" s="117"/>
    </row>
    <row r="125" spans="1:15" hidden="1">
      <c r="A125" s="162" t="s">
        <v>533</v>
      </c>
      <c r="C125" s="301">
        <f>A!H77</f>
        <v>0</v>
      </c>
      <c r="D125" s="301">
        <f t="shared" ref="D125:N125" si="49">C125</f>
        <v>0</v>
      </c>
      <c r="E125" s="301">
        <f t="shared" si="49"/>
        <v>0</v>
      </c>
      <c r="F125" s="301">
        <f t="shared" si="49"/>
        <v>0</v>
      </c>
      <c r="G125" s="301">
        <f t="shared" si="49"/>
        <v>0</v>
      </c>
      <c r="H125" s="301">
        <f t="shared" si="49"/>
        <v>0</v>
      </c>
      <c r="I125" s="301">
        <f t="shared" si="49"/>
        <v>0</v>
      </c>
      <c r="J125" s="301">
        <f t="shared" si="49"/>
        <v>0</v>
      </c>
      <c r="K125" s="301">
        <f t="shared" si="49"/>
        <v>0</v>
      </c>
      <c r="L125" s="301">
        <f t="shared" si="49"/>
        <v>0</v>
      </c>
      <c r="M125" s="301">
        <f t="shared" si="49"/>
        <v>0</v>
      </c>
      <c r="N125" s="301">
        <f t="shared" si="49"/>
        <v>0</v>
      </c>
      <c r="O125" s="117"/>
    </row>
    <row r="126" spans="1:15" hidden="1">
      <c r="A126" s="162" t="s">
        <v>534</v>
      </c>
      <c r="C126" s="301"/>
      <c r="D126" s="301">
        <f t="shared" ref="D126:N126" si="50">C126</f>
        <v>0</v>
      </c>
      <c r="E126" s="301">
        <f t="shared" si="50"/>
        <v>0</v>
      </c>
      <c r="F126" s="301">
        <f t="shared" si="50"/>
        <v>0</v>
      </c>
      <c r="G126" s="301">
        <f t="shared" si="50"/>
        <v>0</v>
      </c>
      <c r="H126" s="301">
        <f t="shared" si="50"/>
        <v>0</v>
      </c>
      <c r="I126" s="301">
        <f t="shared" si="50"/>
        <v>0</v>
      </c>
      <c r="J126" s="301">
        <f t="shared" si="50"/>
        <v>0</v>
      </c>
      <c r="K126" s="301">
        <f t="shared" si="50"/>
        <v>0</v>
      </c>
      <c r="L126" s="301">
        <f t="shared" si="50"/>
        <v>0</v>
      </c>
      <c r="M126" s="301">
        <f t="shared" si="50"/>
        <v>0</v>
      </c>
      <c r="N126" s="301">
        <f t="shared" si="50"/>
        <v>0</v>
      </c>
      <c r="O126" s="117"/>
    </row>
    <row r="127" spans="1:15" hidden="1">
      <c r="A127" s="162" t="s">
        <v>383</v>
      </c>
      <c r="C127" s="305"/>
      <c r="D127" s="305">
        <f t="shared" ref="D127:N127" si="51">C127</f>
        <v>0</v>
      </c>
      <c r="E127" s="305">
        <f t="shared" si="51"/>
        <v>0</v>
      </c>
      <c r="F127" s="305">
        <f t="shared" si="51"/>
        <v>0</v>
      </c>
      <c r="G127" s="305">
        <f t="shared" si="51"/>
        <v>0</v>
      </c>
      <c r="H127" s="305">
        <f t="shared" si="51"/>
        <v>0</v>
      </c>
      <c r="I127" s="305">
        <f t="shared" si="51"/>
        <v>0</v>
      </c>
      <c r="J127" s="305">
        <f t="shared" si="51"/>
        <v>0</v>
      </c>
      <c r="K127" s="305">
        <f t="shared" si="51"/>
        <v>0</v>
      </c>
      <c r="L127" s="305">
        <f t="shared" si="51"/>
        <v>0</v>
      </c>
      <c r="M127" s="305">
        <f t="shared" si="51"/>
        <v>0</v>
      </c>
      <c r="N127" s="305">
        <f t="shared" si="51"/>
        <v>0</v>
      </c>
      <c r="O127" s="117"/>
    </row>
    <row r="128" spans="1:15" ht="13.5" hidden="1" thickBot="1">
      <c r="A128" s="78" t="s">
        <v>384</v>
      </c>
      <c r="C128" s="319">
        <f t="shared" ref="C128:N128" si="52">SUM(C121:C127)-C125</f>
        <v>0</v>
      </c>
      <c r="D128" s="319">
        <f t="shared" si="52"/>
        <v>0</v>
      </c>
      <c r="E128" s="319">
        <f t="shared" si="52"/>
        <v>0</v>
      </c>
      <c r="F128" s="319">
        <f t="shared" si="52"/>
        <v>0</v>
      </c>
      <c r="G128" s="319">
        <f t="shared" si="52"/>
        <v>0</v>
      </c>
      <c r="H128" s="319">
        <f t="shared" si="52"/>
        <v>0</v>
      </c>
      <c r="I128" s="319">
        <f t="shared" si="52"/>
        <v>0</v>
      </c>
      <c r="J128" s="319">
        <f t="shared" si="52"/>
        <v>0</v>
      </c>
      <c r="K128" s="319">
        <f t="shared" si="52"/>
        <v>0</v>
      </c>
      <c r="L128" s="319">
        <f t="shared" si="52"/>
        <v>0</v>
      </c>
      <c r="M128" s="319">
        <f t="shared" si="52"/>
        <v>0</v>
      </c>
      <c r="N128" s="319">
        <f t="shared" si="52"/>
        <v>0</v>
      </c>
      <c r="O128" s="117"/>
    </row>
    <row r="129" spans="1:15" hidden="1">
      <c r="C129" s="117"/>
      <c r="D129" s="117"/>
      <c r="E129" s="117"/>
      <c r="F129" s="117"/>
      <c r="G129" s="117"/>
      <c r="H129" s="117"/>
      <c r="I129" s="117"/>
      <c r="J129" s="117"/>
      <c r="K129" s="117"/>
      <c r="L129" s="117"/>
      <c r="M129" s="117"/>
      <c r="N129" s="117"/>
      <c r="O129" s="117"/>
    </row>
    <row r="130" spans="1:15" hidden="1">
      <c r="A130" s="78" t="s">
        <v>385</v>
      </c>
      <c r="C130" s="301">
        <v>0</v>
      </c>
      <c r="D130" s="301">
        <f t="shared" ref="D130:N130" si="53">C130</f>
        <v>0</v>
      </c>
      <c r="E130" s="301">
        <f t="shared" si="53"/>
        <v>0</v>
      </c>
      <c r="F130" s="301">
        <f t="shared" si="53"/>
        <v>0</v>
      </c>
      <c r="G130" s="301">
        <f t="shared" si="53"/>
        <v>0</v>
      </c>
      <c r="H130" s="301">
        <f t="shared" si="53"/>
        <v>0</v>
      </c>
      <c r="I130" s="301">
        <f t="shared" si="53"/>
        <v>0</v>
      </c>
      <c r="J130" s="301">
        <f t="shared" si="53"/>
        <v>0</v>
      </c>
      <c r="K130" s="301">
        <f t="shared" si="53"/>
        <v>0</v>
      </c>
      <c r="L130" s="301">
        <f t="shared" si="53"/>
        <v>0</v>
      </c>
      <c r="M130" s="301">
        <f t="shared" si="53"/>
        <v>0</v>
      </c>
      <c r="N130" s="301">
        <f t="shared" si="53"/>
        <v>0</v>
      </c>
      <c r="O130" s="117"/>
    </row>
    <row r="131" spans="1:15" hidden="1">
      <c r="C131" s="117"/>
      <c r="D131" s="117"/>
      <c r="E131" s="117"/>
      <c r="F131" s="117"/>
      <c r="G131" s="117"/>
      <c r="H131" s="117"/>
      <c r="I131" s="117"/>
      <c r="J131" s="117"/>
      <c r="K131" s="117"/>
      <c r="L131" s="117"/>
      <c r="M131" s="117"/>
      <c r="N131" s="117"/>
      <c r="O131" s="117"/>
    </row>
    <row r="132" spans="1:15" ht="13.5" hidden="1" thickBot="1">
      <c r="A132" s="78" t="s">
        <v>386</v>
      </c>
      <c r="C132" s="320">
        <v>0</v>
      </c>
      <c r="D132" s="319">
        <f t="shared" ref="D132:N132" si="54">D108+D113+D118+D128-D130</f>
        <v>0</v>
      </c>
      <c r="E132" s="319">
        <f t="shared" si="54"/>
        <v>0</v>
      </c>
      <c r="F132" s="319">
        <f t="shared" si="54"/>
        <v>0</v>
      </c>
      <c r="G132" s="319">
        <f t="shared" si="54"/>
        <v>0</v>
      </c>
      <c r="H132" s="319">
        <f t="shared" si="54"/>
        <v>0</v>
      </c>
      <c r="I132" s="319">
        <f t="shared" si="54"/>
        <v>0</v>
      </c>
      <c r="J132" s="319">
        <f t="shared" si="54"/>
        <v>0</v>
      </c>
      <c r="K132" s="319">
        <f t="shared" si="54"/>
        <v>0</v>
      </c>
      <c r="L132" s="319">
        <f t="shared" si="54"/>
        <v>0</v>
      </c>
      <c r="M132" s="319">
        <f t="shared" si="54"/>
        <v>0</v>
      </c>
      <c r="N132" s="319">
        <f t="shared" si="54"/>
        <v>0</v>
      </c>
      <c r="O132" s="117"/>
    </row>
    <row r="133" spans="1:15" hidden="1">
      <c r="C133" s="117"/>
      <c r="D133" s="117"/>
      <c r="E133" s="117"/>
      <c r="F133" s="117"/>
      <c r="G133" s="117"/>
      <c r="H133" s="117"/>
      <c r="I133" s="117"/>
      <c r="J133" s="117"/>
      <c r="K133" s="117"/>
      <c r="L133" s="117"/>
      <c r="M133" s="117"/>
      <c r="N133" s="117"/>
      <c r="O133" s="117"/>
    </row>
    <row r="134" spans="1:15" hidden="1">
      <c r="A134" s="78" t="s">
        <v>387</v>
      </c>
      <c r="C134" s="301"/>
      <c r="D134" s="301">
        <f t="shared" ref="D134:N134" si="55">C134</f>
        <v>0</v>
      </c>
      <c r="E134" s="301">
        <f t="shared" si="55"/>
        <v>0</v>
      </c>
      <c r="F134" s="301">
        <f t="shared" si="55"/>
        <v>0</v>
      </c>
      <c r="G134" s="301">
        <f t="shared" si="55"/>
        <v>0</v>
      </c>
      <c r="H134" s="301">
        <f t="shared" si="55"/>
        <v>0</v>
      </c>
      <c r="I134" s="301">
        <f t="shared" si="55"/>
        <v>0</v>
      </c>
      <c r="J134" s="301">
        <f t="shared" si="55"/>
        <v>0</v>
      </c>
      <c r="K134" s="301">
        <f t="shared" si="55"/>
        <v>0</v>
      </c>
      <c r="L134" s="301">
        <f t="shared" si="55"/>
        <v>0</v>
      </c>
      <c r="M134" s="301">
        <f t="shared" si="55"/>
        <v>0</v>
      </c>
      <c r="N134" s="301">
        <f t="shared" si="55"/>
        <v>0</v>
      </c>
      <c r="O134" s="117"/>
    </row>
    <row r="135" spans="1:15" hidden="1">
      <c r="C135" s="117"/>
      <c r="D135" s="117"/>
      <c r="E135" s="117"/>
      <c r="F135" s="117"/>
      <c r="G135" s="117"/>
      <c r="H135" s="117"/>
      <c r="I135" s="117"/>
      <c r="J135" s="117"/>
      <c r="K135" s="117"/>
      <c r="L135" s="117"/>
      <c r="M135" s="117"/>
      <c r="N135" s="117"/>
      <c r="O135" s="117"/>
    </row>
    <row r="136" spans="1:15" ht="13.5" hidden="1" thickBot="1">
      <c r="A136" s="78" t="s">
        <v>388</v>
      </c>
      <c r="C136" s="293">
        <f t="shared" ref="C136:N136" si="56">C106+C132-C134</f>
        <v>0</v>
      </c>
      <c r="D136" s="293">
        <f t="shared" si="56"/>
        <v>0</v>
      </c>
      <c r="E136" s="293">
        <f t="shared" si="56"/>
        <v>0</v>
      </c>
      <c r="F136" s="293">
        <f t="shared" si="56"/>
        <v>0</v>
      </c>
      <c r="G136" s="293">
        <f t="shared" si="56"/>
        <v>0</v>
      </c>
      <c r="H136" s="293">
        <f t="shared" si="56"/>
        <v>0</v>
      </c>
      <c r="I136" s="293">
        <f t="shared" si="56"/>
        <v>0</v>
      </c>
      <c r="J136" s="293">
        <f t="shared" si="56"/>
        <v>0</v>
      </c>
      <c r="K136" s="293">
        <f t="shared" si="56"/>
        <v>0</v>
      </c>
      <c r="L136" s="293">
        <f t="shared" si="56"/>
        <v>0</v>
      </c>
      <c r="M136" s="293">
        <f t="shared" si="56"/>
        <v>0</v>
      </c>
      <c r="N136" s="293">
        <f t="shared" si="56"/>
        <v>0</v>
      </c>
      <c r="O136" s="142"/>
    </row>
  </sheetData>
  <sheetProtection password="E242" sheet="1" objects="1" scenarios="1"/>
  <customSheetViews>
    <customSheetView guid="{30D0538C-360A-4CDF-8D89-584CED1967CC}" showGridLines="0" outlineSymbols="0" fitToPage="1" hiddenRows="1">
      <pageMargins left="0.97" right="0.95" top="0.59" bottom="0.69" header="0.4921259845" footer="0.4921259845"/>
      <pageSetup scale="56" orientation="landscape" horizontalDpi="360" verticalDpi="180"/>
      <headerFooter alignWithMargins="0"/>
    </customSheetView>
    <customSheetView guid="{4F3169C3-3348-49DE-A6DC-8AA4D2A9D7A1}" showGridLines="0" outlineSymbols="0" fitToPage="1" hiddenRows="1">
      <pageMargins left="0.97" right="0.95" top="0.59" bottom="0.69" header="0.4921259845" footer="0.4921259845"/>
      <pageSetup scale="56" orientation="landscape" horizontalDpi="360" verticalDpi="180"/>
      <headerFooter alignWithMargins="0"/>
    </customSheetView>
  </customSheetViews>
  <phoneticPr fontId="0" type="noConversion"/>
  <pageMargins left="0.97" right="0.95" top="0.59" bottom="0.69" header="0.4921259845" footer="0.4921259845"/>
  <pageSetup scale="59" orientation="landscape" horizontalDpi="360" verticalDpi="180" r:id="rId1"/>
  <headerFooter alignWithMargins="0"/>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GFM2">
    <pageSetUpPr fitToPage="1"/>
  </sheetPr>
  <dimension ref="A1:P136"/>
  <sheetViews>
    <sheetView showGridLines="0" showOutlineSymbols="0" topLeftCell="A31" zoomScaleNormal="100" workbookViewId="0">
      <selection activeCell="O138" sqref="O138"/>
    </sheetView>
  </sheetViews>
  <sheetFormatPr baseColWidth="10" defaultColWidth="11.453125" defaultRowHeight="13"/>
  <cols>
    <col min="1" max="1" width="32.36328125" style="43" customWidth="1"/>
    <col min="2" max="2" width="10.453125" style="43" customWidth="1"/>
    <col min="3" max="6" width="11.81640625" style="43" customWidth="1"/>
    <col min="7" max="7" width="11.81640625" style="44" customWidth="1"/>
    <col min="8" max="8" width="11.81640625" style="61" customWidth="1"/>
    <col min="9" max="9" width="11.81640625" style="62" customWidth="1"/>
    <col min="10" max="10" width="11.81640625" style="43" customWidth="1"/>
    <col min="11" max="12" width="11.81640625" style="62" customWidth="1"/>
    <col min="13" max="13" width="11.81640625" style="43" customWidth="1"/>
    <col min="14" max="14" width="11.81640625" style="62" customWidth="1"/>
    <col min="15" max="15" width="14.36328125" style="62" customWidth="1"/>
    <col min="16" max="16" width="9.6328125" style="43" customWidth="1"/>
    <col min="17" max="17" width="12.6328125" style="43" customWidth="1"/>
    <col min="18" max="19" width="7.6328125" style="43" customWidth="1"/>
    <col min="20" max="20" width="12.6328125" style="43" customWidth="1"/>
    <col min="21" max="22" width="7.6328125" style="43" customWidth="1"/>
    <col min="23" max="23" width="12.6328125" style="43" customWidth="1"/>
    <col min="24" max="25" width="7.6328125" style="43" customWidth="1"/>
    <col min="26" max="16384" width="11.453125" style="43"/>
  </cols>
  <sheetData>
    <row r="1" spans="1:16" customFormat="1" ht="12.5"/>
    <row r="2" spans="1:16" customFormat="1" ht="12.5"/>
    <row r="3" spans="1:16" customFormat="1" ht="12.5"/>
    <row r="4" spans="1:16" s="261" customFormat="1" ht="12.5"/>
    <row r="5" spans="1:16" s="261" customFormat="1" ht="12.5"/>
    <row r="6" spans="1:16" s="261" customFormat="1" ht="12.5"/>
    <row r="7" spans="1:16" s="261" customFormat="1" ht="12.5"/>
    <row r="8" spans="1:16" s="287" customFormat="1" ht="10">
      <c r="C8" s="288"/>
      <c r="H8" s="288"/>
      <c r="I8" s="289"/>
      <c r="J8" s="290"/>
      <c r="L8" s="290"/>
      <c r="M8" s="290"/>
      <c r="O8" s="290"/>
      <c r="P8" s="290"/>
    </row>
    <row r="9" spans="1:16" ht="25.5">
      <c r="A9" s="42" t="str">
        <f>RG!D17</f>
        <v>Jhon Wesly inc.</v>
      </c>
      <c r="B9" s="44"/>
      <c r="C9" s="44"/>
      <c r="D9" s="44"/>
      <c r="E9" s="44"/>
      <c r="F9" s="44"/>
      <c r="H9" s="44"/>
      <c r="I9" s="44"/>
      <c r="K9" s="43"/>
      <c r="L9" s="43"/>
      <c r="N9" s="43"/>
      <c r="O9" s="43"/>
    </row>
    <row r="10" spans="1:16">
      <c r="A10" s="44"/>
      <c r="B10" s="44"/>
      <c r="C10" s="44"/>
      <c r="D10" s="44"/>
      <c r="E10" s="44"/>
      <c r="F10" s="44"/>
      <c r="H10" s="44"/>
      <c r="I10" s="44"/>
      <c r="K10" s="43"/>
      <c r="L10" s="43"/>
      <c r="N10" s="43"/>
      <c r="O10" s="43"/>
    </row>
    <row r="11" spans="1:16" ht="15">
      <c r="A11" s="45" t="s">
        <v>218</v>
      </c>
      <c r="B11" s="44"/>
      <c r="C11" s="44"/>
      <c r="D11" s="44"/>
      <c r="E11" s="44"/>
      <c r="F11" s="44"/>
      <c r="H11" s="44"/>
      <c r="I11" s="44"/>
      <c r="K11" s="43"/>
      <c r="L11" s="43"/>
      <c r="N11" s="43"/>
      <c r="O11" s="43"/>
    </row>
    <row r="12" spans="1:16">
      <c r="B12" s="44"/>
      <c r="C12" s="44"/>
      <c r="D12" s="44"/>
      <c r="E12" s="44"/>
      <c r="F12" s="44"/>
      <c r="H12" s="44"/>
      <c r="I12" s="44"/>
      <c r="K12" s="43"/>
      <c r="L12" s="43"/>
      <c r="N12" s="43"/>
      <c r="O12" s="43"/>
    </row>
    <row r="13" spans="1:16">
      <c r="A13" s="46" t="s">
        <v>472</v>
      </c>
      <c r="B13" s="44"/>
      <c r="C13" s="44"/>
      <c r="D13" s="44"/>
      <c r="E13" s="44"/>
      <c r="F13" s="44"/>
      <c r="H13" s="44"/>
      <c r="I13" s="44"/>
      <c r="K13" s="43"/>
      <c r="L13" s="43"/>
      <c r="N13" s="43"/>
      <c r="O13" s="43"/>
    </row>
    <row r="14" spans="1:16" ht="19.5" customHeight="1" thickBot="1">
      <c r="A14" s="46"/>
      <c r="B14" s="44"/>
      <c r="C14" s="44"/>
      <c r="D14" s="44"/>
      <c r="E14" s="44"/>
      <c r="F14" s="44"/>
      <c r="H14" s="44"/>
      <c r="I14" s="44"/>
      <c r="K14" s="43"/>
      <c r="L14" s="43"/>
      <c r="N14" s="43"/>
      <c r="O14" s="43"/>
    </row>
    <row r="15" spans="1:16" s="58" customFormat="1" ht="18" customHeight="1" thickBot="1">
      <c r="C15" s="291">
        <f>FGFM1!C15+366</f>
        <v>45658</v>
      </c>
      <c r="D15" s="291">
        <f>FGFM1!D15+366</f>
        <v>45689</v>
      </c>
      <c r="E15" s="291">
        <f>FGFM1!E15+366</f>
        <v>45720</v>
      </c>
      <c r="F15" s="291">
        <f>FGFM1!F15+366</f>
        <v>45751</v>
      </c>
      <c r="G15" s="291">
        <f>FGFM1!G15+366</f>
        <v>45782</v>
      </c>
      <c r="H15" s="291">
        <f>FGFM1!H15+366</f>
        <v>45813</v>
      </c>
      <c r="I15" s="291">
        <f>FGFM1!I15+366</f>
        <v>45844</v>
      </c>
      <c r="J15" s="291">
        <f>FGFM1!J15+366</f>
        <v>45875</v>
      </c>
      <c r="K15" s="291">
        <f>FGFM1!K15+366</f>
        <v>45906</v>
      </c>
      <c r="L15" s="291">
        <f>FGFM1!L15+366</f>
        <v>45937</v>
      </c>
      <c r="M15" s="291">
        <f>FGFM1!M15+366</f>
        <v>45968</v>
      </c>
      <c r="N15" s="291">
        <f>FGFM1!N15+366</f>
        <v>45999</v>
      </c>
      <c r="O15" s="406" t="s">
        <v>180</v>
      </c>
    </row>
    <row r="16" spans="1:16" s="58" customFormat="1" ht="18" customHeight="1" thickBot="1">
      <c r="C16" s="292"/>
      <c r="D16" s="292"/>
      <c r="E16" s="292"/>
      <c r="F16" s="292"/>
      <c r="G16" s="292"/>
      <c r="H16" s="292"/>
      <c r="I16" s="292"/>
      <c r="J16" s="292"/>
      <c r="K16" s="292"/>
      <c r="L16" s="292"/>
      <c r="M16" s="292"/>
      <c r="N16" s="292"/>
      <c r="O16" s="292"/>
    </row>
    <row r="17" spans="1:15" s="48" customFormat="1" ht="13.5" thickBot="1">
      <c r="A17" s="48" t="s">
        <v>216</v>
      </c>
      <c r="C17" s="293">
        <f>FGFM1!N56</f>
        <v>0</v>
      </c>
      <c r="D17" s="293">
        <f t="shared" ref="D17:N17" si="0">C56</f>
        <v>0</v>
      </c>
      <c r="E17" s="293">
        <f t="shared" si="0"/>
        <v>0</v>
      </c>
      <c r="F17" s="293">
        <f t="shared" si="0"/>
        <v>0</v>
      </c>
      <c r="G17" s="293">
        <f t="shared" si="0"/>
        <v>0</v>
      </c>
      <c r="H17" s="293">
        <f t="shared" si="0"/>
        <v>0</v>
      </c>
      <c r="I17" s="293">
        <f t="shared" si="0"/>
        <v>0</v>
      </c>
      <c r="J17" s="293">
        <f t="shared" si="0"/>
        <v>0</v>
      </c>
      <c r="K17" s="293">
        <f t="shared" si="0"/>
        <v>0</v>
      </c>
      <c r="L17" s="293">
        <f t="shared" si="0"/>
        <v>0</v>
      </c>
      <c r="M17" s="293">
        <f t="shared" si="0"/>
        <v>0</v>
      </c>
      <c r="N17" s="293">
        <f t="shared" si="0"/>
        <v>0</v>
      </c>
      <c r="O17" s="293">
        <f>SUM(C17:N17)</f>
        <v>0</v>
      </c>
    </row>
    <row r="18" spans="1:15" s="58" customFormat="1" ht="12" customHeight="1" thickBot="1">
      <c r="A18" s="48"/>
      <c r="C18" s="294"/>
      <c r="D18" s="295"/>
      <c r="E18" s="295"/>
      <c r="F18" s="295"/>
      <c r="G18" s="295"/>
      <c r="H18" s="295"/>
      <c r="I18" s="295"/>
      <c r="J18" s="295"/>
      <c r="K18" s="295"/>
      <c r="L18" s="295"/>
      <c r="M18" s="295"/>
      <c r="N18" s="295"/>
      <c r="O18" s="295"/>
    </row>
    <row r="19" spans="1:15" s="59" customFormat="1" ht="12" customHeight="1" thickBot="1">
      <c r="A19" s="48" t="s">
        <v>309</v>
      </c>
      <c r="C19" s="321">
        <f>FGFM1!N52</f>
        <v>0</v>
      </c>
      <c r="D19" s="296">
        <f t="shared" ref="D19:N19" si="1">C52</f>
        <v>0</v>
      </c>
      <c r="E19" s="296">
        <f t="shared" si="1"/>
        <v>0</v>
      </c>
      <c r="F19" s="296">
        <f t="shared" si="1"/>
        <v>0</v>
      </c>
      <c r="G19" s="296">
        <f t="shared" si="1"/>
        <v>0</v>
      </c>
      <c r="H19" s="296">
        <f t="shared" si="1"/>
        <v>0</v>
      </c>
      <c r="I19" s="296">
        <f t="shared" si="1"/>
        <v>0</v>
      </c>
      <c r="J19" s="296">
        <f t="shared" si="1"/>
        <v>0</v>
      </c>
      <c r="K19" s="296">
        <f t="shared" si="1"/>
        <v>0</v>
      </c>
      <c r="L19" s="296">
        <f t="shared" si="1"/>
        <v>0</v>
      </c>
      <c r="M19" s="296">
        <f t="shared" si="1"/>
        <v>0</v>
      </c>
      <c r="N19" s="296">
        <f t="shared" si="1"/>
        <v>0</v>
      </c>
      <c r="O19" s="293">
        <f>SUM(C19:N19)</f>
        <v>0</v>
      </c>
    </row>
    <row r="20" spans="1:15" s="58" customFormat="1" ht="12" customHeight="1" thickBot="1">
      <c r="A20" s="48"/>
      <c r="C20" s="294"/>
      <c r="D20" s="295"/>
      <c r="E20" s="295"/>
      <c r="F20" s="295"/>
      <c r="G20" s="295"/>
      <c r="H20" s="295"/>
      <c r="I20" s="295"/>
      <c r="J20" s="295"/>
      <c r="K20" s="295"/>
      <c r="L20" s="295"/>
      <c r="M20" s="295"/>
      <c r="N20" s="295"/>
      <c r="O20" s="295"/>
    </row>
    <row r="21" spans="1:15" s="59" customFormat="1" ht="12" customHeight="1" thickBot="1">
      <c r="A21" s="48" t="s">
        <v>517</v>
      </c>
      <c r="C21" s="297">
        <f>FGFM1!N24</f>
        <v>0</v>
      </c>
      <c r="D21" s="298">
        <f>C24</f>
        <v>0</v>
      </c>
      <c r="E21" s="298">
        <f t="shared" ref="E21:N21" si="2">D24</f>
        <v>0</v>
      </c>
      <c r="F21" s="298">
        <f t="shared" si="2"/>
        <v>0</v>
      </c>
      <c r="G21" s="298">
        <f t="shared" si="2"/>
        <v>0</v>
      </c>
      <c r="H21" s="298">
        <f t="shared" si="2"/>
        <v>0</v>
      </c>
      <c r="I21" s="298">
        <f t="shared" si="2"/>
        <v>0</v>
      </c>
      <c r="J21" s="298">
        <f t="shared" si="2"/>
        <v>0</v>
      </c>
      <c r="K21" s="298">
        <f t="shared" si="2"/>
        <v>0</v>
      </c>
      <c r="L21" s="298">
        <f t="shared" si="2"/>
        <v>0</v>
      </c>
      <c r="M21" s="298">
        <f t="shared" si="2"/>
        <v>0</v>
      </c>
      <c r="N21" s="298">
        <f t="shared" si="2"/>
        <v>0</v>
      </c>
      <c r="O21" s="293">
        <f>SUM(C21:N21)</f>
        <v>0</v>
      </c>
    </row>
    <row r="22" spans="1:15" s="58" customFormat="1" ht="12" customHeight="1" thickBot="1">
      <c r="A22" s="162" t="s">
        <v>518</v>
      </c>
      <c r="B22" s="43"/>
      <c r="C22" s="299">
        <f>'A2'!E26+'A2'!E33+'A2'!E43</f>
        <v>0</v>
      </c>
      <c r="D22" s="299">
        <f>'A2'!F26+'A2'!F33+'A2'!F43</f>
        <v>0</v>
      </c>
      <c r="E22" s="299">
        <f>'A2'!G26+'A2'!G33+'A2'!G43</f>
        <v>0</v>
      </c>
      <c r="F22" s="299">
        <f>'A2'!H26+'A2'!H33+'A2'!H43</f>
        <v>0</v>
      </c>
      <c r="G22" s="299">
        <f>'A2'!I26+'A2'!I33+'A2'!I43</f>
        <v>0</v>
      </c>
      <c r="H22" s="299">
        <f>'A2'!J26+'A2'!J33+'A2'!J43</f>
        <v>0</v>
      </c>
      <c r="I22" s="299">
        <f>'A2'!K26+'A2'!K33+'A2'!K43</f>
        <v>0</v>
      </c>
      <c r="J22" s="299">
        <f>'A2'!L26+'A2'!L33+'A2'!L43</f>
        <v>0</v>
      </c>
      <c r="K22" s="299">
        <f>'A2'!M26+'A2'!M33+'A2'!M43</f>
        <v>0</v>
      </c>
      <c r="L22" s="299">
        <f>'A2'!N26+'A2'!N33+'A2'!N43</f>
        <v>0</v>
      </c>
      <c r="M22" s="299">
        <f>'A2'!O26+'A2'!O33+'A2'!O43</f>
        <v>0</v>
      </c>
      <c r="N22" s="300">
        <f>'A2'!P26+'A2'!P33+'A2'!P43</f>
        <v>0</v>
      </c>
      <c r="O22" s="293">
        <f>SUM(C22:N22)</f>
        <v>0</v>
      </c>
    </row>
    <row r="23" spans="1:15" s="58" customFormat="1" ht="12" customHeight="1" thickBot="1">
      <c r="A23" s="162" t="s">
        <v>371</v>
      </c>
      <c r="B23" s="43"/>
      <c r="C23" s="305">
        <f t="shared" ref="C23:N23" si="3">C21+C22</f>
        <v>0</v>
      </c>
      <c r="D23" s="305">
        <f t="shared" si="3"/>
        <v>0</v>
      </c>
      <c r="E23" s="305">
        <f t="shared" si="3"/>
        <v>0</v>
      </c>
      <c r="F23" s="305">
        <f t="shared" si="3"/>
        <v>0</v>
      </c>
      <c r="G23" s="305">
        <f t="shared" si="3"/>
        <v>0</v>
      </c>
      <c r="H23" s="305">
        <f t="shared" si="3"/>
        <v>0</v>
      </c>
      <c r="I23" s="305">
        <f t="shared" si="3"/>
        <v>0</v>
      </c>
      <c r="J23" s="305">
        <f t="shared" si="3"/>
        <v>0</v>
      </c>
      <c r="K23" s="305">
        <f t="shared" si="3"/>
        <v>0</v>
      </c>
      <c r="L23" s="305">
        <f t="shared" si="3"/>
        <v>0</v>
      </c>
      <c r="M23" s="305">
        <f t="shared" si="3"/>
        <v>0</v>
      </c>
      <c r="N23" s="305">
        <f t="shared" si="3"/>
        <v>0</v>
      </c>
      <c r="O23" s="293">
        <f>SUM(C23:N23)</f>
        <v>0</v>
      </c>
    </row>
    <row r="24" spans="1:15" s="58" customFormat="1" ht="12" customHeight="1" thickBot="1">
      <c r="A24" s="162" t="s">
        <v>372</v>
      </c>
      <c r="B24" s="43"/>
      <c r="C24" s="403">
        <v>0</v>
      </c>
      <c r="D24" s="405">
        <f>C24</f>
        <v>0</v>
      </c>
      <c r="E24" s="404">
        <f t="shared" ref="E24:N24" si="4">D24</f>
        <v>0</v>
      </c>
      <c r="F24" s="404">
        <f t="shared" si="4"/>
        <v>0</v>
      </c>
      <c r="G24" s="404">
        <f t="shared" si="4"/>
        <v>0</v>
      </c>
      <c r="H24" s="404">
        <f t="shared" si="4"/>
        <v>0</v>
      </c>
      <c r="I24" s="404">
        <f t="shared" si="4"/>
        <v>0</v>
      </c>
      <c r="J24" s="404">
        <f t="shared" si="4"/>
        <v>0</v>
      </c>
      <c r="K24" s="404">
        <f t="shared" si="4"/>
        <v>0</v>
      </c>
      <c r="L24" s="404">
        <f t="shared" si="4"/>
        <v>0</v>
      </c>
      <c r="M24" s="404">
        <f t="shared" si="4"/>
        <v>0</v>
      </c>
      <c r="N24" s="404">
        <f t="shared" si="4"/>
        <v>0</v>
      </c>
      <c r="O24" s="293">
        <f>SUM(C24:N24)</f>
        <v>0</v>
      </c>
    </row>
    <row r="25" spans="1:15" s="59" customFormat="1" ht="12" customHeight="1" thickBot="1">
      <c r="A25" s="78" t="s">
        <v>524</v>
      </c>
      <c r="B25" s="48"/>
      <c r="C25" s="398">
        <f t="shared" ref="C25:O25" si="5">C23-C24</f>
        <v>0</v>
      </c>
      <c r="D25" s="293">
        <f t="shared" si="5"/>
        <v>0</v>
      </c>
      <c r="E25" s="293">
        <f t="shared" si="5"/>
        <v>0</v>
      </c>
      <c r="F25" s="293">
        <f t="shared" si="5"/>
        <v>0</v>
      </c>
      <c r="G25" s="293">
        <f t="shared" si="5"/>
        <v>0</v>
      </c>
      <c r="H25" s="293">
        <f t="shared" si="5"/>
        <v>0</v>
      </c>
      <c r="I25" s="293">
        <f t="shared" si="5"/>
        <v>0</v>
      </c>
      <c r="J25" s="293">
        <f t="shared" si="5"/>
        <v>0</v>
      </c>
      <c r="K25" s="293">
        <f t="shared" si="5"/>
        <v>0</v>
      </c>
      <c r="L25" s="293">
        <f t="shared" si="5"/>
        <v>0</v>
      </c>
      <c r="M25" s="293">
        <f t="shared" si="5"/>
        <v>0</v>
      </c>
      <c r="N25" s="293">
        <f t="shared" si="5"/>
        <v>0</v>
      </c>
      <c r="O25" s="293">
        <f t="shared" si="5"/>
        <v>0</v>
      </c>
    </row>
    <row r="26" spans="1:15" s="58" customFormat="1" ht="12" customHeight="1">
      <c r="A26" s="48"/>
      <c r="C26" s="294"/>
      <c r="D26" s="295"/>
      <c r="E26" s="295"/>
      <c r="F26" s="295"/>
      <c r="G26" s="295"/>
      <c r="H26" s="295"/>
      <c r="I26" s="295"/>
      <c r="J26" s="295"/>
      <c r="K26" s="295"/>
      <c r="L26" s="295"/>
      <c r="M26" s="295"/>
      <c r="N26" s="295"/>
      <c r="O26" s="295"/>
    </row>
    <row r="27" spans="1:15" s="59" customFormat="1" ht="12" customHeight="1" thickBot="1">
      <c r="A27" s="78" t="s">
        <v>525</v>
      </c>
      <c r="B27" s="48"/>
      <c r="C27" s="322">
        <f>B29</f>
        <v>0</v>
      </c>
      <c r="D27" s="322">
        <f t="shared" ref="D27:N27" si="6">C27</f>
        <v>0</v>
      </c>
      <c r="E27" s="323">
        <f t="shared" si="6"/>
        <v>0</v>
      </c>
      <c r="F27" s="323">
        <f t="shared" si="6"/>
        <v>0</v>
      </c>
      <c r="G27" s="323">
        <f t="shared" si="6"/>
        <v>0</v>
      </c>
      <c r="H27" s="323">
        <f t="shared" si="6"/>
        <v>0</v>
      </c>
      <c r="I27" s="323">
        <f t="shared" si="6"/>
        <v>0</v>
      </c>
      <c r="J27" s="323">
        <f t="shared" si="6"/>
        <v>0</v>
      </c>
      <c r="K27" s="323">
        <f t="shared" si="6"/>
        <v>0</v>
      </c>
      <c r="L27" s="323">
        <f t="shared" si="6"/>
        <v>0</v>
      </c>
      <c r="M27" s="323">
        <f t="shared" si="6"/>
        <v>0</v>
      </c>
      <c r="N27" s="323">
        <f t="shared" si="6"/>
        <v>0</v>
      </c>
      <c r="O27" s="304"/>
    </row>
    <row r="28" spans="1:15" s="58" customFormat="1" ht="12" customHeight="1" thickBot="1">
      <c r="A28" s="162" t="s">
        <v>526</v>
      </c>
      <c r="B28" s="43"/>
      <c r="C28" s="301">
        <f>TE!C140</f>
        <v>0</v>
      </c>
      <c r="D28" s="301">
        <f>TE!D140</f>
        <v>0</v>
      </c>
      <c r="E28" s="301">
        <f>TE!E140</f>
        <v>0</v>
      </c>
      <c r="F28" s="301">
        <f>TE!F140</f>
        <v>0</v>
      </c>
      <c r="G28" s="301">
        <f>TE!G140</f>
        <v>0</v>
      </c>
      <c r="H28" s="301">
        <f>TE!H140</f>
        <v>0</v>
      </c>
      <c r="I28" s="301">
        <f>TE!I140</f>
        <v>0</v>
      </c>
      <c r="J28" s="301">
        <f>TE!J140</f>
        <v>0</v>
      </c>
      <c r="K28" s="301">
        <f>TE!K140</f>
        <v>0</v>
      </c>
      <c r="L28" s="301">
        <f>TE!L140</f>
        <v>0</v>
      </c>
      <c r="M28" s="301">
        <f>TE!M140</f>
        <v>0</v>
      </c>
      <c r="N28" s="301">
        <f>TE!N140</f>
        <v>0</v>
      </c>
      <c r="O28" s="293">
        <f>SUM(C28:N28)</f>
        <v>0</v>
      </c>
    </row>
    <row r="29" spans="1:15" s="58" customFormat="1" ht="12" customHeight="1" thickBot="1">
      <c r="A29" s="162" t="s">
        <v>527</v>
      </c>
      <c r="B29" s="62"/>
      <c r="C29" s="305">
        <f>C28*TE!$B$141</f>
        <v>0</v>
      </c>
      <c r="D29" s="305">
        <f>D28*TE!$B$141</f>
        <v>0</v>
      </c>
      <c r="E29" s="305">
        <f>E28*TE!$B$141</f>
        <v>0</v>
      </c>
      <c r="F29" s="305">
        <f>F28*TE!$B$141</f>
        <v>0</v>
      </c>
      <c r="G29" s="305">
        <f>G28*TE!$B$141</f>
        <v>0</v>
      </c>
      <c r="H29" s="305">
        <f>H28*TE!$B$141</f>
        <v>0</v>
      </c>
      <c r="I29" s="305">
        <f>I28*TE!$B$141</f>
        <v>0</v>
      </c>
      <c r="J29" s="305">
        <f>J28*TE!$B$141</f>
        <v>0</v>
      </c>
      <c r="K29" s="305">
        <f>K28*TE!$B$141</f>
        <v>0</v>
      </c>
      <c r="L29" s="305">
        <f>L28*TE!$B$141</f>
        <v>0</v>
      </c>
      <c r="M29" s="305">
        <f>M28*TE!$B$141</f>
        <v>0</v>
      </c>
      <c r="N29" s="305">
        <f>N28*TE!$B$141</f>
        <v>0</v>
      </c>
      <c r="O29" s="293">
        <f>SUM(C29:N29)</f>
        <v>0</v>
      </c>
    </row>
    <row r="30" spans="1:15" s="59" customFormat="1" ht="12" customHeight="1" thickBot="1">
      <c r="A30" s="78" t="s">
        <v>528</v>
      </c>
      <c r="B30" s="48"/>
      <c r="C30" s="293">
        <f t="shared" ref="C30:O30" si="7">C28+C29</f>
        <v>0</v>
      </c>
      <c r="D30" s="293">
        <f t="shared" si="7"/>
        <v>0</v>
      </c>
      <c r="E30" s="293">
        <f t="shared" si="7"/>
        <v>0</v>
      </c>
      <c r="F30" s="293">
        <f t="shared" si="7"/>
        <v>0</v>
      </c>
      <c r="G30" s="293">
        <f t="shared" si="7"/>
        <v>0</v>
      </c>
      <c r="H30" s="293">
        <f t="shared" si="7"/>
        <v>0</v>
      </c>
      <c r="I30" s="293">
        <f t="shared" si="7"/>
        <v>0</v>
      </c>
      <c r="J30" s="293">
        <f t="shared" si="7"/>
        <v>0</v>
      </c>
      <c r="K30" s="293">
        <f t="shared" si="7"/>
        <v>0</v>
      </c>
      <c r="L30" s="293">
        <f t="shared" si="7"/>
        <v>0</v>
      </c>
      <c r="M30" s="293">
        <f t="shared" si="7"/>
        <v>0</v>
      </c>
      <c r="N30" s="293">
        <f t="shared" si="7"/>
        <v>0</v>
      </c>
      <c r="O30" s="293">
        <f t="shared" si="7"/>
        <v>0</v>
      </c>
    </row>
    <row r="31" spans="1:15" s="58" customFormat="1" ht="12" customHeight="1">
      <c r="A31" s="48"/>
      <c r="C31" s="294"/>
      <c r="D31" s="295"/>
      <c r="E31" s="295"/>
      <c r="F31" s="295"/>
      <c r="G31" s="295"/>
      <c r="H31" s="295"/>
      <c r="I31" s="295"/>
      <c r="J31" s="295"/>
      <c r="K31" s="295"/>
      <c r="L31" s="295"/>
      <c r="M31" s="295"/>
      <c r="N31" s="295"/>
      <c r="O31" s="295"/>
    </row>
    <row r="32" spans="1:15" s="59" customFormat="1" ht="12" customHeight="1" thickBot="1">
      <c r="A32" s="78" t="s">
        <v>380</v>
      </c>
      <c r="B32" s="48"/>
      <c r="C32" s="46"/>
      <c r="D32" s="46"/>
      <c r="E32" s="46"/>
      <c r="F32" s="46"/>
      <c r="G32" s="46"/>
      <c r="H32" s="46"/>
      <c r="I32" s="46"/>
      <c r="J32" s="46"/>
      <c r="K32" s="46"/>
      <c r="L32" s="46"/>
      <c r="M32" s="46"/>
      <c r="N32" s="46"/>
      <c r="O32" s="46"/>
    </row>
    <row r="33" spans="1:15" s="58" customFormat="1" ht="12" customHeight="1" thickBot="1">
      <c r="A33" s="162" t="str">
        <f>'FG1'!A14</f>
        <v>Loyer</v>
      </c>
      <c r="B33" s="43"/>
      <c r="C33" s="301">
        <f>'FG2'!C14</f>
        <v>0</v>
      </c>
      <c r="D33" s="301">
        <f>'FG2'!D14</f>
        <v>0</v>
      </c>
      <c r="E33" s="301">
        <f>'FG2'!E14</f>
        <v>0</v>
      </c>
      <c r="F33" s="301">
        <f>'FG2'!F14</f>
        <v>0</v>
      </c>
      <c r="G33" s="301">
        <f>'FG2'!G14</f>
        <v>0</v>
      </c>
      <c r="H33" s="301">
        <f>'FG2'!H14</f>
        <v>0</v>
      </c>
      <c r="I33" s="301">
        <f>'FG2'!I14</f>
        <v>0</v>
      </c>
      <c r="J33" s="301">
        <f>'FG2'!J14</f>
        <v>0</v>
      </c>
      <c r="K33" s="301">
        <f>'FG2'!K14</f>
        <v>0</v>
      </c>
      <c r="L33" s="301">
        <f>'FG2'!L14</f>
        <v>0</v>
      </c>
      <c r="M33" s="301">
        <f>'FG2'!M14</f>
        <v>0</v>
      </c>
      <c r="N33" s="301">
        <f>'FG2'!N14</f>
        <v>0</v>
      </c>
      <c r="O33" s="293">
        <f t="shared" ref="O33:O49" si="8">SUM(C33:N33)</f>
        <v>0</v>
      </c>
    </row>
    <row r="34" spans="1:15" s="58" customFormat="1" ht="12" customHeight="1" thickBot="1">
      <c r="A34" s="162" t="str">
        <f>'FG1'!A16</f>
        <v>Coût d'énergie</v>
      </c>
      <c r="B34" s="43"/>
      <c r="C34" s="301">
        <f>'FG2'!C16</f>
        <v>0</v>
      </c>
      <c r="D34" s="301">
        <f>'FG2'!D16</f>
        <v>0</v>
      </c>
      <c r="E34" s="301">
        <f>'FG2'!E16</f>
        <v>0</v>
      </c>
      <c r="F34" s="301">
        <f>'FG2'!F16</f>
        <v>0</v>
      </c>
      <c r="G34" s="301">
        <f>'FG2'!G16</f>
        <v>0</v>
      </c>
      <c r="H34" s="301">
        <f>'FG2'!H16</f>
        <v>0</v>
      </c>
      <c r="I34" s="301">
        <f>'FG2'!I16</f>
        <v>0</v>
      </c>
      <c r="J34" s="301">
        <f>'FG2'!J16</f>
        <v>0</v>
      </c>
      <c r="K34" s="301">
        <f>'FG2'!K16</f>
        <v>0</v>
      </c>
      <c r="L34" s="301">
        <f>'FG2'!L16</f>
        <v>0</v>
      </c>
      <c r="M34" s="301">
        <f>'FG2'!M16</f>
        <v>0</v>
      </c>
      <c r="N34" s="301">
        <f>'FG2'!N16</f>
        <v>0</v>
      </c>
      <c r="O34" s="293">
        <f t="shared" si="8"/>
        <v>0</v>
      </c>
    </row>
    <row r="35" spans="1:15" s="58" customFormat="1" ht="12" customHeight="1" thickBot="1">
      <c r="A35" s="162" t="str">
        <f>'FG1'!A18</f>
        <v>Entretien / réparation</v>
      </c>
      <c r="B35" s="43"/>
      <c r="C35" s="301">
        <f>'FG2'!C18</f>
        <v>0</v>
      </c>
      <c r="D35" s="301">
        <f>'FG2'!D18</f>
        <v>0</v>
      </c>
      <c r="E35" s="301">
        <f>'FG2'!E18</f>
        <v>0</v>
      </c>
      <c r="F35" s="301">
        <f>'FG2'!F18</f>
        <v>0</v>
      </c>
      <c r="G35" s="301">
        <f>'FG2'!G18</f>
        <v>0</v>
      </c>
      <c r="H35" s="301">
        <f>'FG2'!H18</f>
        <v>0</v>
      </c>
      <c r="I35" s="301">
        <f>'FG2'!I18</f>
        <v>0</v>
      </c>
      <c r="J35" s="301">
        <f>'FG2'!J18</f>
        <v>0</v>
      </c>
      <c r="K35" s="301">
        <f>'FG2'!K18</f>
        <v>0</v>
      </c>
      <c r="L35" s="301">
        <f>'FG2'!L18</f>
        <v>0</v>
      </c>
      <c r="M35" s="301">
        <f>'FG2'!M18</f>
        <v>0</v>
      </c>
      <c r="N35" s="301">
        <f>'FG2'!N18</f>
        <v>0</v>
      </c>
      <c r="O35" s="293">
        <f t="shared" si="8"/>
        <v>0</v>
      </c>
    </row>
    <row r="36" spans="1:15" s="58" customFormat="1" ht="12" customHeight="1" thickBot="1">
      <c r="A36" s="162" t="str">
        <f>'FG1'!A20</f>
        <v>Services sanitaires</v>
      </c>
      <c r="B36" s="43"/>
      <c r="C36" s="301">
        <f>'FG2'!C20</f>
        <v>0</v>
      </c>
      <c r="D36" s="301">
        <f>'FG2'!D20</f>
        <v>0</v>
      </c>
      <c r="E36" s="301">
        <f>'FG2'!E20</f>
        <v>0</v>
      </c>
      <c r="F36" s="301">
        <f>'FG2'!F20</f>
        <v>0</v>
      </c>
      <c r="G36" s="301">
        <f>'FG2'!G20</f>
        <v>0</v>
      </c>
      <c r="H36" s="301">
        <f>'FG2'!H20</f>
        <v>0</v>
      </c>
      <c r="I36" s="301">
        <f>'FG2'!I20</f>
        <v>0</v>
      </c>
      <c r="J36" s="301">
        <f>'FG2'!J20</f>
        <v>0</v>
      </c>
      <c r="K36" s="301">
        <f>'FG2'!K20</f>
        <v>0</v>
      </c>
      <c r="L36" s="301">
        <f>'FG2'!L20</f>
        <v>0</v>
      </c>
      <c r="M36" s="301">
        <f>'FG2'!M20</f>
        <v>0</v>
      </c>
      <c r="N36" s="301">
        <f>'FG2'!N20</f>
        <v>0</v>
      </c>
      <c r="O36" s="293">
        <f t="shared" si="8"/>
        <v>0</v>
      </c>
    </row>
    <row r="37" spans="1:15" s="58" customFormat="1" ht="12" customHeight="1" thickBot="1">
      <c r="A37" s="162" t="s">
        <v>587</v>
      </c>
      <c r="B37" s="307"/>
      <c r="C37" s="301">
        <f>(A!H17+A!H18+A!H20)/12</f>
        <v>4.166666666666667</v>
      </c>
      <c r="D37" s="301">
        <f t="shared" ref="D37:N37" si="9">C37</f>
        <v>4.166666666666667</v>
      </c>
      <c r="E37" s="301">
        <f t="shared" si="9"/>
        <v>4.166666666666667</v>
      </c>
      <c r="F37" s="301">
        <f t="shared" si="9"/>
        <v>4.166666666666667</v>
      </c>
      <c r="G37" s="301">
        <f t="shared" si="9"/>
        <v>4.166666666666667</v>
      </c>
      <c r="H37" s="301">
        <f t="shared" si="9"/>
        <v>4.166666666666667</v>
      </c>
      <c r="I37" s="301">
        <f t="shared" si="9"/>
        <v>4.166666666666667</v>
      </c>
      <c r="J37" s="301">
        <f t="shared" si="9"/>
        <v>4.166666666666667</v>
      </c>
      <c r="K37" s="301">
        <f t="shared" si="9"/>
        <v>4.166666666666667</v>
      </c>
      <c r="L37" s="301">
        <f t="shared" si="9"/>
        <v>4.166666666666667</v>
      </c>
      <c r="M37" s="301">
        <f t="shared" si="9"/>
        <v>4.166666666666667</v>
      </c>
      <c r="N37" s="301">
        <f t="shared" si="9"/>
        <v>4.166666666666667</v>
      </c>
      <c r="O37" s="293">
        <f t="shared" si="8"/>
        <v>49.999999999999993</v>
      </c>
    </row>
    <row r="38" spans="1:15" s="58" customFormat="1" ht="12" customHeight="1" thickBot="1">
      <c r="A38" s="162" t="str">
        <f>'FG1'!A22</f>
        <v>Frais de déplacement</v>
      </c>
      <c r="B38" s="43"/>
      <c r="C38" s="301">
        <f>'FG2'!C22</f>
        <v>0</v>
      </c>
      <c r="D38" s="301">
        <f>'FG2'!D22</f>
        <v>0</v>
      </c>
      <c r="E38" s="301">
        <f>'FG2'!E22</f>
        <v>0</v>
      </c>
      <c r="F38" s="301">
        <f>'FG2'!F22</f>
        <v>0</v>
      </c>
      <c r="G38" s="301">
        <f>'FG2'!G22</f>
        <v>0</v>
      </c>
      <c r="H38" s="301">
        <f>'FG2'!H22</f>
        <v>0</v>
      </c>
      <c r="I38" s="301">
        <f>'FG2'!I22</f>
        <v>0</v>
      </c>
      <c r="J38" s="301">
        <f>'FG2'!J22</f>
        <v>0</v>
      </c>
      <c r="K38" s="301">
        <f>'FG2'!K22</f>
        <v>0</v>
      </c>
      <c r="L38" s="301">
        <f>'FG2'!L22</f>
        <v>0</v>
      </c>
      <c r="M38" s="301">
        <f>'FG2'!M22</f>
        <v>0</v>
      </c>
      <c r="N38" s="301">
        <f>'FG2'!N22</f>
        <v>0</v>
      </c>
      <c r="O38" s="293">
        <f t="shared" si="8"/>
        <v>0</v>
      </c>
    </row>
    <row r="39" spans="1:15" s="58" customFormat="1" ht="12" customHeight="1" thickBot="1">
      <c r="A39" s="162" t="str">
        <f>'FG1'!A24</f>
        <v>Immatriculation et permis</v>
      </c>
      <c r="B39" s="43"/>
      <c r="C39" s="301">
        <f>'FG2'!C24</f>
        <v>0</v>
      </c>
      <c r="D39" s="301">
        <f>'FG2'!D24</f>
        <v>0</v>
      </c>
      <c r="E39" s="301">
        <f>'FG2'!E24</f>
        <v>0</v>
      </c>
      <c r="F39" s="301">
        <f>'FG2'!F24</f>
        <v>0</v>
      </c>
      <c r="G39" s="301">
        <f>'FG2'!G24</f>
        <v>0</v>
      </c>
      <c r="H39" s="301">
        <f>'FG2'!H24</f>
        <v>0</v>
      </c>
      <c r="I39" s="301">
        <f>'FG2'!I24</f>
        <v>0</v>
      </c>
      <c r="J39" s="301">
        <f>'FG2'!J24</f>
        <v>0</v>
      </c>
      <c r="K39" s="301">
        <f>'FG2'!K24</f>
        <v>0</v>
      </c>
      <c r="L39" s="301">
        <f>'FG2'!L24</f>
        <v>0</v>
      </c>
      <c r="M39" s="301">
        <f>'FG2'!M24</f>
        <v>0</v>
      </c>
      <c r="N39" s="301">
        <f>'FG2'!N24</f>
        <v>0</v>
      </c>
      <c r="O39" s="293">
        <f t="shared" si="8"/>
        <v>0</v>
      </c>
    </row>
    <row r="40" spans="1:15" s="58" customFormat="1" ht="12" customHeight="1" thickBot="1">
      <c r="A40" s="162" t="str">
        <f>'FG1'!A26</f>
        <v>Assurances</v>
      </c>
      <c r="B40" s="43"/>
      <c r="C40" s="301">
        <f>'FG2'!C26</f>
        <v>0</v>
      </c>
      <c r="D40" s="301">
        <f>'FG2'!D26</f>
        <v>0</v>
      </c>
      <c r="E40" s="301">
        <f>'FG2'!E26</f>
        <v>0</v>
      </c>
      <c r="F40" s="301">
        <f>'FG2'!F26</f>
        <v>0</v>
      </c>
      <c r="G40" s="301">
        <f>'FG2'!G26</f>
        <v>0</v>
      </c>
      <c r="H40" s="301">
        <f>'FG2'!H26</f>
        <v>0</v>
      </c>
      <c r="I40" s="301">
        <f>'FG2'!I26</f>
        <v>0</v>
      </c>
      <c r="J40" s="301">
        <f>'FG2'!J26</f>
        <v>0</v>
      </c>
      <c r="K40" s="301">
        <f>'FG2'!K26</f>
        <v>0</v>
      </c>
      <c r="L40" s="301">
        <f>'FG2'!L26</f>
        <v>0</v>
      </c>
      <c r="M40" s="301">
        <f>'FG2'!M26</f>
        <v>0</v>
      </c>
      <c r="N40" s="301">
        <f>'FG2'!N26</f>
        <v>0</v>
      </c>
      <c r="O40" s="293">
        <f t="shared" si="8"/>
        <v>0</v>
      </c>
    </row>
    <row r="41" spans="1:15" s="58" customFormat="1" ht="12" customHeight="1" thickBot="1">
      <c r="A41" s="162" t="str">
        <f>'FG1'!A28</f>
        <v>Dépenses R&amp;D</v>
      </c>
      <c r="B41" s="43"/>
      <c r="C41" s="301">
        <f>'FG2'!C28</f>
        <v>0</v>
      </c>
      <c r="D41" s="301">
        <f>'FG2'!D28</f>
        <v>0</v>
      </c>
      <c r="E41" s="301">
        <f>'FG2'!E28</f>
        <v>0</v>
      </c>
      <c r="F41" s="301">
        <f>'FG2'!F28</f>
        <v>0</v>
      </c>
      <c r="G41" s="301">
        <f>'FG2'!G28</f>
        <v>0</v>
      </c>
      <c r="H41" s="301">
        <f>'FG2'!H28</f>
        <v>0</v>
      </c>
      <c r="I41" s="301">
        <f>'FG2'!I28</f>
        <v>0</v>
      </c>
      <c r="J41" s="301">
        <f>'FG2'!J28</f>
        <v>0</v>
      </c>
      <c r="K41" s="301">
        <f>'FG2'!K28</f>
        <v>0</v>
      </c>
      <c r="L41" s="301">
        <f>'FG2'!L28</f>
        <v>0</v>
      </c>
      <c r="M41" s="301">
        <f>'FG2'!M28</f>
        <v>0</v>
      </c>
      <c r="N41" s="301">
        <f>'FG2'!N28</f>
        <v>0</v>
      </c>
      <c r="O41" s="293">
        <f t="shared" si="8"/>
        <v>0</v>
      </c>
    </row>
    <row r="42" spans="1:15" s="58" customFormat="1" ht="12" customHeight="1" thickBot="1">
      <c r="A42" s="162" t="str">
        <f>'FG1'!A30</f>
        <v>Autre frais d'exploitation 1</v>
      </c>
      <c r="B42" s="43"/>
      <c r="C42" s="301">
        <f>'FG2'!C30</f>
        <v>0</v>
      </c>
      <c r="D42" s="301">
        <f>'FG2'!D30</f>
        <v>0</v>
      </c>
      <c r="E42" s="301">
        <f>'FG2'!E30</f>
        <v>0</v>
      </c>
      <c r="F42" s="301">
        <f>'FG2'!F30</f>
        <v>0</v>
      </c>
      <c r="G42" s="301">
        <f>'FG2'!G30</f>
        <v>0</v>
      </c>
      <c r="H42" s="301">
        <f>'FG2'!H30</f>
        <v>0</v>
      </c>
      <c r="I42" s="301">
        <f>'FG2'!I30</f>
        <v>0</v>
      </c>
      <c r="J42" s="301">
        <f>'FG2'!J30</f>
        <v>0</v>
      </c>
      <c r="K42" s="301">
        <f>'FG2'!K30</f>
        <v>0</v>
      </c>
      <c r="L42" s="301">
        <f>'FG2'!L30</f>
        <v>0</v>
      </c>
      <c r="M42" s="301">
        <f>'FG2'!M30</f>
        <v>0</v>
      </c>
      <c r="N42" s="301">
        <f>'FG2'!N30</f>
        <v>0</v>
      </c>
      <c r="O42" s="293">
        <f t="shared" si="8"/>
        <v>0</v>
      </c>
    </row>
    <row r="43" spans="1:15" s="58" customFormat="1" ht="12" customHeight="1" thickBot="1">
      <c r="A43" s="162" t="str">
        <f>'FG1'!A32</f>
        <v>Autre frais d'exploitation 2</v>
      </c>
      <c r="B43" s="43"/>
      <c r="C43" s="301">
        <f>'FG2'!C32</f>
        <v>0</v>
      </c>
      <c r="D43" s="301">
        <f>'FG2'!D32</f>
        <v>0</v>
      </c>
      <c r="E43" s="301">
        <f>'FG2'!E32</f>
        <v>0</v>
      </c>
      <c r="F43" s="301">
        <f>'FG2'!F32</f>
        <v>0</v>
      </c>
      <c r="G43" s="301">
        <f>'FG2'!G32</f>
        <v>0</v>
      </c>
      <c r="H43" s="301">
        <f>'FG2'!H32</f>
        <v>0</v>
      </c>
      <c r="I43" s="301">
        <f>'FG2'!I32</f>
        <v>0</v>
      </c>
      <c r="J43" s="301">
        <f>'FG2'!J32</f>
        <v>0</v>
      </c>
      <c r="K43" s="301">
        <f>'FG2'!K32</f>
        <v>0</v>
      </c>
      <c r="L43" s="301">
        <f>'FG2'!L32</f>
        <v>0</v>
      </c>
      <c r="M43" s="301">
        <f>'FG2'!M32</f>
        <v>0</v>
      </c>
      <c r="N43" s="301">
        <f>'FG2'!N32</f>
        <v>0</v>
      </c>
      <c r="O43" s="293">
        <f t="shared" si="8"/>
        <v>0</v>
      </c>
    </row>
    <row r="44" spans="1:15" s="58" customFormat="1" ht="12" customHeight="1" thickBot="1">
      <c r="A44" s="162" t="str">
        <f>'FG1'!A34</f>
        <v>Autre frais d'exploitation 3</v>
      </c>
      <c r="B44" s="43"/>
      <c r="C44" s="301">
        <f>'FG2'!C34</f>
        <v>0</v>
      </c>
      <c r="D44" s="301">
        <f>'FG2'!D34</f>
        <v>0</v>
      </c>
      <c r="E44" s="301">
        <f>'FG2'!E34</f>
        <v>0</v>
      </c>
      <c r="F44" s="301">
        <f>'FG2'!F34</f>
        <v>0</v>
      </c>
      <c r="G44" s="301">
        <f>'FG2'!G34</f>
        <v>0</v>
      </c>
      <c r="H44" s="301">
        <f>'FG2'!H34</f>
        <v>0</v>
      </c>
      <c r="I44" s="301">
        <f>'FG2'!I34</f>
        <v>0</v>
      </c>
      <c r="J44" s="301">
        <f>'FG2'!J34</f>
        <v>0</v>
      </c>
      <c r="K44" s="301">
        <f>'FG2'!K34</f>
        <v>0</v>
      </c>
      <c r="L44" s="301">
        <f>'FG2'!L34</f>
        <v>0</v>
      </c>
      <c r="M44" s="301">
        <f>'FG2'!M34</f>
        <v>0</v>
      </c>
      <c r="N44" s="301">
        <f>'FG2'!N34</f>
        <v>0</v>
      </c>
      <c r="O44" s="293">
        <f t="shared" si="8"/>
        <v>0</v>
      </c>
    </row>
    <row r="45" spans="1:15" s="58" customFormat="1" ht="12" customHeight="1" thickBot="1">
      <c r="A45" s="162" t="str">
        <f>'FG1'!A36</f>
        <v>Autre frais d'exploitation 4</v>
      </c>
      <c r="B45" s="43"/>
      <c r="C45" s="301">
        <f>'FG2'!C36</f>
        <v>0</v>
      </c>
      <c r="D45" s="301">
        <f>'FG2'!D36</f>
        <v>0</v>
      </c>
      <c r="E45" s="301">
        <f>'FG2'!E36</f>
        <v>0</v>
      </c>
      <c r="F45" s="301">
        <f>'FG2'!F36</f>
        <v>0</v>
      </c>
      <c r="G45" s="301">
        <f>'FG2'!G36</f>
        <v>0</v>
      </c>
      <c r="H45" s="301">
        <f>'FG2'!H36</f>
        <v>0</v>
      </c>
      <c r="I45" s="301">
        <f>'FG2'!I36</f>
        <v>0</v>
      </c>
      <c r="J45" s="301">
        <f>'FG2'!J36</f>
        <v>0</v>
      </c>
      <c r="K45" s="301">
        <f>'FG2'!K36</f>
        <v>0</v>
      </c>
      <c r="L45" s="301">
        <f>'FG2'!L36</f>
        <v>0</v>
      </c>
      <c r="M45" s="301">
        <f>'FG2'!M36</f>
        <v>0</v>
      </c>
      <c r="N45" s="301">
        <f>'FG2'!N36</f>
        <v>0</v>
      </c>
      <c r="O45" s="293">
        <f t="shared" si="8"/>
        <v>0</v>
      </c>
    </row>
    <row r="46" spans="1:15" s="58" customFormat="1" ht="12" customHeight="1" thickBot="1">
      <c r="A46" s="162" t="str">
        <f>'FG1'!A38</f>
        <v>Autre frais d'exploitation 5</v>
      </c>
      <c r="B46" s="43"/>
      <c r="C46" s="301">
        <f>'FG2'!C38</f>
        <v>0</v>
      </c>
      <c r="D46" s="301">
        <f>'FG2'!D38</f>
        <v>0</v>
      </c>
      <c r="E46" s="301">
        <f>'FG2'!E38</f>
        <v>0</v>
      </c>
      <c r="F46" s="301">
        <f>'FG2'!F38</f>
        <v>0</v>
      </c>
      <c r="G46" s="301">
        <f>'FG2'!G38</f>
        <v>0</v>
      </c>
      <c r="H46" s="301">
        <f>'FG2'!H38</f>
        <v>0</v>
      </c>
      <c r="I46" s="301">
        <f>'FG2'!I38</f>
        <v>0</v>
      </c>
      <c r="J46" s="301">
        <f>'FG2'!J38</f>
        <v>0</v>
      </c>
      <c r="K46" s="301">
        <f>'FG2'!K38</f>
        <v>0</v>
      </c>
      <c r="L46" s="301">
        <f>'FG2'!L38</f>
        <v>0</v>
      </c>
      <c r="M46" s="301">
        <f>'FG2'!M38</f>
        <v>0</v>
      </c>
      <c r="N46" s="301">
        <f>'FG2'!N38</f>
        <v>0</v>
      </c>
      <c r="O46" s="293">
        <f t="shared" si="8"/>
        <v>0</v>
      </c>
    </row>
    <row r="47" spans="1:15" s="58" customFormat="1" ht="12" customHeight="1" thickBot="1">
      <c r="A47" s="162" t="str">
        <f>'FG1'!A40</f>
        <v>Autre frais d'exploitation 6</v>
      </c>
      <c r="B47" s="43"/>
      <c r="C47" s="301">
        <f>'FG2'!C40</f>
        <v>0</v>
      </c>
      <c r="D47" s="301">
        <f>'FG2'!D40</f>
        <v>0</v>
      </c>
      <c r="E47" s="301">
        <f>'FG2'!E40</f>
        <v>0</v>
      </c>
      <c r="F47" s="301">
        <f>'FG2'!F40</f>
        <v>0</v>
      </c>
      <c r="G47" s="301">
        <f>'FG2'!G40</f>
        <v>0</v>
      </c>
      <c r="H47" s="301">
        <f>'FG2'!H40</f>
        <v>0</v>
      </c>
      <c r="I47" s="301">
        <f>'FG2'!I40</f>
        <v>0</v>
      </c>
      <c r="J47" s="301">
        <f>'FG2'!J40</f>
        <v>0</v>
      </c>
      <c r="K47" s="301">
        <f>'FG2'!K40</f>
        <v>0</v>
      </c>
      <c r="L47" s="301">
        <f>'FG2'!L40</f>
        <v>0</v>
      </c>
      <c r="M47" s="301">
        <f>'FG2'!M40</f>
        <v>0</v>
      </c>
      <c r="N47" s="301">
        <f>'FG2'!N40</f>
        <v>0</v>
      </c>
      <c r="O47" s="293">
        <f t="shared" si="8"/>
        <v>0</v>
      </c>
    </row>
    <row r="48" spans="1:15" s="58" customFormat="1" ht="12" customHeight="1" thickBot="1">
      <c r="A48" s="162" t="str">
        <f>'FG1'!A42</f>
        <v>Autre frais d'exploitation 7</v>
      </c>
      <c r="B48" s="43"/>
      <c r="C48" s="301">
        <f>'FG2'!C42</f>
        <v>0</v>
      </c>
      <c r="D48" s="301">
        <f>'FG2'!D42</f>
        <v>0</v>
      </c>
      <c r="E48" s="301">
        <f>'FG2'!E42</f>
        <v>0</v>
      </c>
      <c r="F48" s="301">
        <f>'FG2'!F42</f>
        <v>0</v>
      </c>
      <c r="G48" s="301">
        <f>'FG2'!G42</f>
        <v>0</v>
      </c>
      <c r="H48" s="301">
        <f>'FG2'!H42</f>
        <v>0</v>
      </c>
      <c r="I48" s="301">
        <f>'FG2'!I42</f>
        <v>0</v>
      </c>
      <c r="J48" s="301">
        <f>'FG2'!J42</f>
        <v>0</v>
      </c>
      <c r="K48" s="301">
        <f>'FG2'!K42</f>
        <v>0</v>
      </c>
      <c r="L48" s="301">
        <f>'FG2'!L42</f>
        <v>0</v>
      </c>
      <c r="M48" s="301">
        <f>'FG2'!M42</f>
        <v>0</v>
      </c>
      <c r="N48" s="301">
        <f>'FG2'!N42</f>
        <v>0</v>
      </c>
      <c r="O48" s="293">
        <f t="shared" si="8"/>
        <v>0</v>
      </c>
    </row>
    <row r="49" spans="1:15" s="58" customFormat="1" ht="12" customHeight="1" thickBot="1">
      <c r="A49" s="162" t="str">
        <f>'FG1'!A44</f>
        <v>Autre frais d'exploitation 8</v>
      </c>
      <c r="B49" s="43"/>
      <c r="C49" s="301">
        <f>'FG2'!C44</f>
        <v>0</v>
      </c>
      <c r="D49" s="301">
        <f>'FG2'!D44</f>
        <v>0</v>
      </c>
      <c r="E49" s="301">
        <f>'FG2'!E44</f>
        <v>0</v>
      </c>
      <c r="F49" s="301">
        <f>'FG2'!F44</f>
        <v>0</v>
      </c>
      <c r="G49" s="301">
        <f>'FG2'!G44</f>
        <v>0</v>
      </c>
      <c r="H49" s="301">
        <f>'FG2'!H44</f>
        <v>0</v>
      </c>
      <c r="I49" s="301">
        <f>'FG2'!I44</f>
        <v>0</v>
      </c>
      <c r="J49" s="301">
        <f>'FG2'!J44</f>
        <v>0</v>
      </c>
      <c r="K49" s="301">
        <f>'FG2'!K44</f>
        <v>0</v>
      </c>
      <c r="L49" s="301">
        <f>'FG2'!L44</f>
        <v>0</v>
      </c>
      <c r="M49" s="301">
        <f>'FG2'!M44</f>
        <v>0</v>
      </c>
      <c r="N49" s="301">
        <f>'FG2'!N44</f>
        <v>0</v>
      </c>
      <c r="O49" s="293">
        <f t="shared" si="8"/>
        <v>0</v>
      </c>
    </row>
    <row r="50" spans="1:15" s="59" customFormat="1" ht="12" customHeight="1" thickBot="1">
      <c r="A50" s="78" t="s">
        <v>384</v>
      </c>
      <c r="B50" s="48"/>
      <c r="C50" s="293">
        <f>SUM(C33:C41)</f>
        <v>4.166666666666667</v>
      </c>
      <c r="D50" s="293">
        <f t="shared" ref="D50:O50" si="10">SUM(D33:D41)</f>
        <v>4.166666666666667</v>
      </c>
      <c r="E50" s="293">
        <f t="shared" si="10"/>
        <v>4.166666666666667</v>
      </c>
      <c r="F50" s="293">
        <f t="shared" si="10"/>
        <v>4.166666666666667</v>
      </c>
      <c r="G50" s="293">
        <f t="shared" si="10"/>
        <v>4.166666666666667</v>
      </c>
      <c r="H50" s="293">
        <f t="shared" si="10"/>
        <v>4.166666666666667</v>
      </c>
      <c r="I50" s="293">
        <f t="shared" si="10"/>
        <v>4.166666666666667</v>
      </c>
      <c r="J50" s="293">
        <f t="shared" si="10"/>
        <v>4.166666666666667</v>
      </c>
      <c r="K50" s="293">
        <f t="shared" si="10"/>
        <v>4.166666666666667</v>
      </c>
      <c r="L50" s="293">
        <f t="shared" si="10"/>
        <v>4.166666666666667</v>
      </c>
      <c r="M50" s="293">
        <f t="shared" si="10"/>
        <v>4.166666666666667</v>
      </c>
      <c r="N50" s="293">
        <f t="shared" si="10"/>
        <v>4.166666666666667</v>
      </c>
      <c r="O50" s="293">
        <f t="shared" si="10"/>
        <v>49.999999999999993</v>
      </c>
    </row>
    <row r="51" spans="1:15" s="58" customFormat="1" ht="12" customHeight="1" thickBot="1">
      <c r="A51" s="43"/>
      <c r="B51" s="43"/>
      <c r="C51" s="117"/>
      <c r="D51" s="117"/>
      <c r="E51" s="117"/>
      <c r="F51" s="117"/>
      <c r="G51" s="117"/>
      <c r="H51" s="117"/>
      <c r="I51" s="117"/>
      <c r="J51" s="117"/>
      <c r="K51" s="117"/>
      <c r="L51" s="117"/>
      <c r="M51" s="117"/>
      <c r="N51" s="117"/>
      <c r="O51" s="117"/>
    </row>
    <row r="52" spans="1:15" s="58" customFormat="1" ht="12" customHeight="1" thickBot="1">
      <c r="A52" s="78" t="s">
        <v>385</v>
      </c>
      <c r="B52" s="43"/>
      <c r="C52" s="403">
        <v>0</v>
      </c>
      <c r="D52" s="400">
        <f t="shared" ref="D52:N52" si="11">C52</f>
        <v>0</v>
      </c>
      <c r="E52" s="399">
        <f t="shared" si="11"/>
        <v>0</v>
      </c>
      <c r="F52" s="399">
        <f t="shared" si="11"/>
        <v>0</v>
      </c>
      <c r="G52" s="399">
        <f t="shared" si="11"/>
        <v>0</v>
      </c>
      <c r="H52" s="399">
        <f t="shared" si="11"/>
        <v>0</v>
      </c>
      <c r="I52" s="399">
        <f t="shared" si="11"/>
        <v>0</v>
      </c>
      <c r="J52" s="399">
        <f t="shared" si="11"/>
        <v>0</v>
      </c>
      <c r="K52" s="399">
        <f t="shared" si="11"/>
        <v>0</v>
      </c>
      <c r="L52" s="399">
        <f t="shared" si="11"/>
        <v>0</v>
      </c>
      <c r="M52" s="399">
        <f t="shared" si="11"/>
        <v>0</v>
      </c>
      <c r="N52" s="399">
        <f t="shared" si="11"/>
        <v>0</v>
      </c>
      <c r="O52" s="293">
        <f>SUM(C52:N52)</f>
        <v>0</v>
      </c>
    </row>
    <row r="53" spans="1:15" s="58" customFormat="1" ht="12" customHeight="1" thickBot="1">
      <c r="A53" s="43"/>
      <c r="B53" s="43"/>
      <c r="C53" s="117"/>
      <c r="D53" s="117"/>
      <c r="E53" s="117"/>
      <c r="F53" s="117"/>
      <c r="G53" s="117"/>
      <c r="H53" s="117"/>
      <c r="I53" s="117"/>
      <c r="J53" s="117"/>
      <c r="K53" s="117"/>
      <c r="L53" s="117"/>
      <c r="M53" s="117"/>
      <c r="N53" s="117"/>
      <c r="O53" s="117"/>
    </row>
    <row r="54" spans="1:15" s="59" customFormat="1" ht="12" customHeight="1" thickBot="1">
      <c r="A54" s="78" t="s">
        <v>386</v>
      </c>
      <c r="B54" s="48"/>
      <c r="C54" s="293">
        <f t="shared" ref="C54:N54" si="12">C19+C25+C30+C50-C52</f>
        <v>4.166666666666667</v>
      </c>
      <c r="D54" s="293">
        <f t="shared" si="12"/>
        <v>4.166666666666667</v>
      </c>
      <c r="E54" s="293">
        <f t="shared" si="12"/>
        <v>4.166666666666667</v>
      </c>
      <c r="F54" s="293">
        <f t="shared" si="12"/>
        <v>4.166666666666667</v>
      </c>
      <c r="G54" s="293">
        <f t="shared" si="12"/>
        <v>4.166666666666667</v>
      </c>
      <c r="H54" s="293">
        <f t="shared" si="12"/>
        <v>4.166666666666667</v>
      </c>
      <c r="I54" s="293">
        <f t="shared" si="12"/>
        <v>4.166666666666667</v>
      </c>
      <c r="J54" s="293">
        <f t="shared" si="12"/>
        <v>4.166666666666667</v>
      </c>
      <c r="K54" s="293">
        <f t="shared" si="12"/>
        <v>4.166666666666667</v>
      </c>
      <c r="L54" s="293">
        <f t="shared" si="12"/>
        <v>4.166666666666667</v>
      </c>
      <c r="M54" s="293">
        <f t="shared" si="12"/>
        <v>4.166666666666667</v>
      </c>
      <c r="N54" s="293">
        <f t="shared" si="12"/>
        <v>4.166666666666667</v>
      </c>
      <c r="O54" s="308">
        <f>O13+O50-O52</f>
        <v>49.999999999999993</v>
      </c>
    </row>
    <row r="55" spans="1:15" s="58" customFormat="1" ht="12" customHeight="1" thickBot="1">
      <c r="A55" s="43"/>
      <c r="B55" s="43"/>
      <c r="C55" s="117"/>
      <c r="D55" s="117"/>
      <c r="E55" s="117"/>
      <c r="F55" s="117"/>
      <c r="G55" s="117"/>
      <c r="H55" s="117"/>
      <c r="I55" s="117"/>
      <c r="J55" s="117"/>
      <c r="K55" s="117"/>
      <c r="L55" s="117"/>
      <c r="M55" s="117"/>
      <c r="N55" s="117"/>
      <c r="O55" s="117"/>
    </row>
    <row r="56" spans="1:15" s="58" customFormat="1" ht="12" customHeight="1" thickBot="1">
      <c r="A56" s="78" t="s">
        <v>387</v>
      </c>
      <c r="B56" s="43"/>
      <c r="C56" s="403">
        <v>0</v>
      </c>
      <c r="D56" s="400">
        <f t="shared" ref="D56:N56" si="13">C56</f>
        <v>0</v>
      </c>
      <c r="E56" s="399">
        <f t="shared" si="13"/>
        <v>0</v>
      </c>
      <c r="F56" s="399">
        <f t="shared" si="13"/>
        <v>0</v>
      </c>
      <c r="G56" s="399">
        <f t="shared" si="13"/>
        <v>0</v>
      </c>
      <c r="H56" s="399">
        <f t="shared" si="13"/>
        <v>0</v>
      </c>
      <c r="I56" s="399">
        <f t="shared" si="13"/>
        <v>0</v>
      </c>
      <c r="J56" s="399">
        <f t="shared" si="13"/>
        <v>0</v>
      </c>
      <c r="K56" s="399">
        <f t="shared" si="13"/>
        <v>0</v>
      </c>
      <c r="L56" s="399">
        <f t="shared" si="13"/>
        <v>0</v>
      </c>
      <c r="M56" s="399">
        <f t="shared" si="13"/>
        <v>0</v>
      </c>
      <c r="N56" s="399">
        <f t="shared" si="13"/>
        <v>0</v>
      </c>
      <c r="O56" s="293">
        <f>SUM(C56:N56)</f>
        <v>0</v>
      </c>
    </row>
    <row r="57" spans="1:15" s="58" customFormat="1" ht="12" customHeight="1" thickBot="1">
      <c r="A57" s="43"/>
      <c r="B57" s="43"/>
      <c r="C57" s="117"/>
      <c r="D57" s="117"/>
      <c r="E57" s="117"/>
      <c r="F57" s="117"/>
      <c r="G57" s="117"/>
      <c r="H57" s="117"/>
      <c r="I57" s="117"/>
      <c r="J57" s="117"/>
      <c r="K57" s="117"/>
      <c r="L57" s="117"/>
      <c r="M57" s="117"/>
      <c r="N57" s="117"/>
      <c r="O57" s="117"/>
    </row>
    <row r="58" spans="1:15" s="59" customFormat="1" ht="12" customHeight="1" thickBot="1">
      <c r="A58" s="78" t="s">
        <v>388</v>
      </c>
      <c r="B58" s="48"/>
      <c r="C58" s="308">
        <f>C17+C54-C56</f>
        <v>4.166666666666667</v>
      </c>
      <c r="D58" s="308">
        <f t="shared" ref="D58:O58" si="14">D17+D54-D56</f>
        <v>4.166666666666667</v>
      </c>
      <c r="E58" s="308">
        <f t="shared" si="14"/>
        <v>4.166666666666667</v>
      </c>
      <c r="F58" s="308">
        <f t="shared" si="14"/>
        <v>4.166666666666667</v>
      </c>
      <c r="G58" s="308">
        <f t="shared" si="14"/>
        <v>4.166666666666667</v>
      </c>
      <c r="H58" s="308">
        <f t="shared" si="14"/>
        <v>4.166666666666667</v>
      </c>
      <c r="I58" s="308">
        <f t="shared" si="14"/>
        <v>4.166666666666667</v>
      </c>
      <c r="J58" s="308">
        <f t="shared" si="14"/>
        <v>4.166666666666667</v>
      </c>
      <c r="K58" s="308">
        <f t="shared" si="14"/>
        <v>4.166666666666667</v>
      </c>
      <c r="L58" s="308">
        <f t="shared" si="14"/>
        <v>4.166666666666667</v>
      </c>
      <c r="M58" s="308">
        <f t="shared" si="14"/>
        <v>4.166666666666667</v>
      </c>
      <c r="N58" s="308">
        <f t="shared" si="14"/>
        <v>4.166666666666667</v>
      </c>
      <c r="O58" s="308">
        <f t="shared" si="14"/>
        <v>49.999999999999993</v>
      </c>
    </row>
    <row r="59" spans="1:15" s="58" customFormat="1" ht="12" customHeight="1">
      <c r="A59" s="78"/>
      <c r="B59" s="43"/>
      <c r="C59" s="142"/>
      <c r="D59" s="142"/>
      <c r="E59" s="142"/>
      <c r="F59" s="142"/>
      <c r="G59" s="142"/>
      <c r="H59" s="142"/>
      <c r="I59" s="142"/>
      <c r="J59" s="142"/>
      <c r="K59" s="142"/>
      <c r="L59" s="142"/>
      <c r="M59" s="142"/>
      <c r="N59" s="142"/>
      <c r="O59" s="142"/>
    </row>
    <row r="60" spans="1:15" s="58" customFormat="1" ht="12" customHeight="1">
      <c r="A60" s="78"/>
      <c r="B60" s="43"/>
      <c r="C60" s="142"/>
      <c r="D60" s="142"/>
      <c r="E60" s="142"/>
      <c r="F60" s="142"/>
      <c r="G60" s="142"/>
      <c r="H60" s="142"/>
      <c r="I60" s="142"/>
      <c r="J60" s="142"/>
      <c r="K60" s="142"/>
      <c r="L60" s="142"/>
      <c r="M60" s="142"/>
      <c r="N60" s="142"/>
      <c r="O60" s="142"/>
    </row>
    <row r="61" spans="1:15" ht="12" customHeight="1">
      <c r="A61" s="310"/>
      <c r="B61" s="274"/>
      <c r="C61" s="311"/>
      <c r="D61" s="311"/>
      <c r="E61" s="311"/>
      <c r="F61" s="311"/>
      <c r="G61" s="311"/>
      <c r="H61" s="311"/>
      <c r="I61" s="311"/>
      <c r="J61" s="311"/>
      <c r="K61" s="311"/>
      <c r="L61" s="311"/>
      <c r="M61" s="311"/>
      <c r="N61" s="311"/>
      <c r="O61" s="311"/>
    </row>
    <row r="62" spans="1:15" ht="19.5" hidden="1" customHeight="1">
      <c r="A62" s="48"/>
    </row>
    <row r="63" spans="1:15" s="58" customFormat="1" ht="19.5" hidden="1" customHeight="1">
      <c r="A63" s="46" t="s">
        <v>515</v>
      </c>
      <c r="C63" s="291">
        <f>'V2'!F12</f>
        <v>45658</v>
      </c>
      <c r="D63" s="291">
        <f>'V2'!G12</f>
        <v>45689</v>
      </c>
      <c r="E63" s="291">
        <f>'V2'!H12</f>
        <v>45720</v>
      </c>
      <c r="F63" s="291">
        <f>'V2'!I12</f>
        <v>45751</v>
      </c>
      <c r="G63" s="291">
        <f>'V2'!J12</f>
        <v>45782</v>
      </c>
      <c r="H63" s="291">
        <f>'V2'!K12</f>
        <v>45813</v>
      </c>
      <c r="I63" s="291">
        <f>'V2'!L12</f>
        <v>45844</v>
      </c>
      <c r="J63" s="291">
        <f>'V2'!M12</f>
        <v>45875</v>
      </c>
      <c r="K63" s="291">
        <f>'V2'!N12</f>
        <v>45906</v>
      </c>
      <c r="L63" s="291">
        <f>'V2'!O12</f>
        <v>45937</v>
      </c>
      <c r="M63" s="291">
        <f>'V2'!P12</f>
        <v>45968</v>
      </c>
      <c r="N63" s="291">
        <f>'V2'!Q12</f>
        <v>45999</v>
      </c>
      <c r="O63" s="292"/>
    </row>
    <row r="64" spans="1:15" s="58" customFormat="1" ht="19.5" hidden="1" customHeight="1">
      <c r="C64" s="292"/>
      <c r="D64" s="292"/>
      <c r="E64" s="292"/>
      <c r="F64" s="292"/>
      <c r="G64" s="292"/>
      <c r="H64" s="292"/>
      <c r="I64" s="292"/>
      <c r="J64" s="292"/>
      <c r="K64" s="292"/>
      <c r="L64" s="292"/>
      <c r="M64" s="292"/>
      <c r="N64" s="292"/>
      <c r="O64" s="292"/>
    </row>
    <row r="65" spans="1:15" s="58" customFormat="1" ht="19.5" hidden="1" customHeight="1">
      <c r="C65" s="292"/>
      <c r="D65" s="292"/>
      <c r="E65" s="292"/>
      <c r="F65" s="292"/>
      <c r="G65" s="292"/>
      <c r="H65" s="292"/>
      <c r="I65" s="292"/>
      <c r="J65" s="292"/>
      <c r="K65" s="292"/>
      <c r="L65" s="292"/>
      <c r="M65" s="292"/>
      <c r="N65" s="292"/>
      <c r="O65" s="292"/>
    </row>
    <row r="66" spans="1:15" hidden="1">
      <c r="A66" s="48" t="s">
        <v>512</v>
      </c>
      <c r="C66" s="314">
        <f>N56</f>
        <v>0</v>
      </c>
      <c r="D66" s="314">
        <f>C95</f>
        <v>0</v>
      </c>
      <c r="E66" s="314"/>
      <c r="F66" s="314"/>
      <c r="G66" s="314"/>
      <c r="H66" s="315"/>
      <c r="I66" s="315"/>
      <c r="J66" s="314"/>
      <c r="K66" s="315"/>
      <c r="L66" s="315"/>
      <c r="M66" s="314"/>
      <c r="N66" s="315"/>
      <c r="O66" s="304"/>
    </row>
    <row r="67" spans="1:15" s="58" customFormat="1" ht="12" hidden="1" customHeight="1">
      <c r="A67" s="48"/>
      <c r="C67" s="294"/>
      <c r="D67" s="295"/>
      <c r="E67" s="295"/>
      <c r="F67" s="295"/>
      <c r="G67" s="295"/>
      <c r="H67" s="295"/>
      <c r="I67" s="295"/>
      <c r="J67" s="295"/>
      <c r="K67" s="295"/>
      <c r="L67" s="295"/>
      <c r="M67" s="295"/>
      <c r="N67" s="295"/>
      <c r="O67" s="295"/>
    </row>
    <row r="68" spans="1:15" s="58" customFormat="1" ht="12" hidden="1" customHeight="1">
      <c r="A68" s="48" t="s">
        <v>513</v>
      </c>
      <c r="C68" s="316">
        <f>N52</f>
        <v>0</v>
      </c>
      <c r="D68" s="317">
        <f>C91</f>
        <v>0</v>
      </c>
      <c r="E68" s="317"/>
      <c r="F68" s="317"/>
      <c r="G68" s="317"/>
      <c r="H68" s="317"/>
      <c r="I68" s="317"/>
      <c r="J68" s="317"/>
      <c r="K68" s="317"/>
      <c r="L68" s="317"/>
      <c r="M68" s="317"/>
      <c r="N68" s="317"/>
      <c r="O68" s="295"/>
    </row>
    <row r="69" spans="1:15" s="58" customFormat="1" ht="12" hidden="1" customHeight="1">
      <c r="A69" s="48"/>
      <c r="C69" s="294"/>
      <c r="D69" s="295"/>
      <c r="E69" s="295"/>
      <c r="F69" s="295"/>
      <c r="G69" s="295"/>
      <c r="H69" s="295"/>
      <c r="I69" s="295"/>
      <c r="J69" s="295"/>
      <c r="K69" s="295"/>
      <c r="L69" s="295"/>
      <c r="M69" s="295"/>
      <c r="N69" s="295"/>
      <c r="O69" s="295"/>
    </row>
    <row r="70" spans="1:15" s="58" customFormat="1" ht="12" hidden="1" customHeight="1">
      <c r="A70" s="48" t="s">
        <v>517</v>
      </c>
      <c r="C70" s="316">
        <f>-N24</f>
        <v>0</v>
      </c>
      <c r="D70" s="317">
        <f t="shared" ref="D70:N70" si="15">-C73</f>
        <v>0</v>
      </c>
      <c r="E70" s="317">
        <f t="shared" si="15"/>
        <v>0</v>
      </c>
      <c r="F70" s="317">
        <f t="shared" si="15"/>
        <v>0</v>
      </c>
      <c r="G70" s="317">
        <f t="shared" si="15"/>
        <v>0</v>
      </c>
      <c r="H70" s="317">
        <f t="shared" si="15"/>
        <v>0</v>
      </c>
      <c r="I70" s="317">
        <f t="shared" si="15"/>
        <v>0</v>
      </c>
      <c r="J70" s="317">
        <f t="shared" si="15"/>
        <v>0</v>
      </c>
      <c r="K70" s="317">
        <f t="shared" si="15"/>
        <v>0</v>
      </c>
      <c r="L70" s="317">
        <f t="shared" si="15"/>
        <v>0</v>
      </c>
      <c r="M70" s="317">
        <f t="shared" si="15"/>
        <v>0</v>
      </c>
      <c r="N70" s="317">
        <f t="shared" si="15"/>
        <v>0</v>
      </c>
      <c r="O70" s="295"/>
    </row>
    <row r="71" spans="1:15" s="58" customFormat="1" ht="12" hidden="1" customHeight="1">
      <c r="A71" s="162" t="s">
        <v>518</v>
      </c>
      <c r="B71" s="43"/>
      <c r="C71" s="301">
        <f>'A2'!E20+'A2'!E30+'A2'!E34</f>
        <v>0</v>
      </c>
      <c r="D71" s="301">
        <f>'A2'!F20+'A2'!F30+'A2'!F34</f>
        <v>0</v>
      </c>
      <c r="E71" s="301">
        <f>'A2'!G20+'A2'!G30+'A2'!G34</f>
        <v>0</v>
      </c>
      <c r="F71" s="301">
        <f>'A2'!H20+'A2'!H30+'A2'!H34</f>
        <v>0</v>
      </c>
      <c r="G71" s="301">
        <f>'A2'!I20+'A2'!I30+'A2'!I34</f>
        <v>0</v>
      </c>
      <c r="H71" s="301">
        <f>'A2'!J20+'A2'!J30+'A2'!J34</f>
        <v>0</v>
      </c>
      <c r="I71" s="301">
        <f>'A2'!K20+'A2'!K30+'A2'!K34</f>
        <v>0</v>
      </c>
      <c r="J71" s="301">
        <f>'A2'!L20+'A2'!L30+'A2'!L34</f>
        <v>0</v>
      </c>
      <c r="K71" s="301">
        <f>'A2'!M20+'A2'!M30+'A2'!M34</f>
        <v>0</v>
      </c>
      <c r="L71" s="301">
        <f>'A2'!N20+'A2'!N30+'A2'!N34</f>
        <v>0</v>
      </c>
      <c r="M71" s="301">
        <f>'A2'!O20+'A2'!O30+'A2'!O34</f>
        <v>0</v>
      </c>
      <c r="N71" s="301">
        <f>'A2'!P20+'A2'!P30+'A2'!P34</f>
        <v>0</v>
      </c>
      <c r="O71" s="117"/>
    </row>
    <row r="72" spans="1:15" s="58" customFormat="1" ht="12" hidden="1" customHeight="1">
      <c r="A72" s="162" t="s">
        <v>371</v>
      </c>
      <c r="B72" s="43"/>
      <c r="C72" s="301">
        <f t="shared" ref="C72:N72" si="16">C70+C71</f>
        <v>0</v>
      </c>
      <c r="D72" s="301">
        <f t="shared" si="16"/>
        <v>0</v>
      </c>
      <c r="E72" s="301">
        <f t="shared" si="16"/>
        <v>0</v>
      </c>
      <c r="F72" s="301">
        <f t="shared" si="16"/>
        <v>0</v>
      </c>
      <c r="G72" s="301">
        <f t="shared" si="16"/>
        <v>0</v>
      </c>
      <c r="H72" s="301">
        <f t="shared" si="16"/>
        <v>0</v>
      </c>
      <c r="I72" s="301">
        <f t="shared" si="16"/>
        <v>0</v>
      </c>
      <c r="J72" s="301">
        <f t="shared" si="16"/>
        <v>0</v>
      </c>
      <c r="K72" s="301">
        <f t="shared" si="16"/>
        <v>0</v>
      </c>
      <c r="L72" s="301">
        <f t="shared" si="16"/>
        <v>0</v>
      </c>
      <c r="M72" s="301">
        <f t="shared" si="16"/>
        <v>0</v>
      </c>
      <c r="N72" s="301">
        <f t="shared" si="16"/>
        <v>0</v>
      </c>
      <c r="O72" s="117"/>
    </row>
    <row r="73" spans="1:15" s="58" customFormat="1" ht="12" hidden="1" customHeight="1">
      <c r="A73" s="162" t="s">
        <v>372</v>
      </c>
      <c r="B73" s="43"/>
      <c r="C73" s="301">
        <f t="shared" ref="C73:N73" si="17">-C70</f>
        <v>0</v>
      </c>
      <c r="D73" s="301">
        <f t="shared" si="17"/>
        <v>0</v>
      </c>
      <c r="E73" s="301">
        <f t="shared" si="17"/>
        <v>0</v>
      </c>
      <c r="F73" s="301">
        <f t="shared" si="17"/>
        <v>0</v>
      </c>
      <c r="G73" s="301">
        <f t="shared" si="17"/>
        <v>0</v>
      </c>
      <c r="H73" s="301">
        <f t="shared" si="17"/>
        <v>0</v>
      </c>
      <c r="I73" s="301">
        <f t="shared" si="17"/>
        <v>0</v>
      </c>
      <c r="J73" s="301">
        <f t="shared" si="17"/>
        <v>0</v>
      </c>
      <c r="K73" s="301">
        <f t="shared" si="17"/>
        <v>0</v>
      </c>
      <c r="L73" s="301">
        <f t="shared" si="17"/>
        <v>0</v>
      </c>
      <c r="M73" s="301">
        <f t="shared" si="17"/>
        <v>0</v>
      </c>
      <c r="N73" s="301">
        <f t="shared" si="17"/>
        <v>0</v>
      </c>
      <c r="O73" s="117"/>
    </row>
    <row r="74" spans="1:15" s="58" customFormat="1" ht="12" hidden="1" customHeight="1">
      <c r="A74" s="78" t="s">
        <v>524</v>
      </c>
      <c r="B74" s="43"/>
      <c r="C74" s="301">
        <f t="shared" ref="C74:N74" si="18">C72-C73</f>
        <v>0</v>
      </c>
      <c r="D74" s="301">
        <f t="shared" si="18"/>
        <v>0</v>
      </c>
      <c r="E74" s="301">
        <f t="shared" si="18"/>
        <v>0</v>
      </c>
      <c r="F74" s="301">
        <f t="shared" si="18"/>
        <v>0</v>
      </c>
      <c r="G74" s="301">
        <f t="shared" si="18"/>
        <v>0</v>
      </c>
      <c r="H74" s="301">
        <f t="shared" si="18"/>
        <v>0</v>
      </c>
      <c r="I74" s="301">
        <f t="shared" si="18"/>
        <v>0</v>
      </c>
      <c r="J74" s="301">
        <f t="shared" si="18"/>
        <v>0</v>
      </c>
      <c r="K74" s="301">
        <f t="shared" si="18"/>
        <v>0</v>
      </c>
      <c r="L74" s="301">
        <f t="shared" si="18"/>
        <v>0</v>
      </c>
      <c r="M74" s="301">
        <f t="shared" si="18"/>
        <v>0</v>
      </c>
      <c r="N74" s="301">
        <f t="shared" si="18"/>
        <v>0</v>
      </c>
      <c r="O74" s="117"/>
    </row>
    <row r="75" spans="1:15" s="58" customFormat="1" ht="12" hidden="1" customHeight="1">
      <c r="A75" s="48"/>
      <c r="C75" s="294"/>
      <c r="D75" s="295"/>
      <c r="E75" s="295"/>
      <c r="F75" s="295"/>
      <c r="G75" s="295"/>
      <c r="H75" s="295"/>
      <c r="I75" s="295"/>
      <c r="J75" s="295"/>
      <c r="K75" s="295"/>
      <c r="L75" s="295"/>
      <c r="M75" s="295"/>
      <c r="N75" s="295"/>
      <c r="O75" s="295"/>
    </row>
    <row r="76" spans="1:15" s="58" customFormat="1" ht="12" hidden="1" customHeight="1">
      <c r="A76" s="78" t="s">
        <v>525</v>
      </c>
      <c r="B76" s="43"/>
      <c r="C76" s="301">
        <f>B78</f>
        <v>0</v>
      </c>
      <c r="D76" s="301">
        <f t="shared" ref="D76:N76" si="19">C76</f>
        <v>0</v>
      </c>
      <c r="E76" s="318">
        <f t="shared" si="19"/>
        <v>0</v>
      </c>
      <c r="F76" s="318">
        <f t="shared" si="19"/>
        <v>0</v>
      </c>
      <c r="G76" s="318">
        <f t="shared" si="19"/>
        <v>0</v>
      </c>
      <c r="H76" s="318">
        <f t="shared" si="19"/>
        <v>0</v>
      </c>
      <c r="I76" s="318">
        <f t="shared" si="19"/>
        <v>0</v>
      </c>
      <c r="J76" s="318">
        <f t="shared" si="19"/>
        <v>0</v>
      </c>
      <c r="K76" s="318">
        <f t="shared" si="19"/>
        <v>0</v>
      </c>
      <c r="L76" s="318">
        <f t="shared" si="19"/>
        <v>0</v>
      </c>
      <c r="M76" s="318">
        <f t="shared" si="19"/>
        <v>0</v>
      </c>
      <c r="N76" s="318">
        <f t="shared" si="19"/>
        <v>0</v>
      </c>
      <c r="O76" s="121"/>
    </row>
    <row r="77" spans="1:15" s="58" customFormat="1" ht="12" hidden="1" customHeight="1">
      <c r="A77" s="162" t="s">
        <v>526</v>
      </c>
      <c r="B77" s="43"/>
      <c r="C77" s="301">
        <f>TE!C140/12</f>
        <v>0</v>
      </c>
      <c r="D77" s="301">
        <f t="shared" ref="D77:N77" si="20">C77</f>
        <v>0</v>
      </c>
      <c r="E77" s="301">
        <f t="shared" si="20"/>
        <v>0</v>
      </c>
      <c r="F77" s="301">
        <f t="shared" si="20"/>
        <v>0</v>
      </c>
      <c r="G77" s="301">
        <f t="shared" si="20"/>
        <v>0</v>
      </c>
      <c r="H77" s="301">
        <f t="shared" si="20"/>
        <v>0</v>
      </c>
      <c r="I77" s="301">
        <f t="shared" si="20"/>
        <v>0</v>
      </c>
      <c r="J77" s="301">
        <f t="shared" si="20"/>
        <v>0</v>
      </c>
      <c r="K77" s="301">
        <f t="shared" si="20"/>
        <v>0</v>
      </c>
      <c r="L77" s="301">
        <f t="shared" si="20"/>
        <v>0</v>
      </c>
      <c r="M77" s="301">
        <f t="shared" si="20"/>
        <v>0</v>
      </c>
      <c r="N77" s="301">
        <f t="shared" si="20"/>
        <v>0</v>
      </c>
      <c r="O77" s="117"/>
    </row>
    <row r="78" spans="1:15" s="58" customFormat="1" ht="12" hidden="1" customHeight="1">
      <c r="A78" s="162" t="s">
        <v>527</v>
      </c>
      <c r="B78" s="62"/>
      <c r="C78" s="301">
        <f>C77*TE!B129</f>
        <v>0</v>
      </c>
      <c r="D78" s="301">
        <f t="shared" ref="D78:N78" si="21">C77*0.18</f>
        <v>0</v>
      </c>
      <c r="E78" s="301">
        <f t="shared" si="21"/>
        <v>0</v>
      </c>
      <c r="F78" s="301">
        <f t="shared" si="21"/>
        <v>0</v>
      </c>
      <c r="G78" s="301">
        <f t="shared" si="21"/>
        <v>0</v>
      </c>
      <c r="H78" s="301">
        <f t="shared" si="21"/>
        <v>0</v>
      </c>
      <c r="I78" s="301">
        <f t="shared" si="21"/>
        <v>0</v>
      </c>
      <c r="J78" s="301">
        <f t="shared" si="21"/>
        <v>0</v>
      </c>
      <c r="K78" s="301">
        <f t="shared" si="21"/>
        <v>0</v>
      </c>
      <c r="L78" s="301">
        <f t="shared" si="21"/>
        <v>0</v>
      </c>
      <c r="M78" s="301">
        <f t="shared" si="21"/>
        <v>0</v>
      </c>
      <c r="N78" s="301">
        <f t="shared" si="21"/>
        <v>0</v>
      </c>
      <c r="O78" s="117"/>
    </row>
    <row r="79" spans="1:15" s="58" customFormat="1" ht="12" hidden="1" customHeight="1">
      <c r="A79" s="78" t="s">
        <v>528</v>
      </c>
      <c r="B79" s="43"/>
      <c r="C79" s="301">
        <f t="shared" ref="C79:N79" si="22">C77+C78</f>
        <v>0</v>
      </c>
      <c r="D79" s="301">
        <f t="shared" si="22"/>
        <v>0</v>
      </c>
      <c r="E79" s="301">
        <f t="shared" si="22"/>
        <v>0</v>
      </c>
      <c r="F79" s="301">
        <f t="shared" si="22"/>
        <v>0</v>
      </c>
      <c r="G79" s="301">
        <f t="shared" si="22"/>
        <v>0</v>
      </c>
      <c r="H79" s="301">
        <f t="shared" si="22"/>
        <v>0</v>
      </c>
      <c r="I79" s="301">
        <f t="shared" si="22"/>
        <v>0</v>
      </c>
      <c r="J79" s="301">
        <f t="shared" si="22"/>
        <v>0</v>
      </c>
      <c r="K79" s="301">
        <f t="shared" si="22"/>
        <v>0</v>
      </c>
      <c r="L79" s="301">
        <f t="shared" si="22"/>
        <v>0</v>
      </c>
      <c r="M79" s="301">
        <f t="shared" si="22"/>
        <v>0</v>
      </c>
      <c r="N79" s="301">
        <f t="shared" si="22"/>
        <v>0</v>
      </c>
      <c r="O79" s="117"/>
    </row>
    <row r="80" spans="1:15" s="58" customFormat="1" ht="12" hidden="1" customHeight="1">
      <c r="A80" s="48"/>
      <c r="C80" s="294"/>
      <c r="D80" s="295"/>
      <c r="E80" s="295"/>
      <c r="F80" s="295"/>
      <c r="G80" s="295"/>
      <c r="H80" s="295"/>
      <c r="I80" s="295"/>
      <c r="J80" s="295"/>
      <c r="K80" s="295"/>
      <c r="L80" s="295"/>
      <c r="M80" s="295"/>
      <c r="N80" s="295"/>
      <c r="O80" s="295"/>
    </row>
    <row r="81" spans="1:15" s="58" customFormat="1" ht="12" hidden="1" customHeight="1">
      <c r="A81" s="78" t="s">
        <v>380</v>
      </c>
      <c r="B81" s="43"/>
      <c r="C81" s="44"/>
      <c r="D81" s="44"/>
      <c r="E81" s="44"/>
      <c r="F81" s="44"/>
      <c r="G81" s="44"/>
      <c r="H81" s="44"/>
      <c r="I81" s="44"/>
      <c r="J81" s="44"/>
      <c r="K81" s="44"/>
      <c r="L81" s="44"/>
      <c r="M81" s="44"/>
      <c r="N81" s="44"/>
      <c r="O81" s="44"/>
    </row>
    <row r="82" spans="1:15" s="58" customFormat="1" ht="12" hidden="1" customHeight="1">
      <c r="A82" s="162" t="s">
        <v>529</v>
      </c>
      <c r="B82" s="43"/>
      <c r="C82" s="301"/>
      <c r="D82" s="301">
        <f t="shared" ref="D82:N82" si="23">C82</f>
        <v>0</v>
      </c>
      <c r="E82" s="301">
        <f t="shared" si="23"/>
        <v>0</v>
      </c>
      <c r="F82" s="301">
        <f t="shared" si="23"/>
        <v>0</v>
      </c>
      <c r="G82" s="301">
        <f t="shared" si="23"/>
        <v>0</v>
      </c>
      <c r="H82" s="301">
        <f t="shared" si="23"/>
        <v>0</v>
      </c>
      <c r="I82" s="301">
        <f t="shared" si="23"/>
        <v>0</v>
      </c>
      <c r="J82" s="301">
        <f t="shared" si="23"/>
        <v>0</v>
      </c>
      <c r="K82" s="301">
        <f t="shared" si="23"/>
        <v>0</v>
      </c>
      <c r="L82" s="301">
        <f t="shared" si="23"/>
        <v>0</v>
      </c>
      <c r="M82" s="301">
        <f t="shared" si="23"/>
        <v>0</v>
      </c>
      <c r="N82" s="301">
        <f t="shared" si="23"/>
        <v>0</v>
      </c>
      <c r="O82" s="117"/>
    </row>
    <row r="83" spans="1:15" s="58" customFormat="1" ht="12" hidden="1" customHeight="1">
      <c r="A83" s="162" t="s">
        <v>530</v>
      </c>
      <c r="B83" s="43"/>
      <c r="C83" s="301"/>
      <c r="D83" s="301">
        <f t="shared" ref="D83:N83" si="24">C83</f>
        <v>0</v>
      </c>
      <c r="E83" s="301">
        <f t="shared" si="24"/>
        <v>0</v>
      </c>
      <c r="F83" s="301">
        <f t="shared" si="24"/>
        <v>0</v>
      </c>
      <c r="G83" s="301">
        <f t="shared" si="24"/>
        <v>0</v>
      </c>
      <c r="H83" s="301">
        <f t="shared" si="24"/>
        <v>0</v>
      </c>
      <c r="I83" s="301">
        <f t="shared" si="24"/>
        <v>0</v>
      </c>
      <c r="J83" s="301">
        <f t="shared" si="24"/>
        <v>0</v>
      </c>
      <c r="K83" s="301">
        <f t="shared" si="24"/>
        <v>0</v>
      </c>
      <c r="L83" s="301">
        <f t="shared" si="24"/>
        <v>0</v>
      </c>
      <c r="M83" s="301">
        <f t="shared" si="24"/>
        <v>0</v>
      </c>
      <c r="N83" s="301">
        <f t="shared" si="24"/>
        <v>0</v>
      </c>
      <c r="O83" s="117"/>
    </row>
    <row r="84" spans="1:15" s="58" customFormat="1" ht="12" hidden="1" customHeight="1">
      <c r="A84" s="162" t="s">
        <v>531</v>
      </c>
      <c r="B84" s="43"/>
      <c r="C84" s="301"/>
      <c r="D84" s="301">
        <f t="shared" ref="D84:N84" si="25">C84</f>
        <v>0</v>
      </c>
      <c r="E84" s="301">
        <f t="shared" si="25"/>
        <v>0</v>
      </c>
      <c r="F84" s="301">
        <f t="shared" si="25"/>
        <v>0</v>
      </c>
      <c r="G84" s="301">
        <f t="shared" si="25"/>
        <v>0</v>
      </c>
      <c r="H84" s="301">
        <f t="shared" si="25"/>
        <v>0</v>
      </c>
      <c r="I84" s="301">
        <f t="shared" si="25"/>
        <v>0</v>
      </c>
      <c r="J84" s="301">
        <f t="shared" si="25"/>
        <v>0</v>
      </c>
      <c r="K84" s="301">
        <f t="shared" si="25"/>
        <v>0</v>
      </c>
      <c r="L84" s="301">
        <f t="shared" si="25"/>
        <v>0</v>
      </c>
      <c r="M84" s="301">
        <f t="shared" si="25"/>
        <v>0</v>
      </c>
      <c r="N84" s="301">
        <f t="shared" si="25"/>
        <v>0</v>
      </c>
      <c r="O84" s="117"/>
    </row>
    <row r="85" spans="1:15" s="58" customFormat="1" ht="12" hidden="1" customHeight="1">
      <c r="A85" s="162" t="s">
        <v>532</v>
      </c>
      <c r="B85" s="43"/>
      <c r="C85" s="301"/>
      <c r="D85" s="301">
        <f t="shared" ref="D85:N85" si="26">C85</f>
        <v>0</v>
      </c>
      <c r="E85" s="301">
        <f t="shared" si="26"/>
        <v>0</v>
      </c>
      <c r="F85" s="301">
        <f t="shared" si="26"/>
        <v>0</v>
      </c>
      <c r="G85" s="301">
        <f t="shared" si="26"/>
        <v>0</v>
      </c>
      <c r="H85" s="301">
        <f t="shared" si="26"/>
        <v>0</v>
      </c>
      <c r="I85" s="301">
        <f t="shared" si="26"/>
        <v>0</v>
      </c>
      <c r="J85" s="301">
        <f t="shared" si="26"/>
        <v>0</v>
      </c>
      <c r="K85" s="301">
        <f t="shared" si="26"/>
        <v>0</v>
      </c>
      <c r="L85" s="301">
        <f t="shared" si="26"/>
        <v>0</v>
      </c>
      <c r="M85" s="301">
        <f t="shared" si="26"/>
        <v>0</v>
      </c>
      <c r="N85" s="301">
        <f t="shared" si="26"/>
        <v>0</v>
      </c>
      <c r="O85" s="117"/>
    </row>
    <row r="86" spans="1:15" s="58" customFormat="1" ht="12" hidden="1" customHeight="1">
      <c r="A86" s="162" t="s">
        <v>533</v>
      </c>
      <c r="B86" s="43"/>
      <c r="C86" s="301" t="e">
        <f>A!#REF!</f>
        <v>#REF!</v>
      </c>
      <c r="D86" s="301" t="e">
        <f t="shared" ref="D86:N86" si="27">C86</f>
        <v>#REF!</v>
      </c>
      <c r="E86" s="301" t="e">
        <f t="shared" si="27"/>
        <v>#REF!</v>
      </c>
      <c r="F86" s="301" t="e">
        <f t="shared" si="27"/>
        <v>#REF!</v>
      </c>
      <c r="G86" s="301" t="e">
        <f t="shared" si="27"/>
        <v>#REF!</v>
      </c>
      <c r="H86" s="301" t="e">
        <f t="shared" si="27"/>
        <v>#REF!</v>
      </c>
      <c r="I86" s="301" t="e">
        <f t="shared" si="27"/>
        <v>#REF!</v>
      </c>
      <c r="J86" s="301" t="e">
        <f t="shared" si="27"/>
        <v>#REF!</v>
      </c>
      <c r="K86" s="301" t="e">
        <f t="shared" si="27"/>
        <v>#REF!</v>
      </c>
      <c r="L86" s="301" t="e">
        <f t="shared" si="27"/>
        <v>#REF!</v>
      </c>
      <c r="M86" s="301" t="e">
        <f t="shared" si="27"/>
        <v>#REF!</v>
      </c>
      <c r="N86" s="301" t="e">
        <f t="shared" si="27"/>
        <v>#REF!</v>
      </c>
      <c r="O86" s="117"/>
    </row>
    <row r="87" spans="1:15" s="58" customFormat="1" ht="12" hidden="1" customHeight="1">
      <c r="A87" s="162" t="s">
        <v>534</v>
      </c>
      <c r="B87" s="43"/>
      <c r="C87" s="301"/>
      <c r="D87" s="301">
        <f t="shared" ref="D87:N87" si="28">C87</f>
        <v>0</v>
      </c>
      <c r="E87" s="301">
        <f t="shared" si="28"/>
        <v>0</v>
      </c>
      <c r="F87" s="301">
        <f t="shared" si="28"/>
        <v>0</v>
      </c>
      <c r="G87" s="301">
        <f t="shared" si="28"/>
        <v>0</v>
      </c>
      <c r="H87" s="301">
        <f t="shared" si="28"/>
        <v>0</v>
      </c>
      <c r="I87" s="301">
        <f t="shared" si="28"/>
        <v>0</v>
      </c>
      <c r="J87" s="301">
        <f t="shared" si="28"/>
        <v>0</v>
      </c>
      <c r="K87" s="301">
        <f t="shared" si="28"/>
        <v>0</v>
      </c>
      <c r="L87" s="301">
        <f t="shared" si="28"/>
        <v>0</v>
      </c>
      <c r="M87" s="301">
        <f t="shared" si="28"/>
        <v>0</v>
      </c>
      <c r="N87" s="301">
        <f t="shared" si="28"/>
        <v>0</v>
      </c>
      <c r="O87" s="117"/>
    </row>
    <row r="88" spans="1:15" s="58" customFormat="1" ht="12" hidden="1" customHeight="1" thickBot="1">
      <c r="A88" s="162" t="s">
        <v>383</v>
      </c>
      <c r="B88" s="43"/>
      <c r="C88" s="305"/>
      <c r="D88" s="305">
        <f t="shared" ref="D88:N88" si="29">C88</f>
        <v>0</v>
      </c>
      <c r="E88" s="305">
        <f t="shared" si="29"/>
        <v>0</v>
      </c>
      <c r="F88" s="305">
        <f t="shared" si="29"/>
        <v>0</v>
      </c>
      <c r="G88" s="305">
        <f t="shared" si="29"/>
        <v>0</v>
      </c>
      <c r="H88" s="305">
        <f t="shared" si="29"/>
        <v>0</v>
      </c>
      <c r="I88" s="305">
        <f t="shared" si="29"/>
        <v>0</v>
      </c>
      <c r="J88" s="305">
        <f t="shared" si="29"/>
        <v>0</v>
      </c>
      <c r="K88" s="305">
        <f t="shared" si="29"/>
        <v>0</v>
      </c>
      <c r="L88" s="305">
        <f t="shared" si="29"/>
        <v>0</v>
      </c>
      <c r="M88" s="305">
        <f t="shared" si="29"/>
        <v>0</v>
      </c>
      <c r="N88" s="305">
        <f t="shared" si="29"/>
        <v>0</v>
      </c>
      <c r="O88" s="117"/>
    </row>
    <row r="89" spans="1:15" s="58" customFormat="1" ht="12" hidden="1" customHeight="1" thickBot="1">
      <c r="A89" s="78" t="s">
        <v>384</v>
      </c>
      <c r="B89" s="43"/>
      <c r="C89" s="319" t="e">
        <f t="shared" ref="C89:N89" si="30">SUM(C82:C88)-C86</f>
        <v>#REF!</v>
      </c>
      <c r="D89" s="319" t="e">
        <f t="shared" si="30"/>
        <v>#REF!</v>
      </c>
      <c r="E89" s="319" t="e">
        <f t="shared" si="30"/>
        <v>#REF!</v>
      </c>
      <c r="F89" s="319" t="e">
        <f t="shared" si="30"/>
        <v>#REF!</v>
      </c>
      <c r="G89" s="319" t="e">
        <f t="shared" si="30"/>
        <v>#REF!</v>
      </c>
      <c r="H89" s="319" t="e">
        <f t="shared" si="30"/>
        <v>#REF!</v>
      </c>
      <c r="I89" s="319" t="e">
        <f t="shared" si="30"/>
        <v>#REF!</v>
      </c>
      <c r="J89" s="319" t="e">
        <f t="shared" si="30"/>
        <v>#REF!</v>
      </c>
      <c r="K89" s="319" t="e">
        <f t="shared" si="30"/>
        <v>#REF!</v>
      </c>
      <c r="L89" s="319" t="e">
        <f t="shared" si="30"/>
        <v>#REF!</v>
      </c>
      <c r="M89" s="319" t="e">
        <f t="shared" si="30"/>
        <v>#REF!</v>
      </c>
      <c r="N89" s="319" t="e">
        <f t="shared" si="30"/>
        <v>#REF!</v>
      </c>
      <c r="O89" s="117"/>
    </row>
    <row r="90" spans="1:15" s="58" customFormat="1" ht="12" hidden="1" customHeight="1">
      <c r="A90" s="43"/>
      <c r="B90" s="43"/>
      <c r="C90" s="117"/>
      <c r="D90" s="117"/>
      <c r="E90" s="117"/>
      <c r="F90" s="117"/>
      <c r="G90" s="117"/>
      <c r="H90" s="117"/>
      <c r="I90" s="117"/>
      <c r="J90" s="117"/>
      <c r="K90" s="117"/>
      <c r="L90" s="117"/>
      <c r="M90" s="117"/>
      <c r="N90" s="117"/>
      <c r="O90" s="117"/>
    </row>
    <row r="91" spans="1:15" s="58" customFormat="1" ht="12" hidden="1" customHeight="1">
      <c r="A91" s="78" t="s">
        <v>385</v>
      </c>
      <c r="B91" s="43"/>
      <c r="C91" s="301">
        <v>0</v>
      </c>
      <c r="D91" s="301">
        <f t="shared" ref="D91:N91" si="31">C91</f>
        <v>0</v>
      </c>
      <c r="E91" s="301">
        <f t="shared" si="31"/>
        <v>0</v>
      </c>
      <c r="F91" s="301">
        <f t="shared" si="31"/>
        <v>0</v>
      </c>
      <c r="G91" s="301">
        <f t="shared" si="31"/>
        <v>0</v>
      </c>
      <c r="H91" s="301">
        <f t="shared" si="31"/>
        <v>0</v>
      </c>
      <c r="I91" s="301">
        <f t="shared" si="31"/>
        <v>0</v>
      </c>
      <c r="J91" s="301">
        <f t="shared" si="31"/>
        <v>0</v>
      </c>
      <c r="K91" s="301">
        <f t="shared" si="31"/>
        <v>0</v>
      </c>
      <c r="L91" s="301">
        <f t="shared" si="31"/>
        <v>0</v>
      </c>
      <c r="M91" s="301">
        <f t="shared" si="31"/>
        <v>0</v>
      </c>
      <c r="N91" s="301">
        <f t="shared" si="31"/>
        <v>0</v>
      </c>
      <c r="O91" s="117"/>
    </row>
    <row r="92" spans="1:15" s="58" customFormat="1" ht="12" hidden="1" customHeight="1" thickBot="1">
      <c r="A92" s="43"/>
      <c r="B92" s="43"/>
      <c r="C92" s="117"/>
      <c r="D92" s="117"/>
      <c r="E92" s="117"/>
      <c r="F92" s="117"/>
      <c r="G92" s="117"/>
      <c r="H92" s="117"/>
      <c r="I92" s="117"/>
      <c r="J92" s="117"/>
      <c r="K92" s="117"/>
      <c r="L92" s="117"/>
      <c r="M92" s="117"/>
      <c r="N92" s="117"/>
      <c r="O92" s="117"/>
    </row>
    <row r="93" spans="1:15" s="58" customFormat="1" ht="12" hidden="1" customHeight="1" thickBot="1">
      <c r="A93" s="78" t="s">
        <v>386</v>
      </c>
      <c r="B93" s="43"/>
      <c r="C93" s="320">
        <v>0</v>
      </c>
      <c r="D93" s="319" t="e">
        <f t="shared" ref="D93:N93" si="32">D69+D74+D79+D89-D91</f>
        <v>#REF!</v>
      </c>
      <c r="E93" s="319" t="e">
        <f t="shared" si="32"/>
        <v>#REF!</v>
      </c>
      <c r="F93" s="319" t="e">
        <f t="shared" si="32"/>
        <v>#REF!</v>
      </c>
      <c r="G93" s="319" t="e">
        <f t="shared" si="32"/>
        <v>#REF!</v>
      </c>
      <c r="H93" s="319" t="e">
        <f t="shared" si="32"/>
        <v>#REF!</v>
      </c>
      <c r="I93" s="319" t="e">
        <f t="shared" si="32"/>
        <v>#REF!</v>
      </c>
      <c r="J93" s="319" t="e">
        <f t="shared" si="32"/>
        <v>#REF!</v>
      </c>
      <c r="K93" s="319" t="e">
        <f t="shared" si="32"/>
        <v>#REF!</v>
      </c>
      <c r="L93" s="319" t="e">
        <f t="shared" si="32"/>
        <v>#REF!</v>
      </c>
      <c r="M93" s="319" t="e">
        <f t="shared" si="32"/>
        <v>#REF!</v>
      </c>
      <c r="N93" s="319" t="e">
        <f t="shared" si="32"/>
        <v>#REF!</v>
      </c>
      <c r="O93" s="117"/>
    </row>
    <row r="94" spans="1:15" s="58" customFormat="1" ht="12" hidden="1" customHeight="1">
      <c r="A94" s="43"/>
      <c r="B94" s="43"/>
      <c r="C94" s="117"/>
      <c r="D94" s="117"/>
      <c r="E94" s="117"/>
      <c r="F94" s="117"/>
      <c r="G94" s="117"/>
      <c r="H94" s="117"/>
      <c r="I94" s="117"/>
      <c r="J94" s="117"/>
      <c r="K94" s="117"/>
      <c r="L94" s="117"/>
      <c r="M94" s="117"/>
      <c r="N94" s="117"/>
      <c r="O94" s="117"/>
    </row>
    <row r="95" spans="1:15" s="58" customFormat="1" ht="12" hidden="1" customHeight="1">
      <c r="A95" s="78" t="s">
        <v>387</v>
      </c>
      <c r="B95" s="43"/>
      <c r="C95" s="301"/>
      <c r="D95" s="301">
        <f t="shared" ref="D95:N95" si="33">C95</f>
        <v>0</v>
      </c>
      <c r="E95" s="301">
        <f t="shared" si="33"/>
        <v>0</v>
      </c>
      <c r="F95" s="301">
        <f t="shared" si="33"/>
        <v>0</v>
      </c>
      <c r="G95" s="301">
        <f t="shared" si="33"/>
        <v>0</v>
      </c>
      <c r="H95" s="301">
        <f t="shared" si="33"/>
        <v>0</v>
      </c>
      <c r="I95" s="301">
        <f t="shared" si="33"/>
        <v>0</v>
      </c>
      <c r="J95" s="301">
        <f t="shared" si="33"/>
        <v>0</v>
      </c>
      <c r="K95" s="301">
        <f t="shared" si="33"/>
        <v>0</v>
      </c>
      <c r="L95" s="301">
        <f t="shared" si="33"/>
        <v>0</v>
      </c>
      <c r="M95" s="301">
        <f t="shared" si="33"/>
        <v>0</v>
      </c>
      <c r="N95" s="301">
        <f t="shared" si="33"/>
        <v>0</v>
      </c>
      <c r="O95" s="117"/>
    </row>
    <row r="96" spans="1:15" s="58" customFormat="1" ht="12" hidden="1" customHeight="1" thickBot="1">
      <c r="A96" s="43"/>
      <c r="B96" s="43"/>
      <c r="C96" s="117"/>
      <c r="D96" s="117"/>
      <c r="E96" s="117"/>
      <c r="F96" s="117"/>
      <c r="G96" s="117"/>
      <c r="H96" s="117"/>
      <c r="I96" s="117"/>
      <c r="J96" s="117"/>
      <c r="K96" s="117"/>
      <c r="L96" s="117"/>
      <c r="M96" s="117"/>
      <c r="N96" s="117"/>
      <c r="O96" s="117"/>
    </row>
    <row r="97" spans="1:15" s="58" customFormat="1" ht="12" hidden="1" customHeight="1" thickBot="1">
      <c r="A97" s="78" t="s">
        <v>388</v>
      </c>
      <c r="B97" s="43"/>
      <c r="C97" s="293">
        <f t="shared" ref="C97:N97" si="34">C67+C93-C95</f>
        <v>0</v>
      </c>
      <c r="D97" s="293" t="e">
        <f t="shared" si="34"/>
        <v>#REF!</v>
      </c>
      <c r="E97" s="293" t="e">
        <f t="shared" si="34"/>
        <v>#REF!</v>
      </c>
      <c r="F97" s="293" t="e">
        <f t="shared" si="34"/>
        <v>#REF!</v>
      </c>
      <c r="G97" s="293" t="e">
        <f t="shared" si="34"/>
        <v>#REF!</v>
      </c>
      <c r="H97" s="293" t="e">
        <f t="shared" si="34"/>
        <v>#REF!</v>
      </c>
      <c r="I97" s="293" t="e">
        <f t="shared" si="34"/>
        <v>#REF!</v>
      </c>
      <c r="J97" s="293" t="e">
        <f t="shared" si="34"/>
        <v>#REF!</v>
      </c>
      <c r="K97" s="293" t="e">
        <f t="shared" si="34"/>
        <v>#REF!</v>
      </c>
      <c r="L97" s="293" t="e">
        <f t="shared" si="34"/>
        <v>#REF!</v>
      </c>
      <c r="M97" s="293" t="e">
        <f t="shared" si="34"/>
        <v>#REF!</v>
      </c>
      <c r="N97" s="293" t="e">
        <f t="shared" si="34"/>
        <v>#REF!</v>
      </c>
      <c r="O97" s="142"/>
    </row>
    <row r="98" spans="1:15" hidden="1"/>
    <row r="99" spans="1:15" hidden="1"/>
    <row r="100" spans="1:15" hidden="1"/>
    <row r="101" spans="1:15" hidden="1"/>
    <row r="102" spans="1:15" hidden="1">
      <c r="A102" s="46" t="s">
        <v>516</v>
      </c>
      <c r="C102" s="291">
        <f>N63+30</f>
        <v>46029</v>
      </c>
      <c r="D102" s="291">
        <f t="shared" ref="D102:N102" si="35">C102+31</f>
        <v>46060</v>
      </c>
      <c r="E102" s="291">
        <f t="shared" si="35"/>
        <v>46091</v>
      </c>
      <c r="F102" s="291">
        <f t="shared" si="35"/>
        <v>46122</v>
      </c>
      <c r="G102" s="291">
        <f t="shared" si="35"/>
        <v>46153</v>
      </c>
      <c r="H102" s="291">
        <f t="shared" si="35"/>
        <v>46184</v>
      </c>
      <c r="I102" s="291">
        <f t="shared" si="35"/>
        <v>46215</v>
      </c>
      <c r="J102" s="291">
        <f t="shared" si="35"/>
        <v>46246</v>
      </c>
      <c r="K102" s="291">
        <f t="shared" si="35"/>
        <v>46277</v>
      </c>
      <c r="L102" s="291">
        <f t="shared" si="35"/>
        <v>46308</v>
      </c>
      <c r="M102" s="291">
        <f t="shared" si="35"/>
        <v>46339</v>
      </c>
      <c r="N102" s="291">
        <f t="shared" si="35"/>
        <v>46370</v>
      </c>
      <c r="O102" s="292"/>
    </row>
    <row r="103" spans="1:15" ht="15.5" hidden="1">
      <c r="A103" s="58"/>
      <c r="C103" s="292"/>
      <c r="D103" s="292"/>
      <c r="E103" s="292"/>
      <c r="F103" s="292"/>
      <c r="G103" s="292"/>
      <c r="H103" s="292"/>
      <c r="I103" s="292"/>
      <c r="J103" s="292"/>
      <c r="K103" s="292"/>
      <c r="L103" s="292"/>
      <c r="M103" s="292"/>
      <c r="N103" s="292"/>
      <c r="O103" s="292"/>
    </row>
    <row r="104" spans="1:15" ht="15.5" hidden="1">
      <c r="A104" s="58"/>
      <c r="C104" s="292"/>
      <c r="D104" s="292"/>
      <c r="E104" s="292"/>
      <c r="F104" s="292"/>
      <c r="G104" s="292"/>
      <c r="H104" s="292"/>
      <c r="I104" s="292"/>
      <c r="J104" s="292"/>
      <c r="K104" s="292"/>
      <c r="L104" s="292"/>
      <c r="M104" s="292"/>
      <c r="N104" s="292"/>
      <c r="O104" s="292"/>
    </row>
    <row r="105" spans="1:15" hidden="1">
      <c r="A105" s="48" t="s">
        <v>512</v>
      </c>
      <c r="C105" s="314">
        <f>N95</f>
        <v>0</v>
      </c>
      <c r="D105" s="314">
        <f>C134</f>
        <v>0</v>
      </c>
      <c r="E105" s="314"/>
      <c r="F105" s="314"/>
      <c r="G105" s="314"/>
      <c r="H105" s="315"/>
      <c r="I105" s="315"/>
      <c r="J105" s="314"/>
      <c r="K105" s="315"/>
      <c r="L105" s="315"/>
      <c r="M105" s="314"/>
      <c r="N105" s="315"/>
      <c r="O105" s="304"/>
    </row>
    <row r="106" spans="1:15" hidden="1">
      <c r="A106" s="48"/>
      <c r="C106" s="294"/>
      <c r="D106" s="295"/>
      <c r="E106" s="295"/>
      <c r="F106" s="295"/>
      <c r="G106" s="295"/>
      <c r="H106" s="295"/>
      <c r="I106" s="295"/>
      <c r="J106" s="295"/>
      <c r="K106" s="295"/>
      <c r="L106" s="295"/>
      <c r="M106" s="295"/>
      <c r="N106" s="295"/>
      <c r="O106" s="295"/>
    </row>
    <row r="107" spans="1:15" hidden="1">
      <c r="A107" s="48" t="s">
        <v>513</v>
      </c>
      <c r="C107" s="316">
        <f>N91</f>
        <v>0</v>
      </c>
      <c r="D107" s="317">
        <f>C130</f>
        <v>0</v>
      </c>
      <c r="E107" s="317"/>
      <c r="F107" s="317"/>
      <c r="G107" s="317"/>
      <c r="H107" s="317"/>
      <c r="I107" s="317"/>
      <c r="J107" s="317"/>
      <c r="K107" s="317"/>
      <c r="L107" s="317"/>
      <c r="M107" s="317"/>
      <c r="N107" s="317"/>
      <c r="O107" s="295"/>
    </row>
    <row r="108" spans="1:15" hidden="1">
      <c r="A108" s="48"/>
      <c r="C108" s="294"/>
      <c r="D108" s="295"/>
      <c r="E108" s="295"/>
      <c r="F108" s="295"/>
      <c r="G108" s="295"/>
      <c r="H108" s="295"/>
      <c r="I108" s="295"/>
      <c r="J108" s="295"/>
      <c r="K108" s="295"/>
      <c r="L108" s="295"/>
      <c r="M108" s="295"/>
      <c r="N108" s="295"/>
      <c r="O108" s="295"/>
    </row>
    <row r="109" spans="1:15" hidden="1">
      <c r="A109" s="48" t="s">
        <v>517</v>
      </c>
      <c r="C109" s="316">
        <f>-N73</f>
        <v>0</v>
      </c>
      <c r="D109" s="317">
        <f t="shared" ref="D109:N109" si="36">-C112</f>
        <v>0</v>
      </c>
      <c r="E109" s="317">
        <f t="shared" si="36"/>
        <v>0</v>
      </c>
      <c r="F109" s="317">
        <f t="shared" si="36"/>
        <v>0</v>
      </c>
      <c r="G109" s="317">
        <f t="shared" si="36"/>
        <v>0</v>
      </c>
      <c r="H109" s="317">
        <f t="shared" si="36"/>
        <v>0</v>
      </c>
      <c r="I109" s="317">
        <f t="shared" si="36"/>
        <v>0</v>
      </c>
      <c r="J109" s="317">
        <f t="shared" si="36"/>
        <v>0</v>
      </c>
      <c r="K109" s="317">
        <f t="shared" si="36"/>
        <v>0</v>
      </c>
      <c r="L109" s="317">
        <f t="shared" si="36"/>
        <v>0</v>
      </c>
      <c r="M109" s="317">
        <f t="shared" si="36"/>
        <v>0</v>
      </c>
      <c r="N109" s="317">
        <f t="shared" si="36"/>
        <v>0</v>
      </c>
      <c r="O109" s="295"/>
    </row>
    <row r="110" spans="1:15" hidden="1">
      <c r="A110" s="162" t="s">
        <v>518</v>
      </c>
      <c r="C110" s="301">
        <f>'A2'!E221+'A2'!E225+'A2'!E229</f>
        <v>0</v>
      </c>
      <c r="D110" s="301">
        <f>'A2'!F221+'A2'!F225+'A2'!F229</f>
        <v>0</v>
      </c>
      <c r="E110" s="301">
        <f>'A2'!G221+'A2'!G225+'A2'!G229</f>
        <v>0</v>
      </c>
      <c r="F110" s="301">
        <f>'A2'!H221+'A2'!H225+'A2'!H229</f>
        <v>0</v>
      </c>
      <c r="G110" s="301">
        <f>'A2'!I221+'A2'!I225+'A2'!I229</f>
        <v>0</v>
      </c>
      <c r="H110" s="301">
        <f>'A2'!J221+'A2'!J225+'A2'!J229</f>
        <v>0</v>
      </c>
      <c r="I110" s="301">
        <f>'A2'!K221+'A2'!K225+'A2'!K229</f>
        <v>0</v>
      </c>
      <c r="J110" s="301">
        <f>'A2'!L221+'A2'!L225+'A2'!L229</f>
        <v>0</v>
      </c>
      <c r="K110" s="301">
        <f>'A2'!M221+'A2'!M225+'A2'!M229</f>
        <v>0</v>
      </c>
      <c r="L110" s="301">
        <f>'A2'!N221+'A2'!N225+'A2'!N229</f>
        <v>0</v>
      </c>
      <c r="M110" s="301">
        <f>'A2'!O221+'A2'!O225+'A2'!O229</f>
        <v>0</v>
      </c>
      <c r="N110" s="301">
        <f>'A2'!P221+'A2'!P225+'A2'!P229</f>
        <v>0</v>
      </c>
      <c r="O110" s="117"/>
    </row>
    <row r="111" spans="1:15" hidden="1">
      <c r="A111" s="162" t="s">
        <v>371</v>
      </c>
      <c r="C111" s="301">
        <f t="shared" ref="C111:N111" si="37">C109+C110</f>
        <v>0</v>
      </c>
      <c r="D111" s="301">
        <f t="shared" si="37"/>
        <v>0</v>
      </c>
      <c r="E111" s="301">
        <f t="shared" si="37"/>
        <v>0</v>
      </c>
      <c r="F111" s="301">
        <f t="shared" si="37"/>
        <v>0</v>
      </c>
      <c r="G111" s="301">
        <f t="shared" si="37"/>
        <v>0</v>
      </c>
      <c r="H111" s="301">
        <f t="shared" si="37"/>
        <v>0</v>
      </c>
      <c r="I111" s="301">
        <f t="shared" si="37"/>
        <v>0</v>
      </c>
      <c r="J111" s="301">
        <f t="shared" si="37"/>
        <v>0</v>
      </c>
      <c r="K111" s="301">
        <f t="shared" si="37"/>
        <v>0</v>
      </c>
      <c r="L111" s="301">
        <f t="shared" si="37"/>
        <v>0</v>
      </c>
      <c r="M111" s="301">
        <f t="shared" si="37"/>
        <v>0</v>
      </c>
      <c r="N111" s="301">
        <f t="shared" si="37"/>
        <v>0</v>
      </c>
      <c r="O111" s="117"/>
    </row>
    <row r="112" spans="1:15" hidden="1">
      <c r="A112" s="162" t="s">
        <v>372</v>
      </c>
      <c r="C112" s="301">
        <f t="shared" ref="C112:N112" si="38">-C109</f>
        <v>0</v>
      </c>
      <c r="D112" s="301">
        <f t="shared" si="38"/>
        <v>0</v>
      </c>
      <c r="E112" s="301">
        <f t="shared" si="38"/>
        <v>0</v>
      </c>
      <c r="F112" s="301">
        <f t="shared" si="38"/>
        <v>0</v>
      </c>
      <c r="G112" s="301">
        <f t="shared" si="38"/>
        <v>0</v>
      </c>
      <c r="H112" s="301">
        <f t="shared" si="38"/>
        <v>0</v>
      </c>
      <c r="I112" s="301">
        <f t="shared" si="38"/>
        <v>0</v>
      </c>
      <c r="J112" s="301">
        <f t="shared" si="38"/>
        <v>0</v>
      </c>
      <c r="K112" s="301">
        <f t="shared" si="38"/>
        <v>0</v>
      </c>
      <c r="L112" s="301">
        <f t="shared" si="38"/>
        <v>0</v>
      </c>
      <c r="M112" s="301">
        <f t="shared" si="38"/>
        <v>0</v>
      </c>
      <c r="N112" s="301">
        <f t="shared" si="38"/>
        <v>0</v>
      </c>
      <c r="O112" s="117"/>
    </row>
    <row r="113" spans="1:15" hidden="1">
      <c r="A113" s="78" t="s">
        <v>524</v>
      </c>
      <c r="C113" s="301">
        <f t="shared" ref="C113:N113" si="39">C111-C112</f>
        <v>0</v>
      </c>
      <c r="D113" s="301">
        <f t="shared" si="39"/>
        <v>0</v>
      </c>
      <c r="E113" s="301">
        <f t="shared" si="39"/>
        <v>0</v>
      </c>
      <c r="F113" s="301">
        <f t="shared" si="39"/>
        <v>0</v>
      </c>
      <c r="G113" s="301">
        <f t="shared" si="39"/>
        <v>0</v>
      </c>
      <c r="H113" s="301">
        <f t="shared" si="39"/>
        <v>0</v>
      </c>
      <c r="I113" s="301">
        <f t="shared" si="39"/>
        <v>0</v>
      </c>
      <c r="J113" s="301">
        <f t="shared" si="39"/>
        <v>0</v>
      </c>
      <c r="K113" s="301">
        <f t="shared" si="39"/>
        <v>0</v>
      </c>
      <c r="L113" s="301">
        <f t="shared" si="39"/>
        <v>0</v>
      </c>
      <c r="M113" s="301">
        <f t="shared" si="39"/>
        <v>0</v>
      </c>
      <c r="N113" s="301">
        <f t="shared" si="39"/>
        <v>0</v>
      </c>
      <c r="O113" s="117"/>
    </row>
    <row r="114" spans="1:15" hidden="1">
      <c r="A114" s="48"/>
      <c r="C114" s="294"/>
      <c r="D114" s="295"/>
      <c r="E114" s="295"/>
      <c r="F114" s="295"/>
      <c r="G114" s="295"/>
      <c r="H114" s="295"/>
      <c r="I114" s="295"/>
      <c r="J114" s="295"/>
      <c r="K114" s="295"/>
      <c r="L114" s="295"/>
      <c r="M114" s="295"/>
      <c r="N114" s="295"/>
      <c r="O114" s="295"/>
    </row>
    <row r="115" spans="1:15" hidden="1">
      <c r="A115" s="78" t="s">
        <v>525</v>
      </c>
      <c r="C115" s="301">
        <f>B117</f>
        <v>0</v>
      </c>
      <c r="D115" s="301">
        <f t="shared" ref="D115:N115" si="40">C115</f>
        <v>0</v>
      </c>
      <c r="E115" s="318">
        <f t="shared" si="40"/>
        <v>0</v>
      </c>
      <c r="F115" s="318">
        <f t="shared" si="40"/>
        <v>0</v>
      </c>
      <c r="G115" s="318">
        <f t="shared" si="40"/>
        <v>0</v>
      </c>
      <c r="H115" s="318">
        <f t="shared" si="40"/>
        <v>0</v>
      </c>
      <c r="I115" s="318">
        <f t="shared" si="40"/>
        <v>0</v>
      </c>
      <c r="J115" s="318">
        <f t="shared" si="40"/>
        <v>0</v>
      </c>
      <c r="K115" s="318">
        <f t="shared" si="40"/>
        <v>0</v>
      </c>
      <c r="L115" s="318">
        <f t="shared" si="40"/>
        <v>0</v>
      </c>
      <c r="M115" s="318">
        <f t="shared" si="40"/>
        <v>0</v>
      </c>
      <c r="N115" s="318">
        <f t="shared" si="40"/>
        <v>0</v>
      </c>
      <c r="O115" s="121"/>
    </row>
    <row r="116" spans="1:15" hidden="1">
      <c r="A116" s="162" t="s">
        <v>526</v>
      </c>
      <c r="C116" s="301">
        <f>'A2'!E232/12</f>
        <v>0</v>
      </c>
      <c r="D116" s="301">
        <f t="shared" ref="D116:N116" si="41">C116</f>
        <v>0</v>
      </c>
      <c r="E116" s="301">
        <f t="shared" si="41"/>
        <v>0</v>
      </c>
      <c r="F116" s="301">
        <f t="shared" si="41"/>
        <v>0</v>
      </c>
      <c r="G116" s="301">
        <f t="shared" si="41"/>
        <v>0</v>
      </c>
      <c r="H116" s="301">
        <f t="shared" si="41"/>
        <v>0</v>
      </c>
      <c r="I116" s="301">
        <f t="shared" si="41"/>
        <v>0</v>
      </c>
      <c r="J116" s="301">
        <f t="shared" si="41"/>
        <v>0</v>
      </c>
      <c r="K116" s="301">
        <f t="shared" si="41"/>
        <v>0</v>
      </c>
      <c r="L116" s="301">
        <f t="shared" si="41"/>
        <v>0</v>
      </c>
      <c r="M116" s="301">
        <f t="shared" si="41"/>
        <v>0</v>
      </c>
      <c r="N116" s="301">
        <f t="shared" si="41"/>
        <v>0</v>
      </c>
      <c r="O116" s="117"/>
    </row>
    <row r="117" spans="1:15" hidden="1">
      <c r="A117" s="162" t="s">
        <v>527</v>
      </c>
      <c r="C117" s="301">
        <f>C116*'A2'!D13</f>
        <v>0</v>
      </c>
      <c r="D117" s="301">
        <f t="shared" ref="D117:N117" si="42">C116*0.18</f>
        <v>0</v>
      </c>
      <c r="E117" s="301">
        <f t="shared" si="42"/>
        <v>0</v>
      </c>
      <c r="F117" s="301">
        <f t="shared" si="42"/>
        <v>0</v>
      </c>
      <c r="G117" s="301">
        <f t="shared" si="42"/>
        <v>0</v>
      </c>
      <c r="H117" s="301">
        <f t="shared" si="42"/>
        <v>0</v>
      </c>
      <c r="I117" s="301">
        <f t="shared" si="42"/>
        <v>0</v>
      </c>
      <c r="J117" s="301">
        <f t="shared" si="42"/>
        <v>0</v>
      </c>
      <c r="K117" s="301">
        <f t="shared" si="42"/>
        <v>0</v>
      </c>
      <c r="L117" s="301">
        <f t="shared" si="42"/>
        <v>0</v>
      </c>
      <c r="M117" s="301">
        <f t="shared" si="42"/>
        <v>0</v>
      </c>
      <c r="N117" s="301">
        <f t="shared" si="42"/>
        <v>0</v>
      </c>
      <c r="O117" s="117"/>
    </row>
    <row r="118" spans="1:15" hidden="1">
      <c r="A118" s="78" t="s">
        <v>528</v>
      </c>
      <c r="C118" s="301">
        <f t="shared" ref="C118:N118" si="43">C116+C117</f>
        <v>0</v>
      </c>
      <c r="D118" s="301">
        <f t="shared" si="43"/>
        <v>0</v>
      </c>
      <c r="E118" s="301">
        <f t="shared" si="43"/>
        <v>0</v>
      </c>
      <c r="F118" s="301">
        <f t="shared" si="43"/>
        <v>0</v>
      </c>
      <c r="G118" s="301">
        <f t="shared" si="43"/>
        <v>0</v>
      </c>
      <c r="H118" s="301">
        <f t="shared" si="43"/>
        <v>0</v>
      </c>
      <c r="I118" s="301">
        <f t="shared" si="43"/>
        <v>0</v>
      </c>
      <c r="J118" s="301">
        <f t="shared" si="43"/>
        <v>0</v>
      </c>
      <c r="K118" s="301">
        <f t="shared" si="43"/>
        <v>0</v>
      </c>
      <c r="L118" s="301">
        <f t="shared" si="43"/>
        <v>0</v>
      </c>
      <c r="M118" s="301">
        <f t="shared" si="43"/>
        <v>0</v>
      </c>
      <c r="N118" s="301">
        <f t="shared" si="43"/>
        <v>0</v>
      </c>
      <c r="O118" s="117"/>
    </row>
    <row r="119" spans="1:15" hidden="1">
      <c r="A119" s="48"/>
      <c r="C119" s="294"/>
      <c r="D119" s="295"/>
      <c r="E119" s="295"/>
      <c r="F119" s="295"/>
      <c r="G119" s="295"/>
      <c r="H119" s="295"/>
      <c r="I119" s="295"/>
      <c r="J119" s="295"/>
      <c r="K119" s="295"/>
      <c r="L119" s="295"/>
      <c r="M119" s="295"/>
      <c r="N119" s="295"/>
      <c r="O119" s="295"/>
    </row>
    <row r="120" spans="1:15" hidden="1">
      <c r="A120" s="78" t="s">
        <v>380</v>
      </c>
      <c r="C120" s="44"/>
      <c r="D120" s="44"/>
      <c r="E120" s="44"/>
      <c r="F120" s="44"/>
      <c r="H120" s="44"/>
      <c r="I120" s="44"/>
      <c r="J120" s="44"/>
      <c r="K120" s="44"/>
      <c r="L120" s="44"/>
      <c r="M120" s="44"/>
      <c r="N120" s="44"/>
      <c r="O120" s="44"/>
    </row>
    <row r="121" spans="1:15" hidden="1">
      <c r="A121" s="162" t="s">
        <v>529</v>
      </c>
      <c r="C121" s="301"/>
      <c r="D121" s="301">
        <f t="shared" ref="D121:N121" si="44">C121</f>
        <v>0</v>
      </c>
      <c r="E121" s="301">
        <f t="shared" si="44"/>
        <v>0</v>
      </c>
      <c r="F121" s="301">
        <f t="shared" si="44"/>
        <v>0</v>
      </c>
      <c r="G121" s="301">
        <f t="shared" si="44"/>
        <v>0</v>
      </c>
      <c r="H121" s="301">
        <f t="shared" si="44"/>
        <v>0</v>
      </c>
      <c r="I121" s="301">
        <f t="shared" si="44"/>
        <v>0</v>
      </c>
      <c r="J121" s="301">
        <f t="shared" si="44"/>
        <v>0</v>
      </c>
      <c r="K121" s="301">
        <f t="shared" si="44"/>
        <v>0</v>
      </c>
      <c r="L121" s="301">
        <f t="shared" si="44"/>
        <v>0</v>
      </c>
      <c r="M121" s="301">
        <f t="shared" si="44"/>
        <v>0</v>
      </c>
      <c r="N121" s="301">
        <f t="shared" si="44"/>
        <v>0</v>
      </c>
      <c r="O121" s="117"/>
    </row>
    <row r="122" spans="1:15" hidden="1">
      <c r="A122" s="162" t="s">
        <v>530</v>
      </c>
      <c r="C122" s="301"/>
      <c r="D122" s="301">
        <f t="shared" ref="D122:N122" si="45">C122</f>
        <v>0</v>
      </c>
      <c r="E122" s="301">
        <f t="shared" si="45"/>
        <v>0</v>
      </c>
      <c r="F122" s="301">
        <f t="shared" si="45"/>
        <v>0</v>
      </c>
      <c r="G122" s="301">
        <f t="shared" si="45"/>
        <v>0</v>
      </c>
      <c r="H122" s="301">
        <f t="shared" si="45"/>
        <v>0</v>
      </c>
      <c r="I122" s="301">
        <f t="shared" si="45"/>
        <v>0</v>
      </c>
      <c r="J122" s="301">
        <f t="shared" si="45"/>
        <v>0</v>
      </c>
      <c r="K122" s="301">
        <f t="shared" si="45"/>
        <v>0</v>
      </c>
      <c r="L122" s="301">
        <f t="shared" si="45"/>
        <v>0</v>
      </c>
      <c r="M122" s="301">
        <f t="shared" si="45"/>
        <v>0</v>
      </c>
      <c r="N122" s="301">
        <f t="shared" si="45"/>
        <v>0</v>
      </c>
      <c r="O122" s="117"/>
    </row>
    <row r="123" spans="1:15" hidden="1">
      <c r="A123" s="162" t="s">
        <v>531</v>
      </c>
      <c r="C123" s="301"/>
      <c r="D123" s="301">
        <f t="shared" ref="D123:N123" si="46">C123</f>
        <v>0</v>
      </c>
      <c r="E123" s="301">
        <f t="shared" si="46"/>
        <v>0</v>
      </c>
      <c r="F123" s="301">
        <f t="shared" si="46"/>
        <v>0</v>
      </c>
      <c r="G123" s="301">
        <f t="shared" si="46"/>
        <v>0</v>
      </c>
      <c r="H123" s="301">
        <f t="shared" si="46"/>
        <v>0</v>
      </c>
      <c r="I123" s="301">
        <f t="shared" si="46"/>
        <v>0</v>
      </c>
      <c r="J123" s="301">
        <f t="shared" si="46"/>
        <v>0</v>
      </c>
      <c r="K123" s="301">
        <f t="shared" si="46"/>
        <v>0</v>
      </c>
      <c r="L123" s="301">
        <f t="shared" si="46"/>
        <v>0</v>
      </c>
      <c r="M123" s="301">
        <f t="shared" si="46"/>
        <v>0</v>
      </c>
      <c r="N123" s="301">
        <f t="shared" si="46"/>
        <v>0</v>
      </c>
      <c r="O123" s="117"/>
    </row>
    <row r="124" spans="1:15" hidden="1">
      <c r="A124" s="162" t="s">
        <v>532</v>
      </c>
      <c r="C124" s="301"/>
      <c r="D124" s="301">
        <f t="shared" ref="D124:N124" si="47">C124</f>
        <v>0</v>
      </c>
      <c r="E124" s="301">
        <f t="shared" si="47"/>
        <v>0</v>
      </c>
      <c r="F124" s="301">
        <f t="shared" si="47"/>
        <v>0</v>
      </c>
      <c r="G124" s="301">
        <f t="shared" si="47"/>
        <v>0</v>
      </c>
      <c r="H124" s="301">
        <f t="shared" si="47"/>
        <v>0</v>
      </c>
      <c r="I124" s="301">
        <f t="shared" si="47"/>
        <v>0</v>
      </c>
      <c r="J124" s="301">
        <f t="shared" si="47"/>
        <v>0</v>
      </c>
      <c r="K124" s="301">
        <f t="shared" si="47"/>
        <v>0</v>
      </c>
      <c r="L124" s="301">
        <f t="shared" si="47"/>
        <v>0</v>
      </c>
      <c r="M124" s="301">
        <f t="shared" si="47"/>
        <v>0</v>
      </c>
      <c r="N124" s="301">
        <f t="shared" si="47"/>
        <v>0</v>
      </c>
      <c r="O124" s="117"/>
    </row>
    <row r="125" spans="1:15" hidden="1">
      <c r="A125" s="162" t="s">
        <v>533</v>
      </c>
      <c r="C125" s="301">
        <f>A!H77</f>
        <v>0</v>
      </c>
      <c r="D125" s="301">
        <f t="shared" ref="D125:N125" si="48">C125</f>
        <v>0</v>
      </c>
      <c r="E125" s="301">
        <f t="shared" si="48"/>
        <v>0</v>
      </c>
      <c r="F125" s="301">
        <f t="shared" si="48"/>
        <v>0</v>
      </c>
      <c r="G125" s="301">
        <f t="shared" si="48"/>
        <v>0</v>
      </c>
      <c r="H125" s="301">
        <f t="shared" si="48"/>
        <v>0</v>
      </c>
      <c r="I125" s="301">
        <f t="shared" si="48"/>
        <v>0</v>
      </c>
      <c r="J125" s="301">
        <f t="shared" si="48"/>
        <v>0</v>
      </c>
      <c r="K125" s="301">
        <f t="shared" si="48"/>
        <v>0</v>
      </c>
      <c r="L125" s="301">
        <f t="shared" si="48"/>
        <v>0</v>
      </c>
      <c r="M125" s="301">
        <f t="shared" si="48"/>
        <v>0</v>
      </c>
      <c r="N125" s="301">
        <f t="shared" si="48"/>
        <v>0</v>
      </c>
      <c r="O125" s="117"/>
    </row>
    <row r="126" spans="1:15" hidden="1">
      <c r="A126" s="162" t="s">
        <v>534</v>
      </c>
      <c r="C126" s="301"/>
      <c r="D126" s="301">
        <f t="shared" ref="D126:N126" si="49">C126</f>
        <v>0</v>
      </c>
      <c r="E126" s="301">
        <f t="shared" si="49"/>
        <v>0</v>
      </c>
      <c r="F126" s="301">
        <f t="shared" si="49"/>
        <v>0</v>
      </c>
      <c r="G126" s="301">
        <f t="shared" si="49"/>
        <v>0</v>
      </c>
      <c r="H126" s="301">
        <f t="shared" si="49"/>
        <v>0</v>
      </c>
      <c r="I126" s="301">
        <f t="shared" si="49"/>
        <v>0</v>
      </c>
      <c r="J126" s="301">
        <f t="shared" si="49"/>
        <v>0</v>
      </c>
      <c r="K126" s="301">
        <f t="shared" si="49"/>
        <v>0</v>
      </c>
      <c r="L126" s="301">
        <f t="shared" si="49"/>
        <v>0</v>
      </c>
      <c r="M126" s="301">
        <f t="shared" si="49"/>
        <v>0</v>
      </c>
      <c r="N126" s="301">
        <f t="shared" si="49"/>
        <v>0</v>
      </c>
      <c r="O126" s="117"/>
    </row>
    <row r="127" spans="1:15" hidden="1">
      <c r="A127" s="162" t="s">
        <v>383</v>
      </c>
      <c r="C127" s="305"/>
      <c r="D127" s="305">
        <f t="shared" ref="D127:N127" si="50">C127</f>
        <v>0</v>
      </c>
      <c r="E127" s="305">
        <f t="shared" si="50"/>
        <v>0</v>
      </c>
      <c r="F127" s="305">
        <f t="shared" si="50"/>
        <v>0</v>
      </c>
      <c r="G127" s="305">
        <f t="shared" si="50"/>
        <v>0</v>
      </c>
      <c r="H127" s="305">
        <f t="shared" si="50"/>
        <v>0</v>
      </c>
      <c r="I127" s="305">
        <f t="shared" si="50"/>
        <v>0</v>
      </c>
      <c r="J127" s="305">
        <f t="shared" si="50"/>
        <v>0</v>
      </c>
      <c r="K127" s="305">
        <f t="shared" si="50"/>
        <v>0</v>
      </c>
      <c r="L127" s="305">
        <f t="shared" si="50"/>
        <v>0</v>
      </c>
      <c r="M127" s="305">
        <f t="shared" si="50"/>
        <v>0</v>
      </c>
      <c r="N127" s="305">
        <f t="shared" si="50"/>
        <v>0</v>
      </c>
      <c r="O127" s="117"/>
    </row>
    <row r="128" spans="1:15" ht="13.5" hidden="1" thickBot="1">
      <c r="A128" s="78" t="s">
        <v>384</v>
      </c>
      <c r="C128" s="319">
        <f t="shared" ref="C128:N128" si="51">SUM(C121:C127)-C125</f>
        <v>0</v>
      </c>
      <c r="D128" s="319">
        <f t="shared" si="51"/>
        <v>0</v>
      </c>
      <c r="E128" s="319">
        <f t="shared" si="51"/>
        <v>0</v>
      </c>
      <c r="F128" s="319">
        <f t="shared" si="51"/>
        <v>0</v>
      </c>
      <c r="G128" s="319">
        <f t="shared" si="51"/>
        <v>0</v>
      </c>
      <c r="H128" s="319">
        <f t="shared" si="51"/>
        <v>0</v>
      </c>
      <c r="I128" s="319">
        <f t="shared" si="51"/>
        <v>0</v>
      </c>
      <c r="J128" s="319">
        <f t="shared" si="51"/>
        <v>0</v>
      </c>
      <c r="K128" s="319">
        <f t="shared" si="51"/>
        <v>0</v>
      </c>
      <c r="L128" s="319">
        <f t="shared" si="51"/>
        <v>0</v>
      </c>
      <c r="M128" s="319">
        <f t="shared" si="51"/>
        <v>0</v>
      </c>
      <c r="N128" s="319">
        <f t="shared" si="51"/>
        <v>0</v>
      </c>
      <c r="O128" s="117"/>
    </row>
    <row r="129" spans="1:15" hidden="1">
      <c r="C129" s="117"/>
      <c r="D129" s="117"/>
      <c r="E129" s="117"/>
      <c r="F129" s="117"/>
      <c r="G129" s="117"/>
      <c r="H129" s="117"/>
      <c r="I129" s="117"/>
      <c r="J129" s="117"/>
      <c r="K129" s="117"/>
      <c r="L129" s="117"/>
      <c r="M129" s="117"/>
      <c r="N129" s="117"/>
      <c r="O129" s="117"/>
    </row>
    <row r="130" spans="1:15" hidden="1">
      <c r="A130" s="78" t="s">
        <v>385</v>
      </c>
      <c r="C130" s="301">
        <v>0</v>
      </c>
      <c r="D130" s="301">
        <f t="shared" ref="D130:N130" si="52">C130</f>
        <v>0</v>
      </c>
      <c r="E130" s="301">
        <f t="shared" si="52"/>
        <v>0</v>
      </c>
      <c r="F130" s="301">
        <f t="shared" si="52"/>
        <v>0</v>
      </c>
      <c r="G130" s="301">
        <f t="shared" si="52"/>
        <v>0</v>
      </c>
      <c r="H130" s="301">
        <f t="shared" si="52"/>
        <v>0</v>
      </c>
      <c r="I130" s="301">
        <f t="shared" si="52"/>
        <v>0</v>
      </c>
      <c r="J130" s="301">
        <f t="shared" si="52"/>
        <v>0</v>
      </c>
      <c r="K130" s="301">
        <f t="shared" si="52"/>
        <v>0</v>
      </c>
      <c r="L130" s="301">
        <f t="shared" si="52"/>
        <v>0</v>
      </c>
      <c r="M130" s="301">
        <f t="shared" si="52"/>
        <v>0</v>
      </c>
      <c r="N130" s="301">
        <f t="shared" si="52"/>
        <v>0</v>
      </c>
      <c r="O130" s="117"/>
    </row>
    <row r="131" spans="1:15" hidden="1">
      <c r="C131" s="117"/>
      <c r="D131" s="117"/>
      <c r="E131" s="117"/>
      <c r="F131" s="117"/>
      <c r="G131" s="117"/>
      <c r="H131" s="117"/>
      <c r="I131" s="117"/>
      <c r="J131" s="117"/>
      <c r="K131" s="117"/>
      <c r="L131" s="117"/>
      <c r="M131" s="117"/>
      <c r="N131" s="117"/>
      <c r="O131" s="117"/>
    </row>
    <row r="132" spans="1:15" ht="13.5" hidden="1" thickBot="1">
      <c r="A132" s="78" t="s">
        <v>386</v>
      </c>
      <c r="C132" s="320">
        <v>0</v>
      </c>
      <c r="D132" s="319">
        <f t="shared" ref="D132:N132" si="53">D108+D113+D118+D128-D130</f>
        <v>0</v>
      </c>
      <c r="E132" s="319">
        <f t="shared" si="53"/>
        <v>0</v>
      </c>
      <c r="F132" s="319">
        <f t="shared" si="53"/>
        <v>0</v>
      </c>
      <c r="G132" s="319">
        <f t="shared" si="53"/>
        <v>0</v>
      </c>
      <c r="H132" s="319">
        <f t="shared" si="53"/>
        <v>0</v>
      </c>
      <c r="I132" s="319">
        <f t="shared" si="53"/>
        <v>0</v>
      </c>
      <c r="J132" s="319">
        <f t="shared" si="53"/>
        <v>0</v>
      </c>
      <c r="K132" s="319">
        <f t="shared" si="53"/>
        <v>0</v>
      </c>
      <c r="L132" s="319">
        <f t="shared" si="53"/>
        <v>0</v>
      </c>
      <c r="M132" s="319">
        <f t="shared" si="53"/>
        <v>0</v>
      </c>
      <c r="N132" s="319">
        <f t="shared" si="53"/>
        <v>0</v>
      </c>
      <c r="O132" s="117"/>
    </row>
    <row r="133" spans="1:15" hidden="1">
      <c r="C133" s="117"/>
      <c r="D133" s="117"/>
      <c r="E133" s="117"/>
      <c r="F133" s="117"/>
      <c r="G133" s="117"/>
      <c r="H133" s="117"/>
      <c r="I133" s="117"/>
      <c r="J133" s="117"/>
      <c r="K133" s="117"/>
      <c r="L133" s="117"/>
      <c r="M133" s="117"/>
      <c r="N133" s="117"/>
      <c r="O133" s="117"/>
    </row>
    <row r="134" spans="1:15" hidden="1">
      <c r="A134" s="78" t="s">
        <v>387</v>
      </c>
      <c r="C134" s="301"/>
      <c r="D134" s="301">
        <f t="shared" ref="D134:N134" si="54">C134</f>
        <v>0</v>
      </c>
      <c r="E134" s="301">
        <f t="shared" si="54"/>
        <v>0</v>
      </c>
      <c r="F134" s="301">
        <f t="shared" si="54"/>
        <v>0</v>
      </c>
      <c r="G134" s="301">
        <f t="shared" si="54"/>
        <v>0</v>
      </c>
      <c r="H134" s="301">
        <f t="shared" si="54"/>
        <v>0</v>
      </c>
      <c r="I134" s="301">
        <f t="shared" si="54"/>
        <v>0</v>
      </c>
      <c r="J134" s="301">
        <f t="shared" si="54"/>
        <v>0</v>
      </c>
      <c r="K134" s="301">
        <f t="shared" si="54"/>
        <v>0</v>
      </c>
      <c r="L134" s="301">
        <f t="shared" si="54"/>
        <v>0</v>
      </c>
      <c r="M134" s="301">
        <f t="shared" si="54"/>
        <v>0</v>
      </c>
      <c r="N134" s="301">
        <f t="shared" si="54"/>
        <v>0</v>
      </c>
      <c r="O134" s="117"/>
    </row>
    <row r="135" spans="1:15" hidden="1">
      <c r="C135" s="117"/>
      <c r="D135" s="117"/>
      <c r="E135" s="117"/>
      <c r="F135" s="117"/>
      <c r="G135" s="117"/>
      <c r="H135" s="117"/>
      <c r="I135" s="117"/>
      <c r="J135" s="117"/>
      <c r="K135" s="117"/>
      <c r="L135" s="117"/>
      <c r="M135" s="117"/>
      <c r="N135" s="117"/>
      <c r="O135" s="117"/>
    </row>
    <row r="136" spans="1:15" ht="13.5" hidden="1" thickBot="1">
      <c r="A136" s="78" t="s">
        <v>388</v>
      </c>
      <c r="C136" s="293">
        <f t="shared" ref="C136:N136" si="55">C106+C132-C134</f>
        <v>0</v>
      </c>
      <c r="D136" s="293">
        <f t="shared" si="55"/>
        <v>0</v>
      </c>
      <c r="E136" s="293">
        <f t="shared" si="55"/>
        <v>0</v>
      </c>
      <c r="F136" s="293">
        <f t="shared" si="55"/>
        <v>0</v>
      </c>
      <c r="G136" s="293">
        <f t="shared" si="55"/>
        <v>0</v>
      </c>
      <c r="H136" s="293">
        <f t="shared" si="55"/>
        <v>0</v>
      </c>
      <c r="I136" s="293">
        <f t="shared" si="55"/>
        <v>0</v>
      </c>
      <c r="J136" s="293">
        <f t="shared" si="55"/>
        <v>0</v>
      </c>
      <c r="K136" s="293">
        <f t="shared" si="55"/>
        <v>0</v>
      </c>
      <c r="L136" s="293">
        <f t="shared" si="55"/>
        <v>0</v>
      </c>
      <c r="M136" s="293">
        <f t="shared" si="55"/>
        <v>0</v>
      </c>
      <c r="N136" s="293">
        <f t="shared" si="55"/>
        <v>0</v>
      </c>
      <c r="O136" s="142"/>
    </row>
  </sheetData>
  <sheetProtection password="E242" sheet="1" objects="1" scenarios="1"/>
  <customSheetViews>
    <customSheetView guid="{30D0538C-360A-4CDF-8D89-584CED1967CC}"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 guid="{4F3169C3-3348-49DE-A6DC-8AA4D2A9D7A1}"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s>
  <phoneticPr fontId="0" type="noConversion"/>
  <pageMargins left="0.97" right="0.95" top="0.59" bottom="0.69" header="0.4921259845" footer="0.4921259845"/>
  <pageSetup scale="56" orientation="landscape" horizontalDpi="360" verticalDpi="180" r:id="rId1"/>
  <headerFooter alignWithMargins="0"/>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FGFM3">
    <pageSetUpPr fitToPage="1"/>
  </sheetPr>
  <dimension ref="A1:P136"/>
  <sheetViews>
    <sheetView showGridLines="0" showOutlineSymbols="0" topLeftCell="A31" zoomScaleNormal="100" workbookViewId="0">
      <selection activeCell="O139" sqref="O139"/>
    </sheetView>
  </sheetViews>
  <sheetFormatPr baseColWidth="10" defaultColWidth="11.453125" defaultRowHeight="13"/>
  <cols>
    <col min="1" max="1" width="32.36328125" style="43" customWidth="1"/>
    <col min="2" max="2" width="10.453125" style="43" customWidth="1"/>
    <col min="3" max="6" width="11.81640625" style="43" customWidth="1"/>
    <col min="7" max="7" width="11.81640625" style="44" customWidth="1"/>
    <col min="8" max="8" width="11.81640625" style="61" customWidth="1"/>
    <col min="9" max="9" width="11.81640625" style="62" customWidth="1"/>
    <col min="10" max="10" width="11.81640625" style="43" customWidth="1"/>
    <col min="11" max="12" width="11.81640625" style="62" customWidth="1"/>
    <col min="13" max="13" width="11.81640625" style="43" customWidth="1"/>
    <col min="14" max="14" width="11.81640625" style="62" customWidth="1"/>
    <col min="15" max="15" width="14.36328125" style="62" customWidth="1"/>
    <col min="16" max="16" width="9.6328125" style="43" customWidth="1"/>
    <col min="17" max="17" width="12.6328125" style="43" customWidth="1"/>
    <col min="18" max="19" width="7.6328125" style="43" customWidth="1"/>
    <col min="20" max="20" width="12.6328125" style="43" customWidth="1"/>
    <col min="21" max="22" width="7.6328125" style="43" customWidth="1"/>
    <col min="23" max="23" width="12.6328125" style="43" customWidth="1"/>
    <col min="24" max="25" width="7.6328125" style="43" customWidth="1"/>
    <col min="26" max="16384" width="11.453125" style="43"/>
  </cols>
  <sheetData>
    <row r="1" spans="1:16" customFormat="1" ht="12.5"/>
    <row r="2" spans="1:16" customFormat="1" ht="12.5"/>
    <row r="3" spans="1:16" customFormat="1" ht="12.5"/>
    <row r="4" spans="1:16" s="261" customFormat="1" ht="12.5"/>
    <row r="5" spans="1:16" s="261" customFormat="1" ht="12.5"/>
    <row r="6" spans="1:16" s="261" customFormat="1" ht="12.5"/>
    <row r="7" spans="1:16" s="261" customFormat="1" ht="12.5"/>
    <row r="8" spans="1:16" s="287" customFormat="1" ht="10">
      <c r="C8" s="288"/>
      <c r="H8" s="288"/>
      <c r="I8" s="289"/>
      <c r="J8" s="290"/>
      <c r="L8" s="290"/>
      <c r="M8" s="290"/>
      <c r="O8" s="290"/>
      <c r="P8" s="290"/>
    </row>
    <row r="9" spans="1:16" ht="25.5">
      <c r="A9" s="42" t="str">
        <f>RG!D17</f>
        <v>Jhon Wesly inc.</v>
      </c>
      <c r="B9" s="44"/>
      <c r="C9" s="44"/>
      <c r="D9" s="44"/>
      <c r="E9" s="44"/>
      <c r="F9" s="44"/>
      <c r="H9" s="44"/>
      <c r="I9" s="44"/>
      <c r="K9" s="43"/>
      <c r="L9" s="43"/>
      <c r="N9" s="43"/>
      <c r="O9" s="43"/>
    </row>
    <row r="10" spans="1:16">
      <c r="A10" s="44"/>
      <c r="B10" s="44"/>
      <c r="C10" s="44"/>
      <c r="D10" s="44"/>
      <c r="E10" s="44"/>
      <c r="F10" s="44"/>
      <c r="H10" s="44"/>
      <c r="I10" s="44"/>
      <c r="K10" s="43"/>
      <c r="L10" s="43"/>
      <c r="N10" s="43"/>
      <c r="O10" s="43"/>
    </row>
    <row r="11" spans="1:16" ht="15">
      <c r="A11" s="45" t="s">
        <v>218</v>
      </c>
      <c r="B11" s="44"/>
      <c r="C11" s="44"/>
      <c r="D11" s="44"/>
      <c r="E11" s="44"/>
      <c r="F11" s="44"/>
      <c r="H11" s="44"/>
      <c r="I11" s="44"/>
      <c r="K11" s="43"/>
      <c r="L11" s="43"/>
      <c r="N11" s="43"/>
      <c r="O11" s="43"/>
    </row>
    <row r="12" spans="1:16">
      <c r="B12" s="44"/>
      <c r="C12" s="44"/>
      <c r="D12" s="44"/>
      <c r="E12" s="44"/>
      <c r="F12" s="44"/>
      <c r="H12" s="44"/>
      <c r="I12" s="44"/>
      <c r="K12" s="43"/>
      <c r="L12" s="43"/>
      <c r="N12" s="43"/>
      <c r="O12" s="43"/>
    </row>
    <row r="13" spans="1:16">
      <c r="A13" s="46" t="s">
        <v>871</v>
      </c>
      <c r="B13" s="44"/>
      <c r="C13" s="44"/>
      <c r="D13" s="44"/>
      <c r="E13" s="44"/>
      <c r="F13" s="44"/>
      <c r="H13" s="44"/>
      <c r="I13" s="44"/>
      <c r="K13" s="43"/>
      <c r="L13" s="43"/>
      <c r="N13" s="43"/>
      <c r="O13" s="43"/>
    </row>
    <row r="14" spans="1:16" ht="19.5" customHeight="1" thickBot="1">
      <c r="A14" s="46"/>
      <c r="B14" s="44"/>
      <c r="C14" s="44"/>
      <c r="D14" s="44"/>
      <c r="E14" s="44"/>
      <c r="F14" s="44"/>
      <c r="H14" s="44"/>
      <c r="I14" s="44"/>
      <c r="K14" s="43"/>
      <c r="L14" s="43"/>
      <c r="N14" s="43"/>
      <c r="O14" s="43"/>
    </row>
    <row r="15" spans="1:16" s="58" customFormat="1" ht="18" customHeight="1" thickBot="1">
      <c r="C15" s="291">
        <f>FGFM2!C15+366</f>
        <v>46024</v>
      </c>
      <c r="D15" s="291">
        <f>FGFM2!D15+366</f>
        <v>46055</v>
      </c>
      <c r="E15" s="291">
        <f>FGFM2!E15+366</f>
        <v>46086</v>
      </c>
      <c r="F15" s="291">
        <f>FGFM2!F15+366</f>
        <v>46117</v>
      </c>
      <c r="G15" s="291">
        <f>FGFM2!G15+366</f>
        <v>46148</v>
      </c>
      <c r="H15" s="291">
        <f>FGFM2!H15+366</f>
        <v>46179</v>
      </c>
      <c r="I15" s="291">
        <f>FGFM2!I15+366</f>
        <v>46210</v>
      </c>
      <c r="J15" s="291">
        <f>FGFM2!J15+366</f>
        <v>46241</v>
      </c>
      <c r="K15" s="291">
        <f>FGFM2!K15+366</f>
        <v>46272</v>
      </c>
      <c r="L15" s="291">
        <f>FGFM2!L15+366</f>
        <v>46303</v>
      </c>
      <c r="M15" s="291">
        <f>FGFM2!M15+366</f>
        <v>46334</v>
      </c>
      <c r="N15" s="291">
        <f>FGFM2!N15+366</f>
        <v>46365</v>
      </c>
      <c r="O15" s="406" t="s">
        <v>180</v>
      </c>
    </row>
    <row r="16" spans="1:16" s="58" customFormat="1" ht="18" customHeight="1" thickBot="1">
      <c r="C16" s="292"/>
      <c r="D16" s="292"/>
      <c r="E16" s="292"/>
      <c r="F16" s="292"/>
      <c r="G16" s="292"/>
      <c r="H16" s="292"/>
      <c r="I16" s="292"/>
      <c r="J16" s="292"/>
      <c r="K16" s="292"/>
      <c r="L16" s="292"/>
      <c r="M16" s="292"/>
      <c r="N16" s="292"/>
      <c r="O16" s="292"/>
    </row>
    <row r="17" spans="1:15" s="48" customFormat="1" ht="13.5" thickBot="1">
      <c r="A17" s="48" t="s">
        <v>216</v>
      </c>
      <c r="C17" s="293">
        <f>FGFM2!N56</f>
        <v>0</v>
      </c>
      <c r="D17" s="293">
        <f t="shared" ref="D17:N17" si="0">C56</f>
        <v>0</v>
      </c>
      <c r="E17" s="293">
        <f t="shared" si="0"/>
        <v>0</v>
      </c>
      <c r="F17" s="293">
        <f t="shared" si="0"/>
        <v>0</v>
      </c>
      <c r="G17" s="293">
        <f t="shared" si="0"/>
        <v>0</v>
      </c>
      <c r="H17" s="293">
        <f t="shared" si="0"/>
        <v>0</v>
      </c>
      <c r="I17" s="293">
        <f t="shared" si="0"/>
        <v>0</v>
      </c>
      <c r="J17" s="293">
        <f t="shared" si="0"/>
        <v>0</v>
      </c>
      <c r="K17" s="293">
        <f t="shared" si="0"/>
        <v>0</v>
      </c>
      <c r="L17" s="293">
        <f t="shared" si="0"/>
        <v>0</v>
      </c>
      <c r="M17" s="293">
        <f t="shared" si="0"/>
        <v>0</v>
      </c>
      <c r="N17" s="293">
        <f t="shared" si="0"/>
        <v>0</v>
      </c>
      <c r="O17" s="293">
        <f>SUM(C17:N17)</f>
        <v>0</v>
      </c>
    </row>
    <row r="18" spans="1:15" s="58" customFormat="1" ht="12" customHeight="1" thickBot="1">
      <c r="A18" s="48"/>
      <c r="C18" s="294"/>
      <c r="D18" s="295"/>
      <c r="E18" s="295"/>
      <c r="F18" s="295"/>
      <c r="G18" s="295"/>
      <c r="H18" s="295"/>
      <c r="I18" s="295"/>
      <c r="J18" s="295"/>
      <c r="K18" s="295"/>
      <c r="L18" s="295"/>
      <c r="M18" s="295"/>
      <c r="N18" s="295"/>
      <c r="O18" s="295"/>
    </row>
    <row r="19" spans="1:15" s="59" customFormat="1" ht="12" customHeight="1" thickBot="1">
      <c r="A19" s="48" t="s">
        <v>309</v>
      </c>
      <c r="C19" s="321">
        <f>FGFM2!N52</f>
        <v>0</v>
      </c>
      <c r="D19" s="296">
        <f t="shared" ref="D19:N19" si="1">C52</f>
        <v>0</v>
      </c>
      <c r="E19" s="296">
        <f t="shared" si="1"/>
        <v>0</v>
      </c>
      <c r="F19" s="296">
        <f t="shared" si="1"/>
        <v>0</v>
      </c>
      <c r="G19" s="296">
        <f t="shared" si="1"/>
        <v>0</v>
      </c>
      <c r="H19" s="296">
        <f t="shared" si="1"/>
        <v>0</v>
      </c>
      <c r="I19" s="296">
        <f t="shared" si="1"/>
        <v>0</v>
      </c>
      <c r="J19" s="296">
        <f t="shared" si="1"/>
        <v>0</v>
      </c>
      <c r="K19" s="296">
        <f t="shared" si="1"/>
        <v>0</v>
      </c>
      <c r="L19" s="296">
        <f t="shared" si="1"/>
        <v>0</v>
      </c>
      <c r="M19" s="296">
        <f t="shared" si="1"/>
        <v>0</v>
      </c>
      <c r="N19" s="296">
        <f t="shared" si="1"/>
        <v>0</v>
      </c>
      <c r="O19" s="293">
        <f>SUM(C19:N19)</f>
        <v>0</v>
      </c>
    </row>
    <row r="20" spans="1:15" s="58" customFormat="1" ht="12" customHeight="1" thickBot="1">
      <c r="A20" s="48"/>
      <c r="C20" s="294"/>
      <c r="D20" s="295"/>
      <c r="E20" s="295"/>
      <c r="F20" s="295"/>
      <c r="G20" s="295"/>
      <c r="H20" s="295"/>
      <c r="I20" s="295"/>
      <c r="J20" s="295"/>
      <c r="K20" s="295"/>
      <c r="L20" s="295"/>
      <c r="M20" s="295"/>
      <c r="N20" s="295"/>
      <c r="O20" s="295"/>
    </row>
    <row r="21" spans="1:15" s="59" customFormat="1" ht="12" customHeight="1" thickBot="1">
      <c r="A21" s="48" t="s">
        <v>517</v>
      </c>
      <c r="C21" s="297">
        <f>FGFM2!N24</f>
        <v>0</v>
      </c>
      <c r="D21" s="298">
        <f>C24</f>
        <v>0</v>
      </c>
      <c r="E21" s="298">
        <f t="shared" ref="E21:N21" si="2">D24</f>
        <v>0</v>
      </c>
      <c r="F21" s="298">
        <f t="shared" si="2"/>
        <v>0</v>
      </c>
      <c r="G21" s="298">
        <f t="shared" si="2"/>
        <v>0</v>
      </c>
      <c r="H21" s="298">
        <f t="shared" si="2"/>
        <v>0</v>
      </c>
      <c r="I21" s="298">
        <f t="shared" si="2"/>
        <v>0</v>
      </c>
      <c r="J21" s="298">
        <f t="shared" si="2"/>
        <v>0</v>
      </c>
      <c r="K21" s="298">
        <f t="shared" si="2"/>
        <v>0</v>
      </c>
      <c r="L21" s="298">
        <f t="shared" si="2"/>
        <v>0</v>
      </c>
      <c r="M21" s="298">
        <f t="shared" si="2"/>
        <v>0</v>
      </c>
      <c r="N21" s="298">
        <f t="shared" si="2"/>
        <v>0</v>
      </c>
      <c r="O21" s="293">
        <f>SUM(C21:N21)</f>
        <v>0</v>
      </c>
    </row>
    <row r="22" spans="1:15" s="58" customFormat="1" ht="12" customHeight="1" thickBot="1">
      <c r="A22" s="162" t="s">
        <v>518</v>
      </c>
      <c r="B22" s="43"/>
      <c r="C22" s="299">
        <f>'A2'!E26+'A2'!E33+'A2'!E43</f>
        <v>0</v>
      </c>
      <c r="D22" s="299">
        <f>'A2'!F26+'A2'!F33+'A2'!F43</f>
        <v>0</v>
      </c>
      <c r="E22" s="299">
        <f>'A2'!G26+'A2'!G33+'A2'!G43</f>
        <v>0</v>
      </c>
      <c r="F22" s="299">
        <f>'A2'!H26+'A2'!H33+'A2'!H43</f>
        <v>0</v>
      </c>
      <c r="G22" s="299">
        <f>'A2'!I26+'A2'!I33+'A2'!I43</f>
        <v>0</v>
      </c>
      <c r="H22" s="299">
        <f>'A2'!J26+'A2'!J33+'A2'!J43</f>
        <v>0</v>
      </c>
      <c r="I22" s="299">
        <f>'A2'!K26+'A2'!K33+'A2'!K43</f>
        <v>0</v>
      </c>
      <c r="J22" s="299">
        <f>'A2'!L26+'A2'!L33+'A2'!L43</f>
        <v>0</v>
      </c>
      <c r="K22" s="299">
        <f>'A2'!M26+'A2'!M33+'A2'!M43</f>
        <v>0</v>
      </c>
      <c r="L22" s="299">
        <f>'A2'!N26+'A2'!N33+'A2'!N43</f>
        <v>0</v>
      </c>
      <c r="M22" s="299">
        <f>'A2'!O26+'A2'!O33+'A2'!O43</f>
        <v>0</v>
      </c>
      <c r="N22" s="300">
        <f>'A2'!P26+'A2'!P33+'A2'!P43</f>
        <v>0</v>
      </c>
      <c r="O22" s="293">
        <f>SUM(C22:N22)</f>
        <v>0</v>
      </c>
    </row>
    <row r="23" spans="1:15" s="58" customFormat="1" ht="12" customHeight="1" thickBot="1">
      <c r="A23" s="162" t="s">
        <v>371</v>
      </c>
      <c r="B23" s="43"/>
      <c r="C23" s="305">
        <f t="shared" ref="C23:N23" si="3">C21+C22</f>
        <v>0</v>
      </c>
      <c r="D23" s="305">
        <f t="shared" si="3"/>
        <v>0</v>
      </c>
      <c r="E23" s="305">
        <f t="shared" si="3"/>
        <v>0</v>
      </c>
      <c r="F23" s="305">
        <f t="shared" si="3"/>
        <v>0</v>
      </c>
      <c r="G23" s="305">
        <f t="shared" si="3"/>
        <v>0</v>
      </c>
      <c r="H23" s="305">
        <f t="shared" si="3"/>
        <v>0</v>
      </c>
      <c r="I23" s="305">
        <f t="shared" si="3"/>
        <v>0</v>
      </c>
      <c r="J23" s="305">
        <f t="shared" si="3"/>
        <v>0</v>
      </c>
      <c r="K23" s="305">
        <f t="shared" si="3"/>
        <v>0</v>
      </c>
      <c r="L23" s="305">
        <f t="shared" si="3"/>
        <v>0</v>
      </c>
      <c r="M23" s="305">
        <f t="shared" si="3"/>
        <v>0</v>
      </c>
      <c r="N23" s="305">
        <f t="shared" si="3"/>
        <v>0</v>
      </c>
      <c r="O23" s="293">
        <f>SUM(C23:N23)</f>
        <v>0</v>
      </c>
    </row>
    <row r="24" spans="1:15" s="58" customFormat="1" ht="12" customHeight="1" thickBot="1">
      <c r="A24" s="162" t="s">
        <v>372</v>
      </c>
      <c r="B24" s="43"/>
      <c r="C24" s="403">
        <v>0</v>
      </c>
      <c r="D24" s="405">
        <f>C24</f>
        <v>0</v>
      </c>
      <c r="E24" s="404">
        <f t="shared" ref="E24:N24" si="4">D24</f>
        <v>0</v>
      </c>
      <c r="F24" s="404">
        <f t="shared" si="4"/>
        <v>0</v>
      </c>
      <c r="G24" s="404">
        <f t="shared" si="4"/>
        <v>0</v>
      </c>
      <c r="H24" s="404">
        <f t="shared" si="4"/>
        <v>0</v>
      </c>
      <c r="I24" s="404">
        <f t="shared" si="4"/>
        <v>0</v>
      </c>
      <c r="J24" s="404">
        <f t="shared" si="4"/>
        <v>0</v>
      </c>
      <c r="K24" s="404">
        <f t="shared" si="4"/>
        <v>0</v>
      </c>
      <c r="L24" s="404">
        <f t="shared" si="4"/>
        <v>0</v>
      </c>
      <c r="M24" s="404">
        <f t="shared" si="4"/>
        <v>0</v>
      </c>
      <c r="N24" s="404">
        <f t="shared" si="4"/>
        <v>0</v>
      </c>
      <c r="O24" s="293">
        <f>SUM(C24:N24)</f>
        <v>0</v>
      </c>
    </row>
    <row r="25" spans="1:15" s="59" customFormat="1" ht="12" customHeight="1" thickBot="1">
      <c r="A25" s="78" t="s">
        <v>524</v>
      </c>
      <c r="B25" s="48"/>
      <c r="C25" s="398">
        <f t="shared" ref="C25:O25" si="5">C23-C24</f>
        <v>0</v>
      </c>
      <c r="D25" s="293">
        <f t="shared" si="5"/>
        <v>0</v>
      </c>
      <c r="E25" s="293">
        <f t="shared" si="5"/>
        <v>0</v>
      </c>
      <c r="F25" s="293">
        <f t="shared" si="5"/>
        <v>0</v>
      </c>
      <c r="G25" s="293">
        <f t="shared" si="5"/>
        <v>0</v>
      </c>
      <c r="H25" s="293">
        <f t="shared" si="5"/>
        <v>0</v>
      </c>
      <c r="I25" s="293">
        <f t="shared" si="5"/>
        <v>0</v>
      </c>
      <c r="J25" s="293">
        <f t="shared" si="5"/>
        <v>0</v>
      </c>
      <c r="K25" s="293">
        <f t="shared" si="5"/>
        <v>0</v>
      </c>
      <c r="L25" s="293">
        <f t="shared" si="5"/>
        <v>0</v>
      </c>
      <c r="M25" s="293">
        <f t="shared" si="5"/>
        <v>0</v>
      </c>
      <c r="N25" s="293">
        <f t="shared" si="5"/>
        <v>0</v>
      </c>
      <c r="O25" s="293">
        <f t="shared" si="5"/>
        <v>0</v>
      </c>
    </row>
    <row r="26" spans="1:15" s="58" customFormat="1" ht="12" customHeight="1">
      <c r="A26" s="48"/>
      <c r="C26" s="294"/>
      <c r="D26" s="295"/>
      <c r="E26" s="295"/>
      <c r="F26" s="295"/>
      <c r="G26" s="295"/>
      <c r="H26" s="295"/>
      <c r="I26" s="295"/>
      <c r="J26" s="295"/>
      <c r="K26" s="295"/>
      <c r="L26" s="295"/>
      <c r="M26" s="295"/>
      <c r="N26" s="295"/>
      <c r="O26" s="295"/>
    </row>
    <row r="27" spans="1:15" s="59" customFormat="1" ht="12" customHeight="1" thickBot="1">
      <c r="A27" s="78" t="s">
        <v>525</v>
      </c>
      <c r="B27" s="48"/>
      <c r="C27" s="322">
        <f>B29</f>
        <v>0</v>
      </c>
      <c r="D27" s="322">
        <f t="shared" ref="D27:N27" si="6">C27</f>
        <v>0</v>
      </c>
      <c r="E27" s="323">
        <f t="shared" si="6"/>
        <v>0</v>
      </c>
      <c r="F27" s="323">
        <f t="shared" si="6"/>
        <v>0</v>
      </c>
      <c r="G27" s="323">
        <f t="shared" si="6"/>
        <v>0</v>
      </c>
      <c r="H27" s="323">
        <f t="shared" si="6"/>
        <v>0</v>
      </c>
      <c r="I27" s="323">
        <f t="shared" si="6"/>
        <v>0</v>
      </c>
      <c r="J27" s="323">
        <f t="shared" si="6"/>
        <v>0</v>
      </c>
      <c r="K27" s="323">
        <f t="shared" si="6"/>
        <v>0</v>
      </c>
      <c r="L27" s="323">
        <f t="shared" si="6"/>
        <v>0</v>
      </c>
      <c r="M27" s="323">
        <f t="shared" si="6"/>
        <v>0</v>
      </c>
      <c r="N27" s="323">
        <f t="shared" si="6"/>
        <v>0</v>
      </c>
      <c r="O27" s="304"/>
    </row>
    <row r="28" spans="1:15" s="58" customFormat="1" ht="12" customHeight="1" thickBot="1">
      <c r="A28" s="162" t="s">
        <v>526</v>
      </c>
      <c r="B28" s="43"/>
      <c r="C28" s="301">
        <f>TE!C152</f>
        <v>0</v>
      </c>
      <c r="D28" s="301">
        <f>TE!D152</f>
        <v>0</v>
      </c>
      <c r="E28" s="301">
        <f>TE!E152</f>
        <v>0</v>
      </c>
      <c r="F28" s="301">
        <f>TE!F152</f>
        <v>0</v>
      </c>
      <c r="G28" s="301">
        <f>TE!G152</f>
        <v>0</v>
      </c>
      <c r="H28" s="301">
        <f>TE!H152</f>
        <v>0</v>
      </c>
      <c r="I28" s="301">
        <f>TE!I152</f>
        <v>0</v>
      </c>
      <c r="J28" s="301">
        <f>TE!J152</f>
        <v>0</v>
      </c>
      <c r="K28" s="301">
        <f>TE!K152</f>
        <v>0</v>
      </c>
      <c r="L28" s="301">
        <f>TE!L152</f>
        <v>0</v>
      </c>
      <c r="M28" s="301">
        <f>TE!M152</f>
        <v>0</v>
      </c>
      <c r="N28" s="301">
        <f>TE!N152</f>
        <v>0</v>
      </c>
      <c r="O28" s="293">
        <f>SUM(C28:N28)</f>
        <v>0</v>
      </c>
    </row>
    <row r="29" spans="1:15" s="58" customFormat="1" ht="12" customHeight="1" thickBot="1">
      <c r="A29" s="162" t="s">
        <v>527</v>
      </c>
      <c r="B29" s="62"/>
      <c r="C29" s="305">
        <f>C28*TE!$B$153</f>
        <v>0</v>
      </c>
      <c r="D29" s="305">
        <f>D28*TE!$B$153</f>
        <v>0</v>
      </c>
      <c r="E29" s="305">
        <f>E28*TE!$B$153</f>
        <v>0</v>
      </c>
      <c r="F29" s="305">
        <f>F28*TE!$B$153</f>
        <v>0</v>
      </c>
      <c r="G29" s="305">
        <f>G28*TE!$B$153</f>
        <v>0</v>
      </c>
      <c r="H29" s="305">
        <f>H28*TE!$B$153</f>
        <v>0</v>
      </c>
      <c r="I29" s="305">
        <f>I28*TE!$B$153</f>
        <v>0</v>
      </c>
      <c r="J29" s="305">
        <f>J28*TE!$B$153</f>
        <v>0</v>
      </c>
      <c r="K29" s="305">
        <f>K28*TE!$B$153</f>
        <v>0</v>
      </c>
      <c r="L29" s="305">
        <f>L28*TE!$B$153</f>
        <v>0</v>
      </c>
      <c r="M29" s="305">
        <f>M28*TE!$B$153</f>
        <v>0</v>
      </c>
      <c r="N29" s="305">
        <f>N28*TE!$B$153</f>
        <v>0</v>
      </c>
      <c r="O29" s="293">
        <f>SUM(C29:N29)</f>
        <v>0</v>
      </c>
    </row>
    <row r="30" spans="1:15" s="59" customFormat="1" ht="12" customHeight="1" thickBot="1">
      <c r="A30" s="78" t="s">
        <v>528</v>
      </c>
      <c r="B30" s="48"/>
      <c r="C30" s="293">
        <f t="shared" ref="C30:O30" si="7">C28+C29</f>
        <v>0</v>
      </c>
      <c r="D30" s="293">
        <f t="shared" si="7"/>
        <v>0</v>
      </c>
      <c r="E30" s="293">
        <f t="shared" si="7"/>
        <v>0</v>
      </c>
      <c r="F30" s="293">
        <f t="shared" si="7"/>
        <v>0</v>
      </c>
      <c r="G30" s="293">
        <f t="shared" si="7"/>
        <v>0</v>
      </c>
      <c r="H30" s="293">
        <f t="shared" si="7"/>
        <v>0</v>
      </c>
      <c r="I30" s="293">
        <f t="shared" si="7"/>
        <v>0</v>
      </c>
      <c r="J30" s="293">
        <f t="shared" si="7"/>
        <v>0</v>
      </c>
      <c r="K30" s="293">
        <f t="shared" si="7"/>
        <v>0</v>
      </c>
      <c r="L30" s="293">
        <f t="shared" si="7"/>
        <v>0</v>
      </c>
      <c r="M30" s="293">
        <f t="shared" si="7"/>
        <v>0</v>
      </c>
      <c r="N30" s="293">
        <f t="shared" si="7"/>
        <v>0</v>
      </c>
      <c r="O30" s="293">
        <f t="shared" si="7"/>
        <v>0</v>
      </c>
    </row>
    <row r="31" spans="1:15" s="58" customFormat="1" ht="12" customHeight="1">
      <c r="A31" s="48"/>
      <c r="C31" s="294"/>
      <c r="D31" s="295"/>
      <c r="E31" s="295"/>
      <c r="F31" s="295"/>
      <c r="G31" s="295"/>
      <c r="H31" s="295"/>
      <c r="I31" s="295"/>
      <c r="J31" s="295"/>
      <c r="K31" s="295"/>
      <c r="L31" s="295"/>
      <c r="M31" s="295"/>
      <c r="N31" s="295"/>
      <c r="O31" s="295"/>
    </row>
    <row r="32" spans="1:15" s="59" customFormat="1" ht="12" customHeight="1" thickBot="1">
      <c r="A32" s="78" t="s">
        <v>380</v>
      </c>
      <c r="B32" s="48"/>
      <c r="C32" s="46"/>
      <c r="D32" s="46"/>
      <c r="E32" s="46"/>
      <c r="F32" s="46"/>
      <c r="G32" s="46"/>
      <c r="H32" s="46"/>
      <c r="I32" s="46"/>
      <c r="J32" s="46"/>
      <c r="K32" s="46"/>
      <c r="L32" s="46"/>
      <c r="M32" s="46"/>
      <c r="N32" s="46"/>
      <c r="O32" s="46"/>
    </row>
    <row r="33" spans="1:15" s="58" customFormat="1" ht="12" customHeight="1" thickBot="1">
      <c r="A33" s="162" t="str">
        <f>'FG1'!A14</f>
        <v>Loyer</v>
      </c>
      <c r="B33" s="43"/>
      <c r="C33" s="301">
        <f>'FG3'!C14</f>
        <v>0</v>
      </c>
      <c r="D33" s="301">
        <f>'FG3'!D14</f>
        <v>0</v>
      </c>
      <c r="E33" s="301">
        <f>'FG3'!E14</f>
        <v>0</v>
      </c>
      <c r="F33" s="301">
        <f>'FG3'!F14</f>
        <v>0</v>
      </c>
      <c r="G33" s="301">
        <f>'FG3'!G14</f>
        <v>0</v>
      </c>
      <c r="H33" s="301">
        <f>'FG3'!H14</f>
        <v>0</v>
      </c>
      <c r="I33" s="301">
        <f>'FG3'!I14</f>
        <v>0</v>
      </c>
      <c r="J33" s="301">
        <f>'FG3'!J14</f>
        <v>0</v>
      </c>
      <c r="K33" s="301">
        <f>'FG3'!K14</f>
        <v>0</v>
      </c>
      <c r="L33" s="301">
        <f>'FG3'!L14</f>
        <v>0</v>
      </c>
      <c r="M33" s="301">
        <f>'FG3'!M14</f>
        <v>0</v>
      </c>
      <c r="N33" s="301">
        <f>'FG3'!N14</f>
        <v>0</v>
      </c>
      <c r="O33" s="293">
        <f t="shared" ref="O33:O39" si="8">SUM(C33:N33)</f>
        <v>0</v>
      </c>
    </row>
    <row r="34" spans="1:15" s="58" customFormat="1" ht="12" customHeight="1" thickBot="1">
      <c r="A34" s="162" t="str">
        <f>'FG1'!A16</f>
        <v>Coût d'énergie</v>
      </c>
      <c r="B34" s="43"/>
      <c r="C34" s="301">
        <f>'FG3'!C16</f>
        <v>0</v>
      </c>
      <c r="D34" s="301">
        <f>'FG3'!D16</f>
        <v>0</v>
      </c>
      <c r="E34" s="301">
        <f>'FG3'!E16</f>
        <v>0</v>
      </c>
      <c r="F34" s="301">
        <f>'FG3'!F16</f>
        <v>0</v>
      </c>
      <c r="G34" s="301">
        <f>'FG3'!G16</f>
        <v>0</v>
      </c>
      <c r="H34" s="301">
        <f>'FG3'!H16</f>
        <v>0</v>
      </c>
      <c r="I34" s="301">
        <f>'FG3'!I16</f>
        <v>0</v>
      </c>
      <c r="J34" s="301">
        <f>'FG3'!J16</f>
        <v>0</v>
      </c>
      <c r="K34" s="301">
        <f>'FG3'!K16</f>
        <v>0</v>
      </c>
      <c r="L34" s="301">
        <f>'FG3'!L16</f>
        <v>0</v>
      </c>
      <c r="M34" s="301">
        <f>'FG3'!M16</f>
        <v>0</v>
      </c>
      <c r="N34" s="301">
        <f>'FG3'!N16</f>
        <v>0</v>
      </c>
      <c r="O34" s="293">
        <f t="shared" si="8"/>
        <v>0</v>
      </c>
    </row>
    <row r="35" spans="1:15" s="58" customFormat="1" ht="12" customHeight="1" thickBot="1">
      <c r="A35" s="162" t="str">
        <f>'FG1'!A18</f>
        <v>Entretien / réparation</v>
      </c>
      <c r="B35" s="43"/>
      <c r="C35" s="301">
        <f>'FG3'!C18</f>
        <v>0</v>
      </c>
      <c r="D35" s="301">
        <f>'FG3'!D18</f>
        <v>0</v>
      </c>
      <c r="E35" s="301">
        <f>'FG3'!E18</f>
        <v>0</v>
      </c>
      <c r="F35" s="301">
        <f>'FG3'!F18</f>
        <v>0</v>
      </c>
      <c r="G35" s="301">
        <f>'FG3'!G18</f>
        <v>0</v>
      </c>
      <c r="H35" s="301">
        <f>'FG3'!H18</f>
        <v>0</v>
      </c>
      <c r="I35" s="301">
        <f>'FG3'!I18</f>
        <v>0</v>
      </c>
      <c r="J35" s="301">
        <f>'FG3'!J18</f>
        <v>0</v>
      </c>
      <c r="K35" s="301">
        <f>'FG3'!K18</f>
        <v>0</v>
      </c>
      <c r="L35" s="301">
        <f>'FG3'!L18</f>
        <v>0</v>
      </c>
      <c r="M35" s="301">
        <f>'FG3'!M18</f>
        <v>0</v>
      </c>
      <c r="N35" s="301">
        <f>'FG3'!N18</f>
        <v>0</v>
      </c>
      <c r="O35" s="293">
        <f t="shared" si="8"/>
        <v>0</v>
      </c>
    </row>
    <row r="36" spans="1:15" s="58" customFormat="1" ht="12" customHeight="1" thickBot="1">
      <c r="A36" s="162" t="str">
        <f>'FG1'!A20</f>
        <v>Services sanitaires</v>
      </c>
      <c r="B36" s="43"/>
      <c r="C36" s="301">
        <f>'FG3'!C20</f>
        <v>0</v>
      </c>
      <c r="D36" s="301">
        <f>'FG3'!D20</f>
        <v>0</v>
      </c>
      <c r="E36" s="301">
        <f>'FG3'!E20</f>
        <v>0</v>
      </c>
      <c r="F36" s="301">
        <f>'FG3'!F20</f>
        <v>0</v>
      </c>
      <c r="G36" s="301">
        <f>'FG3'!G20</f>
        <v>0</v>
      </c>
      <c r="H36" s="301">
        <f>'FG3'!H20</f>
        <v>0</v>
      </c>
      <c r="I36" s="301">
        <f>'FG3'!I20</f>
        <v>0</v>
      </c>
      <c r="J36" s="301">
        <f>'FG3'!J20</f>
        <v>0</v>
      </c>
      <c r="K36" s="301">
        <f>'FG3'!K20</f>
        <v>0</v>
      </c>
      <c r="L36" s="301">
        <f>'FG3'!L20</f>
        <v>0</v>
      </c>
      <c r="M36" s="301">
        <f>'FG3'!M20</f>
        <v>0</v>
      </c>
      <c r="N36" s="301">
        <f>'FG3'!N20</f>
        <v>0</v>
      </c>
      <c r="O36" s="293">
        <f t="shared" si="8"/>
        <v>0</v>
      </c>
    </row>
    <row r="37" spans="1:15" s="58" customFormat="1" ht="12" customHeight="1" thickBot="1">
      <c r="A37" s="162" t="s">
        <v>587</v>
      </c>
      <c r="B37" s="307"/>
      <c r="C37" s="301">
        <f>(A!H17+A!H18+A!H20)/12</f>
        <v>4.166666666666667</v>
      </c>
      <c r="D37" s="301">
        <f t="shared" ref="D37:N37" si="9">C37</f>
        <v>4.166666666666667</v>
      </c>
      <c r="E37" s="301">
        <f t="shared" si="9"/>
        <v>4.166666666666667</v>
      </c>
      <c r="F37" s="301">
        <f t="shared" si="9"/>
        <v>4.166666666666667</v>
      </c>
      <c r="G37" s="301">
        <f t="shared" si="9"/>
        <v>4.166666666666667</v>
      </c>
      <c r="H37" s="301">
        <f t="shared" si="9"/>
        <v>4.166666666666667</v>
      </c>
      <c r="I37" s="301">
        <f t="shared" si="9"/>
        <v>4.166666666666667</v>
      </c>
      <c r="J37" s="301">
        <f t="shared" si="9"/>
        <v>4.166666666666667</v>
      </c>
      <c r="K37" s="301">
        <f t="shared" si="9"/>
        <v>4.166666666666667</v>
      </c>
      <c r="L37" s="301">
        <f t="shared" si="9"/>
        <v>4.166666666666667</v>
      </c>
      <c r="M37" s="301">
        <f t="shared" si="9"/>
        <v>4.166666666666667</v>
      </c>
      <c r="N37" s="301">
        <f t="shared" si="9"/>
        <v>4.166666666666667</v>
      </c>
      <c r="O37" s="293">
        <f t="shared" si="8"/>
        <v>49.999999999999993</v>
      </c>
    </row>
    <row r="38" spans="1:15" s="58" customFormat="1" ht="12" customHeight="1" thickBot="1">
      <c r="A38" s="162" t="str">
        <f>'FG1'!A22</f>
        <v>Frais de déplacement</v>
      </c>
      <c r="B38" s="43"/>
      <c r="C38" s="301">
        <f>'FG3'!C22</f>
        <v>0</v>
      </c>
      <c r="D38" s="301">
        <f>'FG3'!D22</f>
        <v>0</v>
      </c>
      <c r="E38" s="301">
        <f>'FG3'!E22</f>
        <v>0</v>
      </c>
      <c r="F38" s="301">
        <f>'FG3'!F22</f>
        <v>0</v>
      </c>
      <c r="G38" s="301">
        <f>'FG3'!G22</f>
        <v>0</v>
      </c>
      <c r="H38" s="301">
        <f>'FG3'!H22</f>
        <v>0</v>
      </c>
      <c r="I38" s="301">
        <f>'FG3'!I22</f>
        <v>0</v>
      </c>
      <c r="J38" s="301">
        <f>'FG3'!J22</f>
        <v>0</v>
      </c>
      <c r="K38" s="301">
        <f>'FG3'!K22</f>
        <v>0</v>
      </c>
      <c r="L38" s="301">
        <f>'FG3'!L22</f>
        <v>0</v>
      </c>
      <c r="M38" s="301">
        <f>'FG3'!M22</f>
        <v>0</v>
      </c>
      <c r="N38" s="301">
        <f>'FG3'!N22</f>
        <v>0</v>
      </c>
      <c r="O38" s="293">
        <f t="shared" si="8"/>
        <v>0</v>
      </c>
    </row>
    <row r="39" spans="1:15" s="58" customFormat="1" ht="12" customHeight="1" thickBot="1">
      <c r="A39" s="162" t="str">
        <f>'FG1'!A24</f>
        <v>Immatriculation et permis</v>
      </c>
      <c r="B39" s="43"/>
      <c r="C39" s="301">
        <f>'FG3'!C24</f>
        <v>0</v>
      </c>
      <c r="D39" s="301">
        <f>'FG3'!D24</f>
        <v>0</v>
      </c>
      <c r="E39" s="301">
        <f>'FG3'!E24</f>
        <v>0</v>
      </c>
      <c r="F39" s="301">
        <f>'FG3'!F24</f>
        <v>0</v>
      </c>
      <c r="G39" s="301">
        <f>'FG3'!G24</f>
        <v>0</v>
      </c>
      <c r="H39" s="301">
        <f>'FG3'!H24</f>
        <v>0</v>
      </c>
      <c r="I39" s="301">
        <f>'FG3'!I24</f>
        <v>0</v>
      </c>
      <c r="J39" s="301">
        <f>'FG3'!J24</f>
        <v>0</v>
      </c>
      <c r="K39" s="301">
        <f>'FG3'!K24</f>
        <v>0</v>
      </c>
      <c r="L39" s="301">
        <f>'FG3'!L24</f>
        <v>0</v>
      </c>
      <c r="M39" s="301">
        <f>'FG3'!M24</f>
        <v>0</v>
      </c>
      <c r="N39" s="301">
        <f>'FG3'!N24</f>
        <v>0</v>
      </c>
      <c r="O39" s="293">
        <f t="shared" si="8"/>
        <v>0</v>
      </c>
    </row>
    <row r="40" spans="1:15" s="58" customFormat="1" ht="12" customHeight="1" thickBot="1">
      <c r="A40" s="162" t="str">
        <f>'FG1'!A26</f>
        <v>Assurances</v>
      </c>
      <c r="B40" s="43"/>
      <c r="C40" s="301">
        <f>'FG3'!C26</f>
        <v>0</v>
      </c>
      <c r="D40" s="301">
        <f>'FG3'!D26</f>
        <v>0</v>
      </c>
      <c r="E40" s="301">
        <f>'FG3'!E26</f>
        <v>0</v>
      </c>
      <c r="F40" s="301">
        <f>'FG3'!F26</f>
        <v>0</v>
      </c>
      <c r="G40" s="301">
        <f>'FG3'!G26</f>
        <v>0</v>
      </c>
      <c r="H40" s="301">
        <f>'FG3'!H26</f>
        <v>0</v>
      </c>
      <c r="I40" s="301">
        <f>'FG3'!I26</f>
        <v>0</v>
      </c>
      <c r="J40" s="301">
        <f>'FG3'!J26</f>
        <v>0</v>
      </c>
      <c r="K40" s="301">
        <f>'FG3'!K26</f>
        <v>0</v>
      </c>
      <c r="L40" s="301">
        <f>'FG3'!L26</f>
        <v>0</v>
      </c>
      <c r="M40" s="301">
        <f>'FG3'!M26</f>
        <v>0</v>
      </c>
      <c r="N40" s="301">
        <f>'FG3'!N26</f>
        <v>0</v>
      </c>
      <c r="O40" s="293">
        <f>SUM(C40:N40)</f>
        <v>0</v>
      </c>
    </row>
    <row r="41" spans="1:15" s="58" customFormat="1" ht="12" customHeight="1" thickBot="1">
      <c r="A41" s="162" t="str">
        <f>'FG1'!A28</f>
        <v>Dépenses R&amp;D</v>
      </c>
      <c r="B41" s="43"/>
      <c r="C41" s="301">
        <f>'FG3'!C28</f>
        <v>0</v>
      </c>
      <c r="D41" s="301">
        <f>'FG3'!D28</f>
        <v>0</v>
      </c>
      <c r="E41" s="301">
        <f>'FG3'!E28</f>
        <v>0</v>
      </c>
      <c r="F41" s="301">
        <f>'FG3'!F28</f>
        <v>0</v>
      </c>
      <c r="G41" s="301">
        <f>'FG3'!G28</f>
        <v>0</v>
      </c>
      <c r="H41" s="301">
        <f>'FG3'!H28</f>
        <v>0</v>
      </c>
      <c r="I41" s="301">
        <f>'FG3'!I28</f>
        <v>0</v>
      </c>
      <c r="J41" s="301">
        <f>'FG3'!J28</f>
        <v>0</v>
      </c>
      <c r="K41" s="301">
        <f>'FG3'!K28</f>
        <v>0</v>
      </c>
      <c r="L41" s="301">
        <f>'FG3'!L28</f>
        <v>0</v>
      </c>
      <c r="M41" s="301">
        <f>'FG3'!M28</f>
        <v>0</v>
      </c>
      <c r="N41" s="301">
        <f>'FG3'!N28</f>
        <v>0</v>
      </c>
      <c r="O41" s="293">
        <f>SUM(C41:N41)</f>
        <v>0</v>
      </c>
    </row>
    <row r="42" spans="1:15" s="58" customFormat="1" ht="12" customHeight="1" thickBot="1">
      <c r="A42" s="162" t="str">
        <f>'FG1'!A30</f>
        <v>Autre frais d'exploitation 1</v>
      </c>
      <c r="B42" s="43"/>
      <c r="C42" s="301">
        <f>'FG3'!C30</f>
        <v>0</v>
      </c>
      <c r="D42" s="301">
        <f>'FG3'!D30</f>
        <v>0</v>
      </c>
      <c r="E42" s="301">
        <f>'FG3'!E30</f>
        <v>0</v>
      </c>
      <c r="F42" s="301">
        <f>'FG3'!F30</f>
        <v>0</v>
      </c>
      <c r="G42" s="301">
        <f>'FG3'!G30</f>
        <v>0</v>
      </c>
      <c r="H42" s="301">
        <f>'FG3'!H30</f>
        <v>0</v>
      </c>
      <c r="I42" s="301">
        <f>'FG3'!I30</f>
        <v>0</v>
      </c>
      <c r="J42" s="301">
        <f>'FG3'!J30</f>
        <v>0</v>
      </c>
      <c r="K42" s="301">
        <f>'FG3'!K30</f>
        <v>0</v>
      </c>
      <c r="L42" s="301">
        <f>'FG3'!L30</f>
        <v>0</v>
      </c>
      <c r="M42" s="301">
        <f>'FG3'!M30</f>
        <v>0</v>
      </c>
      <c r="N42" s="301">
        <f>'FG3'!N30</f>
        <v>0</v>
      </c>
      <c r="O42" s="293"/>
    </row>
    <row r="43" spans="1:15" s="58" customFormat="1" ht="12" customHeight="1" thickBot="1">
      <c r="A43" s="162" t="str">
        <f>'FG1'!A32</f>
        <v>Autre frais d'exploitation 2</v>
      </c>
      <c r="B43" s="43"/>
      <c r="C43" s="301">
        <f>'FG3'!C32</f>
        <v>0</v>
      </c>
      <c r="D43" s="301">
        <f>'FG3'!D32</f>
        <v>0</v>
      </c>
      <c r="E43" s="301">
        <f>'FG3'!E32</f>
        <v>0</v>
      </c>
      <c r="F43" s="301">
        <f>'FG3'!F32</f>
        <v>0</v>
      </c>
      <c r="G43" s="301">
        <f>'FG3'!G32</f>
        <v>0</v>
      </c>
      <c r="H43" s="301">
        <f>'FG3'!H32</f>
        <v>0</v>
      </c>
      <c r="I43" s="301">
        <f>'FG3'!I32</f>
        <v>0</v>
      </c>
      <c r="J43" s="301">
        <f>'FG3'!J32</f>
        <v>0</v>
      </c>
      <c r="K43" s="301">
        <f>'FG3'!K32</f>
        <v>0</v>
      </c>
      <c r="L43" s="301">
        <f>'FG3'!L32</f>
        <v>0</v>
      </c>
      <c r="M43" s="301">
        <f>'FG3'!M32</f>
        <v>0</v>
      </c>
      <c r="N43" s="301">
        <f>'FG3'!N32</f>
        <v>0</v>
      </c>
      <c r="O43" s="293"/>
    </row>
    <row r="44" spans="1:15" s="58" customFormat="1" ht="12" customHeight="1" thickBot="1">
      <c r="A44" s="162" t="str">
        <f>'FG1'!A34</f>
        <v>Autre frais d'exploitation 3</v>
      </c>
      <c r="B44" s="43"/>
      <c r="C44" s="301">
        <f>'FG3'!C34</f>
        <v>0</v>
      </c>
      <c r="D44" s="301">
        <f>'FG3'!D34</f>
        <v>0</v>
      </c>
      <c r="E44" s="301">
        <f>'FG3'!E34</f>
        <v>0</v>
      </c>
      <c r="F44" s="301">
        <f>'FG3'!F34</f>
        <v>0</v>
      </c>
      <c r="G44" s="301">
        <f>'FG3'!G34</f>
        <v>0</v>
      </c>
      <c r="H44" s="301">
        <f>'FG3'!H34</f>
        <v>0</v>
      </c>
      <c r="I44" s="301">
        <f>'FG3'!I34</f>
        <v>0</v>
      </c>
      <c r="J44" s="301">
        <f>'FG3'!J34</f>
        <v>0</v>
      </c>
      <c r="K44" s="301">
        <f>'FG3'!K34</f>
        <v>0</v>
      </c>
      <c r="L44" s="301">
        <f>'FG3'!L34</f>
        <v>0</v>
      </c>
      <c r="M44" s="301">
        <f>'FG3'!M34</f>
        <v>0</v>
      </c>
      <c r="N44" s="301">
        <f>'FG3'!N34</f>
        <v>0</v>
      </c>
      <c r="O44" s="293"/>
    </row>
    <row r="45" spans="1:15" s="58" customFormat="1" ht="12" customHeight="1" thickBot="1">
      <c r="A45" s="162" t="str">
        <f>'FG1'!A36</f>
        <v>Autre frais d'exploitation 4</v>
      </c>
      <c r="B45" s="43"/>
      <c r="C45" s="301">
        <f>'FG3'!C36</f>
        <v>0</v>
      </c>
      <c r="D45" s="301">
        <f>'FG3'!D36</f>
        <v>0</v>
      </c>
      <c r="E45" s="301">
        <f>'FG3'!E36</f>
        <v>0</v>
      </c>
      <c r="F45" s="301">
        <f>'FG3'!F36</f>
        <v>0</v>
      </c>
      <c r="G45" s="301">
        <f>'FG3'!G36</f>
        <v>0</v>
      </c>
      <c r="H45" s="301">
        <f>'FG3'!H36</f>
        <v>0</v>
      </c>
      <c r="I45" s="301">
        <f>'FG3'!I36</f>
        <v>0</v>
      </c>
      <c r="J45" s="301">
        <f>'FG3'!J36</f>
        <v>0</v>
      </c>
      <c r="K45" s="301">
        <f>'FG3'!K36</f>
        <v>0</v>
      </c>
      <c r="L45" s="301">
        <f>'FG3'!L36</f>
        <v>0</v>
      </c>
      <c r="M45" s="301">
        <f>'FG3'!M36</f>
        <v>0</v>
      </c>
      <c r="N45" s="301">
        <f>'FG3'!N36</f>
        <v>0</v>
      </c>
      <c r="O45" s="293"/>
    </row>
    <row r="46" spans="1:15" s="58" customFormat="1" ht="12" customHeight="1" thickBot="1">
      <c r="A46" s="162" t="str">
        <f>'FG1'!A38</f>
        <v>Autre frais d'exploitation 5</v>
      </c>
      <c r="B46" s="43"/>
      <c r="C46" s="301">
        <f>'FG3'!C38</f>
        <v>0</v>
      </c>
      <c r="D46" s="301">
        <f>'FG3'!D38</f>
        <v>0</v>
      </c>
      <c r="E46" s="301">
        <f>'FG3'!E38</f>
        <v>0</v>
      </c>
      <c r="F46" s="301">
        <f>'FG3'!F38</f>
        <v>0</v>
      </c>
      <c r="G46" s="301">
        <f>'FG3'!G38</f>
        <v>0</v>
      </c>
      <c r="H46" s="301">
        <f>'FG3'!H38</f>
        <v>0</v>
      </c>
      <c r="I46" s="301">
        <f>'FG3'!I38</f>
        <v>0</v>
      </c>
      <c r="J46" s="301">
        <f>'FG3'!J38</f>
        <v>0</v>
      </c>
      <c r="K46" s="301">
        <f>'FG3'!K38</f>
        <v>0</v>
      </c>
      <c r="L46" s="301">
        <f>'FG3'!L38</f>
        <v>0</v>
      </c>
      <c r="M46" s="301">
        <f>'FG3'!M38</f>
        <v>0</v>
      </c>
      <c r="N46" s="301">
        <f>'FG3'!N38</f>
        <v>0</v>
      </c>
      <c r="O46" s="293"/>
    </row>
    <row r="47" spans="1:15" s="58" customFormat="1" ht="12" customHeight="1" thickBot="1">
      <c r="A47" s="162" t="str">
        <f>'FG1'!A40</f>
        <v>Autre frais d'exploitation 6</v>
      </c>
      <c r="B47" s="43"/>
      <c r="C47" s="301">
        <f>'FG3'!C40</f>
        <v>0</v>
      </c>
      <c r="D47" s="301">
        <f>'FG3'!D40</f>
        <v>0</v>
      </c>
      <c r="E47" s="301">
        <f>'FG3'!E40</f>
        <v>0</v>
      </c>
      <c r="F47" s="301">
        <f>'FG3'!F40</f>
        <v>0</v>
      </c>
      <c r="G47" s="301">
        <f>'FG3'!G40</f>
        <v>0</v>
      </c>
      <c r="H47" s="301">
        <f>'FG3'!H40</f>
        <v>0</v>
      </c>
      <c r="I47" s="301">
        <f>'FG3'!I40</f>
        <v>0</v>
      </c>
      <c r="J47" s="301">
        <f>'FG3'!J40</f>
        <v>0</v>
      </c>
      <c r="K47" s="301">
        <f>'FG3'!K40</f>
        <v>0</v>
      </c>
      <c r="L47" s="301">
        <f>'FG3'!L40</f>
        <v>0</v>
      </c>
      <c r="M47" s="301">
        <f>'FG3'!M40</f>
        <v>0</v>
      </c>
      <c r="N47" s="301">
        <f>'FG3'!N40</f>
        <v>0</v>
      </c>
      <c r="O47" s="293"/>
    </row>
    <row r="48" spans="1:15" s="58" customFormat="1" ht="12" customHeight="1" thickBot="1">
      <c r="A48" s="162" t="str">
        <f>'FG1'!A42</f>
        <v>Autre frais d'exploitation 7</v>
      </c>
      <c r="B48" s="43"/>
      <c r="C48" s="301">
        <f>'FG3'!C42</f>
        <v>0</v>
      </c>
      <c r="D48" s="301">
        <f>'FG3'!D42</f>
        <v>0</v>
      </c>
      <c r="E48" s="301">
        <f>'FG3'!E42</f>
        <v>0</v>
      </c>
      <c r="F48" s="301">
        <f>'FG3'!F42</f>
        <v>0</v>
      </c>
      <c r="G48" s="301">
        <f>'FG3'!G42</f>
        <v>0</v>
      </c>
      <c r="H48" s="301">
        <f>'FG3'!H42</f>
        <v>0</v>
      </c>
      <c r="I48" s="301">
        <f>'FG3'!I42</f>
        <v>0</v>
      </c>
      <c r="J48" s="301">
        <f>'FG3'!J42</f>
        <v>0</v>
      </c>
      <c r="K48" s="301">
        <f>'FG3'!K42</f>
        <v>0</v>
      </c>
      <c r="L48" s="301">
        <f>'FG3'!L42</f>
        <v>0</v>
      </c>
      <c r="M48" s="301">
        <f>'FG3'!M42</f>
        <v>0</v>
      </c>
      <c r="N48" s="301">
        <f>'FG3'!N42</f>
        <v>0</v>
      </c>
      <c r="O48" s="293"/>
    </row>
    <row r="49" spans="1:15" s="58" customFormat="1" ht="12" customHeight="1" thickBot="1">
      <c r="A49" s="162" t="str">
        <f>'FG1'!A44</f>
        <v>Autre frais d'exploitation 8</v>
      </c>
      <c r="B49" s="43"/>
      <c r="C49" s="301">
        <f>'FG3'!C44</f>
        <v>0</v>
      </c>
      <c r="D49" s="301">
        <f>'FG3'!D44</f>
        <v>0</v>
      </c>
      <c r="E49" s="301">
        <f>'FG3'!E44</f>
        <v>0</v>
      </c>
      <c r="F49" s="301">
        <f>'FG3'!F44</f>
        <v>0</v>
      </c>
      <c r="G49" s="301">
        <f>'FG3'!G44</f>
        <v>0</v>
      </c>
      <c r="H49" s="301">
        <f>'FG3'!H44</f>
        <v>0</v>
      </c>
      <c r="I49" s="301">
        <f>'FG3'!I44</f>
        <v>0</v>
      </c>
      <c r="J49" s="301">
        <f>'FG3'!J44</f>
        <v>0</v>
      </c>
      <c r="K49" s="301">
        <f>'FG3'!K44</f>
        <v>0</v>
      </c>
      <c r="L49" s="301">
        <f>'FG3'!L44</f>
        <v>0</v>
      </c>
      <c r="M49" s="301">
        <f>'FG3'!M44</f>
        <v>0</v>
      </c>
      <c r="N49" s="301">
        <f>'FG3'!N44</f>
        <v>0</v>
      </c>
      <c r="O49" s="293"/>
    </row>
    <row r="50" spans="1:15" s="59" customFormat="1" ht="12" customHeight="1" thickBot="1">
      <c r="A50" s="78" t="s">
        <v>384</v>
      </c>
      <c r="B50" s="48"/>
      <c r="C50" s="293">
        <f>SUM(C33:C41)</f>
        <v>4.166666666666667</v>
      </c>
      <c r="D50" s="293">
        <f t="shared" ref="D50:O50" si="10">SUM(D33:D41)</f>
        <v>4.166666666666667</v>
      </c>
      <c r="E50" s="293">
        <f t="shared" si="10"/>
        <v>4.166666666666667</v>
      </c>
      <c r="F50" s="293">
        <f t="shared" si="10"/>
        <v>4.166666666666667</v>
      </c>
      <c r="G50" s="293">
        <f t="shared" si="10"/>
        <v>4.166666666666667</v>
      </c>
      <c r="H50" s="293">
        <f t="shared" si="10"/>
        <v>4.166666666666667</v>
      </c>
      <c r="I50" s="293">
        <f t="shared" si="10"/>
        <v>4.166666666666667</v>
      </c>
      <c r="J50" s="293">
        <f t="shared" si="10"/>
        <v>4.166666666666667</v>
      </c>
      <c r="K50" s="293">
        <f t="shared" si="10"/>
        <v>4.166666666666667</v>
      </c>
      <c r="L50" s="293">
        <f t="shared" si="10"/>
        <v>4.166666666666667</v>
      </c>
      <c r="M50" s="293">
        <f t="shared" si="10"/>
        <v>4.166666666666667</v>
      </c>
      <c r="N50" s="293">
        <f t="shared" si="10"/>
        <v>4.166666666666667</v>
      </c>
      <c r="O50" s="293">
        <f t="shared" si="10"/>
        <v>49.999999999999993</v>
      </c>
    </row>
    <row r="51" spans="1:15" s="58" customFormat="1" ht="12" customHeight="1" thickBot="1">
      <c r="A51" s="43"/>
      <c r="B51" s="43"/>
      <c r="C51" s="117"/>
      <c r="D51" s="117"/>
      <c r="E51" s="117"/>
      <c r="F51" s="117"/>
      <c r="G51" s="117"/>
      <c r="H51" s="117"/>
      <c r="I51" s="117"/>
      <c r="J51" s="117"/>
      <c r="K51" s="117"/>
      <c r="L51" s="117"/>
      <c r="M51" s="117"/>
      <c r="N51" s="117"/>
      <c r="O51" s="117"/>
    </row>
    <row r="52" spans="1:15" s="58" customFormat="1" ht="12" customHeight="1" thickBot="1">
      <c r="A52" s="78" t="s">
        <v>385</v>
      </c>
      <c r="B52" s="43"/>
      <c r="C52" s="403">
        <v>0</v>
      </c>
      <c r="D52" s="400">
        <f t="shared" ref="D52:N52" si="11">C52</f>
        <v>0</v>
      </c>
      <c r="E52" s="399">
        <f t="shared" si="11"/>
        <v>0</v>
      </c>
      <c r="F52" s="399">
        <f t="shared" si="11"/>
        <v>0</v>
      </c>
      <c r="G52" s="399">
        <f t="shared" si="11"/>
        <v>0</v>
      </c>
      <c r="H52" s="399">
        <f t="shared" si="11"/>
        <v>0</v>
      </c>
      <c r="I52" s="399">
        <f t="shared" si="11"/>
        <v>0</v>
      </c>
      <c r="J52" s="399">
        <f t="shared" si="11"/>
        <v>0</v>
      </c>
      <c r="K52" s="399">
        <f t="shared" si="11"/>
        <v>0</v>
      </c>
      <c r="L52" s="399">
        <f t="shared" si="11"/>
        <v>0</v>
      </c>
      <c r="M52" s="399">
        <f t="shared" si="11"/>
        <v>0</v>
      </c>
      <c r="N52" s="399">
        <f t="shared" si="11"/>
        <v>0</v>
      </c>
      <c r="O52" s="293">
        <f>SUM(C52:N52)</f>
        <v>0</v>
      </c>
    </row>
    <row r="53" spans="1:15" s="58" customFormat="1" ht="12" customHeight="1" thickBot="1">
      <c r="A53" s="43"/>
      <c r="B53" s="43"/>
      <c r="C53" s="117"/>
      <c r="D53" s="117"/>
      <c r="E53" s="117"/>
      <c r="F53" s="117"/>
      <c r="G53" s="117"/>
      <c r="H53" s="117"/>
      <c r="I53" s="117"/>
      <c r="J53" s="117"/>
      <c r="K53" s="117"/>
      <c r="L53" s="117"/>
      <c r="M53" s="117"/>
      <c r="N53" s="117"/>
      <c r="O53" s="117"/>
    </row>
    <row r="54" spans="1:15" s="59" customFormat="1" ht="12" customHeight="1" thickBot="1">
      <c r="A54" s="78" t="s">
        <v>386</v>
      </c>
      <c r="B54" s="48"/>
      <c r="C54" s="293">
        <f t="shared" ref="C54:N54" si="12">C19+C25+C30+C50-C52</f>
        <v>4.166666666666667</v>
      </c>
      <c r="D54" s="293">
        <f t="shared" si="12"/>
        <v>4.166666666666667</v>
      </c>
      <c r="E54" s="293">
        <f t="shared" si="12"/>
        <v>4.166666666666667</v>
      </c>
      <c r="F54" s="293">
        <f t="shared" si="12"/>
        <v>4.166666666666667</v>
      </c>
      <c r="G54" s="293">
        <f t="shared" si="12"/>
        <v>4.166666666666667</v>
      </c>
      <c r="H54" s="293">
        <f t="shared" si="12"/>
        <v>4.166666666666667</v>
      </c>
      <c r="I54" s="293">
        <f t="shared" si="12"/>
        <v>4.166666666666667</v>
      </c>
      <c r="J54" s="293">
        <f t="shared" si="12"/>
        <v>4.166666666666667</v>
      </c>
      <c r="K54" s="293">
        <f t="shared" si="12"/>
        <v>4.166666666666667</v>
      </c>
      <c r="L54" s="293">
        <f t="shared" si="12"/>
        <v>4.166666666666667</v>
      </c>
      <c r="M54" s="293">
        <f t="shared" si="12"/>
        <v>4.166666666666667</v>
      </c>
      <c r="N54" s="293">
        <f t="shared" si="12"/>
        <v>4.166666666666667</v>
      </c>
      <c r="O54" s="308">
        <f>O13+O50-O52</f>
        <v>49.999999999999993</v>
      </c>
    </row>
    <row r="55" spans="1:15" s="58" customFormat="1" ht="12" customHeight="1" thickBot="1">
      <c r="A55" s="43"/>
      <c r="B55" s="43"/>
      <c r="C55" s="117"/>
      <c r="D55" s="117"/>
      <c r="E55" s="117"/>
      <c r="F55" s="117"/>
      <c r="G55" s="117"/>
      <c r="H55" s="117"/>
      <c r="I55" s="117"/>
      <c r="J55" s="117"/>
      <c r="K55" s="117"/>
      <c r="L55" s="117"/>
      <c r="M55" s="117"/>
      <c r="N55" s="117"/>
      <c r="O55" s="117"/>
    </row>
    <row r="56" spans="1:15" s="58" customFormat="1" ht="12" customHeight="1" thickBot="1">
      <c r="A56" s="78" t="s">
        <v>387</v>
      </c>
      <c r="B56" s="43"/>
      <c r="C56" s="403">
        <v>0</v>
      </c>
      <c r="D56" s="400">
        <f t="shared" ref="D56:N56" si="13">C56</f>
        <v>0</v>
      </c>
      <c r="E56" s="399">
        <f t="shared" si="13"/>
        <v>0</v>
      </c>
      <c r="F56" s="399">
        <f t="shared" si="13"/>
        <v>0</v>
      </c>
      <c r="G56" s="399">
        <f t="shared" si="13"/>
        <v>0</v>
      </c>
      <c r="H56" s="399">
        <f t="shared" si="13"/>
        <v>0</v>
      </c>
      <c r="I56" s="399">
        <f t="shared" si="13"/>
        <v>0</v>
      </c>
      <c r="J56" s="399">
        <f t="shared" si="13"/>
        <v>0</v>
      </c>
      <c r="K56" s="399">
        <f t="shared" si="13"/>
        <v>0</v>
      </c>
      <c r="L56" s="399">
        <f t="shared" si="13"/>
        <v>0</v>
      </c>
      <c r="M56" s="399">
        <f t="shared" si="13"/>
        <v>0</v>
      </c>
      <c r="N56" s="399">
        <f t="shared" si="13"/>
        <v>0</v>
      </c>
      <c r="O56" s="293">
        <f>SUM(C56:N56)</f>
        <v>0</v>
      </c>
    </row>
    <row r="57" spans="1:15" s="58" customFormat="1" ht="12" customHeight="1" thickBot="1">
      <c r="A57" s="43"/>
      <c r="B57" s="43"/>
      <c r="C57" s="117"/>
      <c r="D57" s="117"/>
      <c r="E57" s="117"/>
      <c r="F57" s="117"/>
      <c r="G57" s="117"/>
      <c r="H57" s="117"/>
      <c r="I57" s="117"/>
      <c r="J57" s="117"/>
      <c r="K57" s="117"/>
      <c r="L57" s="117"/>
      <c r="M57" s="117"/>
      <c r="N57" s="117"/>
      <c r="O57" s="117"/>
    </row>
    <row r="58" spans="1:15" s="59" customFormat="1" ht="12" customHeight="1" thickBot="1">
      <c r="A58" s="78" t="s">
        <v>388</v>
      </c>
      <c r="B58" s="48"/>
      <c r="C58" s="308">
        <f>C17+C54-C56</f>
        <v>4.166666666666667</v>
      </c>
      <c r="D58" s="308">
        <f t="shared" ref="D58:O58" si="14">D17+D54-D56</f>
        <v>4.166666666666667</v>
      </c>
      <c r="E58" s="308">
        <f t="shared" si="14"/>
        <v>4.166666666666667</v>
      </c>
      <c r="F58" s="308">
        <f t="shared" si="14"/>
        <v>4.166666666666667</v>
      </c>
      <c r="G58" s="308">
        <f t="shared" si="14"/>
        <v>4.166666666666667</v>
      </c>
      <c r="H58" s="308">
        <f t="shared" si="14"/>
        <v>4.166666666666667</v>
      </c>
      <c r="I58" s="308">
        <f t="shared" si="14"/>
        <v>4.166666666666667</v>
      </c>
      <c r="J58" s="308">
        <f t="shared" si="14"/>
        <v>4.166666666666667</v>
      </c>
      <c r="K58" s="308">
        <f t="shared" si="14"/>
        <v>4.166666666666667</v>
      </c>
      <c r="L58" s="308">
        <f t="shared" si="14"/>
        <v>4.166666666666667</v>
      </c>
      <c r="M58" s="308">
        <f t="shared" si="14"/>
        <v>4.166666666666667</v>
      </c>
      <c r="N58" s="308">
        <f t="shared" si="14"/>
        <v>4.166666666666667</v>
      </c>
      <c r="O58" s="308">
        <f t="shared" si="14"/>
        <v>49.999999999999993</v>
      </c>
    </row>
    <row r="59" spans="1:15" s="58" customFormat="1" ht="12" customHeight="1">
      <c r="A59" s="78"/>
      <c r="B59" s="43"/>
      <c r="C59" s="142"/>
      <c r="D59" s="142"/>
      <c r="E59" s="142"/>
      <c r="F59" s="142"/>
      <c r="G59" s="142"/>
      <c r="H59" s="142"/>
      <c r="I59" s="142"/>
      <c r="J59" s="142"/>
      <c r="K59" s="142"/>
      <c r="L59" s="142"/>
      <c r="M59" s="142"/>
      <c r="N59" s="142"/>
      <c r="O59" s="142"/>
    </row>
    <row r="60" spans="1:15" s="58" customFormat="1" ht="12" customHeight="1">
      <c r="A60" s="78"/>
      <c r="B60" s="43"/>
      <c r="C60" s="142"/>
      <c r="D60" s="142"/>
      <c r="E60" s="142"/>
      <c r="F60" s="142"/>
      <c r="G60" s="142"/>
      <c r="H60" s="142"/>
      <c r="I60" s="142"/>
      <c r="J60" s="142"/>
      <c r="K60" s="142"/>
      <c r="L60" s="142"/>
      <c r="M60" s="142"/>
      <c r="N60" s="142"/>
      <c r="O60" s="142"/>
    </row>
    <row r="61" spans="1:15" ht="12" customHeight="1">
      <c r="A61" s="310"/>
      <c r="B61" s="274"/>
      <c r="C61" s="311"/>
      <c r="D61" s="311"/>
      <c r="E61" s="311"/>
      <c r="F61" s="311"/>
      <c r="G61" s="311"/>
      <c r="H61" s="311"/>
      <c r="I61" s="311"/>
      <c r="J61" s="311"/>
      <c r="K61" s="311"/>
      <c r="L61" s="311"/>
      <c r="M61" s="311"/>
      <c r="N61" s="311"/>
      <c r="O61" s="311"/>
    </row>
    <row r="62" spans="1:15" ht="19.5" hidden="1" customHeight="1">
      <c r="A62" s="48"/>
    </row>
    <row r="63" spans="1:15" s="58" customFormat="1" ht="19.5" hidden="1" customHeight="1">
      <c r="A63" s="46" t="s">
        <v>515</v>
      </c>
      <c r="C63" s="291">
        <f>'V2'!F12</f>
        <v>45658</v>
      </c>
      <c r="D63" s="291">
        <f>'V2'!G12</f>
        <v>45689</v>
      </c>
      <c r="E63" s="291">
        <f>'V2'!H12</f>
        <v>45720</v>
      </c>
      <c r="F63" s="291">
        <f>'V2'!I12</f>
        <v>45751</v>
      </c>
      <c r="G63" s="291">
        <f>'V2'!J12</f>
        <v>45782</v>
      </c>
      <c r="H63" s="291">
        <f>'V2'!K12</f>
        <v>45813</v>
      </c>
      <c r="I63" s="291">
        <f>'V2'!L12</f>
        <v>45844</v>
      </c>
      <c r="J63" s="291">
        <f>'V2'!M12</f>
        <v>45875</v>
      </c>
      <c r="K63" s="291">
        <f>'V2'!N12</f>
        <v>45906</v>
      </c>
      <c r="L63" s="291">
        <f>'V2'!O12</f>
        <v>45937</v>
      </c>
      <c r="M63" s="291">
        <f>'V2'!P12</f>
        <v>45968</v>
      </c>
      <c r="N63" s="291">
        <f>'V2'!Q12</f>
        <v>45999</v>
      </c>
      <c r="O63" s="292"/>
    </row>
    <row r="64" spans="1:15" s="58" customFormat="1" ht="19.5" hidden="1" customHeight="1">
      <c r="C64" s="292"/>
      <c r="D64" s="292"/>
      <c r="E64" s="292"/>
      <c r="F64" s="292"/>
      <c r="G64" s="292"/>
      <c r="H64" s="292"/>
      <c r="I64" s="292"/>
      <c r="J64" s="292"/>
      <c r="K64" s="292"/>
      <c r="L64" s="292"/>
      <c r="M64" s="292"/>
      <c r="N64" s="292"/>
      <c r="O64" s="292"/>
    </row>
    <row r="65" spans="1:15" s="58" customFormat="1" ht="19.5" hidden="1" customHeight="1">
      <c r="C65" s="292"/>
      <c r="D65" s="292"/>
      <c r="E65" s="292"/>
      <c r="F65" s="292"/>
      <c r="G65" s="292"/>
      <c r="H65" s="292"/>
      <c r="I65" s="292"/>
      <c r="J65" s="292"/>
      <c r="K65" s="292"/>
      <c r="L65" s="292"/>
      <c r="M65" s="292"/>
      <c r="N65" s="292"/>
      <c r="O65" s="292"/>
    </row>
    <row r="66" spans="1:15" hidden="1">
      <c r="A66" s="48" t="s">
        <v>512</v>
      </c>
      <c r="C66" s="314">
        <f>N56</f>
        <v>0</v>
      </c>
      <c r="D66" s="314">
        <f>C95</f>
        <v>0</v>
      </c>
      <c r="E66" s="314"/>
      <c r="F66" s="314"/>
      <c r="G66" s="314"/>
      <c r="H66" s="315"/>
      <c r="I66" s="315"/>
      <c r="J66" s="314"/>
      <c r="K66" s="315"/>
      <c r="L66" s="315"/>
      <c r="M66" s="314"/>
      <c r="N66" s="315"/>
      <c r="O66" s="304"/>
    </row>
    <row r="67" spans="1:15" s="58" customFormat="1" ht="12" hidden="1" customHeight="1">
      <c r="A67" s="48"/>
      <c r="C67" s="294"/>
      <c r="D67" s="295"/>
      <c r="E67" s="295"/>
      <c r="F67" s="295"/>
      <c r="G67" s="295"/>
      <c r="H67" s="295"/>
      <c r="I67" s="295"/>
      <c r="J67" s="295"/>
      <c r="K67" s="295"/>
      <c r="L67" s="295"/>
      <c r="M67" s="295"/>
      <c r="N67" s="295"/>
      <c r="O67" s="295"/>
    </row>
    <row r="68" spans="1:15" s="58" customFormat="1" ht="12" hidden="1" customHeight="1">
      <c r="A68" s="48" t="s">
        <v>513</v>
      </c>
      <c r="C68" s="316">
        <f>N52</f>
        <v>0</v>
      </c>
      <c r="D68" s="317">
        <f>C91</f>
        <v>0</v>
      </c>
      <c r="E68" s="317"/>
      <c r="F68" s="317"/>
      <c r="G68" s="317"/>
      <c r="H68" s="317"/>
      <c r="I68" s="317"/>
      <c r="J68" s="317"/>
      <c r="K68" s="317"/>
      <c r="L68" s="317"/>
      <c r="M68" s="317"/>
      <c r="N68" s="317"/>
      <c r="O68" s="295"/>
    </row>
    <row r="69" spans="1:15" s="58" customFormat="1" ht="12" hidden="1" customHeight="1">
      <c r="A69" s="48"/>
      <c r="C69" s="294"/>
      <c r="D69" s="295"/>
      <c r="E69" s="295"/>
      <c r="F69" s="295"/>
      <c r="G69" s="295"/>
      <c r="H69" s="295"/>
      <c r="I69" s="295"/>
      <c r="J69" s="295"/>
      <c r="K69" s="295"/>
      <c r="L69" s="295"/>
      <c r="M69" s="295"/>
      <c r="N69" s="295"/>
      <c r="O69" s="295"/>
    </row>
    <row r="70" spans="1:15" s="58" customFormat="1" ht="12" hidden="1" customHeight="1">
      <c r="A70" s="48" t="s">
        <v>517</v>
      </c>
      <c r="C70" s="316">
        <f>-N24</f>
        <v>0</v>
      </c>
      <c r="D70" s="317">
        <f t="shared" ref="D70:N70" si="15">-C73</f>
        <v>0</v>
      </c>
      <c r="E70" s="317">
        <f t="shared" si="15"/>
        <v>0</v>
      </c>
      <c r="F70" s="317">
        <f t="shared" si="15"/>
        <v>0</v>
      </c>
      <c r="G70" s="317">
        <f t="shared" si="15"/>
        <v>0</v>
      </c>
      <c r="H70" s="317">
        <f t="shared" si="15"/>
        <v>0</v>
      </c>
      <c r="I70" s="317">
        <f t="shared" si="15"/>
        <v>0</v>
      </c>
      <c r="J70" s="317">
        <f t="shared" si="15"/>
        <v>0</v>
      </c>
      <c r="K70" s="317">
        <f t="shared" si="15"/>
        <v>0</v>
      </c>
      <c r="L70" s="317">
        <f t="shared" si="15"/>
        <v>0</v>
      </c>
      <c r="M70" s="317">
        <f t="shared" si="15"/>
        <v>0</v>
      </c>
      <c r="N70" s="317">
        <f t="shared" si="15"/>
        <v>0</v>
      </c>
      <c r="O70" s="295"/>
    </row>
    <row r="71" spans="1:15" s="58" customFormat="1" ht="12" hidden="1" customHeight="1">
      <c r="A71" s="162" t="s">
        <v>518</v>
      </c>
      <c r="B71" s="43"/>
      <c r="C71" s="301">
        <f>'A2'!E20+'A2'!E30+'A2'!E34</f>
        <v>0</v>
      </c>
      <c r="D71" s="301">
        <f>'A2'!F20+'A2'!F30+'A2'!F34</f>
        <v>0</v>
      </c>
      <c r="E71" s="301">
        <f>'A2'!G20+'A2'!G30+'A2'!G34</f>
        <v>0</v>
      </c>
      <c r="F71" s="301">
        <f>'A2'!H20+'A2'!H30+'A2'!H34</f>
        <v>0</v>
      </c>
      <c r="G71" s="301">
        <f>'A2'!I20+'A2'!I30+'A2'!I34</f>
        <v>0</v>
      </c>
      <c r="H71" s="301">
        <f>'A2'!J20+'A2'!J30+'A2'!J34</f>
        <v>0</v>
      </c>
      <c r="I71" s="301">
        <f>'A2'!K20+'A2'!K30+'A2'!K34</f>
        <v>0</v>
      </c>
      <c r="J71" s="301">
        <f>'A2'!L20+'A2'!L30+'A2'!L34</f>
        <v>0</v>
      </c>
      <c r="K71" s="301">
        <f>'A2'!M20+'A2'!M30+'A2'!M34</f>
        <v>0</v>
      </c>
      <c r="L71" s="301">
        <f>'A2'!N20+'A2'!N30+'A2'!N34</f>
        <v>0</v>
      </c>
      <c r="M71" s="301">
        <f>'A2'!O20+'A2'!O30+'A2'!O34</f>
        <v>0</v>
      </c>
      <c r="N71" s="301">
        <f>'A2'!P20+'A2'!P30+'A2'!P34</f>
        <v>0</v>
      </c>
      <c r="O71" s="117"/>
    </row>
    <row r="72" spans="1:15" s="58" customFormat="1" ht="12" hidden="1" customHeight="1">
      <c r="A72" s="162" t="s">
        <v>371</v>
      </c>
      <c r="B72" s="43"/>
      <c r="C72" s="301">
        <f t="shared" ref="C72:N72" si="16">C70+C71</f>
        <v>0</v>
      </c>
      <c r="D72" s="301">
        <f t="shared" si="16"/>
        <v>0</v>
      </c>
      <c r="E72" s="301">
        <f t="shared" si="16"/>
        <v>0</v>
      </c>
      <c r="F72" s="301">
        <f t="shared" si="16"/>
        <v>0</v>
      </c>
      <c r="G72" s="301">
        <f t="shared" si="16"/>
        <v>0</v>
      </c>
      <c r="H72" s="301">
        <f t="shared" si="16"/>
        <v>0</v>
      </c>
      <c r="I72" s="301">
        <f t="shared" si="16"/>
        <v>0</v>
      </c>
      <c r="J72" s="301">
        <f t="shared" si="16"/>
        <v>0</v>
      </c>
      <c r="K72" s="301">
        <f t="shared" si="16"/>
        <v>0</v>
      </c>
      <c r="L72" s="301">
        <f t="shared" si="16"/>
        <v>0</v>
      </c>
      <c r="M72" s="301">
        <f t="shared" si="16"/>
        <v>0</v>
      </c>
      <c r="N72" s="301">
        <f t="shared" si="16"/>
        <v>0</v>
      </c>
      <c r="O72" s="117"/>
    </row>
    <row r="73" spans="1:15" s="58" customFormat="1" ht="12" hidden="1" customHeight="1">
      <c r="A73" s="162" t="s">
        <v>372</v>
      </c>
      <c r="B73" s="43"/>
      <c r="C73" s="301">
        <f t="shared" ref="C73:N73" si="17">-C70</f>
        <v>0</v>
      </c>
      <c r="D73" s="301">
        <f t="shared" si="17"/>
        <v>0</v>
      </c>
      <c r="E73" s="301">
        <f t="shared" si="17"/>
        <v>0</v>
      </c>
      <c r="F73" s="301">
        <f t="shared" si="17"/>
        <v>0</v>
      </c>
      <c r="G73" s="301">
        <f t="shared" si="17"/>
        <v>0</v>
      </c>
      <c r="H73" s="301">
        <f t="shared" si="17"/>
        <v>0</v>
      </c>
      <c r="I73" s="301">
        <f t="shared" si="17"/>
        <v>0</v>
      </c>
      <c r="J73" s="301">
        <f t="shared" si="17"/>
        <v>0</v>
      </c>
      <c r="K73" s="301">
        <f t="shared" si="17"/>
        <v>0</v>
      </c>
      <c r="L73" s="301">
        <f t="shared" si="17"/>
        <v>0</v>
      </c>
      <c r="M73" s="301">
        <f t="shared" si="17"/>
        <v>0</v>
      </c>
      <c r="N73" s="301">
        <f t="shared" si="17"/>
        <v>0</v>
      </c>
      <c r="O73" s="117"/>
    </row>
    <row r="74" spans="1:15" s="58" customFormat="1" ht="12" hidden="1" customHeight="1">
      <c r="A74" s="78" t="s">
        <v>524</v>
      </c>
      <c r="B74" s="43"/>
      <c r="C74" s="301">
        <f t="shared" ref="C74:N74" si="18">C72-C73</f>
        <v>0</v>
      </c>
      <c r="D74" s="301">
        <f t="shared" si="18"/>
        <v>0</v>
      </c>
      <c r="E74" s="301">
        <f t="shared" si="18"/>
        <v>0</v>
      </c>
      <c r="F74" s="301">
        <f t="shared" si="18"/>
        <v>0</v>
      </c>
      <c r="G74" s="301">
        <f t="shared" si="18"/>
        <v>0</v>
      </c>
      <c r="H74" s="301">
        <f t="shared" si="18"/>
        <v>0</v>
      </c>
      <c r="I74" s="301">
        <f t="shared" si="18"/>
        <v>0</v>
      </c>
      <c r="J74" s="301">
        <f t="shared" si="18"/>
        <v>0</v>
      </c>
      <c r="K74" s="301">
        <f t="shared" si="18"/>
        <v>0</v>
      </c>
      <c r="L74" s="301">
        <f t="shared" si="18"/>
        <v>0</v>
      </c>
      <c r="M74" s="301">
        <f t="shared" si="18"/>
        <v>0</v>
      </c>
      <c r="N74" s="301">
        <f t="shared" si="18"/>
        <v>0</v>
      </c>
      <c r="O74" s="117"/>
    </row>
    <row r="75" spans="1:15" s="58" customFormat="1" ht="12" hidden="1" customHeight="1">
      <c r="A75" s="48"/>
      <c r="C75" s="294"/>
      <c r="D75" s="295"/>
      <c r="E75" s="295"/>
      <c r="F75" s="295"/>
      <c r="G75" s="295"/>
      <c r="H75" s="295"/>
      <c r="I75" s="295"/>
      <c r="J75" s="295"/>
      <c r="K75" s="295"/>
      <c r="L75" s="295"/>
      <c r="M75" s="295"/>
      <c r="N75" s="295"/>
      <c r="O75" s="295"/>
    </row>
    <row r="76" spans="1:15" s="58" customFormat="1" ht="12" hidden="1" customHeight="1">
      <c r="A76" s="78" t="s">
        <v>525</v>
      </c>
      <c r="B76" s="43"/>
      <c r="C76" s="301">
        <f>B78</f>
        <v>0</v>
      </c>
      <c r="D76" s="301">
        <f t="shared" ref="D76:N77" si="19">C76</f>
        <v>0</v>
      </c>
      <c r="E76" s="318">
        <f t="shared" si="19"/>
        <v>0</v>
      </c>
      <c r="F76" s="318">
        <f t="shared" si="19"/>
        <v>0</v>
      </c>
      <c r="G76" s="318">
        <f t="shared" si="19"/>
        <v>0</v>
      </c>
      <c r="H76" s="318">
        <f t="shared" si="19"/>
        <v>0</v>
      </c>
      <c r="I76" s="318">
        <f t="shared" si="19"/>
        <v>0</v>
      </c>
      <c r="J76" s="318">
        <f t="shared" si="19"/>
        <v>0</v>
      </c>
      <c r="K76" s="318">
        <f t="shared" si="19"/>
        <v>0</v>
      </c>
      <c r="L76" s="318">
        <f t="shared" si="19"/>
        <v>0</v>
      </c>
      <c r="M76" s="318">
        <f t="shared" si="19"/>
        <v>0</v>
      </c>
      <c r="N76" s="318">
        <f t="shared" si="19"/>
        <v>0</v>
      </c>
      <c r="O76" s="121"/>
    </row>
    <row r="77" spans="1:15" s="58" customFormat="1" ht="12" hidden="1" customHeight="1">
      <c r="A77" s="162" t="s">
        <v>526</v>
      </c>
      <c r="B77" s="43"/>
      <c r="C77" s="301">
        <f>TE!C140/12</f>
        <v>0</v>
      </c>
      <c r="D77" s="301">
        <f t="shared" si="19"/>
        <v>0</v>
      </c>
      <c r="E77" s="301">
        <f t="shared" si="19"/>
        <v>0</v>
      </c>
      <c r="F77" s="301">
        <f t="shared" si="19"/>
        <v>0</v>
      </c>
      <c r="G77" s="301">
        <f t="shared" si="19"/>
        <v>0</v>
      </c>
      <c r="H77" s="301">
        <f t="shared" si="19"/>
        <v>0</v>
      </c>
      <c r="I77" s="301">
        <f t="shared" si="19"/>
        <v>0</v>
      </c>
      <c r="J77" s="301">
        <f t="shared" si="19"/>
        <v>0</v>
      </c>
      <c r="K77" s="301">
        <f t="shared" si="19"/>
        <v>0</v>
      </c>
      <c r="L77" s="301">
        <f t="shared" si="19"/>
        <v>0</v>
      </c>
      <c r="M77" s="301">
        <f t="shared" si="19"/>
        <v>0</v>
      </c>
      <c r="N77" s="301">
        <f t="shared" si="19"/>
        <v>0</v>
      </c>
      <c r="O77" s="117"/>
    </row>
    <row r="78" spans="1:15" s="58" customFormat="1" ht="12" hidden="1" customHeight="1">
      <c r="A78" s="162" t="s">
        <v>527</v>
      </c>
      <c r="B78" s="62"/>
      <c r="C78" s="301">
        <f>C77*TE!B129</f>
        <v>0</v>
      </c>
      <c r="D78" s="301">
        <f t="shared" ref="D78:N78" si="20">C77*0.18</f>
        <v>0</v>
      </c>
      <c r="E78" s="301">
        <f t="shared" si="20"/>
        <v>0</v>
      </c>
      <c r="F78" s="301">
        <f t="shared" si="20"/>
        <v>0</v>
      </c>
      <c r="G78" s="301">
        <f t="shared" si="20"/>
        <v>0</v>
      </c>
      <c r="H78" s="301">
        <f t="shared" si="20"/>
        <v>0</v>
      </c>
      <c r="I78" s="301">
        <f t="shared" si="20"/>
        <v>0</v>
      </c>
      <c r="J78" s="301">
        <f t="shared" si="20"/>
        <v>0</v>
      </c>
      <c r="K78" s="301">
        <f t="shared" si="20"/>
        <v>0</v>
      </c>
      <c r="L78" s="301">
        <f t="shared" si="20"/>
        <v>0</v>
      </c>
      <c r="M78" s="301">
        <f t="shared" si="20"/>
        <v>0</v>
      </c>
      <c r="N78" s="301">
        <f t="shared" si="20"/>
        <v>0</v>
      </c>
      <c r="O78" s="117"/>
    </row>
    <row r="79" spans="1:15" s="58" customFormat="1" ht="12" hidden="1" customHeight="1">
      <c r="A79" s="78" t="s">
        <v>528</v>
      </c>
      <c r="B79" s="43"/>
      <c r="C79" s="301">
        <f t="shared" ref="C79:N79" si="21">C77+C78</f>
        <v>0</v>
      </c>
      <c r="D79" s="301">
        <f t="shared" si="21"/>
        <v>0</v>
      </c>
      <c r="E79" s="301">
        <f t="shared" si="21"/>
        <v>0</v>
      </c>
      <c r="F79" s="301">
        <f t="shared" si="21"/>
        <v>0</v>
      </c>
      <c r="G79" s="301">
        <f t="shared" si="21"/>
        <v>0</v>
      </c>
      <c r="H79" s="301">
        <f t="shared" si="21"/>
        <v>0</v>
      </c>
      <c r="I79" s="301">
        <f t="shared" si="21"/>
        <v>0</v>
      </c>
      <c r="J79" s="301">
        <f t="shared" si="21"/>
        <v>0</v>
      </c>
      <c r="K79" s="301">
        <f t="shared" si="21"/>
        <v>0</v>
      </c>
      <c r="L79" s="301">
        <f t="shared" si="21"/>
        <v>0</v>
      </c>
      <c r="M79" s="301">
        <f t="shared" si="21"/>
        <v>0</v>
      </c>
      <c r="N79" s="301">
        <f t="shared" si="21"/>
        <v>0</v>
      </c>
      <c r="O79" s="117"/>
    </row>
    <row r="80" spans="1:15" s="58" customFormat="1" ht="12" hidden="1" customHeight="1">
      <c r="A80" s="48"/>
      <c r="C80" s="294"/>
      <c r="D80" s="295"/>
      <c r="E80" s="295"/>
      <c r="F80" s="295"/>
      <c r="G80" s="295"/>
      <c r="H80" s="295"/>
      <c r="I80" s="295"/>
      <c r="J80" s="295"/>
      <c r="K80" s="295"/>
      <c r="L80" s="295"/>
      <c r="M80" s="295"/>
      <c r="N80" s="295"/>
      <c r="O80" s="295"/>
    </row>
    <row r="81" spans="1:15" s="58" customFormat="1" ht="12" hidden="1" customHeight="1">
      <c r="A81" s="78" t="s">
        <v>380</v>
      </c>
      <c r="B81" s="43"/>
      <c r="C81" s="44"/>
      <c r="D81" s="44"/>
      <c r="E81" s="44"/>
      <c r="F81" s="44"/>
      <c r="G81" s="44"/>
      <c r="H81" s="44"/>
      <c r="I81" s="44"/>
      <c r="J81" s="44"/>
      <c r="K81" s="44"/>
      <c r="L81" s="44"/>
      <c r="M81" s="44"/>
      <c r="N81" s="44"/>
      <c r="O81" s="44"/>
    </row>
    <row r="82" spans="1:15" s="58" customFormat="1" ht="12" hidden="1" customHeight="1">
      <c r="A82" s="162" t="s">
        <v>529</v>
      </c>
      <c r="B82" s="43"/>
      <c r="C82" s="301"/>
      <c r="D82" s="301">
        <f t="shared" ref="D82:N88" si="22">C82</f>
        <v>0</v>
      </c>
      <c r="E82" s="301">
        <f t="shared" si="22"/>
        <v>0</v>
      </c>
      <c r="F82" s="301">
        <f t="shared" si="22"/>
        <v>0</v>
      </c>
      <c r="G82" s="301">
        <f t="shared" si="22"/>
        <v>0</v>
      </c>
      <c r="H82" s="301">
        <f t="shared" si="22"/>
        <v>0</v>
      </c>
      <c r="I82" s="301">
        <f t="shared" si="22"/>
        <v>0</v>
      </c>
      <c r="J82" s="301">
        <f t="shared" si="22"/>
        <v>0</v>
      </c>
      <c r="K82" s="301">
        <f t="shared" si="22"/>
        <v>0</v>
      </c>
      <c r="L82" s="301">
        <f t="shared" si="22"/>
        <v>0</v>
      </c>
      <c r="M82" s="301">
        <f t="shared" si="22"/>
        <v>0</v>
      </c>
      <c r="N82" s="301">
        <f t="shared" si="22"/>
        <v>0</v>
      </c>
      <c r="O82" s="117"/>
    </row>
    <row r="83" spans="1:15" s="58" customFormat="1" ht="12" hidden="1" customHeight="1">
      <c r="A83" s="162" t="s">
        <v>530</v>
      </c>
      <c r="B83" s="43"/>
      <c r="C83" s="301"/>
      <c r="D83" s="301">
        <f t="shared" si="22"/>
        <v>0</v>
      </c>
      <c r="E83" s="301">
        <f t="shared" si="22"/>
        <v>0</v>
      </c>
      <c r="F83" s="301">
        <f t="shared" si="22"/>
        <v>0</v>
      </c>
      <c r="G83" s="301">
        <f t="shared" si="22"/>
        <v>0</v>
      </c>
      <c r="H83" s="301">
        <f t="shared" si="22"/>
        <v>0</v>
      </c>
      <c r="I83" s="301">
        <f t="shared" si="22"/>
        <v>0</v>
      </c>
      <c r="J83" s="301">
        <f t="shared" si="22"/>
        <v>0</v>
      </c>
      <c r="K83" s="301">
        <f t="shared" si="22"/>
        <v>0</v>
      </c>
      <c r="L83" s="301">
        <f t="shared" si="22"/>
        <v>0</v>
      </c>
      <c r="M83" s="301">
        <f t="shared" si="22"/>
        <v>0</v>
      </c>
      <c r="N83" s="301">
        <f t="shared" si="22"/>
        <v>0</v>
      </c>
      <c r="O83" s="117"/>
    </row>
    <row r="84" spans="1:15" s="58" customFormat="1" ht="12" hidden="1" customHeight="1">
      <c r="A84" s="162" t="s">
        <v>531</v>
      </c>
      <c r="B84" s="43"/>
      <c r="C84" s="301"/>
      <c r="D84" s="301">
        <f t="shared" si="22"/>
        <v>0</v>
      </c>
      <c r="E84" s="301">
        <f t="shared" si="22"/>
        <v>0</v>
      </c>
      <c r="F84" s="301">
        <f t="shared" si="22"/>
        <v>0</v>
      </c>
      <c r="G84" s="301">
        <f t="shared" si="22"/>
        <v>0</v>
      </c>
      <c r="H84" s="301">
        <f t="shared" si="22"/>
        <v>0</v>
      </c>
      <c r="I84" s="301">
        <f t="shared" si="22"/>
        <v>0</v>
      </c>
      <c r="J84" s="301">
        <f t="shared" si="22"/>
        <v>0</v>
      </c>
      <c r="K84" s="301">
        <f t="shared" si="22"/>
        <v>0</v>
      </c>
      <c r="L84" s="301">
        <f t="shared" si="22"/>
        <v>0</v>
      </c>
      <c r="M84" s="301">
        <f t="shared" si="22"/>
        <v>0</v>
      </c>
      <c r="N84" s="301">
        <f t="shared" si="22"/>
        <v>0</v>
      </c>
      <c r="O84" s="117"/>
    </row>
    <row r="85" spans="1:15" s="58" customFormat="1" ht="12" hidden="1" customHeight="1">
      <c r="A85" s="162" t="s">
        <v>532</v>
      </c>
      <c r="B85" s="43"/>
      <c r="C85" s="301"/>
      <c r="D85" s="301">
        <f t="shared" si="22"/>
        <v>0</v>
      </c>
      <c r="E85" s="301">
        <f t="shared" si="22"/>
        <v>0</v>
      </c>
      <c r="F85" s="301">
        <f t="shared" si="22"/>
        <v>0</v>
      </c>
      <c r="G85" s="301">
        <f t="shared" si="22"/>
        <v>0</v>
      </c>
      <c r="H85" s="301">
        <f t="shared" si="22"/>
        <v>0</v>
      </c>
      <c r="I85" s="301">
        <f t="shared" si="22"/>
        <v>0</v>
      </c>
      <c r="J85" s="301">
        <f t="shared" si="22"/>
        <v>0</v>
      </c>
      <c r="K85" s="301">
        <f t="shared" si="22"/>
        <v>0</v>
      </c>
      <c r="L85" s="301">
        <f t="shared" si="22"/>
        <v>0</v>
      </c>
      <c r="M85" s="301">
        <f t="shared" si="22"/>
        <v>0</v>
      </c>
      <c r="N85" s="301">
        <f t="shared" si="22"/>
        <v>0</v>
      </c>
      <c r="O85" s="117"/>
    </row>
    <row r="86" spans="1:15" s="58" customFormat="1" ht="12" hidden="1" customHeight="1">
      <c r="A86" s="162" t="s">
        <v>533</v>
      </c>
      <c r="B86" s="43"/>
      <c r="C86" s="301" t="e">
        <f>A!#REF!</f>
        <v>#REF!</v>
      </c>
      <c r="D86" s="301" t="e">
        <f t="shared" si="22"/>
        <v>#REF!</v>
      </c>
      <c r="E86" s="301" t="e">
        <f t="shared" si="22"/>
        <v>#REF!</v>
      </c>
      <c r="F86" s="301" t="e">
        <f t="shared" si="22"/>
        <v>#REF!</v>
      </c>
      <c r="G86" s="301" t="e">
        <f t="shared" si="22"/>
        <v>#REF!</v>
      </c>
      <c r="H86" s="301" t="e">
        <f t="shared" si="22"/>
        <v>#REF!</v>
      </c>
      <c r="I86" s="301" t="e">
        <f t="shared" si="22"/>
        <v>#REF!</v>
      </c>
      <c r="J86" s="301" t="e">
        <f t="shared" si="22"/>
        <v>#REF!</v>
      </c>
      <c r="K86" s="301" t="e">
        <f t="shared" si="22"/>
        <v>#REF!</v>
      </c>
      <c r="L86" s="301" t="e">
        <f t="shared" si="22"/>
        <v>#REF!</v>
      </c>
      <c r="M86" s="301" t="e">
        <f t="shared" si="22"/>
        <v>#REF!</v>
      </c>
      <c r="N86" s="301" t="e">
        <f t="shared" si="22"/>
        <v>#REF!</v>
      </c>
      <c r="O86" s="117"/>
    </row>
    <row r="87" spans="1:15" s="58" customFormat="1" ht="12" hidden="1" customHeight="1">
      <c r="A87" s="162" t="s">
        <v>534</v>
      </c>
      <c r="B87" s="43"/>
      <c r="C87" s="301"/>
      <c r="D87" s="301">
        <f t="shared" si="22"/>
        <v>0</v>
      </c>
      <c r="E87" s="301">
        <f t="shared" si="22"/>
        <v>0</v>
      </c>
      <c r="F87" s="301">
        <f t="shared" si="22"/>
        <v>0</v>
      </c>
      <c r="G87" s="301">
        <f t="shared" si="22"/>
        <v>0</v>
      </c>
      <c r="H87" s="301">
        <f t="shared" si="22"/>
        <v>0</v>
      </c>
      <c r="I87" s="301">
        <f t="shared" si="22"/>
        <v>0</v>
      </c>
      <c r="J87" s="301">
        <f t="shared" si="22"/>
        <v>0</v>
      </c>
      <c r="K87" s="301">
        <f t="shared" si="22"/>
        <v>0</v>
      </c>
      <c r="L87" s="301">
        <f t="shared" si="22"/>
        <v>0</v>
      </c>
      <c r="M87" s="301">
        <f t="shared" si="22"/>
        <v>0</v>
      </c>
      <c r="N87" s="301">
        <f t="shared" si="22"/>
        <v>0</v>
      </c>
      <c r="O87" s="117"/>
    </row>
    <row r="88" spans="1:15" s="58" customFormat="1" ht="12" hidden="1" customHeight="1" thickBot="1">
      <c r="A88" s="162" t="s">
        <v>383</v>
      </c>
      <c r="B88" s="43"/>
      <c r="C88" s="305"/>
      <c r="D88" s="305">
        <f t="shared" si="22"/>
        <v>0</v>
      </c>
      <c r="E88" s="305">
        <f t="shared" si="22"/>
        <v>0</v>
      </c>
      <c r="F88" s="305">
        <f t="shared" si="22"/>
        <v>0</v>
      </c>
      <c r="G88" s="305">
        <f t="shared" si="22"/>
        <v>0</v>
      </c>
      <c r="H88" s="305">
        <f t="shared" si="22"/>
        <v>0</v>
      </c>
      <c r="I88" s="305">
        <f t="shared" si="22"/>
        <v>0</v>
      </c>
      <c r="J88" s="305">
        <f t="shared" si="22"/>
        <v>0</v>
      </c>
      <c r="K88" s="305">
        <f t="shared" si="22"/>
        <v>0</v>
      </c>
      <c r="L88" s="305">
        <f t="shared" si="22"/>
        <v>0</v>
      </c>
      <c r="M88" s="305">
        <f t="shared" si="22"/>
        <v>0</v>
      </c>
      <c r="N88" s="305">
        <f t="shared" si="22"/>
        <v>0</v>
      </c>
      <c r="O88" s="117"/>
    </row>
    <row r="89" spans="1:15" s="58" customFormat="1" ht="12" hidden="1" customHeight="1" thickBot="1">
      <c r="A89" s="78" t="s">
        <v>384</v>
      </c>
      <c r="B89" s="43"/>
      <c r="C89" s="319" t="e">
        <f t="shared" ref="C89:N89" si="23">SUM(C82:C88)-C86</f>
        <v>#REF!</v>
      </c>
      <c r="D89" s="319" t="e">
        <f t="shared" si="23"/>
        <v>#REF!</v>
      </c>
      <c r="E89" s="319" t="e">
        <f t="shared" si="23"/>
        <v>#REF!</v>
      </c>
      <c r="F89" s="319" t="e">
        <f t="shared" si="23"/>
        <v>#REF!</v>
      </c>
      <c r="G89" s="319" t="e">
        <f t="shared" si="23"/>
        <v>#REF!</v>
      </c>
      <c r="H89" s="319" t="e">
        <f t="shared" si="23"/>
        <v>#REF!</v>
      </c>
      <c r="I89" s="319" t="e">
        <f t="shared" si="23"/>
        <v>#REF!</v>
      </c>
      <c r="J89" s="319" t="e">
        <f t="shared" si="23"/>
        <v>#REF!</v>
      </c>
      <c r="K89" s="319" t="e">
        <f t="shared" si="23"/>
        <v>#REF!</v>
      </c>
      <c r="L89" s="319" t="e">
        <f t="shared" si="23"/>
        <v>#REF!</v>
      </c>
      <c r="M89" s="319" t="e">
        <f t="shared" si="23"/>
        <v>#REF!</v>
      </c>
      <c r="N89" s="319" t="e">
        <f t="shared" si="23"/>
        <v>#REF!</v>
      </c>
      <c r="O89" s="117"/>
    </row>
    <row r="90" spans="1:15" s="58" customFormat="1" ht="12" hidden="1" customHeight="1">
      <c r="A90" s="43"/>
      <c r="B90" s="43"/>
      <c r="C90" s="117"/>
      <c r="D90" s="117"/>
      <c r="E90" s="117"/>
      <c r="F90" s="117"/>
      <c r="G90" s="117"/>
      <c r="H90" s="117"/>
      <c r="I90" s="117"/>
      <c r="J90" s="117"/>
      <c r="K90" s="117"/>
      <c r="L90" s="117"/>
      <c r="M90" s="117"/>
      <c r="N90" s="117"/>
      <c r="O90" s="117"/>
    </row>
    <row r="91" spans="1:15" s="58" customFormat="1" ht="12" hidden="1" customHeight="1">
      <c r="A91" s="78" t="s">
        <v>385</v>
      </c>
      <c r="B91" s="43"/>
      <c r="C91" s="301">
        <v>0</v>
      </c>
      <c r="D91" s="301">
        <f t="shared" ref="D91:N91" si="24">C91</f>
        <v>0</v>
      </c>
      <c r="E91" s="301">
        <f t="shared" si="24"/>
        <v>0</v>
      </c>
      <c r="F91" s="301">
        <f t="shared" si="24"/>
        <v>0</v>
      </c>
      <c r="G91" s="301">
        <f t="shared" si="24"/>
        <v>0</v>
      </c>
      <c r="H91" s="301">
        <f t="shared" si="24"/>
        <v>0</v>
      </c>
      <c r="I91" s="301">
        <f t="shared" si="24"/>
        <v>0</v>
      </c>
      <c r="J91" s="301">
        <f t="shared" si="24"/>
        <v>0</v>
      </c>
      <c r="K91" s="301">
        <f t="shared" si="24"/>
        <v>0</v>
      </c>
      <c r="L91" s="301">
        <f t="shared" si="24"/>
        <v>0</v>
      </c>
      <c r="M91" s="301">
        <f t="shared" si="24"/>
        <v>0</v>
      </c>
      <c r="N91" s="301">
        <f t="shared" si="24"/>
        <v>0</v>
      </c>
      <c r="O91" s="117"/>
    </row>
    <row r="92" spans="1:15" s="58" customFormat="1" ht="12" hidden="1" customHeight="1" thickBot="1">
      <c r="A92" s="43"/>
      <c r="B92" s="43"/>
      <c r="C92" s="117"/>
      <c r="D92" s="117"/>
      <c r="E92" s="117"/>
      <c r="F92" s="117"/>
      <c r="G92" s="117"/>
      <c r="H92" s="117"/>
      <c r="I92" s="117"/>
      <c r="J92" s="117"/>
      <c r="K92" s="117"/>
      <c r="L92" s="117"/>
      <c r="M92" s="117"/>
      <c r="N92" s="117"/>
      <c r="O92" s="117"/>
    </row>
    <row r="93" spans="1:15" s="58" customFormat="1" ht="12" hidden="1" customHeight="1" thickBot="1">
      <c r="A93" s="78" t="s">
        <v>386</v>
      </c>
      <c r="B93" s="43"/>
      <c r="C93" s="320">
        <v>0</v>
      </c>
      <c r="D93" s="319" t="e">
        <f t="shared" ref="D93:N93" si="25">D69+D74+D79+D89-D91</f>
        <v>#REF!</v>
      </c>
      <c r="E93" s="319" t="e">
        <f t="shared" si="25"/>
        <v>#REF!</v>
      </c>
      <c r="F93" s="319" t="e">
        <f t="shared" si="25"/>
        <v>#REF!</v>
      </c>
      <c r="G93" s="319" t="e">
        <f t="shared" si="25"/>
        <v>#REF!</v>
      </c>
      <c r="H93" s="319" t="e">
        <f t="shared" si="25"/>
        <v>#REF!</v>
      </c>
      <c r="I93" s="319" t="e">
        <f t="shared" si="25"/>
        <v>#REF!</v>
      </c>
      <c r="J93" s="319" t="e">
        <f t="shared" si="25"/>
        <v>#REF!</v>
      </c>
      <c r="K93" s="319" t="e">
        <f t="shared" si="25"/>
        <v>#REF!</v>
      </c>
      <c r="L93" s="319" t="e">
        <f t="shared" si="25"/>
        <v>#REF!</v>
      </c>
      <c r="M93" s="319" t="e">
        <f t="shared" si="25"/>
        <v>#REF!</v>
      </c>
      <c r="N93" s="319" t="e">
        <f t="shared" si="25"/>
        <v>#REF!</v>
      </c>
      <c r="O93" s="117"/>
    </row>
    <row r="94" spans="1:15" s="58" customFormat="1" ht="12" hidden="1" customHeight="1">
      <c r="A94" s="43"/>
      <c r="B94" s="43"/>
      <c r="C94" s="117"/>
      <c r="D94" s="117"/>
      <c r="E94" s="117"/>
      <c r="F94" s="117"/>
      <c r="G94" s="117"/>
      <c r="H94" s="117"/>
      <c r="I94" s="117"/>
      <c r="J94" s="117"/>
      <c r="K94" s="117"/>
      <c r="L94" s="117"/>
      <c r="M94" s="117"/>
      <c r="N94" s="117"/>
      <c r="O94" s="117"/>
    </row>
    <row r="95" spans="1:15" s="58" customFormat="1" ht="12" hidden="1" customHeight="1">
      <c r="A95" s="78" t="s">
        <v>387</v>
      </c>
      <c r="B95" s="43"/>
      <c r="C95" s="301"/>
      <c r="D95" s="301">
        <f t="shared" ref="D95:N95" si="26">C95</f>
        <v>0</v>
      </c>
      <c r="E95" s="301">
        <f t="shared" si="26"/>
        <v>0</v>
      </c>
      <c r="F95" s="301">
        <f t="shared" si="26"/>
        <v>0</v>
      </c>
      <c r="G95" s="301">
        <f t="shared" si="26"/>
        <v>0</v>
      </c>
      <c r="H95" s="301">
        <f t="shared" si="26"/>
        <v>0</v>
      </c>
      <c r="I95" s="301">
        <f t="shared" si="26"/>
        <v>0</v>
      </c>
      <c r="J95" s="301">
        <f t="shared" si="26"/>
        <v>0</v>
      </c>
      <c r="K95" s="301">
        <f t="shared" si="26"/>
        <v>0</v>
      </c>
      <c r="L95" s="301">
        <f t="shared" si="26"/>
        <v>0</v>
      </c>
      <c r="M95" s="301">
        <f t="shared" si="26"/>
        <v>0</v>
      </c>
      <c r="N95" s="301">
        <f t="shared" si="26"/>
        <v>0</v>
      </c>
      <c r="O95" s="117"/>
    </row>
    <row r="96" spans="1:15" s="58" customFormat="1" ht="12" hidden="1" customHeight="1" thickBot="1">
      <c r="A96" s="43"/>
      <c r="B96" s="43"/>
      <c r="C96" s="117"/>
      <c r="D96" s="117"/>
      <c r="E96" s="117"/>
      <c r="F96" s="117"/>
      <c r="G96" s="117"/>
      <c r="H96" s="117"/>
      <c r="I96" s="117"/>
      <c r="J96" s="117"/>
      <c r="K96" s="117"/>
      <c r="L96" s="117"/>
      <c r="M96" s="117"/>
      <c r="N96" s="117"/>
      <c r="O96" s="117"/>
    </row>
    <row r="97" spans="1:15" s="58" customFormat="1" ht="12" hidden="1" customHeight="1" thickBot="1">
      <c r="A97" s="78" t="s">
        <v>388</v>
      </c>
      <c r="B97" s="43"/>
      <c r="C97" s="293">
        <f t="shared" ref="C97:N97" si="27">C67+C93-C95</f>
        <v>0</v>
      </c>
      <c r="D97" s="293" t="e">
        <f t="shared" si="27"/>
        <v>#REF!</v>
      </c>
      <c r="E97" s="293" t="e">
        <f t="shared" si="27"/>
        <v>#REF!</v>
      </c>
      <c r="F97" s="293" t="e">
        <f t="shared" si="27"/>
        <v>#REF!</v>
      </c>
      <c r="G97" s="293" t="e">
        <f t="shared" si="27"/>
        <v>#REF!</v>
      </c>
      <c r="H97" s="293" t="e">
        <f t="shared" si="27"/>
        <v>#REF!</v>
      </c>
      <c r="I97" s="293" t="e">
        <f t="shared" si="27"/>
        <v>#REF!</v>
      </c>
      <c r="J97" s="293" t="e">
        <f t="shared" si="27"/>
        <v>#REF!</v>
      </c>
      <c r="K97" s="293" t="e">
        <f t="shared" si="27"/>
        <v>#REF!</v>
      </c>
      <c r="L97" s="293" t="e">
        <f t="shared" si="27"/>
        <v>#REF!</v>
      </c>
      <c r="M97" s="293" t="e">
        <f t="shared" si="27"/>
        <v>#REF!</v>
      </c>
      <c r="N97" s="293" t="e">
        <f t="shared" si="27"/>
        <v>#REF!</v>
      </c>
      <c r="O97" s="142"/>
    </row>
    <row r="98" spans="1:15" hidden="1"/>
    <row r="99" spans="1:15" hidden="1"/>
    <row r="100" spans="1:15" hidden="1"/>
    <row r="101" spans="1:15" hidden="1"/>
    <row r="102" spans="1:15" hidden="1">
      <c r="A102" s="46" t="s">
        <v>516</v>
      </c>
      <c r="C102" s="291">
        <f>N63+30</f>
        <v>46029</v>
      </c>
      <c r="D102" s="291">
        <f t="shared" ref="D102:N102" si="28">C102+31</f>
        <v>46060</v>
      </c>
      <c r="E102" s="291">
        <f t="shared" si="28"/>
        <v>46091</v>
      </c>
      <c r="F102" s="291">
        <f t="shared" si="28"/>
        <v>46122</v>
      </c>
      <c r="G102" s="291">
        <f t="shared" si="28"/>
        <v>46153</v>
      </c>
      <c r="H102" s="291">
        <f t="shared" si="28"/>
        <v>46184</v>
      </c>
      <c r="I102" s="291">
        <f t="shared" si="28"/>
        <v>46215</v>
      </c>
      <c r="J102" s="291">
        <f t="shared" si="28"/>
        <v>46246</v>
      </c>
      <c r="K102" s="291">
        <f t="shared" si="28"/>
        <v>46277</v>
      </c>
      <c r="L102" s="291">
        <f t="shared" si="28"/>
        <v>46308</v>
      </c>
      <c r="M102" s="291">
        <f t="shared" si="28"/>
        <v>46339</v>
      </c>
      <c r="N102" s="291">
        <f t="shared" si="28"/>
        <v>46370</v>
      </c>
      <c r="O102" s="292"/>
    </row>
    <row r="103" spans="1:15" ht="15.5" hidden="1">
      <c r="A103" s="58"/>
      <c r="C103" s="292"/>
      <c r="D103" s="292"/>
      <c r="E103" s="292"/>
      <c r="F103" s="292"/>
      <c r="G103" s="292"/>
      <c r="H103" s="292"/>
      <c r="I103" s="292"/>
      <c r="J103" s="292"/>
      <c r="K103" s="292"/>
      <c r="L103" s="292"/>
      <c r="M103" s="292"/>
      <c r="N103" s="292"/>
      <c r="O103" s="292"/>
    </row>
    <row r="104" spans="1:15" ht="15.5" hidden="1">
      <c r="A104" s="58"/>
      <c r="C104" s="292"/>
      <c r="D104" s="292"/>
      <c r="E104" s="292"/>
      <c r="F104" s="292"/>
      <c r="G104" s="292"/>
      <c r="H104" s="292"/>
      <c r="I104" s="292"/>
      <c r="J104" s="292"/>
      <c r="K104" s="292"/>
      <c r="L104" s="292"/>
      <c r="M104" s="292"/>
      <c r="N104" s="292"/>
      <c r="O104" s="292"/>
    </row>
    <row r="105" spans="1:15" hidden="1">
      <c r="A105" s="48" t="s">
        <v>512</v>
      </c>
      <c r="C105" s="314">
        <f>N95</f>
        <v>0</v>
      </c>
      <c r="D105" s="314">
        <f>C134</f>
        <v>0</v>
      </c>
      <c r="E105" s="314"/>
      <c r="F105" s="314"/>
      <c r="G105" s="314"/>
      <c r="H105" s="315"/>
      <c r="I105" s="315"/>
      <c r="J105" s="314"/>
      <c r="K105" s="315"/>
      <c r="L105" s="315"/>
      <c r="M105" s="314"/>
      <c r="N105" s="315"/>
      <c r="O105" s="304"/>
    </row>
    <row r="106" spans="1:15" hidden="1">
      <c r="A106" s="48"/>
      <c r="C106" s="294"/>
      <c r="D106" s="295"/>
      <c r="E106" s="295"/>
      <c r="F106" s="295"/>
      <c r="G106" s="295"/>
      <c r="H106" s="295"/>
      <c r="I106" s="295"/>
      <c r="J106" s="295"/>
      <c r="K106" s="295"/>
      <c r="L106" s="295"/>
      <c r="M106" s="295"/>
      <c r="N106" s="295"/>
      <c r="O106" s="295"/>
    </row>
    <row r="107" spans="1:15" hidden="1">
      <c r="A107" s="48" t="s">
        <v>513</v>
      </c>
      <c r="C107" s="316">
        <f>N91</f>
        <v>0</v>
      </c>
      <c r="D107" s="317">
        <f>C130</f>
        <v>0</v>
      </c>
      <c r="E107" s="317"/>
      <c r="F107" s="317"/>
      <c r="G107" s="317"/>
      <c r="H107" s="317"/>
      <c r="I107" s="317"/>
      <c r="J107" s="317"/>
      <c r="K107" s="317"/>
      <c r="L107" s="317"/>
      <c r="M107" s="317"/>
      <c r="N107" s="317"/>
      <c r="O107" s="295"/>
    </row>
    <row r="108" spans="1:15" hidden="1">
      <c r="A108" s="48"/>
      <c r="C108" s="294"/>
      <c r="D108" s="295"/>
      <c r="E108" s="295"/>
      <c r="F108" s="295"/>
      <c r="G108" s="295"/>
      <c r="H108" s="295"/>
      <c r="I108" s="295"/>
      <c r="J108" s="295"/>
      <c r="K108" s="295"/>
      <c r="L108" s="295"/>
      <c r="M108" s="295"/>
      <c r="N108" s="295"/>
      <c r="O108" s="295"/>
    </row>
    <row r="109" spans="1:15" hidden="1">
      <c r="A109" s="48" t="s">
        <v>517</v>
      </c>
      <c r="C109" s="316">
        <f>-N73</f>
        <v>0</v>
      </c>
      <c r="D109" s="317">
        <f t="shared" ref="D109:N109" si="29">-C112</f>
        <v>0</v>
      </c>
      <c r="E109" s="317">
        <f t="shared" si="29"/>
        <v>0</v>
      </c>
      <c r="F109" s="317">
        <f t="shared" si="29"/>
        <v>0</v>
      </c>
      <c r="G109" s="317">
        <f t="shared" si="29"/>
        <v>0</v>
      </c>
      <c r="H109" s="317">
        <f t="shared" si="29"/>
        <v>0</v>
      </c>
      <c r="I109" s="317">
        <f t="shared" si="29"/>
        <v>0</v>
      </c>
      <c r="J109" s="317">
        <f t="shared" si="29"/>
        <v>0</v>
      </c>
      <c r="K109" s="317">
        <f t="shared" si="29"/>
        <v>0</v>
      </c>
      <c r="L109" s="317">
        <f t="shared" si="29"/>
        <v>0</v>
      </c>
      <c r="M109" s="317">
        <f t="shared" si="29"/>
        <v>0</v>
      </c>
      <c r="N109" s="317">
        <f t="shared" si="29"/>
        <v>0</v>
      </c>
      <c r="O109" s="295"/>
    </row>
    <row r="110" spans="1:15" hidden="1">
      <c r="A110" s="162" t="s">
        <v>518</v>
      </c>
      <c r="C110" s="301">
        <f>'A2'!E221+'A2'!E225+'A2'!E229</f>
        <v>0</v>
      </c>
      <c r="D110" s="301">
        <f>'A2'!F221+'A2'!F225+'A2'!F229</f>
        <v>0</v>
      </c>
      <c r="E110" s="301">
        <f>'A2'!G221+'A2'!G225+'A2'!G229</f>
        <v>0</v>
      </c>
      <c r="F110" s="301">
        <f>'A2'!H221+'A2'!H225+'A2'!H229</f>
        <v>0</v>
      </c>
      <c r="G110" s="301">
        <f>'A2'!I221+'A2'!I225+'A2'!I229</f>
        <v>0</v>
      </c>
      <c r="H110" s="301">
        <f>'A2'!J221+'A2'!J225+'A2'!J229</f>
        <v>0</v>
      </c>
      <c r="I110" s="301">
        <f>'A2'!K221+'A2'!K225+'A2'!K229</f>
        <v>0</v>
      </c>
      <c r="J110" s="301">
        <f>'A2'!L221+'A2'!L225+'A2'!L229</f>
        <v>0</v>
      </c>
      <c r="K110" s="301">
        <f>'A2'!M221+'A2'!M225+'A2'!M229</f>
        <v>0</v>
      </c>
      <c r="L110" s="301">
        <f>'A2'!N221+'A2'!N225+'A2'!N229</f>
        <v>0</v>
      </c>
      <c r="M110" s="301">
        <f>'A2'!O221+'A2'!O225+'A2'!O229</f>
        <v>0</v>
      </c>
      <c r="N110" s="301">
        <f>'A2'!P221+'A2'!P225+'A2'!P229</f>
        <v>0</v>
      </c>
      <c r="O110" s="117"/>
    </row>
    <row r="111" spans="1:15" hidden="1">
      <c r="A111" s="162" t="s">
        <v>371</v>
      </c>
      <c r="C111" s="301">
        <f t="shared" ref="C111:N111" si="30">C109+C110</f>
        <v>0</v>
      </c>
      <c r="D111" s="301">
        <f t="shared" si="30"/>
        <v>0</v>
      </c>
      <c r="E111" s="301">
        <f t="shared" si="30"/>
        <v>0</v>
      </c>
      <c r="F111" s="301">
        <f t="shared" si="30"/>
        <v>0</v>
      </c>
      <c r="G111" s="301">
        <f t="shared" si="30"/>
        <v>0</v>
      </c>
      <c r="H111" s="301">
        <f t="shared" si="30"/>
        <v>0</v>
      </c>
      <c r="I111" s="301">
        <f t="shared" si="30"/>
        <v>0</v>
      </c>
      <c r="J111" s="301">
        <f t="shared" si="30"/>
        <v>0</v>
      </c>
      <c r="K111" s="301">
        <f t="shared" si="30"/>
        <v>0</v>
      </c>
      <c r="L111" s="301">
        <f t="shared" si="30"/>
        <v>0</v>
      </c>
      <c r="M111" s="301">
        <f t="shared" si="30"/>
        <v>0</v>
      </c>
      <c r="N111" s="301">
        <f t="shared" si="30"/>
        <v>0</v>
      </c>
      <c r="O111" s="117"/>
    </row>
    <row r="112" spans="1:15" hidden="1">
      <c r="A112" s="162" t="s">
        <v>372</v>
      </c>
      <c r="C112" s="301">
        <f t="shared" ref="C112:N112" si="31">-C109</f>
        <v>0</v>
      </c>
      <c r="D112" s="301">
        <f t="shared" si="31"/>
        <v>0</v>
      </c>
      <c r="E112" s="301">
        <f t="shared" si="31"/>
        <v>0</v>
      </c>
      <c r="F112" s="301">
        <f t="shared" si="31"/>
        <v>0</v>
      </c>
      <c r="G112" s="301">
        <f t="shared" si="31"/>
        <v>0</v>
      </c>
      <c r="H112" s="301">
        <f t="shared" si="31"/>
        <v>0</v>
      </c>
      <c r="I112" s="301">
        <f t="shared" si="31"/>
        <v>0</v>
      </c>
      <c r="J112" s="301">
        <f t="shared" si="31"/>
        <v>0</v>
      </c>
      <c r="K112" s="301">
        <f t="shared" si="31"/>
        <v>0</v>
      </c>
      <c r="L112" s="301">
        <f t="shared" si="31"/>
        <v>0</v>
      </c>
      <c r="M112" s="301">
        <f t="shared" si="31"/>
        <v>0</v>
      </c>
      <c r="N112" s="301">
        <f t="shared" si="31"/>
        <v>0</v>
      </c>
      <c r="O112" s="117"/>
    </row>
    <row r="113" spans="1:15" hidden="1">
      <c r="A113" s="78" t="s">
        <v>524</v>
      </c>
      <c r="C113" s="301">
        <f t="shared" ref="C113:N113" si="32">C111-C112</f>
        <v>0</v>
      </c>
      <c r="D113" s="301">
        <f t="shared" si="32"/>
        <v>0</v>
      </c>
      <c r="E113" s="301">
        <f t="shared" si="32"/>
        <v>0</v>
      </c>
      <c r="F113" s="301">
        <f t="shared" si="32"/>
        <v>0</v>
      </c>
      <c r="G113" s="301">
        <f t="shared" si="32"/>
        <v>0</v>
      </c>
      <c r="H113" s="301">
        <f t="shared" si="32"/>
        <v>0</v>
      </c>
      <c r="I113" s="301">
        <f t="shared" si="32"/>
        <v>0</v>
      </c>
      <c r="J113" s="301">
        <f t="shared" si="32"/>
        <v>0</v>
      </c>
      <c r="K113" s="301">
        <f t="shared" si="32"/>
        <v>0</v>
      </c>
      <c r="L113" s="301">
        <f t="shared" si="32"/>
        <v>0</v>
      </c>
      <c r="M113" s="301">
        <f t="shared" si="32"/>
        <v>0</v>
      </c>
      <c r="N113" s="301">
        <f t="shared" si="32"/>
        <v>0</v>
      </c>
      <c r="O113" s="117"/>
    </row>
    <row r="114" spans="1:15" hidden="1">
      <c r="A114" s="48"/>
      <c r="C114" s="294"/>
      <c r="D114" s="295"/>
      <c r="E114" s="295"/>
      <c r="F114" s="295"/>
      <c r="G114" s="295"/>
      <c r="H114" s="295"/>
      <c r="I114" s="295"/>
      <c r="J114" s="295"/>
      <c r="K114" s="295"/>
      <c r="L114" s="295"/>
      <c r="M114" s="295"/>
      <c r="N114" s="295"/>
      <c r="O114" s="295"/>
    </row>
    <row r="115" spans="1:15" hidden="1">
      <c r="A115" s="78" t="s">
        <v>525</v>
      </c>
      <c r="C115" s="301">
        <f>B117</f>
        <v>0</v>
      </c>
      <c r="D115" s="301">
        <f t="shared" ref="D115:N116" si="33">C115</f>
        <v>0</v>
      </c>
      <c r="E115" s="318">
        <f t="shared" si="33"/>
        <v>0</v>
      </c>
      <c r="F115" s="318">
        <f t="shared" si="33"/>
        <v>0</v>
      </c>
      <c r="G115" s="318">
        <f t="shared" si="33"/>
        <v>0</v>
      </c>
      <c r="H115" s="318">
        <f t="shared" si="33"/>
        <v>0</v>
      </c>
      <c r="I115" s="318">
        <f t="shared" si="33"/>
        <v>0</v>
      </c>
      <c r="J115" s="318">
        <f t="shared" si="33"/>
        <v>0</v>
      </c>
      <c r="K115" s="318">
        <f t="shared" si="33"/>
        <v>0</v>
      </c>
      <c r="L115" s="318">
        <f t="shared" si="33"/>
        <v>0</v>
      </c>
      <c r="M115" s="318">
        <f t="shared" si="33"/>
        <v>0</v>
      </c>
      <c r="N115" s="318">
        <f t="shared" si="33"/>
        <v>0</v>
      </c>
      <c r="O115" s="121"/>
    </row>
    <row r="116" spans="1:15" hidden="1">
      <c r="A116" s="162" t="s">
        <v>526</v>
      </c>
      <c r="C116" s="301">
        <f>'A2'!E232/12</f>
        <v>0</v>
      </c>
      <c r="D116" s="301">
        <f t="shared" si="33"/>
        <v>0</v>
      </c>
      <c r="E116" s="301">
        <f t="shared" si="33"/>
        <v>0</v>
      </c>
      <c r="F116" s="301">
        <f t="shared" si="33"/>
        <v>0</v>
      </c>
      <c r="G116" s="301">
        <f t="shared" si="33"/>
        <v>0</v>
      </c>
      <c r="H116" s="301">
        <f t="shared" si="33"/>
        <v>0</v>
      </c>
      <c r="I116" s="301">
        <f t="shared" si="33"/>
        <v>0</v>
      </c>
      <c r="J116" s="301">
        <f t="shared" si="33"/>
        <v>0</v>
      </c>
      <c r="K116" s="301">
        <f t="shared" si="33"/>
        <v>0</v>
      </c>
      <c r="L116" s="301">
        <f t="shared" si="33"/>
        <v>0</v>
      </c>
      <c r="M116" s="301">
        <f t="shared" si="33"/>
        <v>0</v>
      </c>
      <c r="N116" s="301">
        <f t="shared" si="33"/>
        <v>0</v>
      </c>
      <c r="O116" s="117"/>
    </row>
    <row r="117" spans="1:15" hidden="1">
      <c r="A117" s="162" t="s">
        <v>527</v>
      </c>
      <c r="C117" s="301">
        <f>C116*'A2'!D13</f>
        <v>0</v>
      </c>
      <c r="D117" s="301">
        <f t="shared" ref="D117:N117" si="34">C116*0.18</f>
        <v>0</v>
      </c>
      <c r="E117" s="301">
        <f t="shared" si="34"/>
        <v>0</v>
      </c>
      <c r="F117" s="301">
        <f t="shared" si="34"/>
        <v>0</v>
      </c>
      <c r="G117" s="301">
        <f t="shared" si="34"/>
        <v>0</v>
      </c>
      <c r="H117" s="301">
        <f t="shared" si="34"/>
        <v>0</v>
      </c>
      <c r="I117" s="301">
        <f t="shared" si="34"/>
        <v>0</v>
      </c>
      <c r="J117" s="301">
        <f t="shared" si="34"/>
        <v>0</v>
      </c>
      <c r="K117" s="301">
        <f t="shared" si="34"/>
        <v>0</v>
      </c>
      <c r="L117" s="301">
        <f t="shared" si="34"/>
        <v>0</v>
      </c>
      <c r="M117" s="301">
        <f t="shared" si="34"/>
        <v>0</v>
      </c>
      <c r="N117" s="301">
        <f t="shared" si="34"/>
        <v>0</v>
      </c>
      <c r="O117" s="117"/>
    </row>
    <row r="118" spans="1:15" hidden="1">
      <c r="A118" s="78" t="s">
        <v>528</v>
      </c>
      <c r="C118" s="301">
        <f t="shared" ref="C118:N118" si="35">C116+C117</f>
        <v>0</v>
      </c>
      <c r="D118" s="301">
        <f t="shared" si="35"/>
        <v>0</v>
      </c>
      <c r="E118" s="301">
        <f t="shared" si="35"/>
        <v>0</v>
      </c>
      <c r="F118" s="301">
        <f t="shared" si="35"/>
        <v>0</v>
      </c>
      <c r="G118" s="301">
        <f t="shared" si="35"/>
        <v>0</v>
      </c>
      <c r="H118" s="301">
        <f t="shared" si="35"/>
        <v>0</v>
      </c>
      <c r="I118" s="301">
        <f t="shared" si="35"/>
        <v>0</v>
      </c>
      <c r="J118" s="301">
        <f t="shared" si="35"/>
        <v>0</v>
      </c>
      <c r="K118" s="301">
        <f t="shared" si="35"/>
        <v>0</v>
      </c>
      <c r="L118" s="301">
        <f t="shared" si="35"/>
        <v>0</v>
      </c>
      <c r="M118" s="301">
        <f t="shared" si="35"/>
        <v>0</v>
      </c>
      <c r="N118" s="301">
        <f t="shared" si="35"/>
        <v>0</v>
      </c>
      <c r="O118" s="117"/>
    </row>
    <row r="119" spans="1:15" hidden="1">
      <c r="A119" s="48"/>
      <c r="C119" s="294"/>
      <c r="D119" s="295"/>
      <c r="E119" s="295"/>
      <c r="F119" s="295"/>
      <c r="G119" s="295"/>
      <c r="H119" s="295"/>
      <c r="I119" s="295"/>
      <c r="J119" s="295"/>
      <c r="K119" s="295"/>
      <c r="L119" s="295"/>
      <c r="M119" s="295"/>
      <c r="N119" s="295"/>
      <c r="O119" s="295"/>
    </row>
    <row r="120" spans="1:15" hidden="1">
      <c r="A120" s="78" t="s">
        <v>380</v>
      </c>
      <c r="C120" s="44"/>
      <c r="D120" s="44"/>
      <c r="E120" s="44"/>
      <c r="F120" s="44"/>
      <c r="H120" s="44"/>
      <c r="I120" s="44"/>
      <c r="J120" s="44"/>
      <c r="K120" s="44"/>
      <c r="L120" s="44"/>
      <c r="M120" s="44"/>
      <c r="N120" s="44"/>
      <c r="O120" s="44"/>
    </row>
    <row r="121" spans="1:15" hidden="1">
      <c r="A121" s="162" t="s">
        <v>529</v>
      </c>
      <c r="C121" s="301"/>
      <c r="D121" s="301">
        <f t="shared" ref="D121:N127" si="36">C121</f>
        <v>0</v>
      </c>
      <c r="E121" s="301">
        <f t="shared" si="36"/>
        <v>0</v>
      </c>
      <c r="F121" s="301">
        <f t="shared" si="36"/>
        <v>0</v>
      </c>
      <c r="G121" s="301">
        <f t="shared" si="36"/>
        <v>0</v>
      </c>
      <c r="H121" s="301">
        <f t="shared" si="36"/>
        <v>0</v>
      </c>
      <c r="I121" s="301">
        <f t="shared" si="36"/>
        <v>0</v>
      </c>
      <c r="J121" s="301">
        <f t="shared" si="36"/>
        <v>0</v>
      </c>
      <c r="K121" s="301">
        <f t="shared" si="36"/>
        <v>0</v>
      </c>
      <c r="L121" s="301">
        <f t="shared" si="36"/>
        <v>0</v>
      </c>
      <c r="M121" s="301">
        <f t="shared" si="36"/>
        <v>0</v>
      </c>
      <c r="N121" s="301">
        <f t="shared" si="36"/>
        <v>0</v>
      </c>
      <c r="O121" s="117"/>
    </row>
    <row r="122" spans="1:15" hidden="1">
      <c r="A122" s="162" t="s">
        <v>530</v>
      </c>
      <c r="C122" s="301"/>
      <c r="D122" s="301">
        <f t="shared" si="36"/>
        <v>0</v>
      </c>
      <c r="E122" s="301">
        <f t="shared" si="36"/>
        <v>0</v>
      </c>
      <c r="F122" s="301">
        <f t="shared" si="36"/>
        <v>0</v>
      </c>
      <c r="G122" s="301">
        <f t="shared" si="36"/>
        <v>0</v>
      </c>
      <c r="H122" s="301">
        <f t="shared" si="36"/>
        <v>0</v>
      </c>
      <c r="I122" s="301">
        <f t="shared" si="36"/>
        <v>0</v>
      </c>
      <c r="J122" s="301">
        <f t="shared" si="36"/>
        <v>0</v>
      </c>
      <c r="K122" s="301">
        <f t="shared" si="36"/>
        <v>0</v>
      </c>
      <c r="L122" s="301">
        <f t="shared" si="36"/>
        <v>0</v>
      </c>
      <c r="M122" s="301">
        <f t="shared" si="36"/>
        <v>0</v>
      </c>
      <c r="N122" s="301">
        <f t="shared" si="36"/>
        <v>0</v>
      </c>
      <c r="O122" s="117"/>
    </row>
    <row r="123" spans="1:15" hidden="1">
      <c r="A123" s="162" t="s">
        <v>531</v>
      </c>
      <c r="C123" s="301"/>
      <c r="D123" s="301">
        <f t="shared" si="36"/>
        <v>0</v>
      </c>
      <c r="E123" s="301">
        <f t="shared" si="36"/>
        <v>0</v>
      </c>
      <c r="F123" s="301">
        <f t="shared" si="36"/>
        <v>0</v>
      </c>
      <c r="G123" s="301">
        <f t="shared" si="36"/>
        <v>0</v>
      </c>
      <c r="H123" s="301">
        <f t="shared" si="36"/>
        <v>0</v>
      </c>
      <c r="I123" s="301">
        <f t="shared" si="36"/>
        <v>0</v>
      </c>
      <c r="J123" s="301">
        <f t="shared" si="36"/>
        <v>0</v>
      </c>
      <c r="K123" s="301">
        <f t="shared" si="36"/>
        <v>0</v>
      </c>
      <c r="L123" s="301">
        <f t="shared" si="36"/>
        <v>0</v>
      </c>
      <c r="M123" s="301">
        <f t="shared" si="36"/>
        <v>0</v>
      </c>
      <c r="N123" s="301">
        <f t="shared" si="36"/>
        <v>0</v>
      </c>
      <c r="O123" s="117"/>
    </row>
    <row r="124" spans="1:15" hidden="1">
      <c r="A124" s="162" t="s">
        <v>532</v>
      </c>
      <c r="C124" s="301"/>
      <c r="D124" s="301">
        <f t="shared" si="36"/>
        <v>0</v>
      </c>
      <c r="E124" s="301">
        <f t="shared" si="36"/>
        <v>0</v>
      </c>
      <c r="F124" s="301">
        <f t="shared" si="36"/>
        <v>0</v>
      </c>
      <c r="G124" s="301">
        <f t="shared" si="36"/>
        <v>0</v>
      </c>
      <c r="H124" s="301">
        <f t="shared" si="36"/>
        <v>0</v>
      </c>
      <c r="I124" s="301">
        <f t="shared" si="36"/>
        <v>0</v>
      </c>
      <c r="J124" s="301">
        <f t="shared" si="36"/>
        <v>0</v>
      </c>
      <c r="K124" s="301">
        <f t="shared" si="36"/>
        <v>0</v>
      </c>
      <c r="L124" s="301">
        <f t="shared" si="36"/>
        <v>0</v>
      </c>
      <c r="M124" s="301">
        <f t="shared" si="36"/>
        <v>0</v>
      </c>
      <c r="N124" s="301">
        <f t="shared" si="36"/>
        <v>0</v>
      </c>
      <c r="O124" s="117"/>
    </row>
    <row r="125" spans="1:15" hidden="1">
      <c r="A125" s="162" t="s">
        <v>533</v>
      </c>
      <c r="C125" s="301">
        <f>A!H77</f>
        <v>0</v>
      </c>
      <c r="D125" s="301">
        <f t="shared" si="36"/>
        <v>0</v>
      </c>
      <c r="E125" s="301">
        <f t="shared" si="36"/>
        <v>0</v>
      </c>
      <c r="F125" s="301">
        <f t="shared" si="36"/>
        <v>0</v>
      </c>
      <c r="G125" s="301">
        <f t="shared" si="36"/>
        <v>0</v>
      </c>
      <c r="H125" s="301">
        <f t="shared" si="36"/>
        <v>0</v>
      </c>
      <c r="I125" s="301">
        <f t="shared" si="36"/>
        <v>0</v>
      </c>
      <c r="J125" s="301">
        <f t="shared" si="36"/>
        <v>0</v>
      </c>
      <c r="K125" s="301">
        <f t="shared" si="36"/>
        <v>0</v>
      </c>
      <c r="L125" s="301">
        <f t="shared" si="36"/>
        <v>0</v>
      </c>
      <c r="M125" s="301">
        <f t="shared" si="36"/>
        <v>0</v>
      </c>
      <c r="N125" s="301">
        <f t="shared" si="36"/>
        <v>0</v>
      </c>
      <c r="O125" s="117"/>
    </row>
    <row r="126" spans="1:15" hidden="1">
      <c r="A126" s="162" t="s">
        <v>534</v>
      </c>
      <c r="C126" s="301"/>
      <c r="D126" s="301">
        <f t="shared" si="36"/>
        <v>0</v>
      </c>
      <c r="E126" s="301">
        <f t="shared" si="36"/>
        <v>0</v>
      </c>
      <c r="F126" s="301">
        <f t="shared" si="36"/>
        <v>0</v>
      </c>
      <c r="G126" s="301">
        <f t="shared" si="36"/>
        <v>0</v>
      </c>
      <c r="H126" s="301">
        <f t="shared" si="36"/>
        <v>0</v>
      </c>
      <c r="I126" s="301">
        <f t="shared" si="36"/>
        <v>0</v>
      </c>
      <c r="J126" s="301">
        <f t="shared" si="36"/>
        <v>0</v>
      </c>
      <c r="K126" s="301">
        <f t="shared" si="36"/>
        <v>0</v>
      </c>
      <c r="L126" s="301">
        <f t="shared" si="36"/>
        <v>0</v>
      </c>
      <c r="M126" s="301">
        <f t="shared" si="36"/>
        <v>0</v>
      </c>
      <c r="N126" s="301">
        <f t="shared" si="36"/>
        <v>0</v>
      </c>
      <c r="O126" s="117"/>
    </row>
    <row r="127" spans="1:15" hidden="1">
      <c r="A127" s="162" t="s">
        <v>383</v>
      </c>
      <c r="C127" s="305"/>
      <c r="D127" s="305">
        <f t="shared" si="36"/>
        <v>0</v>
      </c>
      <c r="E127" s="305">
        <f t="shared" si="36"/>
        <v>0</v>
      </c>
      <c r="F127" s="305">
        <f t="shared" si="36"/>
        <v>0</v>
      </c>
      <c r="G127" s="305">
        <f t="shared" si="36"/>
        <v>0</v>
      </c>
      <c r="H127" s="305">
        <f t="shared" si="36"/>
        <v>0</v>
      </c>
      <c r="I127" s="305">
        <f t="shared" si="36"/>
        <v>0</v>
      </c>
      <c r="J127" s="305">
        <f t="shared" si="36"/>
        <v>0</v>
      </c>
      <c r="K127" s="305">
        <f t="shared" si="36"/>
        <v>0</v>
      </c>
      <c r="L127" s="305">
        <f t="shared" si="36"/>
        <v>0</v>
      </c>
      <c r="M127" s="305">
        <f t="shared" si="36"/>
        <v>0</v>
      </c>
      <c r="N127" s="305">
        <f t="shared" si="36"/>
        <v>0</v>
      </c>
      <c r="O127" s="117"/>
    </row>
    <row r="128" spans="1:15" ht="13.5" hidden="1" thickBot="1">
      <c r="A128" s="78" t="s">
        <v>384</v>
      </c>
      <c r="C128" s="319">
        <f t="shared" ref="C128:N128" si="37">SUM(C121:C127)-C125</f>
        <v>0</v>
      </c>
      <c r="D128" s="319">
        <f t="shared" si="37"/>
        <v>0</v>
      </c>
      <c r="E128" s="319">
        <f t="shared" si="37"/>
        <v>0</v>
      </c>
      <c r="F128" s="319">
        <f t="shared" si="37"/>
        <v>0</v>
      </c>
      <c r="G128" s="319">
        <f t="shared" si="37"/>
        <v>0</v>
      </c>
      <c r="H128" s="319">
        <f t="shared" si="37"/>
        <v>0</v>
      </c>
      <c r="I128" s="319">
        <f t="shared" si="37"/>
        <v>0</v>
      </c>
      <c r="J128" s="319">
        <f t="shared" si="37"/>
        <v>0</v>
      </c>
      <c r="K128" s="319">
        <f t="shared" si="37"/>
        <v>0</v>
      </c>
      <c r="L128" s="319">
        <f t="shared" si="37"/>
        <v>0</v>
      </c>
      <c r="M128" s="319">
        <f t="shared" si="37"/>
        <v>0</v>
      </c>
      <c r="N128" s="319">
        <f t="shared" si="37"/>
        <v>0</v>
      </c>
      <c r="O128" s="117"/>
    </row>
    <row r="129" spans="1:15" hidden="1">
      <c r="C129" s="117"/>
      <c r="D129" s="117"/>
      <c r="E129" s="117"/>
      <c r="F129" s="117"/>
      <c r="G129" s="117"/>
      <c r="H129" s="117"/>
      <c r="I129" s="117"/>
      <c r="J129" s="117"/>
      <c r="K129" s="117"/>
      <c r="L129" s="117"/>
      <c r="M129" s="117"/>
      <c r="N129" s="117"/>
      <c r="O129" s="117"/>
    </row>
    <row r="130" spans="1:15" hidden="1">
      <c r="A130" s="78" t="s">
        <v>385</v>
      </c>
      <c r="C130" s="301">
        <v>0</v>
      </c>
      <c r="D130" s="301">
        <f t="shared" ref="D130:N130" si="38">C130</f>
        <v>0</v>
      </c>
      <c r="E130" s="301">
        <f t="shared" si="38"/>
        <v>0</v>
      </c>
      <c r="F130" s="301">
        <f t="shared" si="38"/>
        <v>0</v>
      </c>
      <c r="G130" s="301">
        <f t="shared" si="38"/>
        <v>0</v>
      </c>
      <c r="H130" s="301">
        <f t="shared" si="38"/>
        <v>0</v>
      </c>
      <c r="I130" s="301">
        <f t="shared" si="38"/>
        <v>0</v>
      </c>
      <c r="J130" s="301">
        <f t="shared" si="38"/>
        <v>0</v>
      </c>
      <c r="K130" s="301">
        <f t="shared" si="38"/>
        <v>0</v>
      </c>
      <c r="L130" s="301">
        <f t="shared" si="38"/>
        <v>0</v>
      </c>
      <c r="M130" s="301">
        <f t="shared" si="38"/>
        <v>0</v>
      </c>
      <c r="N130" s="301">
        <f t="shared" si="38"/>
        <v>0</v>
      </c>
      <c r="O130" s="117"/>
    </row>
    <row r="131" spans="1:15" hidden="1">
      <c r="C131" s="117"/>
      <c r="D131" s="117"/>
      <c r="E131" s="117"/>
      <c r="F131" s="117"/>
      <c r="G131" s="117"/>
      <c r="H131" s="117"/>
      <c r="I131" s="117"/>
      <c r="J131" s="117"/>
      <c r="K131" s="117"/>
      <c r="L131" s="117"/>
      <c r="M131" s="117"/>
      <c r="N131" s="117"/>
      <c r="O131" s="117"/>
    </row>
    <row r="132" spans="1:15" ht="13.5" hidden="1" thickBot="1">
      <c r="A132" s="78" t="s">
        <v>386</v>
      </c>
      <c r="C132" s="320">
        <v>0</v>
      </c>
      <c r="D132" s="319">
        <f t="shared" ref="D132:N132" si="39">D108+D113+D118+D128-D130</f>
        <v>0</v>
      </c>
      <c r="E132" s="319">
        <f t="shared" si="39"/>
        <v>0</v>
      </c>
      <c r="F132" s="319">
        <f t="shared" si="39"/>
        <v>0</v>
      </c>
      <c r="G132" s="319">
        <f t="shared" si="39"/>
        <v>0</v>
      </c>
      <c r="H132" s="319">
        <f t="shared" si="39"/>
        <v>0</v>
      </c>
      <c r="I132" s="319">
        <f t="shared" si="39"/>
        <v>0</v>
      </c>
      <c r="J132" s="319">
        <f t="shared" si="39"/>
        <v>0</v>
      </c>
      <c r="K132" s="319">
        <f t="shared" si="39"/>
        <v>0</v>
      </c>
      <c r="L132" s="319">
        <f t="shared" si="39"/>
        <v>0</v>
      </c>
      <c r="M132" s="319">
        <f t="shared" si="39"/>
        <v>0</v>
      </c>
      <c r="N132" s="319">
        <f t="shared" si="39"/>
        <v>0</v>
      </c>
      <c r="O132" s="117"/>
    </row>
    <row r="133" spans="1:15" hidden="1">
      <c r="C133" s="117"/>
      <c r="D133" s="117"/>
      <c r="E133" s="117"/>
      <c r="F133" s="117"/>
      <c r="G133" s="117"/>
      <c r="H133" s="117"/>
      <c r="I133" s="117"/>
      <c r="J133" s="117"/>
      <c r="K133" s="117"/>
      <c r="L133" s="117"/>
      <c r="M133" s="117"/>
      <c r="N133" s="117"/>
      <c r="O133" s="117"/>
    </row>
    <row r="134" spans="1:15" hidden="1">
      <c r="A134" s="78" t="s">
        <v>387</v>
      </c>
      <c r="C134" s="301"/>
      <c r="D134" s="301">
        <f t="shared" ref="D134:N134" si="40">C134</f>
        <v>0</v>
      </c>
      <c r="E134" s="301">
        <f t="shared" si="40"/>
        <v>0</v>
      </c>
      <c r="F134" s="301">
        <f t="shared" si="40"/>
        <v>0</v>
      </c>
      <c r="G134" s="301">
        <f t="shared" si="40"/>
        <v>0</v>
      </c>
      <c r="H134" s="301">
        <f t="shared" si="40"/>
        <v>0</v>
      </c>
      <c r="I134" s="301">
        <f t="shared" si="40"/>
        <v>0</v>
      </c>
      <c r="J134" s="301">
        <f t="shared" si="40"/>
        <v>0</v>
      </c>
      <c r="K134" s="301">
        <f t="shared" si="40"/>
        <v>0</v>
      </c>
      <c r="L134" s="301">
        <f t="shared" si="40"/>
        <v>0</v>
      </c>
      <c r="M134" s="301">
        <f t="shared" si="40"/>
        <v>0</v>
      </c>
      <c r="N134" s="301">
        <f t="shared" si="40"/>
        <v>0</v>
      </c>
      <c r="O134" s="117"/>
    </row>
    <row r="135" spans="1:15" hidden="1">
      <c r="C135" s="117"/>
      <c r="D135" s="117"/>
      <c r="E135" s="117"/>
      <c r="F135" s="117"/>
      <c r="G135" s="117"/>
      <c r="H135" s="117"/>
      <c r="I135" s="117"/>
      <c r="J135" s="117"/>
      <c r="K135" s="117"/>
      <c r="L135" s="117"/>
      <c r="M135" s="117"/>
      <c r="N135" s="117"/>
      <c r="O135" s="117"/>
    </row>
    <row r="136" spans="1:15" ht="13.5" hidden="1" thickBot="1">
      <c r="A136" s="78" t="s">
        <v>388</v>
      </c>
      <c r="C136" s="293">
        <f t="shared" ref="C136:N136" si="41">C106+C132-C134</f>
        <v>0</v>
      </c>
      <c r="D136" s="293">
        <f t="shared" si="41"/>
        <v>0</v>
      </c>
      <c r="E136" s="293">
        <f t="shared" si="41"/>
        <v>0</v>
      </c>
      <c r="F136" s="293">
        <f t="shared" si="41"/>
        <v>0</v>
      </c>
      <c r="G136" s="293">
        <f t="shared" si="41"/>
        <v>0</v>
      </c>
      <c r="H136" s="293">
        <f t="shared" si="41"/>
        <v>0</v>
      </c>
      <c r="I136" s="293">
        <f t="shared" si="41"/>
        <v>0</v>
      </c>
      <c r="J136" s="293">
        <f t="shared" si="41"/>
        <v>0</v>
      </c>
      <c r="K136" s="293">
        <f t="shared" si="41"/>
        <v>0</v>
      </c>
      <c r="L136" s="293">
        <f t="shared" si="41"/>
        <v>0</v>
      </c>
      <c r="M136" s="293">
        <f t="shared" si="41"/>
        <v>0</v>
      </c>
      <c r="N136" s="293">
        <f t="shared" si="41"/>
        <v>0</v>
      </c>
      <c r="O136" s="142"/>
    </row>
  </sheetData>
  <sheetProtection password="E242" sheet="1" objects="1" scenarios="1"/>
  <pageMargins left="0.97" right="0.95" top="0.59" bottom="0.69" header="0.4921259845" footer="0.4921259845"/>
  <pageSetup scale="59" orientation="landscape" horizontalDpi="360" verticalDpi="180" r:id="rId1"/>
  <headerFooter alignWithMargins="0"/>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43">
    <pageSetUpPr fitToPage="1"/>
  </sheetPr>
  <dimension ref="A1:H58"/>
  <sheetViews>
    <sheetView showGridLines="0" showOutlineSymbols="0" topLeftCell="A28" zoomScaleNormal="100" workbookViewId="0">
      <selection activeCell="H62" sqref="H62"/>
    </sheetView>
  </sheetViews>
  <sheetFormatPr baseColWidth="10" defaultColWidth="11.453125" defaultRowHeight="13"/>
  <cols>
    <col min="1" max="2" width="11.453125" style="167"/>
    <col min="3" max="3" width="34.453125" style="167" customWidth="1"/>
    <col min="4" max="4" width="15.6328125" style="167" customWidth="1"/>
    <col min="5" max="5" width="2.81640625" style="167" customWidth="1"/>
    <col min="6" max="6" width="15.6328125" style="167" customWidth="1"/>
    <col min="7" max="7" width="2.81640625" style="167" customWidth="1"/>
    <col min="8" max="8" width="15.6328125" style="167" customWidth="1"/>
    <col min="9" max="16384" width="11.453125" style="167"/>
  </cols>
  <sheetData>
    <row r="1" spans="1:8" customFormat="1" ht="12.5"/>
    <row r="2" spans="1:8" customFormat="1" ht="12.5"/>
    <row r="3" spans="1:8" customFormat="1" ht="12.5"/>
    <row r="4" spans="1:8" s="261" customFormat="1" ht="12.5"/>
    <row r="5" spans="1:8" s="261" customFormat="1" ht="12.5"/>
    <row r="6" spans="1:8" s="261" customFormat="1" ht="12.5"/>
    <row r="7" spans="1:8" s="261" customFormat="1" ht="12.5"/>
    <row r="8" spans="1:8" ht="25.5">
      <c r="A8" s="42" t="str">
        <f>RG!D17</f>
        <v>Jhon Wesly inc.</v>
      </c>
    </row>
    <row r="9" spans="1:8">
      <c r="A9" s="44"/>
    </row>
    <row r="10" spans="1:8" ht="15">
      <c r="A10" s="45" t="s">
        <v>514</v>
      </c>
    </row>
    <row r="11" spans="1:8">
      <c r="A11" s="46" t="s">
        <v>217</v>
      </c>
    </row>
    <row r="13" spans="1:8">
      <c r="D13" s="108" t="s">
        <v>128</v>
      </c>
      <c r="F13" s="108" t="s">
        <v>128</v>
      </c>
      <c r="H13" s="108" t="s">
        <v>128</v>
      </c>
    </row>
    <row r="14" spans="1:8">
      <c r="D14" s="168" t="s">
        <v>129</v>
      </c>
      <c r="F14" s="168" t="s">
        <v>129</v>
      </c>
      <c r="H14" s="168" t="s">
        <v>129</v>
      </c>
    </row>
    <row r="15" spans="1:8" ht="16" thickBot="1">
      <c r="D15" s="169">
        <f>FGFM1!$N$15</f>
        <v>45633</v>
      </c>
      <c r="E15" s="58"/>
      <c r="F15" s="169">
        <f>'BC2'!$N$13</f>
        <v>45992</v>
      </c>
      <c r="G15" s="58"/>
      <c r="H15" s="169">
        <f>'BC3'!$N$13</f>
        <v>46357</v>
      </c>
    </row>
    <row r="16" spans="1:8" ht="15.5">
      <c r="D16" s="60"/>
      <c r="E16" s="58"/>
      <c r="F16" s="60"/>
      <c r="G16" s="58"/>
      <c r="H16" s="60"/>
    </row>
    <row r="17" spans="1:8">
      <c r="A17" s="48" t="s">
        <v>216</v>
      </c>
      <c r="D17" s="163">
        <f>FGFM1!C17</f>
        <v>0</v>
      </c>
      <c r="E17" s="110"/>
      <c r="F17" s="163">
        <f>FGFM2!C17</f>
        <v>0</v>
      </c>
      <c r="G17" s="110"/>
      <c r="H17" s="163">
        <f>FGFM3!E17</f>
        <v>0</v>
      </c>
    </row>
    <row r="18" spans="1:8" ht="15.5">
      <c r="A18" s="48"/>
      <c r="D18" s="164"/>
      <c r="E18" s="160"/>
      <c r="F18" s="164"/>
      <c r="G18" s="160"/>
      <c r="H18" s="164"/>
    </row>
    <row r="19" spans="1:8" ht="15">
      <c r="A19" s="48" t="s">
        <v>309</v>
      </c>
      <c r="D19" s="164">
        <f>FGFM1!C19</f>
        <v>0</v>
      </c>
      <c r="E19" s="161"/>
      <c r="F19" s="163">
        <f>FGFM2!C19</f>
        <v>0</v>
      </c>
      <c r="G19" s="161"/>
      <c r="H19" s="163">
        <f>FGFM3!E19</f>
        <v>0</v>
      </c>
    </row>
    <row r="20" spans="1:8" ht="15.5">
      <c r="A20" s="48"/>
      <c r="D20" s="164"/>
      <c r="E20" s="160"/>
      <c r="F20" s="164"/>
      <c r="G20" s="160"/>
      <c r="H20" s="164"/>
    </row>
    <row r="21" spans="1:8" ht="15">
      <c r="A21" s="48" t="s">
        <v>517</v>
      </c>
      <c r="D21" s="164">
        <f>FGFM1!C21</f>
        <v>0</v>
      </c>
      <c r="E21" s="161"/>
      <c r="F21" s="163">
        <f>FGFM2!C21</f>
        <v>0</v>
      </c>
      <c r="G21" s="161"/>
      <c r="H21" s="163">
        <f>FGFM3!E21</f>
        <v>0</v>
      </c>
    </row>
    <row r="22" spans="1:8" ht="15.5">
      <c r="A22" s="162" t="s">
        <v>518</v>
      </c>
      <c r="D22" s="165">
        <f>SUM(FGFM1!C22:N22)</f>
        <v>0</v>
      </c>
      <c r="E22" s="160"/>
      <c r="F22" s="331">
        <f>SUM(FGFM2!C22:N22)</f>
        <v>0</v>
      </c>
      <c r="G22" s="160"/>
      <c r="H22" s="331">
        <f>SUM(FGFM3!E22:P22)</f>
        <v>0</v>
      </c>
    </row>
    <row r="23" spans="1:8" ht="15.5">
      <c r="A23" s="162" t="s">
        <v>371</v>
      </c>
      <c r="D23" s="165">
        <f>D21+D22</f>
        <v>0</v>
      </c>
      <c r="E23" s="160"/>
      <c r="F23" s="165">
        <f>F21+F22</f>
        <v>0</v>
      </c>
      <c r="G23" s="160"/>
      <c r="H23" s="165">
        <f>H21+H22</f>
        <v>0</v>
      </c>
    </row>
    <row r="24" spans="1:8" ht="15.5">
      <c r="A24" s="162" t="s">
        <v>372</v>
      </c>
      <c r="D24" s="165">
        <f>FGFM1!N24</f>
        <v>0</v>
      </c>
      <c r="E24" s="160"/>
      <c r="F24" s="331">
        <f>FGFM2!N24</f>
        <v>0</v>
      </c>
      <c r="G24" s="160"/>
      <c r="H24" s="331">
        <f>FGFM3!P24</f>
        <v>0</v>
      </c>
    </row>
    <row r="25" spans="1:8" ht="15">
      <c r="A25" s="78" t="s">
        <v>524</v>
      </c>
      <c r="D25" s="110">
        <f>D23-D24</f>
        <v>0</v>
      </c>
      <c r="E25" s="161"/>
      <c r="F25" s="110">
        <f>F23-F24</f>
        <v>0</v>
      </c>
      <c r="G25" s="161"/>
      <c r="H25" s="110">
        <f>H23-H24</f>
        <v>0</v>
      </c>
    </row>
    <row r="26" spans="1:8" ht="15.5">
      <c r="A26" s="48"/>
      <c r="D26" s="164"/>
      <c r="E26" s="160"/>
      <c r="F26" s="164"/>
      <c r="G26" s="160"/>
      <c r="H26" s="164"/>
    </row>
    <row r="27" spans="1:8" ht="15">
      <c r="A27" s="78" t="s">
        <v>525</v>
      </c>
      <c r="D27" s="110"/>
      <c r="E27" s="161"/>
      <c r="F27" s="110"/>
      <c r="G27" s="161"/>
      <c r="H27" s="110"/>
    </row>
    <row r="28" spans="1:8" ht="15.5">
      <c r="A28" s="162" t="s">
        <v>526</v>
      </c>
      <c r="D28" s="165">
        <f>SUM(FGFM1!C28:N28)</f>
        <v>0</v>
      </c>
      <c r="E28" s="160"/>
      <c r="F28" s="331">
        <f>SUM(FGFM2!C28:N28)</f>
        <v>0</v>
      </c>
      <c r="G28" s="160"/>
      <c r="H28" s="331">
        <f>SUM(FGFM3!E28:P28)</f>
        <v>0</v>
      </c>
    </row>
    <row r="29" spans="1:8" ht="15.5">
      <c r="A29" s="162" t="s">
        <v>527</v>
      </c>
      <c r="D29" s="165">
        <f>SUM(FGFM1!C29:N29)</f>
        <v>0</v>
      </c>
      <c r="E29" s="160"/>
      <c r="F29" s="331">
        <f>SUM(FGFM2!C29:N29)</f>
        <v>0</v>
      </c>
      <c r="G29" s="160"/>
      <c r="H29" s="331">
        <f>SUM(FGFM3!E29:P29)</f>
        <v>0</v>
      </c>
    </row>
    <row r="30" spans="1:8" ht="15">
      <c r="A30" s="78" t="s">
        <v>528</v>
      </c>
      <c r="D30" s="110">
        <f>D28+D29</f>
        <v>0</v>
      </c>
      <c r="E30" s="161"/>
      <c r="F30" s="110">
        <f>F28+F29</f>
        <v>0</v>
      </c>
      <c r="G30" s="161"/>
      <c r="H30" s="110">
        <f>H28+H29</f>
        <v>0</v>
      </c>
    </row>
    <row r="31" spans="1:8" ht="15.5">
      <c r="A31" s="48"/>
      <c r="D31" s="164"/>
      <c r="E31" s="160"/>
      <c r="F31" s="164"/>
      <c r="G31" s="160"/>
      <c r="H31" s="164"/>
    </row>
    <row r="32" spans="1:8" ht="15">
      <c r="A32" s="78" t="s">
        <v>380</v>
      </c>
      <c r="D32" s="166"/>
      <c r="E32" s="161"/>
      <c r="F32" s="166"/>
      <c r="G32" s="161"/>
      <c r="H32" s="166"/>
    </row>
    <row r="33" spans="1:8" ht="15.5">
      <c r="A33" s="162" t="str">
        <f>FGFM1!A33</f>
        <v>Loyer</v>
      </c>
      <c r="D33" s="165">
        <f>SUM(FGFM1!O33)</f>
        <v>0</v>
      </c>
      <c r="E33" s="160"/>
      <c r="F33" s="165">
        <f>SUM(FGFM2!O33)</f>
        <v>0</v>
      </c>
      <c r="G33" s="160"/>
      <c r="H33" s="165">
        <f>SUM(FGFM3!O33)</f>
        <v>0</v>
      </c>
    </row>
    <row r="34" spans="1:8" ht="15.5">
      <c r="A34" s="162" t="str">
        <f>FGFM1!A34</f>
        <v>Coût d'énergie</v>
      </c>
      <c r="D34" s="165">
        <f>SUM(FGFM1!O34)</f>
        <v>0</v>
      </c>
      <c r="E34" s="160"/>
      <c r="F34" s="165">
        <f>SUM(FGFM2!O34)</f>
        <v>0</v>
      </c>
      <c r="G34" s="160"/>
      <c r="H34" s="165">
        <f>SUM(FGFM3!O34)</f>
        <v>0</v>
      </c>
    </row>
    <row r="35" spans="1:8" ht="15.5">
      <c r="A35" s="162" t="str">
        <f>FGFM1!A35</f>
        <v>Entretien / réparation</v>
      </c>
      <c r="D35" s="165">
        <f>SUM(FGFM1!O35)</f>
        <v>0</v>
      </c>
      <c r="E35" s="160"/>
      <c r="F35" s="165">
        <f>SUM(FGFM2!O35)</f>
        <v>0</v>
      </c>
      <c r="G35" s="160"/>
      <c r="H35" s="165">
        <f>SUM(FGFM3!O35)</f>
        <v>0</v>
      </c>
    </row>
    <row r="36" spans="1:8" ht="15.5">
      <c r="A36" s="162" t="str">
        <f>FGFM1!A36</f>
        <v>Services sanitaires</v>
      </c>
      <c r="D36" s="165">
        <f>SUM(FGFM1!O36)</f>
        <v>0</v>
      </c>
      <c r="E36" s="160"/>
      <c r="F36" s="165">
        <f>SUM(FGFM2!O36)</f>
        <v>0</v>
      </c>
      <c r="G36" s="160"/>
      <c r="H36" s="165">
        <f>SUM(FGFM3!O36)</f>
        <v>0</v>
      </c>
    </row>
    <row r="37" spans="1:8" ht="15.5">
      <c r="A37" s="162" t="str">
        <f>FGFM1!A37</f>
        <v>Amortissements</v>
      </c>
      <c r="D37" s="165">
        <f>SUM(FGFM1!O37)</f>
        <v>49.999999999999993</v>
      </c>
      <c r="E37" s="160"/>
      <c r="F37" s="165">
        <f>SUM(FGFM2!O37)</f>
        <v>49.999999999999993</v>
      </c>
      <c r="G37" s="160"/>
      <c r="H37" s="165">
        <f>SUM(FGFM3!O37)</f>
        <v>49.999999999999993</v>
      </c>
    </row>
    <row r="38" spans="1:8" ht="15.5">
      <c r="A38" s="162" t="str">
        <f>FGFM1!A38</f>
        <v>Frais de déplacement</v>
      </c>
      <c r="D38" s="165">
        <f>SUM(FGFM1!O38)</f>
        <v>0</v>
      </c>
      <c r="E38" s="160"/>
      <c r="F38" s="165">
        <f>SUM(FGFM2!O38)</f>
        <v>0</v>
      </c>
      <c r="G38" s="160"/>
      <c r="H38" s="165">
        <f>SUM(FGFM3!O38)</f>
        <v>0</v>
      </c>
    </row>
    <row r="39" spans="1:8" ht="15.5">
      <c r="A39" s="162" t="str">
        <f>FGFM1!A39</f>
        <v>Immatriculation et permis</v>
      </c>
      <c r="D39" s="165">
        <f>SUM(FGFM1!O39)</f>
        <v>0</v>
      </c>
      <c r="E39" s="160"/>
      <c r="F39" s="165">
        <f>SUM(FGFM2!O39)</f>
        <v>0</v>
      </c>
      <c r="G39" s="160"/>
      <c r="H39" s="165">
        <f>SUM(FGFM3!O39)</f>
        <v>0</v>
      </c>
    </row>
    <row r="40" spans="1:8" ht="15.5">
      <c r="A40" s="162" t="str">
        <f>FGFM1!A40</f>
        <v>Assurances</v>
      </c>
      <c r="D40" s="165">
        <f>SUM(FGFM1!O40)</f>
        <v>0</v>
      </c>
      <c r="E40" s="160"/>
      <c r="F40" s="165">
        <f>SUM(FGFM2!O40)</f>
        <v>0</v>
      </c>
      <c r="G40" s="160"/>
      <c r="H40" s="165">
        <f>SUM(FGFM3!O40)</f>
        <v>0</v>
      </c>
    </row>
    <row r="41" spans="1:8" ht="15.5">
      <c r="A41" s="162" t="str">
        <f>FGFM1!A41</f>
        <v>Dépenses R&amp;D</v>
      </c>
      <c r="D41" s="165">
        <f>SUM(FGFM1!O41)</f>
        <v>0</v>
      </c>
      <c r="E41" s="160"/>
      <c r="F41" s="165">
        <f>SUM(FGFM2!O41)</f>
        <v>0</v>
      </c>
      <c r="G41" s="160"/>
      <c r="H41" s="165">
        <f>SUM(FGFM3!O41)</f>
        <v>0</v>
      </c>
    </row>
    <row r="42" spans="1:8" ht="15.5">
      <c r="A42" s="162" t="str">
        <f>FGFM1!A42</f>
        <v>Autre frais d'exploitation 1</v>
      </c>
      <c r="D42" s="165">
        <f>SUM(FGFM1!O42)</f>
        <v>0</v>
      </c>
      <c r="E42" s="160"/>
      <c r="F42" s="165">
        <f>SUM(FGFM2!O42)</f>
        <v>0</v>
      </c>
      <c r="G42" s="160"/>
      <c r="H42" s="165">
        <f>SUM(FGFM3!O42)</f>
        <v>0</v>
      </c>
    </row>
    <row r="43" spans="1:8" ht="15.5">
      <c r="A43" s="162" t="str">
        <f>FGFM1!A43</f>
        <v>Autre frais d'exploitation 2</v>
      </c>
      <c r="D43" s="165">
        <f>SUM(FGFM1!O43)</f>
        <v>0</v>
      </c>
      <c r="E43" s="160"/>
      <c r="F43" s="165">
        <f>SUM(FGFM2!O43)</f>
        <v>0</v>
      </c>
      <c r="G43" s="160"/>
      <c r="H43" s="165">
        <f>SUM(FGFM3!O43)</f>
        <v>0</v>
      </c>
    </row>
    <row r="44" spans="1:8" ht="15.5">
      <c r="A44" s="162" t="str">
        <f>FGFM1!A44</f>
        <v>Autre frais d'exploitation 3</v>
      </c>
      <c r="D44" s="165">
        <f>SUM(FGFM1!O44)</f>
        <v>0</v>
      </c>
      <c r="E44" s="160"/>
      <c r="F44" s="165">
        <f>SUM(FGFM2!O44)</f>
        <v>0</v>
      </c>
      <c r="G44" s="160"/>
      <c r="H44" s="165">
        <f>SUM(FGFM3!O44)</f>
        <v>0</v>
      </c>
    </row>
    <row r="45" spans="1:8" ht="15.5">
      <c r="A45" s="162" t="str">
        <f>FGFM1!A45</f>
        <v>Autre frais d'exploitation 4</v>
      </c>
      <c r="D45" s="165">
        <f>SUM(FGFM1!O45)</f>
        <v>0</v>
      </c>
      <c r="E45" s="160"/>
      <c r="F45" s="165">
        <f>SUM(FGFM2!O45)</f>
        <v>0</v>
      </c>
      <c r="G45" s="160"/>
      <c r="H45" s="165">
        <f>SUM(FGFM3!O45)</f>
        <v>0</v>
      </c>
    </row>
    <row r="46" spans="1:8" ht="15.5">
      <c r="A46" s="162" t="str">
        <f>FGFM1!A46</f>
        <v>Autre frais d'exploitation 5</v>
      </c>
      <c r="D46" s="165">
        <f>SUM(FGFM1!O46)</f>
        <v>0</v>
      </c>
      <c r="E46" s="160"/>
      <c r="F46" s="165">
        <f>SUM(FGFM2!O46)</f>
        <v>0</v>
      </c>
      <c r="G46" s="160"/>
      <c r="H46" s="165">
        <f>SUM(FGFM3!O46)</f>
        <v>0</v>
      </c>
    </row>
    <row r="47" spans="1:8" ht="15.5">
      <c r="A47" s="162" t="str">
        <f>FGFM1!A47</f>
        <v>Autre frais d'exploitation 6</v>
      </c>
      <c r="D47" s="165">
        <f>SUM(FGFM1!O47)</f>
        <v>0</v>
      </c>
      <c r="E47" s="160"/>
      <c r="F47" s="165">
        <f>SUM(FGFM2!O47)</f>
        <v>0</v>
      </c>
      <c r="G47" s="160"/>
      <c r="H47" s="165">
        <f>SUM(FGFM3!O47)</f>
        <v>0</v>
      </c>
    </row>
    <row r="48" spans="1:8" ht="15.5">
      <c r="A48" s="162" t="str">
        <f>FGFM1!A48</f>
        <v>Autre frais d'exploitation 7</v>
      </c>
      <c r="D48" s="165">
        <f>SUM(FGFM1!O48)</f>
        <v>0</v>
      </c>
      <c r="E48" s="160"/>
      <c r="F48" s="165">
        <f>SUM(FGFM2!O48)</f>
        <v>0</v>
      </c>
      <c r="G48" s="160"/>
      <c r="H48" s="165">
        <f>SUM(FGFM3!O48)</f>
        <v>0</v>
      </c>
    </row>
    <row r="49" spans="1:8" ht="15.5">
      <c r="A49" s="162" t="str">
        <f>FGFM1!A49</f>
        <v>Autre frais d'exploitation 8</v>
      </c>
      <c r="D49" s="165">
        <f>SUM(FGFM1!O49)</f>
        <v>0</v>
      </c>
      <c r="E49" s="160"/>
      <c r="F49" s="165">
        <f>SUM(FGFM2!O49)</f>
        <v>0</v>
      </c>
      <c r="G49" s="160"/>
      <c r="H49" s="165">
        <f>SUM(FGFM3!O49)</f>
        <v>0</v>
      </c>
    </row>
    <row r="50" spans="1:8" ht="15">
      <c r="A50" s="78" t="s">
        <v>384</v>
      </c>
      <c r="D50" s="110">
        <f>SUM(D33:D41)</f>
        <v>49.999999999999993</v>
      </c>
      <c r="E50" s="161"/>
      <c r="F50" s="110">
        <f>SUM(F33:F41)</f>
        <v>49.999999999999993</v>
      </c>
      <c r="G50" s="161"/>
      <c r="H50" s="110">
        <f>SUM(H33:H41)</f>
        <v>49.999999999999993</v>
      </c>
    </row>
    <row r="51" spans="1:8" ht="15.5">
      <c r="A51" s="43"/>
      <c r="D51" s="165"/>
      <c r="E51" s="160"/>
      <c r="F51" s="165"/>
      <c r="G51" s="160"/>
      <c r="H51" s="165"/>
    </row>
    <row r="52" spans="1:8" ht="15.5">
      <c r="A52" s="78" t="s">
        <v>385</v>
      </c>
      <c r="D52" s="165">
        <f>FGFM1!N52</f>
        <v>0</v>
      </c>
      <c r="E52" s="160"/>
      <c r="F52" s="331">
        <f>FGFM2!N52</f>
        <v>0</v>
      </c>
      <c r="G52" s="161"/>
      <c r="H52" s="331">
        <f>FGFM3!P52</f>
        <v>0</v>
      </c>
    </row>
    <row r="53" spans="1:8" ht="15.5">
      <c r="A53" s="43"/>
      <c r="D53" s="165"/>
      <c r="E53" s="160"/>
      <c r="F53" s="165"/>
      <c r="G53" s="160"/>
      <c r="H53" s="165"/>
    </row>
    <row r="54" spans="1:8" ht="15">
      <c r="A54" s="78" t="s">
        <v>386</v>
      </c>
      <c r="D54" s="110">
        <f>D20+D25+D30+D50-D52</f>
        <v>49.999999999999993</v>
      </c>
      <c r="E54" s="161"/>
      <c r="F54" s="110">
        <f>F20+F25+F30+F50-F52</f>
        <v>49.999999999999993</v>
      </c>
      <c r="G54" s="161"/>
      <c r="H54" s="110">
        <f>H20+H25+H30+H50-H52</f>
        <v>49.999999999999993</v>
      </c>
    </row>
    <row r="55" spans="1:8" ht="15.5">
      <c r="A55" s="43"/>
      <c r="D55" s="165"/>
      <c r="E55" s="160"/>
      <c r="F55" s="165"/>
      <c r="G55" s="160"/>
      <c r="H55" s="165"/>
    </row>
    <row r="56" spans="1:8" ht="15.5">
      <c r="A56" s="78" t="s">
        <v>387</v>
      </c>
      <c r="D56" s="165">
        <f>FGFM1!N56</f>
        <v>0</v>
      </c>
      <c r="E56" s="160"/>
      <c r="F56" s="165">
        <f>FGFM2!N56</f>
        <v>0</v>
      </c>
      <c r="G56" s="161"/>
      <c r="H56" s="165">
        <f>FGFM3!P56</f>
        <v>0</v>
      </c>
    </row>
    <row r="57" spans="1:8" ht="15.5">
      <c r="A57" s="43"/>
      <c r="D57" s="165"/>
      <c r="E57" s="160"/>
      <c r="F57" s="165"/>
      <c r="G57" s="160"/>
      <c r="H57" s="165"/>
    </row>
    <row r="58" spans="1:8" ht="15">
      <c r="A58" s="78" t="s">
        <v>388</v>
      </c>
      <c r="D58" s="110">
        <f>D18+D54-D56</f>
        <v>49.999999999999993</v>
      </c>
      <c r="E58" s="161"/>
      <c r="F58" s="110">
        <f>F18+F54-F56</f>
        <v>49.999999999999993</v>
      </c>
      <c r="G58" s="161"/>
      <c r="H58" s="110">
        <f>H18+H54-H56</f>
        <v>49.999999999999993</v>
      </c>
    </row>
  </sheetData>
  <sheetProtection password="E242" sheet="1" objects="1" scenarios="1"/>
  <customSheetViews>
    <customSheetView guid="{30D0538C-360A-4CDF-8D89-584CED1967CC}"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 guid="{4F3169C3-3348-49DE-A6DC-8AA4D2A9D7A1}"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s>
  <phoneticPr fontId="0" type="noConversion"/>
  <pageMargins left="0.78740157499999996" right="0.78740157499999996" top="0.984251969" bottom="0.984251969" header="0.4921259845" footer="0.4921259845"/>
  <pageSetup scale="75" orientation="portrait" horizontalDpi="300" verticalDpi="300" r:id="rId1"/>
  <headerFooter alignWithMargins="0">
    <oddHeader>&amp;RPlan financier - page 9</oddHeader>
  </headerFooter>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30">
    <pageSetUpPr fitToPage="1"/>
  </sheetPr>
  <dimension ref="A8:I27"/>
  <sheetViews>
    <sheetView showGridLines="0" showRowColHeaders="0" showOutlineSymbols="0" zoomScaleNormal="100" workbookViewId="0">
      <selection activeCell="I31" sqref="I31"/>
    </sheetView>
  </sheetViews>
  <sheetFormatPr baseColWidth="10" defaultColWidth="11.453125" defaultRowHeight="13"/>
  <cols>
    <col min="1" max="9" width="11.453125" style="167"/>
    <col min="10" max="10" width="22.36328125" style="167" customWidth="1"/>
    <col min="11" max="12" width="11.453125" style="167"/>
    <col min="13" max="13" width="13" style="167" customWidth="1"/>
    <col min="14" max="14" width="14.6328125" style="167" customWidth="1"/>
    <col min="15" max="15" width="11.08984375" style="167" customWidth="1"/>
    <col min="16" max="16384" width="11.453125" style="167"/>
  </cols>
  <sheetData>
    <row r="8" spans="1:9" ht="25.5">
      <c r="A8" s="430" t="str">
        <f>RG!D17</f>
        <v>Jhon Wesly inc.</v>
      </c>
      <c r="B8" s="355"/>
      <c r="C8" s="355"/>
      <c r="D8" s="355"/>
      <c r="E8" s="355"/>
      <c r="F8" s="355"/>
      <c r="G8" s="812"/>
    </row>
    <row r="9" spans="1:9">
      <c r="A9" s="355"/>
      <c r="B9" s="355"/>
      <c r="C9" s="355"/>
      <c r="D9" s="355"/>
      <c r="E9" s="355"/>
      <c r="F9" s="355"/>
      <c r="G9" s="355"/>
    </row>
    <row r="10" spans="1:9" ht="17.5">
      <c r="A10" s="355"/>
      <c r="B10" s="355"/>
      <c r="C10" s="355"/>
      <c r="D10" s="355"/>
      <c r="E10" s="355"/>
      <c r="F10" s="355"/>
      <c r="G10" s="355"/>
      <c r="I10" s="834"/>
    </row>
    <row r="11" spans="1:9">
      <c r="A11" s="355"/>
      <c r="B11" s="355"/>
      <c r="C11" s="355"/>
      <c r="D11" s="355"/>
      <c r="E11" s="355"/>
      <c r="F11" s="355"/>
      <c r="G11" s="355"/>
    </row>
    <row r="12" spans="1:9">
      <c r="A12" s="355"/>
      <c r="B12" s="355"/>
      <c r="C12" s="355"/>
      <c r="D12" s="355"/>
      <c r="E12" s="355"/>
      <c r="F12" s="355"/>
      <c r="G12" s="355"/>
    </row>
    <row r="13" spans="1:9">
      <c r="A13" s="355"/>
      <c r="B13" s="355"/>
      <c r="C13" s="355"/>
      <c r="D13" s="355"/>
      <c r="E13" s="355"/>
      <c r="F13" s="355"/>
      <c r="G13" s="355"/>
    </row>
    <row r="14" spans="1:9">
      <c r="A14" s="355"/>
      <c r="B14" s="355"/>
      <c r="C14" s="355"/>
      <c r="D14" s="355"/>
      <c r="E14" s="355"/>
      <c r="F14" s="355"/>
      <c r="G14" s="355"/>
    </row>
    <row r="15" spans="1:9">
      <c r="A15" s="355"/>
      <c r="B15" s="355"/>
      <c r="C15" s="355"/>
      <c r="D15" s="355"/>
      <c r="E15" s="355"/>
      <c r="F15" s="355"/>
      <c r="G15" s="355"/>
    </row>
    <row r="16" spans="1:9">
      <c r="A16" s="355"/>
      <c r="B16" s="355"/>
      <c r="C16" s="355"/>
      <c r="D16" s="355"/>
      <c r="E16" s="355"/>
      <c r="F16" s="355"/>
      <c r="G16" s="355"/>
    </row>
    <row r="17" spans="1:7">
      <c r="A17" s="355"/>
      <c r="B17" s="355"/>
      <c r="C17" s="355"/>
      <c r="D17" s="355"/>
      <c r="E17" s="355"/>
      <c r="F17" s="355"/>
      <c r="G17" s="355"/>
    </row>
    <row r="18" spans="1:7">
      <c r="A18" s="355"/>
      <c r="B18" s="355"/>
      <c r="C18" s="355"/>
      <c r="D18" s="355"/>
      <c r="E18" s="355"/>
      <c r="F18" s="355"/>
      <c r="G18" s="355"/>
    </row>
    <row r="19" spans="1:7">
      <c r="A19" s="355"/>
      <c r="B19" s="355"/>
      <c r="C19" s="355"/>
      <c r="D19" s="355"/>
      <c r="E19" s="355"/>
      <c r="F19" s="355"/>
      <c r="G19" s="355"/>
    </row>
    <row r="20" spans="1:7">
      <c r="A20" s="355"/>
      <c r="B20" s="355"/>
      <c r="C20" s="355"/>
      <c r="D20" s="355"/>
      <c r="E20" s="355"/>
      <c r="F20" s="355"/>
      <c r="G20" s="355"/>
    </row>
    <row r="21" spans="1:7">
      <c r="A21" s="355"/>
      <c r="B21" s="355"/>
      <c r="C21" s="355"/>
      <c r="D21" s="355"/>
      <c r="E21" s="355"/>
      <c r="F21" s="355"/>
      <c r="G21" s="355"/>
    </row>
    <row r="22" spans="1:7">
      <c r="A22" s="355"/>
      <c r="B22" s="355"/>
      <c r="C22" s="355"/>
      <c r="D22" s="355"/>
      <c r="E22" s="355"/>
      <c r="F22" s="355"/>
      <c r="G22" s="355"/>
    </row>
    <row r="23" spans="1:7">
      <c r="A23" s="355"/>
      <c r="B23" s="355"/>
      <c r="C23" s="355"/>
      <c r="D23" s="355"/>
      <c r="E23" s="355"/>
      <c r="F23" s="355"/>
      <c r="G23" s="355"/>
    </row>
    <row r="24" spans="1:7">
      <c r="A24" s="355"/>
      <c r="B24" s="355"/>
      <c r="C24" s="355"/>
      <c r="D24" s="355"/>
      <c r="E24" s="355"/>
      <c r="F24" s="355"/>
      <c r="G24" s="355"/>
    </row>
    <row r="25" spans="1:7">
      <c r="A25" s="355"/>
      <c r="B25" s="355"/>
      <c r="C25" s="355"/>
      <c r="D25" s="355"/>
      <c r="E25" s="355"/>
      <c r="F25" s="355"/>
      <c r="G25" s="355"/>
    </row>
    <row r="26" spans="1:7">
      <c r="A26" s="355"/>
      <c r="B26" s="355"/>
      <c r="C26" s="355"/>
      <c r="D26" s="355"/>
      <c r="E26" s="355"/>
      <c r="F26" s="355"/>
      <c r="G26" s="355"/>
    </row>
    <row r="27" spans="1:7">
      <c r="A27" s="355"/>
      <c r="B27" s="355"/>
      <c r="C27" s="355"/>
      <c r="D27" s="355"/>
      <c r="E27" s="355"/>
      <c r="F27" s="355"/>
      <c r="G27" s="355"/>
    </row>
  </sheetData>
  <sheetProtection password="E242" sheet="1" objects="1" scenarios="1"/>
  <customSheetViews>
    <customSheetView guid="{30D0538C-360A-4CDF-8D89-584CED1967CC}"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31">
    <pageSetUpPr fitToPage="1"/>
  </sheetPr>
  <dimension ref="A5:I44"/>
  <sheetViews>
    <sheetView showGridLines="0" showRowColHeaders="0" showOutlineSymbols="0" zoomScaleNormal="100" workbookViewId="0">
      <selection activeCell="H9" sqref="H9"/>
    </sheetView>
  </sheetViews>
  <sheetFormatPr baseColWidth="10" defaultColWidth="11.453125" defaultRowHeight="12.5"/>
  <sheetData>
    <row r="5" spans="1:9">
      <c r="A5" s="1"/>
      <c r="B5" s="1"/>
      <c r="C5" s="1"/>
      <c r="D5" s="1"/>
      <c r="E5" s="1"/>
      <c r="F5" s="1"/>
      <c r="G5" s="1"/>
      <c r="H5" s="1"/>
    </row>
    <row r="6" spans="1:9">
      <c r="A6" s="1"/>
      <c r="B6" s="1"/>
      <c r="C6" s="1"/>
      <c r="D6" s="1"/>
      <c r="E6" s="1"/>
      <c r="F6" s="1"/>
      <c r="G6" s="1"/>
      <c r="H6" s="1"/>
    </row>
    <row r="7" spans="1:9">
      <c r="A7" s="1"/>
      <c r="B7" s="1"/>
      <c r="C7" s="1"/>
      <c r="D7" s="1"/>
      <c r="E7" s="1"/>
      <c r="F7" s="1"/>
      <c r="G7" s="1"/>
      <c r="H7" s="1"/>
    </row>
    <row r="8" spans="1:9" ht="25.5">
      <c r="A8" s="430" t="str">
        <f>RG!D17</f>
        <v>Jhon Wesly inc.</v>
      </c>
      <c r="B8" s="1"/>
      <c r="C8" s="1"/>
      <c r="D8" s="1"/>
      <c r="E8" s="1"/>
      <c r="F8" s="1"/>
      <c r="G8" s="1"/>
      <c r="H8" s="1"/>
    </row>
    <row r="9" spans="1:9" ht="25.5">
      <c r="A9" s="430"/>
      <c r="B9" s="1"/>
      <c r="C9" s="1"/>
      <c r="D9" s="1"/>
      <c r="E9" s="1"/>
      <c r="F9" s="1"/>
      <c r="G9" s="1"/>
      <c r="H9" s="1"/>
    </row>
    <row r="10" spans="1:9" ht="17.5">
      <c r="A10" s="1"/>
      <c r="B10" s="1"/>
      <c r="C10" s="1"/>
      <c r="D10" s="1"/>
      <c r="E10" s="1"/>
      <c r="F10" s="1"/>
      <c r="G10" s="1"/>
      <c r="H10" s="1"/>
      <c r="I10" s="812"/>
    </row>
    <row r="11" spans="1:9">
      <c r="A11" s="1"/>
      <c r="B11" s="1"/>
      <c r="C11" s="1"/>
      <c r="D11" s="1"/>
      <c r="E11" s="1"/>
      <c r="F11" s="1"/>
      <c r="G11" s="1"/>
      <c r="H11" s="1"/>
    </row>
    <row r="12" spans="1:9">
      <c r="A12" s="1"/>
      <c r="B12" s="1"/>
      <c r="C12" s="1"/>
      <c r="D12" s="1"/>
      <c r="E12" s="1"/>
      <c r="F12" s="1"/>
      <c r="G12" s="1"/>
      <c r="H12" s="1"/>
    </row>
    <row r="13" spans="1:9">
      <c r="A13" s="1"/>
      <c r="B13" s="1"/>
      <c r="C13" s="1"/>
      <c r="D13" s="1"/>
      <c r="E13" s="1"/>
      <c r="F13" s="1"/>
      <c r="G13" s="1"/>
      <c r="H13" s="1"/>
    </row>
    <row r="14" spans="1:9">
      <c r="A14" s="1"/>
      <c r="B14" s="1"/>
      <c r="C14" s="1"/>
      <c r="D14" s="1"/>
      <c r="E14" s="1"/>
      <c r="F14" s="1"/>
      <c r="G14" s="1"/>
      <c r="H14" s="1"/>
    </row>
    <row r="15" spans="1:9">
      <c r="A15" s="1"/>
      <c r="B15" s="1"/>
      <c r="C15" s="1"/>
      <c r="D15" s="1"/>
      <c r="E15" s="1"/>
      <c r="F15" s="1"/>
      <c r="G15" s="1"/>
      <c r="H15" s="1"/>
    </row>
    <row r="16" spans="1:9">
      <c r="A16" s="1"/>
      <c r="B16" s="1"/>
      <c r="C16" s="1"/>
      <c r="D16" s="1"/>
      <c r="E16" s="1"/>
      <c r="F16" s="1"/>
      <c r="G16" s="1"/>
      <c r="H16" s="1"/>
    </row>
    <row r="17" spans="1:8">
      <c r="A17" s="1"/>
      <c r="B17" s="1"/>
      <c r="C17" s="1"/>
      <c r="D17" s="1"/>
      <c r="E17" s="1"/>
      <c r="F17" s="1"/>
      <c r="G17" s="1"/>
      <c r="H17" s="1"/>
    </row>
    <row r="18" spans="1:8">
      <c r="A18" s="1"/>
      <c r="B18" s="1"/>
      <c r="C18" s="1"/>
      <c r="D18" s="1"/>
      <c r="E18" s="1"/>
      <c r="F18" s="1"/>
      <c r="G18" s="1"/>
      <c r="H18" s="1"/>
    </row>
    <row r="19" spans="1:8">
      <c r="A19" s="1"/>
      <c r="B19" s="1"/>
      <c r="C19" s="1"/>
      <c r="D19" s="1"/>
      <c r="E19" s="1"/>
      <c r="F19" s="1"/>
      <c r="G19" s="1"/>
      <c r="H19" s="1"/>
    </row>
    <row r="20" spans="1:8">
      <c r="A20" s="1"/>
      <c r="B20" s="1"/>
      <c r="C20" s="1"/>
      <c r="D20" s="1"/>
      <c r="E20" s="1"/>
      <c r="F20" s="1"/>
      <c r="G20" s="1"/>
      <c r="H20" s="1"/>
    </row>
    <row r="21" spans="1:8">
      <c r="A21" s="1"/>
      <c r="B21" s="1"/>
      <c r="C21" s="1"/>
      <c r="D21" s="1"/>
      <c r="E21" s="1"/>
      <c r="F21" s="1"/>
      <c r="G21" s="1"/>
      <c r="H21" s="1"/>
    </row>
    <row r="22" spans="1:8">
      <c r="A22" s="1"/>
      <c r="B22" s="1"/>
      <c r="C22" s="1"/>
      <c r="D22" s="1"/>
      <c r="E22" s="1"/>
      <c r="F22" s="1"/>
      <c r="G22" s="1"/>
      <c r="H22" s="1"/>
    </row>
    <row r="23" spans="1:8">
      <c r="A23" s="1"/>
      <c r="B23" s="1"/>
      <c r="C23" s="1"/>
      <c r="D23" s="1"/>
      <c r="E23" s="1"/>
      <c r="F23" s="1"/>
      <c r="G23" s="1"/>
      <c r="H23" s="1"/>
    </row>
    <row r="24" spans="1:8">
      <c r="A24" s="1"/>
      <c r="B24" s="1"/>
      <c r="C24" s="1"/>
      <c r="D24" s="1"/>
      <c r="E24" s="1"/>
      <c r="F24" s="1"/>
      <c r="G24" s="1"/>
      <c r="H24" s="1"/>
    </row>
    <row r="25" spans="1:8">
      <c r="A25" s="1"/>
      <c r="B25" s="1"/>
      <c r="C25" s="1"/>
      <c r="D25" s="1"/>
      <c r="E25" s="1"/>
      <c r="F25" s="1"/>
      <c r="G25" s="1"/>
      <c r="H25" s="1"/>
    </row>
    <row r="26" spans="1:8">
      <c r="A26" s="1"/>
      <c r="B26" s="1"/>
      <c r="C26" s="1"/>
      <c r="D26" s="1"/>
      <c r="E26" s="1"/>
      <c r="F26" s="1"/>
      <c r="G26" s="1"/>
      <c r="H26" s="1"/>
    </row>
    <row r="27" spans="1:8">
      <c r="A27" s="1"/>
      <c r="B27" s="1"/>
      <c r="C27" s="1"/>
      <c r="D27" s="1"/>
      <c r="E27" s="1"/>
      <c r="F27" s="1"/>
      <c r="G27" s="1"/>
      <c r="H27" s="1"/>
    </row>
    <row r="28" spans="1:8">
      <c r="A28" s="1"/>
      <c r="B28" s="1"/>
      <c r="C28" s="1"/>
      <c r="D28" s="1"/>
      <c r="E28" s="1"/>
      <c r="F28" s="1"/>
      <c r="G28" s="1"/>
      <c r="H28" s="1"/>
    </row>
    <row r="29" spans="1:8">
      <c r="A29" s="1"/>
      <c r="B29" s="1"/>
      <c r="C29" s="1"/>
      <c r="D29" s="1"/>
      <c r="E29" s="1"/>
      <c r="F29" s="1"/>
      <c r="G29" s="1"/>
      <c r="H29" s="1"/>
    </row>
    <row r="30" spans="1:8">
      <c r="A30" s="1"/>
      <c r="B30" s="1"/>
      <c r="C30" s="1"/>
      <c r="D30" s="1"/>
      <c r="E30" s="1"/>
      <c r="F30" s="1"/>
      <c r="G30" s="1"/>
      <c r="H30" s="1"/>
    </row>
    <row r="31" spans="1:8">
      <c r="A31" s="1"/>
      <c r="B31" s="1"/>
      <c r="C31" s="1"/>
      <c r="D31" s="1"/>
      <c r="E31" s="1"/>
      <c r="F31" s="1"/>
      <c r="G31" s="1"/>
      <c r="H31" s="1"/>
    </row>
    <row r="32" spans="1:8">
      <c r="A32" s="1"/>
      <c r="B32" s="1"/>
      <c r="C32" s="1"/>
      <c r="D32" s="1"/>
      <c r="E32" s="1"/>
      <c r="F32" s="1"/>
      <c r="G32" s="1"/>
      <c r="H32" s="1"/>
    </row>
    <row r="33" spans="1:8">
      <c r="A33" s="1"/>
      <c r="B33" s="1"/>
      <c r="C33" s="1"/>
      <c r="D33" s="1"/>
      <c r="E33" s="1"/>
      <c r="F33" s="1"/>
      <c r="G33" s="1"/>
      <c r="H33" s="1"/>
    </row>
    <row r="34" spans="1:8">
      <c r="A34" s="1"/>
      <c r="B34" s="1"/>
      <c r="C34" s="1"/>
      <c r="D34" s="1"/>
      <c r="E34" s="1"/>
      <c r="F34" s="1"/>
      <c r="G34" s="1"/>
      <c r="H34" s="1"/>
    </row>
    <row r="35" spans="1:8">
      <c r="A35" s="1"/>
      <c r="B35" s="1"/>
      <c r="C35" s="1"/>
      <c r="D35" s="1"/>
      <c r="E35" s="1"/>
      <c r="F35" s="1"/>
      <c r="G35" s="1"/>
      <c r="H35" s="1"/>
    </row>
    <row r="44" spans="1:8">
      <c r="G44" s="234"/>
    </row>
  </sheetData>
  <sheetProtection password="E242" sheet="1" objects="1" scenarios="1"/>
  <customSheetViews>
    <customSheetView guid="{30D0538C-360A-4CDF-8D89-584CED1967CC}"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scale="98" orientation="portrait" horizontalDpi="300" verticalDpi="300" r:id="rId1"/>
  <headerFooter alignWithMargins="0"/>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Feuil32">
    <pageSetUpPr fitToPage="1"/>
  </sheetPr>
  <dimension ref="A8:H38"/>
  <sheetViews>
    <sheetView showGridLines="0" showRowColHeaders="0" showOutlineSymbols="0" zoomScaleNormal="100" workbookViewId="0">
      <selection activeCell="H10" sqref="H10"/>
    </sheetView>
  </sheetViews>
  <sheetFormatPr baseColWidth="10" defaultColWidth="11.453125" defaultRowHeight="12.5"/>
  <cols>
    <col min="8" max="8" width="15.6328125" customWidth="1"/>
    <col min="9" max="9" width="14.453125" customWidth="1"/>
    <col min="10" max="10" width="28" customWidth="1"/>
  </cols>
  <sheetData>
    <row r="8" spans="1:8" ht="25.5">
      <c r="A8" s="430" t="str">
        <f>RG!D17</f>
        <v>Jhon Wesly inc.</v>
      </c>
    </row>
    <row r="10" spans="1:8" ht="17.5">
      <c r="H10" s="812"/>
    </row>
    <row r="16" spans="1:8" ht="15.5">
      <c r="B16" s="111"/>
    </row>
    <row r="38" spans="2:2" ht="15.5">
      <c r="B38" s="111"/>
    </row>
  </sheetData>
  <sheetProtection password="E242" sheet="1" objects="1" scenarios="1"/>
  <customSheetViews>
    <customSheetView guid="{30D0538C-360A-4CDF-8D89-584CED1967CC}"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 guid="{4F3169C3-3348-49DE-A6DC-8AA4D2A9D7A1}"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Feuil25">
    <pageSetUpPr fitToPage="1"/>
  </sheetPr>
  <dimension ref="A1:W183"/>
  <sheetViews>
    <sheetView showGridLines="0" showRowColHeaders="0" showRuler="0" topLeftCell="A199" zoomScaleNormal="100" workbookViewId="0">
      <selection activeCell="B205" sqref="B205"/>
    </sheetView>
  </sheetViews>
  <sheetFormatPr baseColWidth="10" defaultColWidth="11.453125" defaultRowHeight="12.5"/>
  <cols>
    <col min="1" max="1" width="6" style="1" customWidth="1"/>
    <col min="2" max="2" width="21.453125" style="1" customWidth="1"/>
    <col min="3" max="4" width="11.453125" style="1"/>
    <col min="5" max="16" width="12.453125" style="1" bestFit="1" customWidth="1"/>
    <col min="17" max="18" width="11.453125" style="1"/>
    <col min="19" max="19" width="13.453125" style="1" bestFit="1" customWidth="1"/>
    <col min="20" max="16384" width="11.453125" style="1"/>
  </cols>
  <sheetData>
    <row r="1" spans="1:20" ht="18">
      <c r="A1" s="6"/>
      <c r="B1" s="7"/>
      <c r="C1" s="8"/>
      <c r="D1" s="8"/>
      <c r="E1" s="8"/>
      <c r="F1" s="8"/>
      <c r="G1" s="8"/>
      <c r="H1" s="8"/>
      <c r="I1" s="8"/>
      <c r="J1" s="8"/>
      <c r="K1" s="8"/>
      <c r="L1" s="8"/>
      <c r="M1" s="8"/>
      <c r="N1" s="8"/>
      <c r="O1" s="8"/>
      <c r="P1" s="8"/>
      <c r="Q1" s="8"/>
      <c r="R1" s="8"/>
    </row>
    <row r="2" spans="1:20" ht="18">
      <c r="A2" s="6"/>
      <c r="B2" s="9"/>
      <c r="C2" s="10"/>
      <c r="D2" s="10"/>
      <c r="E2" s="10"/>
      <c r="F2" s="10"/>
      <c r="G2" s="10"/>
      <c r="H2" s="10"/>
      <c r="I2" s="8"/>
      <c r="J2" s="8"/>
      <c r="K2" s="8"/>
      <c r="L2" s="8"/>
      <c r="M2" s="8"/>
      <c r="N2" s="8"/>
      <c r="O2" s="8"/>
      <c r="P2" s="8"/>
      <c r="Q2" s="8"/>
      <c r="R2" s="8"/>
    </row>
    <row r="3" spans="1:20" ht="18">
      <c r="A3" s="6"/>
      <c r="B3" s="9"/>
      <c r="C3" s="10"/>
      <c r="D3" s="10"/>
      <c r="E3" s="10"/>
      <c r="F3" s="10"/>
      <c r="G3" s="10"/>
      <c r="H3" s="10"/>
      <c r="I3" s="8"/>
      <c r="J3" s="8"/>
      <c r="K3" s="8"/>
      <c r="L3" s="8"/>
      <c r="M3" s="8"/>
      <c r="N3" s="8"/>
      <c r="O3" s="8"/>
      <c r="P3" s="8"/>
      <c r="Q3" s="8"/>
      <c r="R3" s="8"/>
    </row>
    <row r="4" spans="1:20" ht="15.5">
      <c r="A4" s="6"/>
      <c r="B4" s="8"/>
      <c r="C4" s="8"/>
      <c r="D4" s="8"/>
      <c r="E4" s="8"/>
      <c r="F4" s="8"/>
      <c r="G4" s="8"/>
      <c r="H4" s="8"/>
      <c r="I4" s="8"/>
      <c r="J4" s="8"/>
      <c r="K4" s="8"/>
      <c r="L4" s="8"/>
      <c r="M4" s="8"/>
      <c r="N4" s="8"/>
      <c r="O4" s="8"/>
      <c r="P4" s="8"/>
      <c r="Q4" s="8"/>
      <c r="R4" s="8"/>
    </row>
    <row r="5" spans="1:20" ht="16" thickBot="1">
      <c r="A5" s="11"/>
      <c r="B5" s="12"/>
      <c r="C5" s="12"/>
      <c r="D5" s="12"/>
      <c r="E5" s="12"/>
      <c r="F5" s="12"/>
      <c r="G5" s="12"/>
      <c r="H5" s="12"/>
      <c r="I5" s="12"/>
      <c r="J5" s="12"/>
      <c r="K5" s="12"/>
      <c r="L5" s="12"/>
      <c r="M5" s="12"/>
      <c r="N5" s="12"/>
      <c r="O5" s="12"/>
      <c r="P5" s="12"/>
      <c r="Q5" s="12"/>
      <c r="R5" s="12"/>
    </row>
    <row r="6" spans="1:20" ht="16" thickTop="1">
      <c r="A6" s="13"/>
      <c r="B6" s="8"/>
      <c r="C6" s="8"/>
      <c r="D6" s="8"/>
      <c r="E6" s="8"/>
      <c r="F6" s="8"/>
      <c r="G6" s="8"/>
      <c r="H6" s="8"/>
      <c r="I6" s="8"/>
      <c r="J6" s="8"/>
      <c r="K6" s="8"/>
      <c r="L6" s="8"/>
      <c r="M6" s="8"/>
      <c r="N6" s="8"/>
      <c r="O6" s="8"/>
      <c r="P6" s="8"/>
      <c r="Q6" s="8"/>
      <c r="R6" s="8"/>
    </row>
    <row r="7" spans="1:20" ht="15.5">
      <c r="A7" s="8"/>
      <c r="B7" s="8"/>
      <c r="C7" s="8"/>
      <c r="D7" s="8"/>
      <c r="E7" s="8"/>
      <c r="F7" s="8"/>
      <c r="G7" s="8"/>
      <c r="H7" s="8"/>
      <c r="I7" s="8"/>
      <c r="J7" s="8"/>
      <c r="K7" s="8"/>
      <c r="L7" s="8"/>
      <c r="M7" s="8"/>
      <c r="N7" s="8"/>
      <c r="O7" s="8"/>
      <c r="P7" s="8"/>
      <c r="Q7" s="8"/>
      <c r="R7" s="8"/>
    </row>
    <row r="8" spans="1:20" ht="22.5">
      <c r="A8" s="8"/>
      <c r="B8" s="14" t="s">
        <v>352</v>
      </c>
      <c r="C8" s="15"/>
      <c r="D8" s="15"/>
      <c r="E8" s="15"/>
      <c r="F8" s="16" t="str">
        <f>RG!D17</f>
        <v>Jhon Wesly inc.</v>
      </c>
      <c r="G8" s="15"/>
      <c r="H8" s="15"/>
      <c r="I8" s="15"/>
      <c r="J8" s="15"/>
      <c r="K8" s="15"/>
      <c r="L8" s="15"/>
      <c r="M8" s="15"/>
      <c r="N8" s="15"/>
      <c r="O8" s="15"/>
      <c r="P8" s="15" t="s">
        <v>353</v>
      </c>
      <c r="Q8" s="15"/>
      <c r="R8" s="15"/>
    </row>
    <row r="9" spans="1:20" ht="15.5">
      <c r="A9" s="8"/>
      <c r="B9" s="15"/>
      <c r="C9" s="17"/>
      <c r="D9" s="17"/>
      <c r="E9" s="18">
        <f>RG!D27</f>
        <v>45292</v>
      </c>
      <c r="F9" s="18">
        <f>E9+31</f>
        <v>45323</v>
      </c>
      <c r="G9" s="18">
        <f t="shared" ref="G9:P9" si="0">F9+31</f>
        <v>45354</v>
      </c>
      <c r="H9" s="18">
        <f t="shared" si="0"/>
        <v>45385</v>
      </c>
      <c r="I9" s="18">
        <f t="shared" si="0"/>
        <v>45416</v>
      </c>
      <c r="J9" s="18">
        <f t="shared" si="0"/>
        <v>45447</v>
      </c>
      <c r="K9" s="18">
        <f t="shared" si="0"/>
        <v>45478</v>
      </c>
      <c r="L9" s="18">
        <f t="shared" si="0"/>
        <v>45509</v>
      </c>
      <c r="M9" s="18">
        <f t="shared" si="0"/>
        <v>45540</v>
      </c>
      <c r="N9" s="18">
        <f t="shared" si="0"/>
        <v>45571</v>
      </c>
      <c r="O9" s="18">
        <f t="shared" si="0"/>
        <v>45602</v>
      </c>
      <c r="P9" s="19">
        <f t="shared" si="0"/>
        <v>45633</v>
      </c>
      <c r="Q9" s="20" t="s">
        <v>498</v>
      </c>
      <c r="R9" s="17"/>
    </row>
    <row r="10" spans="1:20" ht="15.5">
      <c r="A10" s="8"/>
      <c r="B10" s="15"/>
      <c r="C10" s="21" t="s">
        <v>358</v>
      </c>
      <c r="D10" s="21" t="s">
        <v>359</v>
      </c>
      <c r="E10" s="21" t="s">
        <v>360</v>
      </c>
      <c r="F10" s="21" t="s">
        <v>360</v>
      </c>
      <c r="G10" s="21" t="s">
        <v>360</v>
      </c>
      <c r="H10" s="21" t="s">
        <v>360</v>
      </c>
      <c r="I10" s="21" t="s">
        <v>360</v>
      </c>
      <c r="J10" s="21" t="s">
        <v>360</v>
      </c>
      <c r="K10" s="21" t="s">
        <v>360</v>
      </c>
      <c r="L10" s="21" t="s">
        <v>360</v>
      </c>
      <c r="M10" s="21" t="s">
        <v>360</v>
      </c>
      <c r="N10" s="21" t="s">
        <v>360</v>
      </c>
      <c r="O10" s="21" t="s">
        <v>360</v>
      </c>
      <c r="P10" s="21" t="s">
        <v>360</v>
      </c>
      <c r="Q10" s="22" t="s">
        <v>360</v>
      </c>
      <c r="R10" s="17"/>
    </row>
    <row r="11" spans="1:20" ht="15.5">
      <c r="A11" s="8"/>
      <c r="B11" s="23" t="str">
        <f>'RH1'!B20</f>
        <v>Poste MOD 1 - Actionnaire</v>
      </c>
      <c r="C11" s="24">
        <f>'RH1'!O20</f>
        <v>11.25</v>
      </c>
      <c r="D11" s="5">
        <f>'RH1'!Y20</f>
        <v>0</v>
      </c>
      <c r="E11" s="4">
        <f>INT(('RH1'!$Z20*'RH1'!$O$15))*$D11*'RH1'!C20</f>
        <v>0</v>
      </c>
      <c r="F11" s="4">
        <f>INT('RH1'!$Z20*'RH1'!$O$15)*$D11*'RH1'!D20</f>
        <v>0</v>
      </c>
      <c r="G11" s="4">
        <f>INT('RH1'!$Z20*'RH1'!$O$15)*$D11*'RH1'!E20</f>
        <v>0</v>
      </c>
      <c r="H11" s="4">
        <f>INT('RH1'!$Z20*'RH1'!$O$15)*$D11*'RH1'!F20</f>
        <v>0</v>
      </c>
      <c r="I11" s="4">
        <f>INT('RH1'!$Z20*'RH1'!$O$15)*$D11*'RH1'!G20</f>
        <v>0</v>
      </c>
      <c r="J11" s="4">
        <f>INT('RH1'!$Z20*'RH1'!$O$15)*$D11*'RH1'!H20</f>
        <v>0</v>
      </c>
      <c r="K11" s="4">
        <f>INT('RH1'!$Z20*'RH1'!$O$15)*$D11*'RH1'!I20</f>
        <v>0</v>
      </c>
      <c r="L11" s="4">
        <f>INT('RH1'!$Z20*'RH1'!$O$15)*$D11*'RH1'!J20</f>
        <v>0</v>
      </c>
      <c r="M11" s="4">
        <f>INT('RH1'!$Z20*'RH1'!$O$15)*$D11*'RH1'!K20</f>
        <v>0</v>
      </c>
      <c r="N11" s="4">
        <f>INT('RH1'!$Z20*'RH1'!$O$15)*$D11*'RH1'!L20</f>
        <v>0</v>
      </c>
      <c r="O11" s="4">
        <f>INT('RH1'!$Z20*'RH1'!$O$15)*$D11*'RH1'!M20</f>
        <v>0</v>
      </c>
      <c r="P11" s="4">
        <f>INT('RH1'!$Z20*'RH1'!$O$15)*$D11*'RH1'!N20</f>
        <v>0</v>
      </c>
      <c r="Q11" s="25">
        <f t="shared" ref="Q11:Q23" si="1">SUM(E11:P11)</f>
        <v>0</v>
      </c>
      <c r="R11" s="26">
        <f t="shared" ref="R11:R22" si="2">Q11*$C11</f>
        <v>0</v>
      </c>
      <c r="S11" s="26">
        <f>(P11*T11)-(P11*C11)</f>
        <v>0</v>
      </c>
      <c r="T11" s="26">
        <f>'RH1'!X20</f>
        <v>14.171625000000001</v>
      </c>
    </row>
    <row r="12" spans="1:20" ht="15.5">
      <c r="A12" s="8"/>
      <c r="B12" s="23" t="str">
        <f>'RH1'!B21</f>
        <v>Poste MOD 2 - Actionnaire</v>
      </c>
      <c r="C12" s="24">
        <f>'RH1'!O21</f>
        <v>11.25</v>
      </c>
      <c r="D12" s="5">
        <f>'RH1'!Y21</f>
        <v>0</v>
      </c>
      <c r="E12" s="4">
        <f>INT('RH1'!$Z21*'RH1'!$O$15)*$D12*'RH1'!C21</f>
        <v>0</v>
      </c>
      <c r="F12" s="4">
        <f>INT('RH1'!$Z21*'RH1'!$O$15)*$D12*'RH1'!D21</f>
        <v>0</v>
      </c>
      <c r="G12" s="4">
        <f>INT('RH1'!$Z21*'RH1'!$O$15)*$D12*'RH1'!E21</f>
        <v>0</v>
      </c>
      <c r="H12" s="4">
        <f>INT('RH1'!$Z21*'RH1'!$O$15)*$D12*'RH1'!F21</f>
        <v>0</v>
      </c>
      <c r="I12" s="4">
        <f>INT('RH1'!$Z21*'RH1'!$O$15)*$D12*'RH1'!G21</f>
        <v>0</v>
      </c>
      <c r="J12" s="4">
        <f>INT('RH1'!$Z21*'RH1'!$O$15)*$D12*'RH1'!H21</f>
        <v>0</v>
      </c>
      <c r="K12" s="4">
        <f>INT('RH1'!$Z21*'RH1'!$O$15)*$D12*'RH1'!I21</f>
        <v>0</v>
      </c>
      <c r="L12" s="4">
        <f>INT('RH1'!$Z21*'RH1'!$O$15)*$D12*'RH1'!J21</f>
        <v>0</v>
      </c>
      <c r="M12" s="4">
        <f>INT('RH1'!$Z21*'RH1'!$O$15)*$D12*'RH1'!K21</f>
        <v>0</v>
      </c>
      <c r="N12" s="4">
        <f>INT('RH1'!$Z21*'RH1'!$O$15)*$D12*'RH1'!L21</f>
        <v>0</v>
      </c>
      <c r="O12" s="4">
        <f>INT('RH1'!$Z21*'RH1'!$O$15)*$D12*'RH1'!M21</f>
        <v>0</v>
      </c>
      <c r="P12" s="4">
        <f>INT('RH1'!$Z21*'RH1'!$O$15)*$D12*'RH1'!N21</f>
        <v>0</v>
      </c>
      <c r="Q12" s="25">
        <f t="shared" si="1"/>
        <v>0</v>
      </c>
      <c r="R12" s="26">
        <f t="shared" si="2"/>
        <v>0</v>
      </c>
      <c r="S12" s="26">
        <f t="shared" ref="S12:S22" si="3">(P12*T12)-(P12*C12)</f>
        <v>0</v>
      </c>
      <c r="T12" s="26">
        <f>'RH1'!X21</f>
        <v>14.171625000000001</v>
      </c>
    </row>
    <row r="13" spans="1:20" ht="15.5">
      <c r="A13" s="8"/>
      <c r="B13" s="23" t="str">
        <f>'RH1'!B22</f>
        <v>Poste MOD 3</v>
      </c>
      <c r="C13" s="24">
        <f>'RH1'!O22</f>
        <v>11.25</v>
      </c>
      <c r="D13" s="5">
        <f>'RH1'!Y22</f>
        <v>0</v>
      </c>
      <c r="E13" s="4">
        <f>INT('RH1'!$Z22*'RH1'!$O$15)*$D13*'RH1'!C22</f>
        <v>0</v>
      </c>
      <c r="F13" s="4">
        <f>INT('RH1'!$Z22*'RH1'!$O$15)*$D13*'RH1'!D22</f>
        <v>0</v>
      </c>
      <c r="G13" s="4">
        <f>INT('RH1'!$Z22*'RH1'!$O$15)*$D13*'RH1'!E22</f>
        <v>0</v>
      </c>
      <c r="H13" s="4">
        <f>INT('RH1'!$Z22*'RH1'!$O$15)*$D13*'RH1'!F22</f>
        <v>0</v>
      </c>
      <c r="I13" s="4">
        <f>INT('RH1'!$Z22*'RH1'!$O$15)*$D13*'RH1'!G22</f>
        <v>0</v>
      </c>
      <c r="J13" s="4">
        <f>INT('RH1'!$Z22*'RH1'!$O$15)*$D13*'RH1'!H22</f>
        <v>0</v>
      </c>
      <c r="K13" s="4">
        <f>INT('RH1'!$Z22*'RH1'!$O$15)*$D13*'RH1'!I22</f>
        <v>0</v>
      </c>
      <c r="L13" s="4">
        <f>INT('RH1'!$Z22*'RH1'!$O$15)*$D13*'RH1'!J22</f>
        <v>0</v>
      </c>
      <c r="M13" s="4">
        <f>INT('RH1'!$Z22*'RH1'!$O$15)*$D13*'RH1'!K22</f>
        <v>0</v>
      </c>
      <c r="N13" s="4">
        <f>INT('RH1'!$Z22*'RH1'!$O$15)*$D13*'RH1'!L22</f>
        <v>0</v>
      </c>
      <c r="O13" s="4">
        <f>INT('RH1'!$Z22*'RH1'!$O$15)*$D13*'RH1'!M22</f>
        <v>0</v>
      </c>
      <c r="P13" s="4">
        <f>INT('RH1'!$Z22*'RH1'!$O$15)*$D13*'RH1'!N22</f>
        <v>0</v>
      </c>
      <c r="Q13" s="25">
        <f t="shared" si="1"/>
        <v>0</v>
      </c>
      <c r="R13" s="26">
        <f t="shared" si="2"/>
        <v>0</v>
      </c>
      <c r="S13" s="26">
        <f t="shared" si="3"/>
        <v>0</v>
      </c>
      <c r="T13" s="26">
        <f>'RH1'!X22</f>
        <v>14.077125000000001</v>
      </c>
    </row>
    <row r="14" spans="1:20" ht="15.5">
      <c r="A14" s="8"/>
      <c r="B14" s="23" t="str">
        <f>'RH1'!B23</f>
        <v>Poste MOD 4</v>
      </c>
      <c r="C14" s="24">
        <f>'RH1'!O23</f>
        <v>11.25</v>
      </c>
      <c r="D14" s="5">
        <f>'RH1'!Y23</f>
        <v>0</v>
      </c>
      <c r="E14" s="4">
        <f>INT('RH1'!$Z23*'RH1'!$O$15)*$D14*'RH1'!C23</f>
        <v>0</v>
      </c>
      <c r="F14" s="4">
        <f>INT('RH1'!$Z23*'RH1'!$O$15)*$D14*'RH1'!D23</f>
        <v>0</v>
      </c>
      <c r="G14" s="4">
        <f>INT('RH1'!$Z23*'RH1'!$O$15)*$D14*'RH1'!E23</f>
        <v>0</v>
      </c>
      <c r="H14" s="4">
        <f>INT('RH1'!$Z23*'RH1'!$O$15)*$D14*'RH1'!F23</f>
        <v>0</v>
      </c>
      <c r="I14" s="4">
        <f>INT('RH1'!$Z23*'RH1'!$O$15)*$D14*'RH1'!G23</f>
        <v>0</v>
      </c>
      <c r="J14" s="4">
        <f>INT('RH1'!$Z23*'RH1'!$O$15)*$D14*'RH1'!H23</f>
        <v>0</v>
      </c>
      <c r="K14" s="4">
        <f>INT('RH1'!$Z23*'RH1'!$O$15)*$D14*'RH1'!I23</f>
        <v>0</v>
      </c>
      <c r="L14" s="4">
        <f>INT('RH1'!$Z23*'RH1'!$O$15)*$D14*'RH1'!J23</f>
        <v>0</v>
      </c>
      <c r="M14" s="4">
        <f>INT('RH1'!$Z23*'RH1'!$O$15)*$D14*'RH1'!K23</f>
        <v>0</v>
      </c>
      <c r="N14" s="4">
        <f>INT('RH1'!$Z23*'RH1'!$O$15)*$D14*'RH1'!L23</f>
        <v>0</v>
      </c>
      <c r="O14" s="4">
        <f>INT('RH1'!$Z23*'RH1'!$O$15)*$D14*'RH1'!M23</f>
        <v>0</v>
      </c>
      <c r="P14" s="4">
        <f>INT('RH1'!$Z23*'RH1'!$O$15)*$D14*'RH1'!N23</f>
        <v>0</v>
      </c>
      <c r="Q14" s="25">
        <f t="shared" si="1"/>
        <v>0</v>
      </c>
      <c r="R14" s="26">
        <f t="shared" si="2"/>
        <v>0</v>
      </c>
      <c r="S14" s="26">
        <f t="shared" si="3"/>
        <v>0</v>
      </c>
      <c r="T14" s="26">
        <f>'RH1'!X23</f>
        <v>14.077125000000001</v>
      </c>
    </row>
    <row r="15" spans="1:20" ht="15.5">
      <c r="A15" s="8"/>
      <c r="B15" s="23" t="str">
        <f>'RH1'!B24</f>
        <v>Poste MOD 5</v>
      </c>
      <c r="C15" s="24">
        <f>'RH1'!O24</f>
        <v>11.25</v>
      </c>
      <c r="D15" s="5">
        <f>'RH1'!Y24</f>
        <v>0</v>
      </c>
      <c r="E15" s="4">
        <f>INT('RH1'!$Z24*'RH1'!$O$15)*$D15*'RH1'!C24</f>
        <v>0</v>
      </c>
      <c r="F15" s="4">
        <f>INT('RH1'!$Z24*'RH1'!$O$15)*$D15*'RH1'!D24</f>
        <v>0</v>
      </c>
      <c r="G15" s="4">
        <f>INT('RH1'!$Z24*'RH1'!$O$15)*$D15*'RH1'!E24</f>
        <v>0</v>
      </c>
      <c r="H15" s="4">
        <f>INT('RH1'!$Z24*'RH1'!$O$15)*$D15*'RH1'!F24</f>
        <v>0</v>
      </c>
      <c r="I15" s="4">
        <f>INT('RH1'!$Z24*'RH1'!$O$15)*$D15*'RH1'!G24</f>
        <v>0</v>
      </c>
      <c r="J15" s="4">
        <f>INT('RH1'!$Z24*'RH1'!$O$15)*$D15*'RH1'!H24</f>
        <v>0</v>
      </c>
      <c r="K15" s="4">
        <f>INT('RH1'!$Z24*'RH1'!$O$15)*$D15*'RH1'!I24</f>
        <v>0</v>
      </c>
      <c r="L15" s="4">
        <f>INT('RH1'!$Z24*'RH1'!$O$15)*$D15*'RH1'!J24</f>
        <v>0</v>
      </c>
      <c r="M15" s="4">
        <f>INT('RH1'!$Z24*'RH1'!$O$15)*$D15*'RH1'!K24</f>
        <v>0</v>
      </c>
      <c r="N15" s="4">
        <f>INT('RH1'!$Z24*'RH1'!$O$15)*$D15*'RH1'!L24</f>
        <v>0</v>
      </c>
      <c r="O15" s="4">
        <f>INT('RH1'!$Z24*'RH1'!$O$15)*$D15*'RH1'!M24</f>
        <v>0</v>
      </c>
      <c r="P15" s="4">
        <f>INT('RH1'!$Z24*'RH1'!$O$15)*$D15*'RH1'!N24</f>
        <v>0</v>
      </c>
      <c r="Q15" s="25">
        <f t="shared" si="1"/>
        <v>0</v>
      </c>
      <c r="R15" s="26">
        <f t="shared" si="2"/>
        <v>0</v>
      </c>
      <c r="S15" s="26">
        <f t="shared" si="3"/>
        <v>0</v>
      </c>
      <c r="T15" s="26">
        <f>'RH1'!X24</f>
        <v>14.077125000000001</v>
      </c>
    </row>
    <row r="16" spans="1:20" ht="15.5">
      <c r="A16" s="8"/>
      <c r="B16" s="23" t="str">
        <f>'RH1'!B25</f>
        <v>Poste MOD 6</v>
      </c>
      <c r="C16" s="24">
        <f>'RH1'!O25</f>
        <v>11.25</v>
      </c>
      <c r="D16" s="5">
        <f>'RH1'!Y25</f>
        <v>0</v>
      </c>
      <c r="E16" s="4">
        <f>INT('RH1'!$Z25*'RH1'!$O$15)*$D16*'RH1'!C25</f>
        <v>0</v>
      </c>
      <c r="F16" s="4">
        <f>INT('RH1'!$Z25*'RH1'!$O$15)*$D16*'RH1'!D25</f>
        <v>0</v>
      </c>
      <c r="G16" s="4">
        <f>INT('RH1'!$Z25*'RH1'!$O$15)*$D16*'RH1'!E25</f>
        <v>0</v>
      </c>
      <c r="H16" s="4">
        <f>INT('RH1'!$Z25*'RH1'!$O$15)*$D16*'RH1'!F25</f>
        <v>0</v>
      </c>
      <c r="I16" s="4">
        <f>INT('RH1'!$Z25*'RH1'!$O$15)*$D16*'RH1'!G25</f>
        <v>0</v>
      </c>
      <c r="J16" s="4">
        <f>INT('RH1'!$Z25*'RH1'!$O$15)*$D16*'RH1'!H25</f>
        <v>0</v>
      </c>
      <c r="K16" s="4">
        <f>INT('RH1'!$Z25*'RH1'!$O$15)*$D16*'RH1'!I25</f>
        <v>0</v>
      </c>
      <c r="L16" s="4">
        <f>INT('RH1'!$Z25*'RH1'!$O$15)*$D16*'RH1'!J25</f>
        <v>0</v>
      </c>
      <c r="M16" s="4">
        <f>INT('RH1'!$Z25*'RH1'!$O$15)*$D16*'RH1'!K25</f>
        <v>0</v>
      </c>
      <c r="N16" s="4">
        <f>INT('RH1'!$Z25*'RH1'!$O$15)*$D16*'RH1'!L25</f>
        <v>0</v>
      </c>
      <c r="O16" s="4">
        <f>INT('RH1'!$Z25*'RH1'!$O$15)*$D16*'RH1'!M25</f>
        <v>0</v>
      </c>
      <c r="P16" s="4">
        <f>INT('RH1'!$Z25*'RH1'!$O$15)*$D16*'RH1'!N25</f>
        <v>0</v>
      </c>
      <c r="Q16" s="25">
        <f t="shared" si="1"/>
        <v>0</v>
      </c>
      <c r="R16" s="26">
        <f t="shared" si="2"/>
        <v>0</v>
      </c>
      <c r="S16" s="26">
        <f t="shared" si="3"/>
        <v>0</v>
      </c>
      <c r="T16" s="26">
        <f>'RH1'!X25</f>
        <v>14.077125000000001</v>
      </c>
    </row>
    <row r="17" spans="1:20" ht="15.5">
      <c r="A17" s="8"/>
      <c r="B17" s="23" t="str">
        <f>'RH1'!B26</f>
        <v>Poste MOD 7</v>
      </c>
      <c r="C17" s="24">
        <f>'RH1'!O26</f>
        <v>11.25</v>
      </c>
      <c r="D17" s="5">
        <f>'RH1'!Y26</f>
        <v>0</v>
      </c>
      <c r="E17" s="4">
        <f>INT('RH1'!$Z26*'RH1'!$O$15)*$D17*'RH1'!C26</f>
        <v>0</v>
      </c>
      <c r="F17" s="4">
        <f>INT('RH1'!$Z26*'RH1'!$O$15)*$D17*'RH1'!D26</f>
        <v>0</v>
      </c>
      <c r="G17" s="4">
        <f>INT('RH1'!$Z26*'RH1'!$O$15)*$D17*'RH1'!E26</f>
        <v>0</v>
      </c>
      <c r="H17" s="4">
        <f>INT('RH1'!$Z26*'RH1'!$O$15)*$D17*'RH1'!F26</f>
        <v>0</v>
      </c>
      <c r="I17" s="4">
        <f>INT('RH1'!$Z26*'RH1'!$O$15)*$D17*'RH1'!G26</f>
        <v>0</v>
      </c>
      <c r="J17" s="4">
        <f>INT('RH1'!$Z26*'RH1'!$O$15)*$D17*'RH1'!H26</f>
        <v>0</v>
      </c>
      <c r="K17" s="4">
        <f>INT('RH1'!$Z26*'RH1'!$O$15)*$D17*'RH1'!I26</f>
        <v>0</v>
      </c>
      <c r="L17" s="4">
        <f>INT('RH1'!$Z26*'RH1'!$O$15)*$D17*'RH1'!J26</f>
        <v>0</v>
      </c>
      <c r="M17" s="4">
        <f>INT('RH1'!$Z26*'RH1'!$O$15)*$D17*'RH1'!K26</f>
        <v>0</v>
      </c>
      <c r="N17" s="4">
        <f>INT('RH1'!$Z26*'RH1'!$O$15)*$D17*'RH1'!L26</f>
        <v>0</v>
      </c>
      <c r="O17" s="4">
        <f>INT('RH1'!$Z26*'RH1'!$O$15)*$D17*'RH1'!M26</f>
        <v>0</v>
      </c>
      <c r="P17" s="4">
        <f>INT('RH1'!$Z26*'RH1'!$O$15)*$D17*'RH1'!N26</f>
        <v>0</v>
      </c>
      <c r="Q17" s="25">
        <f t="shared" si="1"/>
        <v>0</v>
      </c>
      <c r="R17" s="26">
        <f t="shared" si="2"/>
        <v>0</v>
      </c>
      <c r="S17" s="26">
        <f t="shared" si="3"/>
        <v>0</v>
      </c>
      <c r="T17" s="26">
        <f>'RH1'!X26</f>
        <v>14.077125000000001</v>
      </c>
    </row>
    <row r="18" spans="1:20" ht="15.5">
      <c r="A18" s="8"/>
      <c r="B18" s="23" t="str">
        <f>'RH1'!B27</f>
        <v>Poste MOD 8</v>
      </c>
      <c r="C18" s="24">
        <f>'RH1'!O27</f>
        <v>11.25</v>
      </c>
      <c r="D18" s="5">
        <f>'RH1'!Y27</f>
        <v>0</v>
      </c>
      <c r="E18" s="4">
        <f>INT('RH1'!$Z27*'RH1'!$O$15)*$D18*'RH1'!C27</f>
        <v>0</v>
      </c>
      <c r="F18" s="4">
        <f>INT('RH1'!$Z27*'RH1'!$O$15)*$D18*'RH1'!D27</f>
        <v>0</v>
      </c>
      <c r="G18" s="4">
        <f>INT('RH1'!$Z27*'RH1'!$O$15)*$D18*'RH1'!E27</f>
        <v>0</v>
      </c>
      <c r="H18" s="4">
        <f>INT('RH1'!$Z27*'RH1'!$O$15)*$D18*'RH1'!F27</f>
        <v>0</v>
      </c>
      <c r="I18" s="4">
        <f>INT('RH1'!$Z27*'RH1'!$O$15)*$D18*'RH1'!G27</f>
        <v>0</v>
      </c>
      <c r="J18" s="4">
        <f>INT('RH1'!$Z27*'RH1'!$O$15)*$D18*'RH1'!H27</f>
        <v>0</v>
      </c>
      <c r="K18" s="4">
        <f>INT('RH1'!$Z27*'RH1'!$O$15)*$D18*'RH1'!I27</f>
        <v>0</v>
      </c>
      <c r="L18" s="4">
        <f>INT('RH1'!$Z27*'RH1'!$O$15)*$D18*'RH1'!J27</f>
        <v>0</v>
      </c>
      <c r="M18" s="4">
        <f>INT('RH1'!$Z27*'RH1'!$O$15)*$D18*'RH1'!K27</f>
        <v>0</v>
      </c>
      <c r="N18" s="4">
        <f>INT('RH1'!$Z27*'RH1'!$O$15)*$D18*'RH1'!L27</f>
        <v>0</v>
      </c>
      <c r="O18" s="4">
        <f>INT('RH1'!$Z27*'RH1'!$O$15)*$D18*'RH1'!M27</f>
        <v>0</v>
      </c>
      <c r="P18" s="4">
        <f>INT('RH1'!$Z27*'RH1'!$O$15)*$D18*'RH1'!N27</f>
        <v>0</v>
      </c>
      <c r="Q18" s="25">
        <f t="shared" si="1"/>
        <v>0</v>
      </c>
      <c r="R18" s="26">
        <f t="shared" si="2"/>
        <v>0</v>
      </c>
      <c r="S18" s="26">
        <f t="shared" si="3"/>
        <v>0</v>
      </c>
      <c r="T18" s="26">
        <f>'RH1'!X27</f>
        <v>14.077125000000001</v>
      </c>
    </row>
    <row r="19" spans="1:20" ht="15.5">
      <c r="A19" s="8"/>
      <c r="B19" s="23" t="str">
        <f>'RH1'!B28</f>
        <v>Poste ADM 1 - Actionnaire</v>
      </c>
      <c r="C19" s="24">
        <f>'RH1'!O28</f>
        <v>11.25</v>
      </c>
      <c r="D19" s="5">
        <f>'RH1'!Y28</f>
        <v>0</v>
      </c>
      <c r="E19" s="4">
        <f>INT('RH1'!$Z28*'RH1'!$O$15)*$D19*'RH1'!C28</f>
        <v>0</v>
      </c>
      <c r="F19" s="4">
        <f>INT('RH1'!$Z28*'RH1'!$O$15)*$D19*'RH1'!D28</f>
        <v>0</v>
      </c>
      <c r="G19" s="4">
        <f>INT('RH1'!$Z28*'RH1'!$O$15)*$D19*'RH1'!E28</f>
        <v>0</v>
      </c>
      <c r="H19" s="4">
        <f>INT('RH1'!$Z28*'RH1'!$O$15)*$D19*'RH1'!F28</f>
        <v>0</v>
      </c>
      <c r="I19" s="4">
        <f>INT('RH1'!$Z28*'RH1'!$O$15)*$D19*'RH1'!G28</f>
        <v>0</v>
      </c>
      <c r="J19" s="4">
        <f>INT('RH1'!$Z28*'RH1'!$O$15)*$D19*'RH1'!H28</f>
        <v>0</v>
      </c>
      <c r="K19" s="4">
        <f>INT('RH1'!$Z28*'RH1'!$O$15)*$D19*'RH1'!I28</f>
        <v>0</v>
      </c>
      <c r="L19" s="4">
        <f>INT('RH1'!$Z28*'RH1'!$O$15)*$D19*'RH1'!J28</f>
        <v>0</v>
      </c>
      <c r="M19" s="4">
        <f>INT('RH1'!$Z28*'RH1'!$O$15)*$D19*'RH1'!K28</f>
        <v>0</v>
      </c>
      <c r="N19" s="4">
        <f>INT('RH1'!$Z28*'RH1'!$O$15)*$D19*'RH1'!L28</f>
        <v>0</v>
      </c>
      <c r="O19" s="4">
        <f>INT('RH1'!$Z28*'RH1'!$O$15)*$D19*'RH1'!M28</f>
        <v>0</v>
      </c>
      <c r="P19" s="4">
        <f>INT('RH1'!$Z28*'RH1'!$O$15)*$D19*'RH1'!N28</f>
        <v>0</v>
      </c>
      <c r="Q19" s="25">
        <f t="shared" si="1"/>
        <v>0</v>
      </c>
      <c r="R19" s="26">
        <f t="shared" si="2"/>
        <v>0</v>
      </c>
      <c r="S19" s="26">
        <f t="shared" si="3"/>
        <v>0</v>
      </c>
      <c r="T19" s="26">
        <f>'RH1'!X28</f>
        <v>14.171625000000001</v>
      </c>
    </row>
    <row r="20" spans="1:20" ht="15.5">
      <c r="A20" s="8"/>
      <c r="B20" s="23" t="str">
        <f>'RH1'!B29</f>
        <v>Poste ADM 2 - Actionnaire</v>
      </c>
      <c r="C20" s="24">
        <f>'RH1'!O29</f>
        <v>11.25</v>
      </c>
      <c r="D20" s="5">
        <f>'RH1'!Y29</f>
        <v>0</v>
      </c>
      <c r="E20" s="4">
        <f>INT('RH1'!$Z29*'RH1'!$O$15)*$D20*'RH1'!C29</f>
        <v>0</v>
      </c>
      <c r="F20" s="4">
        <f>INT('RH1'!$Z29*'RH1'!$O$15)*$D20*'RH1'!D29</f>
        <v>0</v>
      </c>
      <c r="G20" s="4">
        <f>INT('RH1'!$Z29*'RH1'!$O$15)*$D20*'RH1'!E29</f>
        <v>0</v>
      </c>
      <c r="H20" s="4">
        <f>INT('RH1'!$Z29*'RH1'!$O$15)*$D20*'RH1'!F29</f>
        <v>0</v>
      </c>
      <c r="I20" s="4">
        <f>INT('RH1'!$Z29*'RH1'!$O$15)*$D20*'RH1'!G29</f>
        <v>0</v>
      </c>
      <c r="J20" s="4">
        <f>INT('RH1'!$Z29*'RH1'!$O$15)*$D20*'RH1'!H29</f>
        <v>0</v>
      </c>
      <c r="K20" s="4">
        <f>INT('RH1'!$Z29*'RH1'!$O$15)*$D20*'RH1'!I29</f>
        <v>0</v>
      </c>
      <c r="L20" s="4">
        <f>INT('RH1'!$Z29*'RH1'!$O$15)*$D20*'RH1'!J29</f>
        <v>0</v>
      </c>
      <c r="M20" s="4">
        <f>INT('RH1'!$Z29*'RH1'!$O$15)*$D20*'RH1'!K29</f>
        <v>0</v>
      </c>
      <c r="N20" s="4">
        <f>INT('RH1'!$Z29*'RH1'!$O$15)*$D20*'RH1'!L29</f>
        <v>0</v>
      </c>
      <c r="O20" s="4">
        <f>INT('RH1'!$Z29*'RH1'!$O$15)*$D20*'RH1'!M29</f>
        <v>0</v>
      </c>
      <c r="P20" s="4">
        <f>INT('RH1'!$Z29*'RH1'!$O$15)*$D20*'RH1'!N29</f>
        <v>0</v>
      </c>
      <c r="Q20" s="25">
        <f t="shared" si="1"/>
        <v>0</v>
      </c>
      <c r="R20" s="26">
        <f t="shared" si="2"/>
        <v>0</v>
      </c>
      <c r="S20" s="26">
        <f t="shared" si="3"/>
        <v>0</v>
      </c>
      <c r="T20" s="26">
        <f>'RH1'!X29</f>
        <v>14.171625000000001</v>
      </c>
    </row>
    <row r="21" spans="1:20" ht="15.5">
      <c r="A21" s="8"/>
      <c r="B21" s="23" t="str">
        <f>'RH1'!B30</f>
        <v>Poste administratif 3</v>
      </c>
      <c r="C21" s="24">
        <f>'RH1'!O30</f>
        <v>11.25</v>
      </c>
      <c r="D21" s="5">
        <f>'RH1'!Y30</f>
        <v>0</v>
      </c>
      <c r="E21" s="4">
        <f>INT('RH1'!$Z30*'RH1'!$O$15)*$D21*'RH1'!C30</f>
        <v>0</v>
      </c>
      <c r="F21" s="4">
        <f>INT('RH1'!$Z30*'RH1'!$O$15)*$D21*'RH1'!D30</f>
        <v>0</v>
      </c>
      <c r="G21" s="4">
        <f>INT('RH1'!$Z30*'RH1'!$O$15)*$D21*'RH1'!E30</f>
        <v>0</v>
      </c>
      <c r="H21" s="4">
        <f>INT('RH1'!$Z30*'RH1'!$O$15)*$D21*'RH1'!F30</f>
        <v>0</v>
      </c>
      <c r="I21" s="4">
        <f>INT('RH1'!$Z30*'RH1'!$O$15)*$D21*'RH1'!G30</f>
        <v>0</v>
      </c>
      <c r="J21" s="4">
        <f>INT('RH1'!$Z30*'RH1'!$O$15)*$D21*'RH1'!H30</f>
        <v>0</v>
      </c>
      <c r="K21" s="4">
        <f>INT('RH1'!$Z30*'RH1'!$O$15)*$D21*'RH1'!I30</f>
        <v>0</v>
      </c>
      <c r="L21" s="4">
        <f>INT('RH1'!$Z30*'RH1'!$O$15)*$D21*'RH1'!J30</f>
        <v>0</v>
      </c>
      <c r="M21" s="4">
        <f>INT('RH1'!$Z30*'RH1'!$O$15)*$D21*'RH1'!K30</f>
        <v>0</v>
      </c>
      <c r="N21" s="4">
        <f>INT('RH1'!$Z30*'RH1'!$O$15)*$D21*'RH1'!L30</f>
        <v>0</v>
      </c>
      <c r="O21" s="4">
        <f>INT('RH1'!$Z30*'RH1'!$O$15)*$D21*'RH1'!M30</f>
        <v>0</v>
      </c>
      <c r="P21" s="4">
        <f>INT('RH1'!$Z30*'RH1'!$O$15)*$D21*'RH1'!N30</f>
        <v>0</v>
      </c>
      <c r="Q21" s="25">
        <f t="shared" si="1"/>
        <v>0</v>
      </c>
      <c r="R21" s="26">
        <f t="shared" si="2"/>
        <v>0</v>
      </c>
      <c r="S21" s="26">
        <f t="shared" si="3"/>
        <v>0</v>
      </c>
      <c r="T21" s="26">
        <f>'RH1'!X30</f>
        <v>14.077125000000001</v>
      </c>
    </row>
    <row r="22" spans="1:20" ht="15.5">
      <c r="A22" s="8"/>
      <c r="B22" s="23" t="str">
        <f>'RH1'!B31</f>
        <v>Poste administratif 4</v>
      </c>
      <c r="C22" s="24">
        <f>'RH1'!O31</f>
        <v>20</v>
      </c>
      <c r="D22" s="5">
        <f>'RH1'!Y31</f>
        <v>1</v>
      </c>
      <c r="E22" s="4">
        <f>INT('RH1'!$Z31*'RH1'!$O$15)*$D22*'RH1'!C31</f>
        <v>173</v>
      </c>
      <c r="F22" s="4">
        <f>INT('RH1'!$Z31*'RH1'!$O$15)*$D22*'RH1'!D31</f>
        <v>173</v>
      </c>
      <c r="G22" s="4">
        <f>INT('RH1'!$Z31*'RH1'!$O$15)*$D22*'RH1'!E31</f>
        <v>173</v>
      </c>
      <c r="H22" s="4">
        <f>INT('RH1'!$Z31*'RH1'!$O$15)*$D22*'RH1'!F31</f>
        <v>173</v>
      </c>
      <c r="I22" s="4">
        <f>INT('RH1'!$Z31*'RH1'!$O$15)*$D22*'RH1'!G31</f>
        <v>173</v>
      </c>
      <c r="J22" s="4">
        <f>INT('RH1'!$Z31*'RH1'!$O$15)*$D22*'RH1'!H31</f>
        <v>173</v>
      </c>
      <c r="K22" s="4">
        <f>INT('RH1'!$Z31*'RH1'!$O$15)*$D22*'RH1'!I31</f>
        <v>173</v>
      </c>
      <c r="L22" s="4">
        <f>INT('RH1'!$Z31*'RH1'!$O$15)*$D22*'RH1'!J31</f>
        <v>173</v>
      </c>
      <c r="M22" s="4">
        <f>INT('RH1'!$Z31*'RH1'!$O$15)*$D22*'RH1'!K31</f>
        <v>173</v>
      </c>
      <c r="N22" s="4">
        <f>INT('RH1'!$Z31*'RH1'!$O$15)*$D22*'RH1'!L31</f>
        <v>173</v>
      </c>
      <c r="O22" s="4">
        <f>INT('RH1'!$Z31*'RH1'!$O$15)*$D22*'RH1'!M31</f>
        <v>173</v>
      </c>
      <c r="P22" s="4">
        <f>INT('RH1'!$Z31*'RH1'!$O$15)*$D22*'RH1'!N31</f>
        <v>173</v>
      </c>
      <c r="Q22" s="25">
        <f t="shared" si="1"/>
        <v>2076</v>
      </c>
      <c r="R22" s="26">
        <f t="shared" si="2"/>
        <v>41520</v>
      </c>
      <c r="S22" s="26">
        <f t="shared" si="3"/>
        <v>869.49799999999959</v>
      </c>
      <c r="T22" s="26">
        <f>'RH1'!X31</f>
        <v>25.025999999999996</v>
      </c>
    </row>
    <row r="23" spans="1:20" ht="15.5">
      <c r="A23" s="8"/>
      <c r="B23" s="27"/>
      <c r="C23" s="28" t="s">
        <v>361</v>
      </c>
      <c r="D23" s="29">
        <f t="shared" ref="D23:P23" si="4">SUM(D11:D22)</f>
        <v>1</v>
      </c>
      <c r="E23" s="30">
        <f t="shared" si="4"/>
        <v>173</v>
      </c>
      <c r="F23" s="30">
        <f t="shared" si="4"/>
        <v>173</v>
      </c>
      <c r="G23" s="30">
        <f t="shared" si="4"/>
        <v>173</v>
      </c>
      <c r="H23" s="30">
        <f t="shared" si="4"/>
        <v>173</v>
      </c>
      <c r="I23" s="30">
        <f t="shared" si="4"/>
        <v>173</v>
      </c>
      <c r="J23" s="30">
        <f t="shared" si="4"/>
        <v>173</v>
      </c>
      <c r="K23" s="30">
        <f t="shared" si="4"/>
        <v>173</v>
      </c>
      <c r="L23" s="30">
        <f t="shared" si="4"/>
        <v>173</v>
      </c>
      <c r="M23" s="30">
        <f t="shared" si="4"/>
        <v>173</v>
      </c>
      <c r="N23" s="30">
        <f t="shared" si="4"/>
        <v>173</v>
      </c>
      <c r="O23" s="30">
        <f t="shared" si="4"/>
        <v>173</v>
      </c>
      <c r="P23" s="30">
        <f t="shared" si="4"/>
        <v>173</v>
      </c>
      <c r="Q23" s="31">
        <f t="shared" si="1"/>
        <v>2076</v>
      </c>
      <c r="R23" s="15"/>
      <c r="S23" s="26">
        <f>SUM(S11:S22)</f>
        <v>869.49799999999959</v>
      </c>
      <c r="T23" s="26"/>
    </row>
    <row r="24" spans="1:20" ht="15.5">
      <c r="A24" s="8"/>
      <c r="B24" s="27"/>
      <c r="C24" s="32" t="s">
        <v>362</v>
      </c>
      <c r="D24" s="33"/>
      <c r="E24" s="34">
        <f>(E11*$C11)+(E12*$C12)+(E13*$C13)+(E14*$C14)+(E15*$C15)+(E16*$C16)+(E17*$C17)+(E18*$C18)+(E19*$C19)+(E20*$C20)+(E21*$C21)+(E22*$C22)</f>
        <v>3460</v>
      </c>
      <c r="F24" s="34">
        <f t="shared" ref="F24:P24" si="5">(F11*$C11)+(F12*$C12)+(F13*$C13)+(F14*$C14)+(F15*$C15)+(F16*$C16)+(F17*$C17)+(F18*$C18)+(F19*$C19)+(F20*$C20)+(F21*$C21)+(F22*$C22)</f>
        <v>3460</v>
      </c>
      <c r="G24" s="34">
        <f t="shared" si="5"/>
        <v>3460</v>
      </c>
      <c r="H24" s="34">
        <f t="shared" si="5"/>
        <v>3460</v>
      </c>
      <c r="I24" s="34">
        <f t="shared" si="5"/>
        <v>3460</v>
      </c>
      <c r="J24" s="34">
        <f t="shared" si="5"/>
        <v>3460</v>
      </c>
      <c r="K24" s="34">
        <f t="shared" si="5"/>
        <v>3460</v>
      </c>
      <c r="L24" s="34">
        <f t="shared" si="5"/>
        <v>3460</v>
      </c>
      <c r="M24" s="34">
        <f t="shared" si="5"/>
        <v>3460</v>
      </c>
      <c r="N24" s="34">
        <f t="shared" si="5"/>
        <v>3460</v>
      </c>
      <c r="O24" s="34">
        <f t="shared" si="5"/>
        <v>3460</v>
      </c>
      <c r="P24" s="34">
        <f t="shared" si="5"/>
        <v>3460</v>
      </c>
      <c r="Q24" s="34">
        <f>(Q11*$C$11)+(Q12*$C12)+(Q13*$C13)+(Q14*$C14)+(Q15*$C15)+(Q16*$C16)+(Q17*$C17)+(Q18*$C18)+(Q19*$C19)+(Q20*$C20)+(Q21*$C21)+(Q22*$C22)</f>
        <v>41520</v>
      </c>
      <c r="R24" s="15"/>
      <c r="S24" s="26"/>
      <c r="T24" s="41"/>
    </row>
    <row r="25" spans="1:20" ht="15.5">
      <c r="A25" s="8"/>
      <c r="B25" s="15"/>
      <c r="C25" s="15"/>
      <c r="D25" s="15"/>
      <c r="E25" s="15"/>
      <c r="F25" s="15"/>
      <c r="G25" s="15"/>
      <c r="H25" s="15"/>
      <c r="I25" s="15"/>
      <c r="J25" s="15"/>
      <c r="K25" s="15"/>
      <c r="L25" s="15"/>
      <c r="M25" s="15"/>
      <c r="N25" s="15"/>
      <c r="O25" s="15"/>
      <c r="P25" s="15"/>
      <c r="Q25" s="15"/>
      <c r="R25" s="15"/>
    </row>
    <row r="26" spans="1:20" ht="15.5">
      <c r="A26" s="8"/>
      <c r="B26" s="15"/>
      <c r="C26" s="15"/>
      <c r="D26" s="15"/>
      <c r="E26" s="15"/>
      <c r="F26" s="15"/>
      <c r="G26" s="15"/>
      <c r="H26" s="15"/>
      <c r="I26" s="15"/>
      <c r="J26" s="15"/>
      <c r="K26" s="15"/>
      <c r="L26" s="15"/>
      <c r="M26" s="15"/>
      <c r="N26" s="15"/>
      <c r="O26" s="15"/>
      <c r="P26" s="15"/>
      <c r="Q26" s="15"/>
      <c r="R26" s="15"/>
    </row>
    <row r="27" spans="1:20" ht="15.5">
      <c r="A27" s="8"/>
      <c r="B27" s="8"/>
      <c r="C27" s="8"/>
      <c r="D27" s="8"/>
      <c r="E27" s="8"/>
      <c r="F27" s="8"/>
      <c r="G27" s="8"/>
      <c r="H27" s="8"/>
      <c r="I27" s="8"/>
      <c r="J27" s="8"/>
      <c r="K27" s="8"/>
      <c r="L27" s="8"/>
      <c r="M27" s="8"/>
      <c r="N27" s="8"/>
      <c r="O27" s="8"/>
      <c r="P27" s="8"/>
      <c r="Q27" s="8"/>
      <c r="R27" s="8"/>
    </row>
    <row r="28" spans="1:20" ht="22.5">
      <c r="A28" s="8"/>
      <c r="B28" s="14" t="s">
        <v>363</v>
      </c>
      <c r="C28" s="15"/>
      <c r="D28" s="15"/>
      <c r="E28" s="15"/>
      <c r="F28" s="16" t="str">
        <f>F8</f>
        <v>Jhon Wesly inc.</v>
      </c>
      <c r="G28" s="15"/>
      <c r="H28" s="15"/>
      <c r="I28" s="15"/>
      <c r="J28" s="15"/>
      <c r="K28" s="15"/>
      <c r="L28" s="15"/>
      <c r="M28" s="15"/>
      <c r="N28" s="15"/>
      <c r="O28" s="15"/>
      <c r="P28" s="15" t="s">
        <v>364</v>
      </c>
      <c r="Q28" s="15"/>
      <c r="R28" s="15"/>
    </row>
    <row r="29" spans="1:20" ht="15.5">
      <c r="A29" s="8"/>
      <c r="B29" s="15"/>
      <c r="C29" s="17"/>
      <c r="D29" s="17"/>
      <c r="E29" s="18">
        <f>E9+366</f>
        <v>45658</v>
      </c>
      <c r="F29" s="18">
        <f>E29+31</f>
        <v>45689</v>
      </c>
      <c r="G29" s="18">
        <f t="shared" ref="G29:P29" si="6">F29+31</f>
        <v>45720</v>
      </c>
      <c r="H29" s="18">
        <f t="shared" si="6"/>
        <v>45751</v>
      </c>
      <c r="I29" s="18">
        <f t="shared" si="6"/>
        <v>45782</v>
      </c>
      <c r="J29" s="18">
        <f t="shared" si="6"/>
        <v>45813</v>
      </c>
      <c r="K29" s="18">
        <f t="shared" si="6"/>
        <v>45844</v>
      </c>
      <c r="L29" s="18">
        <f t="shared" si="6"/>
        <v>45875</v>
      </c>
      <c r="M29" s="18">
        <f t="shared" si="6"/>
        <v>45906</v>
      </c>
      <c r="N29" s="18">
        <f t="shared" si="6"/>
        <v>45937</v>
      </c>
      <c r="O29" s="18">
        <f t="shared" si="6"/>
        <v>45968</v>
      </c>
      <c r="P29" s="19">
        <f t="shared" si="6"/>
        <v>45999</v>
      </c>
      <c r="Q29" s="35" t="s">
        <v>498</v>
      </c>
      <c r="R29" s="17"/>
    </row>
    <row r="30" spans="1:20" ht="15.5">
      <c r="A30" s="8"/>
      <c r="B30" s="15"/>
      <c r="C30" s="21" t="s">
        <v>358</v>
      </c>
      <c r="D30" s="21" t="s">
        <v>359</v>
      </c>
      <c r="E30" s="21" t="s">
        <v>360</v>
      </c>
      <c r="F30" s="21" t="s">
        <v>360</v>
      </c>
      <c r="G30" s="21" t="s">
        <v>360</v>
      </c>
      <c r="H30" s="21" t="s">
        <v>360</v>
      </c>
      <c r="I30" s="21" t="s">
        <v>360</v>
      </c>
      <c r="J30" s="21" t="s">
        <v>360</v>
      </c>
      <c r="K30" s="21" t="s">
        <v>360</v>
      </c>
      <c r="L30" s="21" t="s">
        <v>360</v>
      </c>
      <c r="M30" s="21" t="s">
        <v>360</v>
      </c>
      <c r="N30" s="21" t="s">
        <v>360</v>
      </c>
      <c r="O30" s="21" t="s">
        <v>360</v>
      </c>
      <c r="P30" s="21" t="s">
        <v>360</v>
      </c>
      <c r="Q30" s="21" t="s">
        <v>360</v>
      </c>
      <c r="R30" s="17"/>
    </row>
    <row r="31" spans="1:20" ht="15.5">
      <c r="A31" s="8"/>
      <c r="B31" s="23" t="str">
        <f>'RH2'!B20</f>
        <v>Poste MOD 1 - Actionnaire</v>
      </c>
      <c r="C31" s="36">
        <f>'RH2'!O20</f>
        <v>11.475</v>
      </c>
      <c r="D31" s="23">
        <f>'RH2'!Y20</f>
        <v>0</v>
      </c>
      <c r="E31" s="4">
        <f>INT('RH2'!$Z20*'RH2'!$O$15)*$D31*'RH2'!C20</f>
        <v>0</v>
      </c>
      <c r="F31" s="4">
        <f>INT('RH2'!$Z20*'RH1'!$O$15)*$D31*'RH2'!D20</f>
        <v>0</v>
      </c>
      <c r="G31" s="4">
        <f>INT('RH2'!$Z20*'RH1'!$O$15)*$D31*'RH2'!E20</f>
        <v>0</v>
      </c>
      <c r="H31" s="4">
        <f>INT('RH2'!$Z20*'RH1'!$O$15)*$D31*'RH2'!F20</f>
        <v>0</v>
      </c>
      <c r="I31" s="4">
        <f>INT('RH2'!$Z20*'RH1'!$O$15)*$D31*'RH2'!G20</f>
        <v>0</v>
      </c>
      <c r="J31" s="4">
        <f>INT('RH2'!$Z20*'RH1'!$O$15)*$D31*'RH2'!H20</f>
        <v>0</v>
      </c>
      <c r="K31" s="4">
        <f>INT('RH2'!$Z20*'RH1'!$O$15)*$D31*'RH2'!I20</f>
        <v>0</v>
      </c>
      <c r="L31" s="4">
        <f>INT('RH2'!$Z20*'RH1'!$O$15)*$D31*'RH2'!J20</f>
        <v>0</v>
      </c>
      <c r="M31" s="4">
        <f>INT('RH2'!$Z20*'RH1'!$O$15)*$D31*'RH2'!K20</f>
        <v>0</v>
      </c>
      <c r="N31" s="4">
        <f>INT('RH2'!$Z20*'RH1'!$O$15)*$D31*'RH2'!L20</f>
        <v>0</v>
      </c>
      <c r="O31" s="4">
        <f>INT('RH2'!$Z20*'RH1'!$O$15)*$D31*'RH2'!M20</f>
        <v>0</v>
      </c>
      <c r="P31" s="4">
        <f>INT('RH2'!$Z20*'RH1'!$O$15)*$D31*'RH2'!N20</f>
        <v>0</v>
      </c>
      <c r="Q31" s="23">
        <f t="shared" ref="Q31:Q43" si="7">SUM(E31:P31)</f>
        <v>0</v>
      </c>
      <c r="R31" s="37">
        <f t="shared" ref="R31:R42" si="8">Q31*$C31</f>
        <v>0</v>
      </c>
      <c r="S31" s="26">
        <f>(P31*T31)-(P31*C31)</f>
        <v>0</v>
      </c>
      <c r="T31" s="26">
        <f>'RH2'!X20</f>
        <v>12.855442500000001</v>
      </c>
    </row>
    <row r="32" spans="1:20" ht="15.5">
      <c r="A32" s="8"/>
      <c r="B32" s="23" t="str">
        <f>'RH2'!B21</f>
        <v>Poste MOD 2 - Actionnaire</v>
      </c>
      <c r="C32" s="36">
        <f>'RH2'!O21</f>
        <v>11.475</v>
      </c>
      <c r="D32" s="23">
        <f>'RH2'!Y21</f>
        <v>0</v>
      </c>
      <c r="E32" s="4">
        <f>INT('RH2'!$Z21*'RH1'!$O$15)*$D32*'RH2'!C21</f>
        <v>0</v>
      </c>
      <c r="F32" s="4">
        <f>INT('RH2'!$Z21*'RH1'!$O$15)*$D32*'RH2'!D21</f>
        <v>0</v>
      </c>
      <c r="G32" s="4">
        <f>INT('RH2'!$Z21*'RH1'!$O$15)*$D32*'RH2'!E21</f>
        <v>0</v>
      </c>
      <c r="H32" s="4">
        <f>INT('RH2'!$Z21*'RH1'!$O$15)*$D32*'RH2'!F21</f>
        <v>0</v>
      </c>
      <c r="I32" s="4">
        <f>INT('RH2'!$Z21*'RH1'!$O$15)*$D32*'RH2'!G21</f>
        <v>0</v>
      </c>
      <c r="J32" s="4">
        <f>INT('RH2'!$Z21*'RH1'!$O$15)*$D32*'RH2'!H21</f>
        <v>0</v>
      </c>
      <c r="K32" s="4">
        <f>INT('RH2'!$Z21*'RH1'!$O$15)*$D32*'RH2'!I21</f>
        <v>0</v>
      </c>
      <c r="L32" s="4">
        <f>INT('RH2'!$Z21*'RH1'!$O$15)*$D32*'RH2'!J21</f>
        <v>0</v>
      </c>
      <c r="M32" s="4">
        <f>INT('RH2'!$Z21*'RH1'!$O$15)*$D32*'RH2'!K21</f>
        <v>0</v>
      </c>
      <c r="N32" s="4">
        <f>INT('RH2'!$Z21*'RH1'!$O$15)*$D32*'RH2'!L21</f>
        <v>0</v>
      </c>
      <c r="O32" s="4">
        <f>INT('RH2'!$Z21*'RH1'!$O$15)*$D32*'RH2'!M21</f>
        <v>0</v>
      </c>
      <c r="P32" s="4">
        <f>INT('RH2'!$Z21*'RH1'!$O$15)*$D32*'RH2'!N21</f>
        <v>0</v>
      </c>
      <c r="Q32" s="23">
        <f t="shared" si="7"/>
        <v>0</v>
      </c>
      <c r="R32" s="37">
        <f t="shared" si="8"/>
        <v>0</v>
      </c>
      <c r="S32" s="26">
        <f t="shared" ref="S32:S42" si="9">(P32*T32)-(P32*C32)</f>
        <v>0</v>
      </c>
      <c r="T32" s="26">
        <f>'RH2'!X21</f>
        <v>12.855442500000001</v>
      </c>
    </row>
    <row r="33" spans="1:20" ht="15.5">
      <c r="A33" s="8"/>
      <c r="B33" s="23" t="str">
        <f>'RH2'!B22</f>
        <v>Poste MOD 3</v>
      </c>
      <c r="C33" s="36">
        <f>'RH2'!O22</f>
        <v>11.475</v>
      </c>
      <c r="D33" s="23">
        <f>'RH2'!Y22</f>
        <v>0</v>
      </c>
      <c r="E33" s="4">
        <f>INT('RH2'!$Z22*'RH1'!$O$15)*$D33*'RH2'!C22</f>
        <v>0</v>
      </c>
      <c r="F33" s="4">
        <f>INT('RH2'!$Z22*'RH1'!$O$15)*$D33*'RH2'!D22</f>
        <v>0</v>
      </c>
      <c r="G33" s="4">
        <f>INT('RH2'!$Z22*'RH1'!$O$15)*$D33*'RH2'!E22</f>
        <v>0</v>
      </c>
      <c r="H33" s="4">
        <f>INT('RH2'!$Z22*'RH1'!$O$15)*$D33*'RH2'!F22</f>
        <v>0</v>
      </c>
      <c r="I33" s="4">
        <f>INT('RH2'!$Z22*'RH1'!$O$15)*$D33*'RH2'!G22</f>
        <v>0</v>
      </c>
      <c r="J33" s="4">
        <f>INT('RH2'!$Z22*'RH1'!$O$15)*$D33*'RH2'!H22</f>
        <v>0</v>
      </c>
      <c r="K33" s="4">
        <f>INT('RH2'!$Z22*'RH1'!$O$15)*$D33*'RH2'!I22</f>
        <v>0</v>
      </c>
      <c r="L33" s="4">
        <f>INT('RH2'!$Z22*'RH1'!$O$15)*$D33*'RH2'!J22</f>
        <v>0</v>
      </c>
      <c r="M33" s="4">
        <f>INT('RH2'!$Z22*'RH1'!$O$15)*$D33*'RH2'!K22</f>
        <v>0</v>
      </c>
      <c r="N33" s="4">
        <f>INT('RH2'!$Z22*'RH1'!$O$15)*$D33*'RH2'!L22</f>
        <v>0</v>
      </c>
      <c r="O33" s="4">
        <f>INT('RH2'!$Z22*'RH1'!$O$15)*$D33*'RH2'!M22</f>
        <v>0</v>
      </c>
      <c r="P33" s="4">
        <f>INT('RH2'!$Z22*'RH1'!$O$15)*$D33*'RH2'!N22</f>
        <v>0</v>
      </c>
      <c r="Q33" s="23">
        <f t="shared" si="7"/>
        <v>0</v>
      </c>
      <c r="R33" s="37">
        <f t="shared" si="8"/>
        <v>0</v>
      </c>
      <c r="S33" s="26">
        <f t="shared" si="9"/>
        <v>0</v>
      </c>
      <c r="T33" s="26">
        <f>'RH2'!X22</f>
        <v>14.358667500000001</v>
      </c>
    </row>
    <row r="34" spans="1:20" ht="15.5">
      <c r="A34" s="8"/>
      <c r="B34" s="23" t="str">
        <f>'RH2'!B23</f>
        <v>Poste MOD 4</v>
      </c>
      <c r="C34" s="36">
        <f>'RH2'!O23</f>
        <v>11.475</v>
      </c>
      <c r="D34" s="23">
        <f>'RH2'!Y23</f>
        <v>0</v>
      </c>
      <c r="E34" s="4">
        <f>INT('RH2'!$Z23*'RH1'!$O$15)*$D34*'RH2'!C23</f>
        <v>0</v>
      </c>
      <c r="F34" s="4">
        <f>INT('RH2'!$Z23*'RH1'!$O$15)*$D34*'RH2'!D23</f>
        <v>0</v>
      </c>
      <c r="G34" s="4">
        <f>INT('RH2'!$Z23*'RH1'!$O$15)*$D34*'RH2'!E23</f>
        <v>0</v>
      </c>
      <c r="H34" s="4">
        <f>INT('RH2'!$Z23*'RH1'!$O$15)*$D34*'RH2'!F23</f>
        <v>0</v>
      </c>
      <c r="I34" s="4">
        <f>INT('RH2'!$Z23*'RH1'!$O$15)*$D34*'RH2'!G23</f>
        <v>0</v>
      </c>
      <c r="J34" s="4">
        <f>INT('RH2'!$Z23*'RH1'!$O$15)*$D34*'RH2'!H23</f>
        <v>0</v>
      </c>
      <c r="K34" s="4">
        <f>INT('RH2'!$Z23*'RH1'!$O$15)*$D34*'RH2'!I23</f>
        <v>0</v>
      </c>
      <c r="L34" s="4">
        <f>INT('RH2'!$Z23*'RH1'!$O$15)*$D34*'RH2'!J23</f>
        <v>0</v>
      </c>
      <c r="M34" s="4">
        <f>INT('RH2'!$Z23*'RH1'!$O$15)*$D34*'RH2'!K23</f>
        <v>0</v>
      </c>
      <c r="N34" s="4">
        <f>INT('RH2'!$Z23*'RH1'!$O$15)*$D34*'RH2'!L23</f>
        <v>0</v>
      </c>
      <c r="O34" s="4">
        <f>INT('RH2'!$Z23*'RH1'!$O$15)*$D34*'RH2'!M23</f>
        <v>0</v>
      </c>
      <c r="P34" s="4">
        <f>INT('RH2'!$Z23*'RH1'!$O$15)*$D34*'RH2'!N23</f>
        <v>0</v>
      </c>
      <c r="Q34" s="23">
        <f t="shared" si="7"/>
        <v>0</v>
      </c>
      <c r="R34" s="37">
        <f t="shared" si="8"/>
        <v>0</v>
      </c>
      <c r="S34" s="26">
        <f t="shared" si="9"/>
        <v>0</v>
      </c>
      <c r="T34" s="26">
        <f>'RH2'!X23</f>
        <v>14.358667500000001</v>
      </c>
    </row>
    <row r="35" spans="1:20" ht="15.5">
      <c r="A35" s="8"/>
      <c r="B35" s="23" t="str">
        <f>'RH2'!B24</f>
        <v>Poste MOD 5</v>
      </c>
      <c r="C35" s="36">
        <f>'RH2'!O24</f>
        <v>11.475</v>
      </c>
      <c r="D35" s="23">
        <f>'RH2'!Y24</f>
        <v>0</v>
      </c>
      <c r="E35" s="4">
        <f>INT('RH2'!$Z24*'RH1'!$O$15)*$D35*'RH2'!C24</f>
        <v>0</v>
      </c>
      <c r="F35" s="4">
        <f>INT('RH2'!$Z24*'RH1'!$O$15)*$D35*'RH2'!D24</f>
        <v>0</v>
      </c>
      <c r="G35" s="4">
        <f>INT('RH2'!$Z24*'RH1'!$O$15)*$D35*'RH2'!E24</f>
        <v>0</v>
      </c>
      <c r="H35" s="4">
        <f>INT('RH2'!$Z24*'RH1'!$O$15)*$D35*'RH2'!F24</f>
        <v>0</v>
      </c>
      <c r="I35" s="4">
        <f>INT('RH2'!$Z24*'RH1'!$O$15)*$D35*'RH2'!G24</f>
        <v>0</v>
      </c>
      <c r="J35" s="4">
        <f>INT('RH2'!$Z24*'RH1'!$O$15)*$D35*'RH2'!H24</f>
        <v>0</v>
      </c>
      <c r="K35" s="4">
        <f>INT('RH2'!$Z24*'RH1'!$O$15)*$D35*'RH2'!I24</f>
        <v>0</v>
      </c>
      <c r="L35" s="4">
        <f>INT('RH2'!$Z24*'RH1'!$O$15)*$D35*'RH2'!J24</f>
        <v>0</v>
      </c>
      <c r="M35" s="4">
        <f>INT('RH2'!$Z24*'RH1'!$O$15)*$D35*'RH2'!K24</f>
        <v>0</v>
      </c>
      <c r="N35" s="4">
        <f>INT('RH2'!$Z24*'RH1'!$O$15)*$D35*'RH2'!L24</f>
        <v>0</v>
      </c>
      <c r="O35" s="4">
        <f>INT('RH2'!$Z24*'RH1'!$O$15)*$D35*'RH2'!M24</f>
        <v>0</v>
      </c>
      <c r="P35" s="4">
        <f>INT('RH2'!$Z24*'RH1'!$O$15)*$D35*'RH2'!N24</f>
        <v>0</v>
      </c>
      <c r="Q35" s="23">
        <f t="shared" si="7"/>
        <v>0</v>
      </c>
      <c r="R35" s="37">
        <f t="shared" si="8"/>
        <v>0</v>
      </c>
      <c r="S35" s="26">
        <f t="shared" si="9"/>
        <v>0</v>
      </c>
      <c r="T35" s="26">
        <f>'RH2'!X24</f>
        <v>14.358667500000001</v>
      </c>
    </row>
    <row r="36" spans="1:20" ht="15.5">
      <c r="A36" s="8"/>
      <c r="B36" s="23" t="str">
        <f>'RH2'!B25</f>
        <v>Poste MOD 6</v>
      </c>
      <c r="C36" s="36">
        <f>'RH2'!O25</f>
        <v>11.475</v>
      </c>
      <c r="D36" s="23">
        <f>'RH2'!Y25</f>
        <v>0</v>
      </c>
      <c r="E36" s="4">
        <f>INT('RH2'!$Z25*'RH1'!$O$15)*$D36*'RH2'!C25</f>
        <v>0</v>
      </c>
      <c r="F36" s="4">
        <f>INT('RH2'!$Z25*'RH1'!$O$15)*$D36*'RH2'!D25</f>
        <v>0</v>
      </c>
      <c r="G36" s="4">
        <f>INT('RH2'!$Z25*'RH1'!$O$15)*$D36*'RH2'!E25</f>
        <v>0</v>
      </c>
      <c r="H36" s="4">
        <f>INT('RH2'!$Z25*'RH1'!$O$15)*$D36*'RH2'!F25</f>
        <v>0</v>
      </c>
      <c r="I36" s="4">
        <f>INT('RH2'!$Z25*'RH1'!$O$15)*$D36*'RH2'!G25</f>
        <v>0</v>
      </c>
      <c r="J36" s="4">
        <f>INT('RH2'!$Z25*'RH1'!$O$15)*$D36*'RH2'!H25</f>
        <v>0</v>
      </c>
      <c r="K36" s="4">
        <f>INT('RH2'!$Z25*'RH1'!$O$15)*$D36*'RH2'!I25</f>
        <v>0</v>
      </c>
      <c r="L36" s="4">
        <f>INT('RH2'!$Z25*'RH1'!$O$15)*$D36*'RH2'!J25</f>
        <v>0</v>
      </c>
      <c r="M36" s="4">
        <f>INT('RH2'!$Z25*'RH1'!$O$15)*$D36*'RH2'!K25</f>
        <v>0</v>
      </c>
      <c r="N36" s="4">
        <f>INT('RH2'!$Z25*'RH1'!$O$15)*$D36*'RH2'!L25</f>
        <v>0</v>
      </c>
      <c r="O36" s="4">
        <f>INT('RH2'!$Z25*'RH1'!$O$15)*$D36*'RH2'!M25</f>
        <v>0</v>
      </c>
      <c r="P36" s="4">
        <f>INT('RH2'!$Z25*'RH1'!$O$15)*$D36*'RH2'!N25</f>
        <v>0</v>
      </c>
      <c r="Q36" s="23">
        <f t="shared" si="7"/>
        <v>0</v>
      </c>
      <c r="R36" s="37">
        <f t="shared" si="8"/>
        <v>0</v>
      </c>
      <c r="S36" s="26">
        <f t="shared" si="9"/>
        <v>0</v>
      </c>
      <c r="T36" s="26">
        <f>'RH2'!X25</f>
        <v>14.358667500000001</v>
      </c>
    </row>
    <row r="37" spans="1:20" ht="15.5">
      <c r="A37" s="8"/>
      <c r="B37" s="23" t="str">
        <f>'RH2'!B26</f>
        <v>Poste MOD 7</v>
      </c>
      <c r="C37" s="36">
        <f>'RH2'!O26</f>
        <v>11.475</v>
      </c>
      <c r="D37" s="23">
        <f>'RH2'!Y26</f>
        <v>0</v>
      </c>
      <c r="E37" s="4">
        <f>INT('RH2'!$Z26*'RH1'!$O$15)*$D37*'RH2'!C26</f>
        <v>0</v>
      </c>
      <c r="F37" s="4">
        <f>INT('RH2'!$Z26*'RH1'!$O$15)*$D37*'RH2'!D26</f>
        <v>0</v>
      </c>
      <c r="G37" s="4">
        <f>INT('RH2'!$Z26*'RH1'!$O$15)*$D37*'RH2'!E26</f>
        <v>0</v>
      </c>
      <c r="H37" s="4">
        <f>INT('RH2'!$Z26*'RH1'!$O$15)*$D37*'RH2'!F26</f>
        <v>0</v>
      </c>
      <c r="I37" s="4">
        <f>INT('RH2'!$Z26*'RH1'!$O$15)*$D37*'RH2'!G26</f>
        <v>0</v>
      </c>
      <c r="J37" s="4">
        <f>INT('RH2'!$Z26*'RH1'!$O$15)*$D37*'RH2'!H26</f>
        <v>0</v>
      </c>
      <c r="K37" s="4">
        <f>INT('RH2'!$Z26*'RH1'!$O$15)*$D37*'RH2'!I26</f>
        <v>0</v>
      </c>
      <c r="L37" s="4">
        <f>INT('RH2'!$Z26*'RH1'!$O$15)*$D37*'RH2'!J26</f>
        <v>0</v>
      </c>
      <c r="M37" s="4">
        <f>INT('RH2'!$Z26*'RH1'!$O$15)*$D37*'RH2'!K26</f>
        <v>0</v>
      </c>
      <c r="N37" s="4">
        <f>INT('RH2'!$Z26*'RH1'!$O$15)*$D37*'RH2'!L26</f>
        <v>0</v>
      </c>
      <c r="O37" s="4">
        <f>INT('RH2'!$Z26*'RH1'!$O$15)*$D37*'RH2'!M26</f>
        <v>0</v>
      </c>
      <c r="P37" s="4">
        <f>INT('RH2'!$Z26*'RH1'!$O$15)*$D37*'RH2'!N26</f>
        <v>0</v>
      </c>
      <c r="Q37" s="23">
        <f t="shared" si="7"/>
        <v>0</v>
      </c>
      <c r="R37" s="37">
        <f t="shared" si="8"/>
        <v>0</v>
      </c>
      <c r="S37" s="26">
        <f t="shared" si="9"/>
        <v>0</v>
      </c>
      <c r="T37" s="26">
        <f>'RH2'!X26</f>
        <v>14.358667500000001</v>
      </c>
    </row>
    <row r="38" spans="1:20" ht="15.5">
      <c r="A38" s="8"/>
      <c r="B38" s="23" t="str">
        <f>'RH2'!B27</f>
        <v>Poste MOD 8</v>
      </c>
      <c r="C38" s="36">
        <f>'RH2'!O27</f>
        <v>11.475</v>
      </c>
      <c r="D38" s="23">
        <f>'RH2'!Y27</f>
        <v>0</v>
      </c>
      <c r="E38" s="4">
        <f>INT('RH2'!$Z27*'RH1'!$O$15)*$D38*'RH2'!C27</f>
        <v>0</v>
      </c>
      <c r="F38" s="4">
        <f>INT('RH2'!$Z27*'RH1'!$O$15)*$D38*'RH2'!D27</f>
        <v>0</v>
      </c>
      <c r="G38" s="4">
        <f>INT('RH2'!$Z27*'RH1'!$O$15)*$D38*'RH2'!E27</f>
        <v>0</v>
      </c>
      <c r="H38" s="4">
        <f>INT('RH2'!$Z27*'RH1'!$O$15)*$D38*'RH2'!F27</f>
        <v>0</v>
      </c>
      <c r="I38" s="4">
        <f>INT('RH2'!$Z27*'RH1'!$O$15)*$D38*'RH2'!G27</f>
        <v>0</v>
      </c>
      <c r="J38" s="4">
        <f>INT('RH2'!$Z27*'RH1'!$O$15)*$D38*'RH2'!H27</f>
        <v>0</v>
      </c>
      <c r="K38" s="4">
        <f>INT('RH2'!$Z27*'RH1'!$O$15)*$D38*'RH2'!I27</f>
        <v>0</v>
      </c>
      <c r="L38" s="4">
        <f>INT('RH2'!$Z27*'RH1'!$O$15)*$D38*'RH2'!J27</f>
        <v>0</v>
      </c>
      <c r="M38" s="4">
        <f>INT('RH2'!$Z27*'RH1'!$O$15)*$D38*'RH2'!K27</f>
        <v>0</v>
      </c>
      <c r="N38" s="4">
        <f>INT('RH2'!$Z27*'RH1'!$O$15)*$D38*'RH2'!L27</f>
        <v>0</v>
      </c>
      <c r="O38" s="4">
        <f>INT('RH2'!$Z27*'RH1'!$O$15)*$D38*'RH2'!M27</f>
        <v>0</v>
      </c>
      <c r="P38" s="4">
        <f>INT('RH2'!$Z27*'RH1'!$O$15)*$D38*'RH2'!N27</f>
        <v>0</v>
      </c>
      <c r="Q38" s="23">
        <f t="shared" si="7"/>
        <v>0</v>
      </c>
      <c r="R38" s="37">
        <f t="shared" si="8"/>
        <v>0</v>
      </c>
      <c r="S38" s="26">
        <f t="shared" si="9"/>
        <v>0</v>
      </c>
      <c r="T38" s="26">
        <f>'RH2'!X27</f>
        <v>14.358667500000001</v>
      </c>
    </row>
    <row r="39" spans="1:20" ht="15.5">
      <c r="A39" s="8"/>
      <c r="B39" s="23" t="str">
        <f>'RH2'!B28</f>
        <v>Poste ADM 1 - Actionnaire</v>
      </c>
      <c r="C39" s="36">
        <f>'RH2'!O28</f>
        <v>11.475</v>
      </c>
      <c r="D39" s="23">
        <f>'RH2'!Y28</f>
        <v>0</v>
      </c>
      <c r="E39" s="4">
        <f>INT('RH2'!$Z28*'RH1'!$O$15)*$D39*'RH2'!C28</f>
        <v>0</v>
      </c>
      <c r="F39" s="4">
        <f>INT('RH2'!$Z28*'RH1'!$O$15)*$D39*'RH2'!D28</f>
        <v>0</v>
      </c>
      <c r="G39" s="4">
        <f>INT('RH2'!$Z28*'RH1'!$O$15)*$D39*'RH2'!E28</f>
        <v>0</v>
      </c>
      <c r="H39" s="4">
        <f>INT('RH2'!$Z28*'RH1'!$O$15)*$D39*'RH2'!F28</f>
        <v>0</v>
      </c>
      <c r="I39" s="4">
        <f>INT('RH2'!$Z28*'RH1'!$O$15)*$D39*'RH2'!G28</f>
        <v>0</v>
      </c>
      <c r="J39" s="4">
        <f>INT('RH2'!$Z28*'RH1'!$O$15)*$D39*'RH2'!H28</f>
        <v>0</v>
      </c>
      <c r="K39" s="4">
        <f>INT('RH2'!$Z28*'RH1'!$O$15)*$D39*'RH2'!I28</f>
        <v>0</v>
      </c>
      <c r="L39" s="4">
        <f>INT('RH2'!$Z28*'RH1'!$O$15)*$D39*'RH2'!J28</f>
        <v>0</v>
      </c>
      <c r="M39" s="4">
        <f>INT('RH2'!$Z28*'RH1'!$O$15)*$D39*'RH2'!K28</f>
        <v>0</v>
      </c>
      <c r="N39" s="4">
        <f>INT('RH2'!$Z28*'RH1'!$O$15)*$D39*'RH2'!L28</f>
        <v>0</v>
      </c>
      <c r="O39" s="4">
        <f>INT('RH2'!$Z28*'RH1'!$O$15)*$D39*'RH2'!M28</f>
        <v>0</v>
      </c>
      <c r="P39" s="4">
        <f>INT('RH2'!$Z28*'RH1'!$O$15)*$D39*'RH2'!N28</f>
        <v>0</v>
      </c>
      <c r="Q39" s="23">
        <f t="shared" si="7"/>
        <v>0</v>
      </c>
      <c r="R39" s="37">
        <f t="shared" si="8"/>
        <v>0</v>
      </c>
      <c r="S39" s="26">
        <f t="shared" si="9"/>
        <v>0</v>
      </c>
      <c r="T39" s="26">
        <f>'RH2'!X28</f>
        <v>12.855442500000001</v>
      </c>
    </row>
    <row r="40" spans="1:20" ht="15.5">
      <c r="A40" s="8"/>
      <c r="B40" s="23" t="str">
        <f>'RH2'!B29</f>
        <v>Poste ADM 2 - Actionnaire</v>
      </c>
      <c r="C40" s="36">
        <f>'RH2'!O29</f>
        <v>11.475</v>
      </c>
      <c r="D40" s="23">
        <f>'RH2'!Y29</f>
        <v>0</v>
      </c>
      <c r="E40" s="4">
        <f>INT('RH2'!$Z29*'RH1'!$O$15)*$D40*'RH2'!C29</f>
        <v>0</v>
      </c>
      <c r="F40" s="4">
        <f>INT('RH2'!$Z29*'RH1'!$O$15)*$D40*'RH2'!D29</f>
        <v>0</v>
      </c>
      <c r="G40" s="4">
        <f>INT('RH2'!$Z29*'RH1'!$O$15)*$D40*'RH2'!E29</f>
        <v>0</v>
      </c>
      <c r="H40" s="4">
        <f>INT('RH2'!$Z29*'RH1'!$O$15)*$D40*'RH2'!F29</f>
        <v>0</v>
      </c>
      <c r="I40" s="4">
        <f>INT('RH2'!$Z29*'RH1'!$O$15)*$D40*'RH2'!G29</f>
        <v>0</v>
      </c>
      <c r="J40" s="4">
        <f>INT('RH2'!$Z29*'RH1'!$O$15)*$D40*'RH2'!H29</f>
        <v>0</v>
      </c>
      <c r="K40" s="4">
        <f>INT('RH2'!$Z29*'RH1'!$O$15)*$D40*'RH2'!I29</f>
        <v>0</v>
      </c>
      <c r="L40" s="4">
        <f>INT('RH2'!$Z29*'RH1'!$O$15)*$D40*'RH2'!J29</f>
        <v>0</v>
      </c>
      <c r="M40" s="4">
        <f>INT('RH2'!$Z29*'RH1'!$O$15)*$D40*'RH2'!K29</f>
        <v>0</v>
      </c>
      <c r="N40" s="4">
        <f>INT('RH2'!$Z29*'RH1'!$O$15)*$D40*'RH2'!L29</f>
        <v>0</v>
      </c>
      <c r="O40" s="4">
        <f>INT('RH2'!$Z29*'RH1'!$O$15)*$D40*'RH2'!M29</f>
        <v>0</v>
      </c>
      <c r="P40" s="4">
        <f>INT('RH2'!$Z29*'RH1'!$O$15)*$D40*'RH2'!N29</f>
        <v>0</v>
      </c>
      <c r="Q40" s="23">
        <f t="shared" si="7"/>
        <v>0</v>
      </c>
      <c r="R40" s="37">
        <f t="shared" si="8"/>
        <v>0</v>
      </c>
      <c r="S40" s="26">
        <f t="shared" si="9"/>
        <v>0</v>
      </c>
      <c r="T40" s="26">
        <f>'RH2'!X29</f>
        <v>12.855442500000001</v>
      </c>
    </row>
    <row r="41" spans="1:20" ht="15.5">
      <c r="A41" s="8"/>
      <c r="B41" s="23" t="str">
        <f>'RH2'!B30</f>
        <v>Poste administratif 3</v>
      </c>
      <c r="C41" s="36">
        <f>'RH2'!O30</f>
        <v>11.475</v>
      </c>
      <c r="D41" s="23">
        <f>'RH2'!Y30</f>
        <v>0</v>
      </c>
      <c r="E41" s="4">
        <f>INT('RH2'!$Z30*'RH1'!$O$15)*$D41*'RH2'!C30</f>
        <v>0</v>
      </c>
      <c r="F41" s="4">
        <f>INT('RH2'!$Z30*'RH1'!$O$15)*$D41*'RH2'!D30</f>
        <v>0</v>
      </c>
      <c r="G41" s="4">
        <f>INT('RH2'!$Z30*'RH1'!$O$15)*$D41*'RH2'!E30</f>
        <v>0</v>
      </c>
      <c r="H41" s="4">
        <f>INT('RH2'!$Z30*'RH1'!$O$15)*$D41*'RH2'!F30</f>
        <v>0</v>
      </c>
      <c r="I41" s="4">
        <f>INT('RH2'!$Z30*'RH1'!$O$15)*$D41*'RH2'!G30</f>
        <v>0</v>
      </c>
      <c r="J41" s="4">
        <f>INT('RH2'!$Z30*'RH1'!$O$15)*$D41*'RH2'!H30</f>
        <v>0</v>
      </c>
      <c r="K41" s="4">
        <f>INT('RH2'!$Z30*'RH1'!$O$15)*$D41*'RH2'!I30</f>
        <v>0</v>
      </c>
      <c r="L41" s="4">
        <f>INT('RH2'!$Z30*'RH1'!$O$15)*$D41*'RH2'!J30</f>
        <v>0</v>
      </c>
      <c r="M41" s="4">
        <f>INT('RH2'!$Z30*'RH1'!$O$15)*$D41*'RH2'!K30</f>
        <v>0</v>
      </c>
      <c r="N41" s="4">
        <f>INT('RH2'!$Z30*'RH1'!$O$15)*$D41*'RH2'!L30</f>
        <v>0</v>
      </c>
      <c r="O41" s="4">
        <f>INT('RH2'!$Z30*'RH1'!$O$15)*$D41*'RH2'!M30</f>
        <v>0</v>
      </c>
      <c r="P41" s="4">
        <f>INT('RH2'!$Z30*'RH1'!$O$15)*$D41*'RH2'!N30</f>
        <v>0</v>
      </c>
      <c r="Q41" s="23">
        <f t="shared" si="7"/>
        <v>0</v>
      </c>
      <c r="R41" s="37">
        <f t="shared" si="8"/>
        <v>0</v>
      </c>
      <c r="S41" s="26">
        <f t="shared" si="9"/>
        <v>0</v>
      </c>
      <c r="T41" s="26">
        <f>'RH2'!X30</f>
        <v>14.358667500000001</v>
      </c>
    </row>
    <row r="42" spans="1:20" ht="15.5">
      <c r="A42" s="8"/>
      <c r="B42" s="23" t="str">
        <f>'RH2'!B31</f>
        <v>Poste administratif 4</v>
      </c>
      <c r="C42" s="36">
        <f>'RH2'!O31</f>
        <v>20.399999999999999</v>
      </c>
      <c r="D42" s="23">
        <f>'RH2'!Y31</f>
        <v>1</v>
      </c>
      <c r="E42" s="4">
        <f>INT('RH2'!$Z31*'RH1'!$O$15)*$D42*'RH2'!C31</f>
        <v>173</v>
      </c>
      <c r="F42" s="4">
        <f>INT('RH2'!$Z31*'RH1'!$O$15)*$D42*'RH2'!D31</f>
        <v>173</v>
      </c>
      <c r="G42" s="4">
        <f>INT('RH2'!$Z31*'RH1'!$O$15)*$D42*'RH2'!E31</f>
        <v>173</v>
      </c>
      <c r="H42" s="4">
        <f>INT('RH2'!$Z31*'RH1'!$O$15)*$D42*'RH2'!F31</f>
        <v>173</v>
      </c>
      <c r="I42" s="4">
        <f>INT('RH2'!$Z31*'RH1'!$O$15)*$D42*'RH2'!G31</f>
        <v>173</v>
      </c>
      <c r="J42" s="4">
        <f>INT('RH2'!$Z31*'RH1'!$O$15)*$D42*'RH2'!H31</f>
        <v>173</v>
      </c>
      <c r="K42" s="4">
        <f>INT('RH2'!$Z31*'RH1'!$O$15)*$D42*'RH2'!I31</f>
        <v>173</v>
      </c>
      <c r="L42" s="4">
        <f>INT('RH2'!$Z31*'RH1'!$O$15)*$D42*'RH2'!J31</f>
        <v>173</v>
      </c>
      <c r="M42" s="4">
        <f>INT('RH2'!$Z31*'RH1'!$O$15)*$D42*'RH2'!K31</f>
        <v>173</v>
      </c>
      <c r="N42" s="4">
        <f>INT('RH2'!$Z31*'RH1'!$O$15)*$D42*'RH2'!L31</f>
        <v>173</v>
      </c>
      <c r="O42" s="4">
        <f>INT('RH2'!$Z31*'RH1'!$O$15)*$D42*'RH2'!M31</f>
        <v>173</v>
      </c>
      <c r="P42" s="4">
        <f>INT('RH2'!$Z31*'RH1'!$O$15)*$D42*'RH2'!N31</f>
        <v>173</v>
      </c>
      <c r="Q42" s="23">
        <f t="shared" si="7"/>
        <v>2076</v>
      </c>
      <c r="R42" s="37">
        <f t="shared" si="8"/>
        <v>42350.399999999994</v>
      </c>
      <c r="S42" s="26">
        <f t="shared" si="9"/>
        <v>886.88796000000002</v>
      </c>
      <c r="T42" s="26">
        <f>'RH2'!X31</f>
        <v>25.526519999999998</v>
      </c>
    </row>
    <row r="43" spans="1:20" ht="15.5">
      <c r="A43" s="8"/>
      <c r="B43" s="15"/>
      <c r="C43" s="38" t="s">
        <v>361</v>
      </c>
      <c r="D43" s="31">
        <f t="shared" ref="D43:P43" si="10">SUM(D31:D42)</f>
        <v>1</v>
      </c>
      <c r="E43" s="30">
        <f t="shared" si="10"/>
        <v>173</v>
      </c>
      <c r="F43" s="30">
        <f t="shared" si="10"/>
        <v>173</v>
      </c>
      <c r="G43" s="30">
        <f t="shared" si="10"/>
        <v>173</v>
      </c>
      <c r="H43" s="30">
        <f t="shared" si="10"/>
        <v>173</v>
      </c>
      <c r="I43" s="30">
        <f t="shared" si="10"/>
        <v>173</v>
      </c>
      <c r="J43" s="30">
        <f t="shared" si="10"/>
        <v>173</v>
      </c>
      <c r="K43" s="30">
        <f t="shared" si="10"/>
        <v>173</v>
      </c>
      <c r="L43" s="30">
        <f t="shared" si="10"/>
        <v>173</v>
      </c>
      <c r="M43" s="30">
        <f t="shared" si="10"/>
        <v>173</v>
      </c>
      <c r="N43" s="30">
        <f t="shared" si="10"/>
        <v>173</v>
      </c>
      <c r="O43" s="30">
        <f t="shared" si="10"/>
        <v>173</v>
      </c>
      <c r="P43" s="30">
        <f t="shared" si="10"/>
        <v>173</v>
      </c>
      <c r="Q43" s="31">
        <f t="shared" si="7"/>
        <v>2076</v>
      </c>
      <c r="R43" s="15"/>
      <c r="S43" s="26">
        <f>SUM(S31:S42)</f>
        <v>886.88796000000002</v>
      </c>
      <c r="T43" s="26"/>
    </row>
    <row r="44" spans="1:20" ht="15.5">
      <c r="A44" s="8"/>
      <c r="B44" s="15"/>
      <c r="C44" s="39" t="s">
        <v>362</v>
      </c>
      <c r="D44" s="34"/>
      <c r="E44" s="34">
        <f>(E31*$C31)+(E32*$C32)+(E33*$C33)+(E34*$C34)+(E35*$C35)+(E36*$C36)+(E37*$C37)+(E38*$C38)+(E39*$C39)+(E40*$C40)+(E41*$C41)+(E42*$C42)</f>
        <v>3529.2</v>
      </c>
      <c r="F44" s="34">
        <f t="shared" ref="F44:P44" si="11">(F31*$C31)+(F32*$C32)+(F33*$C33)+(F34*$C34)+(F35*$C35)+(F36*$C36)+(F37*$C37)+(F38*$C38)+(F39*$C39)+(F40*$C40)+(F41*$C41)+(F42*$C42)</f>
        <v>3529.2</v>
      </c>
      <c r="G44" s="34">
        <f t="shared" si="11"/>
        <v>3529.2</v>
      </c>
      <c r="H44" s="34">
        <f t="shared" si="11"/>
        <v>3529.2</v>
      </c>
      <c r="I44" s="34">
        <f t="shared" si="11"/>
        <v>3529.2</v>
      </c>
      <c r="J44" s="34">
        <f t="shared" si="11"/>
        <v>3529.2</v>
      </c>
      <c r="K44" s="34">
        <f t="shared" si="11"/>
        <v>3529.2</v>
      </c>
      <c r="L44" s="34">
        <f t="shared" si="11"/>
        <v>3529.2</v>
      </c>
      <c r="M44" s="34">
        <f t="shared" si="11"/>
        <v>3529.2</v>
      </c>
      <c r="N44" s="34">
        <f t="shared" si="11"/>
        <v>3529.2</v>
      </c>
      <c r="O44" s="34">
        <f t="shared" si="11"/>
        <v>3529.2</v>
      </c>
      <c r="P44" s="34">
        <f t="shared" si="11"/>
        <v>3529.2</v>
      </c>
      <c r="Q44" s="34">
        <f>(Q31*$C$31)+(Q32*$C32)+(Q33*$C33)+(Q34*$C34)+(Q35*$C35)+(Q36*$C36)+(Q37*$C37)+(Q38*$C38)+(Q39*$C39)+(Q40*$C40)+(Q41*$C41)+(Q42*$C42)</f>
        <v>42350.399999999994</v>
      </c>
      <c r="R44" s="15"/>
      <c r="S44" s="26"/>
      <c r="T44" s="41"/>
    </row>
    <row r="45" spans="1:20" ht="15.5">
      <c r="A45" s="8"/>
      <c r="B45" s="8"/>
      <c r="C45" s="8"/>
      <c r="D45" s="8"/>
      <c r="E45" s="8"/>
      <c r="F45" s="8"/>
      <c r="G45" s="8"/>
      <c r="H45" s="8"/>
      <c r="I45" s="8"/>
      <c r="J45" s="8"/>
      <c r="K45" s="8"/>
      <c r="L45" s="8"/>
      <c r="M45" s="8"/>
      <c r="N45" s="8"/>
      <c r="O45" s="8"/>
      <c r="P45" s="8"/>
      <c r="Q45" s="8"/>
      <c r="R45" s="8"/>
    </row>
    <row r="46" spans="1:20" ht="15.5">
      <c r="A46" s="8"/>
      <c r="B46" s="8"/>
      <c r="C46" s="8"/>
      <c r="D46" s="8"/>
      <c r="E46" s="8"/>
      <c r="F46" s="8"/>
      <c r="G46" s="8"/>
      <c r="H46" s="8"/>
      <c r="I46" s="8"/>
      <c r="J46" s="8"/>
      <c r="K46" s="8"/>
      <c r="L46" s="8"/>
      <c r="M46" s="8"/>
      <c r="N46" s="8"/>
      <c r="O46" s="8"/>
      <c r="P46" s="8"/>
      <c r="Q46" s="8"/>
      <c r="R46" s="8"/>
    </row>
    <row r="47" spans="1:20" ht="22.5">
      <c r="A47" s="8"/>
      <c r="B47" s="14" t="s">
        <v>365</v>
      </c>
      <c r="C47" s="15"/>
      <c r="D47" s="15"/>
      <c r="E47" s="15"/>
      <c r="F47" s="16" t="str">
        <f>F8</f>
        <v>Jhon Wesly inc.</v>
      </c>
      <c r="G47" s="15"/>
      <c r="H47" s="15"/>
      <c r="I47" s="15"/>
      <c r="J47" s="15"/>
      <c r="K47" s="15"/>
      <c r="L47" s="15"/>
      <c r="M47" s="15"/>
      <c r="N47" s="15"/>
      <c r="O47" s="15"/>
      <c r="P47" s="15" t="s">
        <v>366</v>
      </c>
      <c r="Q47" s="15"/>
      <c r="R47" s="15"/>
    </row>
    <row r="48" spans="1:20" ht="15.5">
      <c r="A48" s="8"/>
      <c r="B48" s="15"/>
      <c r="C48" s="17"/>
      <c r="D48" s="17"/>
      <c r="E48" s="18">
        <f>E29+366</f>
        <v>46024</v>
      </c>
      <c r="F48" s="18">
        <f>E48+31</f>
        <v>46055</v>
      </c>
      <c r="G48" s="18">
        <f t="shared" ref="G48:P48" si="12">F48+31</f>
        <v>46086</v>
      </c>
      <c r="H48" s="18">
        <f t="shared" si="12"/>
        <v>46117</v>
      </c>
      <c r="I48" s="18">
        <f t="shared" si="12"/>
        <v>46148</v>
      </c>
      <c r="J48" s="18">
        <f t="shared" si="12"/>
        <v>46179</v>
      </c>
      <c r="K48" s="18">
        <f t="shared" si="12"/>
        <v>46210</v>
      </c>
      <c r="L48" s="18">
        <f t="shared" si="12"/>
        <v>46241</v>
      </c>
      <c r="M48" s="18">
        <f t="shared" si="12"/>
        <v>46272</v>
      </c>
      <c r="N48" s="18">
        <f t="shared" si="12"/>
        <v>46303</v>
      </c>
      <c r="O48" s="18">
        <f t="shared" si="12"/>
        <v>46334</v>
      </c>
      <c r="P48" s="19">
        <f t="shared" si="12"/>
        <v>46365</v>
      </c>
      <c r="Q48" s="35" t="s">
        <v>498</v>
      </c>
      <c r="R48" s="17"/>
    </row>
    <row r="49" spans="1:21" ht="15.5">
      <c r="A49" s="8"/>
      <c r="B49" s="15"/>
      <c r="C49" s="21" t="s">
        <v>358</v>
      </c>
      <c r="D49" s="21" t="s">
        <v>359</v>
      </c>
      <c r="E49" s="21" t="s">
        <v>360</v>
      </c>
      <c r="F49" s="21" t="s">
        <v>360</v>
      </c>
      <c r="G49" s="21" t="s">
        <v>360</v>
      </c>
      <c r="H49" s="21" t="s">
        <v>360</v>
      </c>
      <c r="I49" s="21" t="s">
        <v>360</v>
      </c>
      <c r="J49" s="21" t="s">
        <v>360</v>
      </c>
      <c r="K49" s="21" t="s">
        <v>360</v>
      </c>
      <c r="L49" s="21" t="s">
        <v>360</v>
      </c>
      <c r="M49" s="21" t="s">
        <v>360</v>
      </c>
      <c r="N49" s="21" t="s">
        <v>360</v>
      </c>
      <c r="O49" s="21" t="s">
        <v>360</v>
      </c>
      <c r="P49" s="21" t="s">
        <v>360</v>
      </c>
      <c r="Q49" s="21" t="s">
        <v>360</v>
      </c>
      <c r="R49" s="17"/>
    </row>
    <row r="50" spans="1:21" ht="15.5">
      <c r="A50" s="8"/>
      <c r="B50" s="23" t="str">
        <f>'RH3'!B20</f>
        <v>Poste MOD 1 - Actionnaire</v>
      </c>
      <c r="C50" s="36">
        <f>'RH3'!O20</f>
        <v>11.704499999999999</v>
      </c>
      <c r="D50" s="23">
        <f>'RH3'!Y20</f>
        <v>0</v>
      </c>
      <c r="E50" s="4">
        <f>INT(+'RH3'!$Z20*'RH3'!$O$15)*$D50*'RH3'!C20</f>
        <v>0</v>
      </c>
      <c r="F50" s="4">
        <f>INT(+'RH3'!$Z20*'RH1'!$O$15)*$D50*'RH3'!D20</f>
        <v>0</v>
      </c>
      <c r="G50" s="4">
        <f>INT(+'RH3'!$Z20*'RH1'!$O$15)*$D50*'RH3'!E20</f>
        <v>0</v>
      </c>
      <c r="H50" s="4">
        <f>INT(+'RH3'!$Z20*'RH1'!$O$15)*$D50*'RH3'!F20</f>
        <v>0</v>
      </c>
      <c r="I50" s="4">
        <f>INT(+'RH3'!$Z20*'RH1'!$O$15)*$D50*'RH3'!G20</f>
        <v>0</v>
      </c>
      <c r="J50" s="4">
        <f>INT(+'RH3'!$Z20*'RH1'!$O$15)*$D50*'RH3'!H20</f>
        <v>0</v>
      </c>
      <c r="K50" s="4">
        <f>INT(+'RH3'!$Z20*'RH1'!$O$15)*$D50*'RH3'!I20</f>
        <v>0</v>
      </c>
      <c r="L50" s="4">
        <f>INT(+'RH3'!$Z20*'RH1'!$O$15)*$D50*'RH3'!J20</f>
        <v>0</v>
      </c>
      <c r="M50" s="4">
        <f>INT(+'RH3'!$Z20*'RH1'!$O$15)*$D50*'RH3'!K20</f>
        <v>0</v>
      </c>
      <c r="N50" s="4">
        <f>INT(+'RH3'!$Z20*'RH1'!$O$15)*$D50*'RH3'!L20</f>
        <v>0</v>
      </c>
      <c r="O50" s="4">
        <f>INT(+'RH3'!$Z20*'RH1'!$O$15)*$D50*'RH3'!M20</f>
        <v>0</v>
      </c>
      <c r="P50" s="4">
        <f>INT(+'RH3'!$Z20*'RH1'!$O$15)*$D50*'RH3'!N20</f>
        <v>0</v>
      </c>
      <c r="Q50" s="23">
        <f t="shared" ref="Q50:Q55" si="13">SUM(E50:P50)</f>
        <v>0</v>
      </c>
      <c r="R50" s="37">
        <f t="shared" ref="R50:R55" si="14">Q50*$C50</f>
        <v>0</v>
      </c>
      <c r="S50" s="26">
        <f>(P50*T50)-(P50*C50)</f>
        <v>0</v>
      </c>
      <c r="T50" s="26">
        <f>'RH3'!X20</f>
        <v>13.11255135</v>
      </c>
    </row>
    <row r="51" spans="1:21" ht="15.5">
      <c r="A51" s="8"/>
      <c r="B51" s="23" t="str">
        <f>'RH3'!B21</f>
        <v>Poste MOD 2 - Actionnaire</v>
      </c>
      <c r="C51" s="36">
        <f>'RH3'!O21</f>
        <v>11.704499999999999</v>
      </c>
      <c r="D51" s="23">
        <f>'RH3'!Y21</f>
        <v>0</v>
      </c>
      <c r="E51" s="4">
        <f>INT(+'RH3'!$Z21*'RH1'!$O$15)*$D51*'RH3'!C21</f>
        <v>0</v>
      </c>
      <c r="F51" s="4">
        <f>INT(+'RH3'!$Z21*'RH1'!$O$15)*$D51*'RH3'!D21</f>
        <v>0</v>
      </c>
      <c r="G51" s="4">
        <f>INT(+'RH3'!$Z21*'RH1'!$O$15)*$D51*'RH3'!E21</f>
        <v>0</v>
      </c>
      <c r="H51" s="4">
        <f>INT(+'RH3'!$Z21*'RH1'!$O$15)*$D51*'RH3'!F21</f>
        <v>0</v>
      </c>
      <c r="I51" s="4">
        <f>INT(+'RH3'!$Z21*'RH1'!$O$15)*$D51*'RH3'!G21</f>
        <v>0</v>
      </c>
      <c r="J51" s="4">
        <f>INT(+'RH3'!$Z21*'RH1'!$O$15)*$D51*'RH3'!H21</f>
        <v>0</v>
      </c>
      <c r="K51" s="4">
        <f>INT(+'RH3'!$Z21*'RH1'!$O$15)*$D51*'RH3'!I21</f>
        <v>0</v>
      </c>
      <c r="L51" s="4">
        <f>INT(+'RH3'!$Z21*'RH1'!$O$15)*$D51*'RH3'!J21</f>
        <v>0</v>
      </c>
      <c r="M51" s="4">
        <f>INT(+'RH3'!$Z21*'RH1'!$O$15)*$D51*'RH3'!K21</f>
        <v>0</v>
      </c>
      <c r="N51" s="4">
        <f>INT(+'RH3'!$Z21*'RH1'!$O$15)*$D51*'RH3'!L21</f>
        <v>0</v>
      </c>
      <c r="O51" s="4">
        <f>INT(+'RH3'!$Z21*'RH1'!$O$15)*$D51*'RH3'!M21</f>
        <v>0</v>
      </c>
      <c r="P51" s="4">
        <f>INT(+'RH3'!$Z21*'RH1'!$O$15)*$D51*'RH3'!N21</f>
        <v>0</v>
      </c>
      <c r="Q51" s="23">
        <f t="shared" si="13"/>
        <v>0</v>
      </c>
      <c r="R51" s="37">
        <f t="shared" si="14"/>
        <v>0</v>
      </c>
      <c r="S51" s="26">
        <f t="shared" ref="S51:S61" si="15">(P51*T51)-(P51*C51)</f>
        <v>0</v>
      </c>
      <c r="T51" s="26">
        <f>'RH3'!X21</f>
        <v>13.11255135</v>
      </c>
    </row>
    <row r="52" spans="1:21" ht="15.5">
      <c r="A52" s="8"/>
      <c r="B52" s="23" t="str">
        <f>'RH3'!B22</f>
        <v>Poste MOD 3</v>
      </c>
      <c r="C52" s="36">
        <f>'RH3'!O22</f>
        <v>11.704499999999999</v>
      </c>
      <c r="D52" s="23">
        <f>'RH3'!Y22</f>
        <v>0</v>
      </c>
      <c r="E52" s="4">
        <f>INT(+'RH3'!$Z22*'RH1'!$O$15)*$D52*'RH3'!C22</f>
        <v>0</v>
      </c>
      <c r="F52" s="4">
        <f>INT(+'RH3'!$Z22*'RH1'!$O$15)*$D52*'RH3'!D22</f>
        <v>0</v>
      </c>
      <c r="G52" s="4">
        <f>INT(+'RH3'!$Z22*'RH1'!$O$15)*$D52*'RH3'!E22</f>
        <v>0</v>
      </c>
      <c r="H52" s="4">
        <f>INT(+'RH3'!$Z22*'RH1'!$O$15)*$D52*'RH3'!F22</f>
        <v>0</v>
      </c>
      <c r="I52" s="4">
        <f>INT(+'RH3'!$Z22*'RH1'!$O$15)*$D52*'RH3'!G22</f>
        <v>0</v>
      </c>
      <c r="J52" s="4">
        <f>INT(+'RH3'!$Z22*'RH1'!$O$15)*$D52*'RH3'!H22</f>
        <v>0</v>
      </c>
      <c r="K52" s="4">
        <f>INT(+'RH3'!$Z22*'RH1'!$O$15)*$D52*'RH3'!I22</f>
        <v>0</v>
      </c>
      <c r="L52" s="4">
        <f>INT(+'RH3'!$Z22*'RH1'!$O$15)*$D52*'RH3'!J22</f>
        <v>0</v>
      </c>
      <c r="M52" s="4">
        <f>INT(+'RH3'!$Z22*'RH1'!$O$15)*$D52*'RH3'!K22</f>
        <v>0</v>
      </c>
      <c r="N52" s="4">
        <f>INT(+'RH3'!$Z22*'RH1'!$O$15)*$D52*'RH3'!L22</f>
        <v>0</v>
      </c>
      <c r="O52" s="4">
        <f>INT(+'RH3'!$Z22*'RH1'!$O$15)*$D52*'RH3'!M22</f>
        <v>0</v>
      </c>
      <c r="P52" s="4">
        <f>INT(+'RH3'!$Z22*'RH1'!$O$15)*$D52*'RH3'!N22</f>
        <v>0</v>
      </c>
      <c r="Q52" s="23">
        <f t="shared" si="13"/>
        <v>0</v>
      </c>
      <c r="R52" s="37">
        <f t="shared" si="14"/>
        <v>0</v>
      </c>
      <c r="S52" s="26">
        <f t="shared" si="15"/>
        <v>0</v>
      </c>
      <c r="T52" s="26">
        <f>'RH3'!X22</f>
        <v>14.645840850000001</v>
      </c>
    </row>
    <row r="53" spans="1:21" ht="15.5">
      <c r="A53" s="8"/>
      <c r="B53" s="23" t="str">
        <f>'RH3'!B23</f>
        <v>Poste MOD 4</v>
      </c>
      <c r="C53" s="36">
        <f>'RH3'!O23</f>
        <v>11.704499999999999</v>
      </c>
      <c r="D53" s="23">
        <f>'RH3'!Y23</f>
        <v>0</v>
      </c>
      <c r="E53" s="4">
        <f>INT(+'RH3'!$Z23*'RH1'!$O$15)*$D53*'RH3'!C23</f>
        <v>0</v>
      </c>
      <c r="F53" s="4">
        <f>INT(+'RH3'!$Z23*'RH1'!$O$15)*$D53*'RH3'!D23</f>
        <v>0</v>
      </c>
      <c r="G53" s="4">
        <f>INT(+'RH3'!$Z23*'RH1'!$O$15)*$D53*'RH3'!E23</f>
        <v>0</v>
      </c>
      <c r="H53" s="4">
        <f>INT(+'RH3'!$Z23*'RH1'!$O$15)*$D53*'RH3'!F23</f>
        <v>0</v>
      </c>
      <c r="I53" s="4">
        <f>INT(+'RH3'!$Z23*'RH1'!$O$15)*$D53*'RH3'!G23</f>
        <v>0</v>
      </c>
      <c r="J53" s="4">
        <f>INT(+'RH3'!$Z23*'RH1'!$O$15)*$D53*'RH3'!H23</f>
        <v>0</v>
      </c>
      <c r="K53" s="4">
        <f>INT(+'RH3'!$Z23*'RH1'!$O$15)*$D53*'RH3'!I23</f>
        <v>0</v>
      </c>
      <c r="L53" s="4">
        <f>INT(+'RH3'!$Z23*'RH1'!$O$15)*$D53*'RH3'!J23</f>
        <v>0</v>
      </c>
      <c r="M53" s="4">
        <f>INT(+'RH3'!$Z23*'RH1'!$O$15)*$D53*'RH3'!K23</f>
        <v>0</v>
      </c>
      <c r="N53" s="4">
        <f>INT(+'RH3'!$Z23*'RH1'!$O$15)*$D53*'RH3'!L23</f>
        <v>0</v>
      </c>
      <c r="O53" s="4">
        <f>INT(+'RH3'!$Z23*'RH1'!$O$15)*$D53*'RH3'!M23</f>
        <v>0</v>
      </c>
      <c r="P53" s="4">
        <f>INT(+'RH3'!$Z23*'RH1'!$O$15)*$D53*'RH3'!N23</f>
        <v>0</v>
      </c>
      <c r="Q53" s="23">
        <f t="shared" si="13"/>
        <v>0</v>
      </c>
      <c r="R53" s="37">
        <f t="shared" si="14"/>
        <v>0</v>
      </c>
      <c r="S53" s="26">
        <f t="shared" si="15"/>
        <v>0</v>
      </c>
      <c r="T53" s="26">
        <f>'RH3'!X23</f>
        <v>14.645840850000001</v>
      </c>
    </row>
    <row r="54" spans="1:21" ht="15.5">
      <c r="A54" s="8"/>
      <c r="B54" s="23" t="str">
        <f>'RH3'!B24</f>
        <v>Poste MOD 5</v>
      </c>
      <c r="C54" s="36">
        <f>'RH3'!O24</f>
        <v>11.704499999999999</v>
      </c>
      <c r="D54" s="23">
        <f>'RH3'!Y24</f>
        <v>0</v>
      </c>
      <c r="E54" s="4">
        <f>INT(+'RH3'!$Z24*'RH1'!$O$15)*$D54*'RH3'!C24</f>
        <v>0</v>
      </c>
      <c r="F54" s="4">
        <f>INT(+'RH3'!$Z24*'RH1'!$O$15)*$D54*'RH3'!D24</f>
        <v>0</v>
      </c>
      <c r="G54" s="4">
        <f>INT(+'RH3'!$Z24*'RH1'!$O$15)*$D54*'RH3'!E24</f>
        <v>0</v>
      </c>
      <c r="H54" s="4">
        <f>INT(+'RH3'!$Z24*'RH1'!$O$15)*$D54*'RH3'!F24</f>
        <v>0</v>
      </c>
      <c r="I54" s="4">
        <f>INT(+'RH3'!$Z24*'RH1'!$O$15)*$D54*'RH3'!G24</f>
        <v>0</v>
      </c>
      <c r="J54" s="4">
        <f>INT(+'RH3'!$Z24*'RH1'!$O$15)*$D54*'RH3'!H24</f>
        <v>0</v>
      </c>
      <c r="K54" s="4">
        <f>INT(+'RH3'!$Z24*'RH1'!$O$15)*$D54*'RH3'!I24</f>
        <v>0</v>
      </c>
      <c r="L54" s="4">
        <f>INT(+'RH3'!$Z24*'RH1'!$O$15)*$D54*'RH3'!J24</f>
        <v>0</v>
      </c>
      <c r="M54" s="4">
        <f>INT(+'RH3'!$Z24*'RH1'!$O$15)*$D54*'RH3'!K24</f>
        <v>0</v>
      </c>
      <c r="N54" s="4">
        <f>INT(+'RH3'!$Z24*'RH1'!$O$15)*$D54*'RH3'!L24</f>
        <v>0</v>
      </c>
      <c r="O54" s="4">
        <f>INT(+'RH3'!$Z24*'RH1'!$O$15)*$D54*'RH3'!M24</f>
        <v>0</v>
      </c>
      <c r="P54" s="4">
        <f>INT(+'RH3'!$Z24*'RH1'!$O$15)*$D54*'RH3'!N24</f>
        <v>0</v>
      </c>
      <c r="Q54" s="23">
        <f t="shared" si="13"/>
        <v>0</v>
      </c>
      <c r="R54" s="37">
        <f t="shared" si="14"/>
        <v>0</v>
      </c>
      <c r="S54" s="26">
        <f t="shared" si="15"/>
        <v>0</v>
      </c>
      <c r="T54" s="26">
        <f>'RH3'!X24</f>
        <v>14.645840850000001</v>
      </c>
    </row>
    <row r="55" spans="1:21" ht="15.5">
      <c r="A55" s="8"/>
      <c r="B55" s="23" t="str">
        <f>'RH3'!B25</f>
        <v>Poste MOD 6</v>
      </c>
      <c r="C55" s="36">
        <f>'RH3'!O25</f>
        <v>11.704499999999999</v>
      </c>
      <c r="D55" s="23">
        <f>'RH3'!Y25</f>
        <v>0</v>
      </c>
      <c r="E55" s="4">
        <f>INT(+'RH3'!$Z25*'RH1'!$O$15)*$D55*'RH3'!C25</f>
        <v>0</v>
      </c>
      <c r="F55" s="4">
        <f>INT(+'RH3'!$Z25*'RH1'!$O$15)*$D55*'RH3'!D25</f>
        <v>0</v>
      </c>
      <c r="G55" s="4">
        <f>INT(+'RH3'!$Z25*'RH1'!$O$15)*$D55*'RH3'!E25</f>
        <v>0</v>
      </c>
      <c r="H55" s="4">
        <f>INT(+'RH3'!$Z25*'RH1'!$O$15)*$D55*'RH3'!F25</f>
        <v>0</v>
      </c>
      <c r="I55" s="4">
        <f>INT(+'RH3'!$Z25*'RH1'!$O$15)*$D55*'RH3'!G25</f>
        <v>0</v>
      </c>
      <c r="J55" s="4">
        <f>INT(+'RH3'!$Z25*'RH1'!$O$15)*$D55*'RH3'!H25</f>
        <v>0</v>
      </c>
      <c r="K55" s="4">
        <f>INT(+'RH3'!$Z25*'RH1'!$O$15)*$D55*'RH3'!I25</f>
        <v>0</v>
      </c>
      <c r="L55" s="4">
        <f>INT(+'RH3'!$Z25*'RH1'!$O$15)*$D55*'RH3'!J25</f>
        <v>0</v>
      </c>
      <c r="M55" s="4">
        <f>INT(+'RH3'!$Z25*'RH1'!$O$15)*$D55*'RH3'!K25</f>
        <v>0</v>
      </c>
      <c r="N55" s="4">
        <f>INT(+'RH3'!$Z25*'RH1'!$O$15)*$D55*'RH3'!L25</f>
        <v>0</v>
      </c>
      <c r="O55" s="4">
        <f>INT(+'RH3'!$Z25*'RH1'!$O$15)*$D55*'RH3'!M25</f>
        <v>0</v>
      </c>
      <c r="P55" s="4">
        <f>INT(+'RH3'!$Z25*'RH1'!$O$15)*$D55*'RH3'!N25</f>
        <v>0</v>
      </c>
      <c r="Q55" s="23">
        <f t="shared" si="13"/>
        <v>0</v>
      </c>
      <c r="R55" s="37">
        <f t="shared" si="14"/>
        <v>0</v>
      </c>
      <c r="S55" s="26">
        <f t="shared" si="15"/>
        <v>0</v>
      </c>
      <c r="T55" s="26">
        <f>'RH3'!X25</f>
        <v>14.645840850000001</v>
      </c>
      <c r="U55" s="41"/>
    </row>
    <row r="56" spans="1:21" ht="15.5">
      <c r="A56" s="8"/>
      <c r="B56" s="23" t="str">
        <f>'RH3'!B26</f>
        <v>Poste MOD 7</v>
      </c>
      <c r="C56" s="36">
        <f>'RH3'!O26</f>
        <v>11.704499999999999</v>
      </c>
      <c r="D56" s="23">
        <f>'RH3'!Y26</f>
        <v>0</v>
      </c>
      <c r="E56" s="4">
        <f>INT(+'RH3'!$Z26*'RH1'!$O$15)*$D56*'RH3'!C26</f>
        <v>0</v>
      </c>
      <c r="F56" s="4">
        <f>INT(+'RH3'!$Z26*'RH1'!$O$15)*$D56*'RH3'!D26</f>
        <v>0</v>
      </c>
      <c r="G56" s="4">
        <f>INT(+'RH3'!$Z26*'RH1'!$O$15)*$D56*'RH3'!E26</f>
        <v>0</v>
      </c>
      <c r="H56" s="4">
        <f>INT(+'RH3'!$Z26*'RH1'!$O$15)*$D56*'RH3'!F26</f>
        <v>0</v>
      </c>
      <c r="I56" s="4">
        <f>INT(+'RH3'!$Z26*'RH1'!$O$15)*$D56*'RH3'!G26</f>
        <v>0</v>
      </c>
      <c r="J56" s="4">
        <f>INT(+'RH3'!$Z26*'RH1'!$O$15)*$D56*'RH3'!H26</f>
        <v>0</v>
      </c>
      <c r="K56" s="4">
        <f>INT(+'RH3'!$Z26*'RH1'!$O$15)*$D56*'RH3'!I26</f>
        <v>0</v>
      </c>
      <c r="L56" s="4">
        <f>INT(+'RH3'!$Z26*'RH1'!$O$15)*$D56*'RH3'!J26</f>
        <v>0</v>
      </c>
      <c r="M56" s="4">
        <f>INT(+'RH3'!$Z26*'RH1'!$O$15)*$D56*'RH3'!K26</f>
        <v>0</v>
      </c>
      <c r="N56" s="4">
        <f>INT(+'RH3'!$Z26*'RH1'!$O$15)*$D56*'RH3'!L26</f>
        <v>0</v>
      </c>
      <c r="O56" s="4">
        <f>INT(+'RH3'!$Z26*'RH1'!$O$15)*$D56*'RH3'!M26</f>
        <v>0</v>
      </c>
      <c r="P56" s="4">
        <f>INT(+'RH3'!$Z26*'RH1'!$O$15)*$D56*'RH3'!N26</f>
        <v>0</v>
      </c>
      <c r="Q56" s="23">
        <f t="shared" ref="Q56:Q61" si="16">SUM(E56:P56)</f>
        <v>0</v>
      </c>
      <c r="R56" s="37">
        <f t="shared" ref="R56:R61" si="17">Q56*$C56</f>
        <v>0</v>
      </c>
      <c r="S56" s="26">
        <f t="shared" si="15"/>
        <v>0</v>
      </c>
      <c r="T56" s="26">
        <f>'RH3'!X26</f>
        <v>14.645840850000001</v>
      </c>
    </row>
    <row r="57" spans="1:21" ht="15.5">
      <c r="A57" s="8"/>
      <c r="B57" s="23" t="str">
        <f>'RH3'!B27</f>
        <v>Poste MOD 8</v>
      </c>
      <c r="C57" s="36">
        <f>'RH3'!O27</f>
        <v>11.704499999999999</v>
      </c>
      <c r="D57" s="23">
        <f>'RH3'!Y27</f>
        <v>0</v>
      </c>
      <c r="E57" s="4">
        <f>INT(+'RH3'!$Z27*'RH1'!$O$15)*$D57*'RH3'!C27</f>
        <v>0</v>
      </c>
      <c r="F57" s="4">
        <f>INT(+'RH3'!$Z27*'RH1'!$O$15)*$D57*'RH3'!D27</f>
        <v>0</v>
      </c>
      <c r="G57" s="4">
        <f>INT(+'RH3'!$Z27*'RH1'!$O$15)*$D57*'RH3'!E27</f>
        <v>0</v>
      </c>
      <c r="H57" s="4">
        <f>INT(+'RH3'!$Z27*'RH1'!$O$15)*$D57*'RH3'!F27</f>
        <v>0</v>
      </c>
      <c r="I57" s="4">
        <f>INT(+'RH3'!$Z27*'RH1'!$O$15)*$D57*'RH3'!G27</f>
        <v>0</v>
      </c>
      <c r="J57" s="4">
        <f>INT(+'RH3'!$Z27*'RH1'!$O$15)*$D57*'RH3'!H27</f>
        <v>0</v>
      </c>
      <c r="K57" s="4">
        <f>INT(+'RH3'!$Z27*'RH1'!$O$15)*$D57*'RH3'!I27</f>
        <v>0</v>
      </c>
      <c r="L57" s="4">
        <f>INT(+'RH3'!$Z27*'RH1'!$O$15)*$D57*'RH3'!J27</f>
        <v>0</v>
      </c>
      <c r="M57" s="4">
        <f>INT(+'RH3'!$Z27*'RH1'!$O$15)*$D57*'RH3'!K27</f>
        <v>0</v>
      </c>
      <c r="N57" s="4">
        <f>INT(+'RH3'!$Z27*'RH1'!$O$15)*$D57*'RH3'!L27</f>
        <v>0</v>
      </c>
      <c r="O57" s="4">
        <f>INT(+'RH3'!$Z27*'RH1'!$O$15)*$D57*'RH3'!M27</f>
        <v>0</v>
      </c>
      <c r="P57" s="4">
        <f>INT(+'RH3'!$Z27*'RH1'!$O$15)*$D57*'RH3'!N27</f>
        <v>0</v>
      </c>
      <c r="Q57" s="23">
        <f t="shared" si="16"/>
        <v>0</v>
      </c>
      <c r="R57" s="37">
        <f t="shared" si="17"/>
        <v>0</v>
      </c>
      <c r="S57" s="26">
        <f t="shared" si="15"/>
        <v>0</v>
      </c>
      <c r="T57" s="26">
        <f>'RH3'!X27</f>
        <v>14.645840850000001</v>
      </c>
    </row>
    <row r="58" spans="1:21" ht="15.5">
      <c r="A58" s="8"/>
      <c r="B58" s="23" t="str">
        <f>'RH3'!B28</f>
        <v>Poste ADM 1 - Actionnaire</v>
      </c>
      <c r="C58" s="36">
        <f>'RH3'!O28</f>
        <v>11.704499999999999</v>
      </c>
      <c r="D58" s="23">
        <f>'RH3'!Y28</f>
        <v>0</v>
      </c>
      <c r="E58" s="4">
        <f>INT(+'RH3'!$Z28*'RH1'!$O$15)*$D58*'RH3'!C28</f>
        <v>0</v>
      </c>
      <c r="F58" s="4">
        <f>INT(+'RH3'!$Z28*'RH1'!$O$15)*$D58*'RH3'!D28</f>
        <v>0</v>
      </c>
      <c r="G58" s="4">
        <f>INT(+'RH3'!$Z28*'RH1'!$O$15)*$D58*'RH3'!E28</f>
        <v>0</v>
      </c>
      <c r="H58" s="4">
        <f>INT(+'RH3'!$Z28*'RH1'!$O$15)*$D58*'RH3'!F28</f>
        <v>0</v>
      </c>
      <c r="I58" s="4">
        <f>INT(+'RH3'!$Z28*'RH1'!$O$15)*$D58*'RH3'!G28</f>
        <v>0</v>
      </c>
      <c r="J58" s="4">
        <f>INT(+'RH3'!$Z28*'RH1'!$O$15)*$D58*'RH3'!H28</f>
        <v>0</v>
      </c>
      <c r="K58" s="4">
        <f>INT(+'RH3'!$Z28*'RH1'!$O$15)*$D58*'RH3'!I28</f>
        <v>0</v>
      </c>
      <c r="L58" s="4">
        <f>INT(+'RH3'!$Z28*'RH1'!$O$15)*$D58*'RH3'!J28</f>
        <v>0</v>
      </c>
      <c r="M58" s="4">
        <f>INT(+'RH3'!$Z28*'RH1'!$O$15)*$D58*'RH3'!K28</f>
        <v>0</v>
      </c>
      <c r="N58" s="4">
        <f>INT(+'RH3'!$Z28*'RH1'!$O$15)*$D58*'RH3'!L28</f>
        <v>0</v>
      </c>
      <c r="O58" s="4">
        <f>INT(+'RH3'!$Z28*'RH1'!$O$15)*$D58*'RH3'!M28</f>
        <v>0</v>
      </c>
      <c r="P58" s="4">
        <f>INT(+'RH3'!$Z28*'RH1'!$O$15)*$D58*'RH3'!N28</f>
        <v>0</v>
      </c>
      <c r="Q58" s="23">
        <f t="shared" si="16"/>
        <v>0</v>
      </c>
      <c r="R58" s="37">
        <f t="shared" si="17"/>
        <v>0</v>
      </c>
      <c r="S58" s="26">
        <f t="shared" si="15"/>
        <v>0</v>
      </c>
      <c r="T58" s="26">
        <f>'RH3'!X28</f>
        <v>13.11255135</v>
      </c>
    </row>
    <row r="59" spans="1:21" ht="15.5">
      <c r="A59" s="8"/>
      <c r="B59" s="23" t="str">
        <f>'RH3'!B29</f>
        <v>Poste ADM 2 - Actionnaire</v>
      </c>
      <c r="C59" s="36">
        <f>'RH3'!O29</f>
        <v>11.704499999999999</v>
      </c>
      <c r="D59" s="23">
        <f>'RH3'!Y29</f>
        <v>0</v>
      </c>
      <c r="E59" s="4">
        <f>INT(+'RH3'!$Z29*'RH1'!$O$15)*$D59*'RH3'!C29</f>
        <v>0</v>
      </c>
      <c r="F59" s="4">
        <f>INT(+'RH3'!$Z29*'RH1'!$O$15)*$D59*'RH3'!D29</f>
        <v>0</v>
      </c>
      <c r="G59" s="4">
        <f>INT(+'RH3'!$Z29*'RH1'!$O$15)*$D59*'RH3'!E29</f>
        <v>0</v>
      </c>
      <c r="H59" s="4">
        <f>INT(+'RH3'!$Z29*'RH1'!$O$15)*$D59*'RH3'!F29</f>
        <v>0</v>
      </c>
      <c r="I59" s="4">
        <f>INT(+'RH3'!$Z29*'RH1'!$O$15)*$D59*'RH3'!G29</f>
        <v>0</v>
      </c>
      <c r="J59" s="4">
        <f>INT(+'RH3'!$Z29*'RH1'!$O$15)*$D59*'RH3'!H29</f>
        <v>0</v>
      </c>
      <c r="K59" s="4">
        <f>INT(+'RH3'!$Z29*'RH1'!$O$15)*$D59*'RH3'!I29</f>
        <v>0</v>
      </c>
      <c r="L59" s="4">
        <f>INT(+'RH3'!$Z29*'RH1'!$O$15)*$D59*'RH3'!J29</f>
        <v>0</v>
      </c>
      <c r="M59" s="4">
        <f>INT(+'RH3'!$Z29*'RH1'!$O$15)*$D59*'RH3'!K29</f>
        <v>0</v>
      </c>
      <c r="N59" s="4">
        <f>INT(+'RH3'!$Z29*'RH1'!$O$15)*$D59*'RH3'!L29</f>
        <v>0</v>
      </c>
      <c r="O59" s="4">
        <f>INT(+'RH3'!$Z29*'RH1'!$O$15)*$D59*'RH3'!M29</f>
        <v>0</v>
      </c>
      <c r="P59" s="4">
        <f>INT(+'RH3'!$Z29*'RH1'!$O$15)*$D59*'RH3'!N29</f>
        <v>0</v>
      </c>
      <c r="Q59" s="23">
        <f t="shared" si="16"/>
        <v>0</v>
      </c>
      <c r="R59" s="37">
        <f t="shared" si="17"/>
        <v>0</v>
      </c>
      <c r="S59" s="26">
        <f t="shared" si="15"/>
        <v>0</v>
      </c>
      <c r="T59" s="26">
        <f>'RH3'!X29</f>
        <v>13.11255135</v>
      </c>
    </row>
    <row r="60" spans="1:21" ht="15.5">
      <c r="A60" s="8"/>
      <c r="B60" s="23" t="str">
        <f>'RH3'!B30</f>
        <v>Poste administratif 3</v>
      </c>
      <c r="C60" s="36">
        <f>'RH3'!O30</f>
        <v>11.704499999999999</v>
      </c>
      <c r="D60" s="23">
        <f>'RH3'!Y30</f>
        <v>0</v>
      </c>
      <c r="E60" s="4">
        <f>INT(+'RH3'!$Z30*'RH1'!$O$15)*$D60*'RH3'!C30</f>
        <v>0</v>
      </c>
      <c r="F60" s="4">
        <f>INT(+'RH3'!$Z30*'RH1'!$O$15)*$D60*'RH3'!D30</f>
        <v>0</v>
      </c>
      <c r="G60" s="4">
        <f>INT(+'RH3'!$Z30*'RH1'!$O$15)*$D60*'RH3'!E30</f>
        <v>0</v>
      </c>
      <c r="H60" s="4">
        <f>INT(+'RH3'!$Z30*'RH1'!$O$15)*$D60*'RH3'!F30</f>
        <v>0</v>
      </c>
      <c r="I60" s="4">
        <f>INT(+'RH3'!$Z30*'RH1'!$O$15)*$D60*'RH3'!G30</f>
        <v>0</v>
      </c>
      <c r="J60" s="4">
        <f>INT(+'RH3'!$Z30*'RH1'!$O$15)*$D60*'RH3'!H30</f>
        <v>0</v>
      </c>
      <c r="K60" s="4">
        <f>INT(+'RH3'!$Z30*'RH1'!$O$15)*$D60*'RH3'!I30</f>
        <v>0</v>
      </c>
      <c r="L60" s="4">
        <f>INT(+'RH3'!$Z30*'RH1'!$O$15)*$D60*'RH3'!J30</f>
        <v>0</v>
      </c>
      <c r="M60" s="4">
        <f>INT(+'RH3'!$Z30*'RH1'!$O$15)*$D60*'RH3'!K30</f>
        <v>0</v>
      </c>
      <c r="N60" s="4">
        <f>INT(+'RH3'!$Z30*'RH1'!$O$15)*$D60*'RH3'!L30</f>
        <v>0</v>
      </c>
      <c r="O60" s="4">
        <f>INT(+'RH3'!$Z30*'RH1'!$O$15)*$D60*'RH3'!M30</f>
        <v>0</v>
      </c>
      <c r="P60" s="4">
        <f>INT(+'RH3'!$Z30*'RH1'!$O$15)*$D60*'RH3'!N30</f>
        <v>0</v>
      </c>
      <c r="Q60" s="23">
        <f t="shared" si="16"/>
        <v>0</v>
      </c>
      <c r="R60" s="37">
        <f t="shared" si="17"/>
        <v>0</v>
      </c>
      <c r="S60" s="26">
        <f t="shared" si="15"/>
        <v>0</v>
      </c>
      <c r="T60" s="26">
        <f>'RH3'!X30</f>
        <v>14.645840850000001</v>
      </c>
    </row>
    <row r="61" spans="1:21" ht="15.5">
      <c r="A61" s="8"/>
      <c r="B61" s="23" t="str">
        <f>'RH3'!B31</f>
        <v>Poste administratif 4</v>
      </c>
      <c r="C61" s="36">
        <f>'RH3'!O31</f>
        <v>20.808</v>
      </c>
      <c r="D61" s="23">
        <f>'RH3'!Y31</f>
        <v>1</v>
      </c>
      <c r="E61" s="4">
        <f>INT(+'RH3'!$Z31*'RH1'!$O$15)*$D61*'RH3'!C31</f>
        <v>173</v>
      </c>
      <c r="F61" s="4">
        <f>INT(+'RH3'!$Z31*'RH1'!$O$15)*$D61*'RH3'!D31</f>
        <v>173</v>
      </c>
      <c r="G61" s="4">
        <f>INT(+'RH3'!$Z31*'RH1'!$O$15)*$D61*'RH3'!E31</f>
        <v>173</v>
      </c>
      <c r="H61" s="4">
        <f>INT(+'RH3'!$Z31*'RH1'!$O$15)*$D61*'RH3'!F31</f>
        <v>173</v>
      </c>
      <c r="I61" s="4">
        <f>INT(+'RH3'!$Z31*'RH1'!$O$15)*$D61*'RH3'!G31</f>
        <v>173</v>
      </c>
      <c r="J61" s="4">
        <f>INT(+'RH3'!$Z31*'RH1'!$O$15)*$D61*'RH3'!H31</f>
        <v>173</v>
      </c>
      <c r="K61" s="4">
        <f>INT(+'RH3'!$Z31*'RH1'!$O$15)*$D61*'RH3'!I31</f>
        <v>173</v>
      </c>
      <c r="L61" s="4">
        <f>INT(+'RH3'!$Z31*'RH1'!$O$15)*$D61*'RH3'!J31</f>
        <v>173</v>
      </c>
      <c r="M61" s="4">
        <f>INT(+'RH3'!$Z31*'RH1'!$O$15)*$D61*'RH3'!K31</f>
        <v>173</v>
      </c>
      <c r="N61" s="4">
        <f>INT(+'RH3'!$Z31*'RH1'!$O$15)*$D61*'RH3'!L31</f>
        <v>173</v>
      </c>
      <c r="O61" s="4">
        <f>INT(+'RH3'!$Z31*'RH1'!$O$15)*$D61*'RH3'!M31</f>
        <v>173</v>
      </c>
      <c r="P61" s="4">
        <f>INT(+'RH3'!$Z31*'RH1'!$O$15)*$D61*'RH3'!N31</f>
        <v>173</v>
      </c>
      <c r="Q61" s="23">
        <f t="shared" si="16"/>
        <v>2076</v>
      </c>
      <c r="R61" s="37">
        <f t="shared" si="17"/>
        <v>43197.408000000003</v>
      </c>
      <c r="S61" s="26">
        <f t="shared" si="15"/>
        <v>904.62571919999982</v>
      </c>
      <c r="T61" s="26">
        <f>'RH3'!X31</f>
        <v>26.037050399999998</v>
      </c>
      <c r="U61" s="41"/>
    </row>
    <row r="62" spans="1:21" ht="15.5">
      <c r="A62" s="8"/>
      <c r="B62" s="15"/>
      <c r="C62" s="38" t="s">
        <v>361</v>
      </c>
      <c r="D62" s="31">
        <f t="shared" ref="D62:P62" si="18">SUM(D50:D61)</f>
        <v>1</v>
      </c>
      <c r="E62" s="30">
        <f t="shared" si="18"/>
        <v>173</v>
      </c>
      <c r="F62" s="30">
        <f t="shared" si="18"/>
        <v>173</v>
      </c>
      <c r="G62" s="30">
        <f t="shared" si="18"/>
        <v>173</v>
      </c>
      <c r="H62" s="30">
        <f t="shared" si="18"/>
        <v>173</v>
      </c>
      <c r="I62" s="30">
        <f t="shared" si="18"/>
        <v>173</v>
      </c>
      <c r="J62" s="30">
        <f t="shared" si="18"/>
        <v>173</v>
      </c>
      <c r="K62" s="30">
        <f t="shared" si="18"/>
        <v>173</v>
      </c>
      <c r="L62" s="30">
        <f t="shared" si="18"/>
        <v>173</v>
      </c>
      <c r="M62" s="30">
        <f t="shared" si="18"/>
        <v>173</v>
      </c>
      <c r="N62" s="30">
        <f t="shared" si="18"/>
        <v>173</v>
      </c>
      <c r="O62" s="30">
        <f t="shared" si="18"/>
        <v>173</v>
      </c>
      <c r="P62" s="30">
        <f t="shared" si="18"/>
        <v>173</v>
      </c>
      <c r="Q62" s="31">
        <f>SUM(E62:P62)</f>
        <v>2076</v>
      </c>
      <c r="R62" s="15"/>
      <c r="S62" s="26">
        <f>SUM(S50:S61)</f>
        <v>904.62571919999982</v>
      </c>
      <c r="T62" s="26"/>
    </row>
    <row r="63" spans="1:21" ht="15.5">
      <c r="A63" s="8"/>
      <c r="B63" s="15"/>
      <c r="C63" s="38"/>
      <c r="D63" s="31"/>
      <c r="E63" s="30"/>
      <c r="F63" s="30"/>
      <c r="G63" s="30"/>
      <c r="H63" s="30"/>
      <c r="I63" s="30"/>
      <c r="J63" s="30"/>
      <c r="K63" s="30"/>
      <c r="L63" s="30"/>
      <c r="M63" s="30"/>
      <c r="N63" s="30"/>
      <c r="O63" s="30"/>
      <c r="P63" s="30"/>
      <c r="Q63" s="31"/>
      <c r="R63" s="15"/>
      <c r="S63" s="26"/>
      <c r="T63" s="41"/>
    </row>
    <row r="64" spans="1:21" ht="15.5">
      <c r="A64" s="8"/>
      <c r="B64" s="15"/>
      <c r="C64" s="38"/>
      <c r="D64" s="31"/>
      <c r="E64" s="30"/>
      <c r="F64" s="30"/>
      <c r="G64" s="30"/>
      <c r="H64" s="30"/>
      <c r="I64" s="30"/>
      <c r="J64" s="30"/>
      <c r="K64" s="30"/>
      <c r="L64" s="30"/>
      <c r="M64" s="30"/>
      <c r="N64" s="30"/>
      <c r="O64" s="30"/>
      <c r="P64" s="30"/>
      <c r="Q64" s="31"/>
      <c r="R64" s="15"/>
    </row>
    <row r="65" spans="1:23" ht="15.5">
      <c r="A65" s="8"/>
      <c r="B65" s="15"/>
      <c r="C65" s="38"/>
      <c r="D65" s="31"/>
      <c r="E65" s="30"/>
      <c r="F65" s="30"/>
      <c r="G65" s="30"/>
      <c r="H65" s="30"/>
      <c r="I65" s="30"/>
      <c r="J65" s="30"/>
      <c r="K65" s="30"/>
      <c r="L65" s="30"/>
      <c r="M65" s="30"/>
      <c r="N65" s="30"/>
      <c r="O65" s="30"/>
      <c r="P65" s="30"/>
      <c r="Q65" s="31"/>
      <c r="R65" s="15"/>
    </row>
    <row r="66" spans="1:23" ht="15.5">
      <c r="A66" s="8"/>
      <c r="B66" s="15"/>
      <c r="C66" s="38"/>
      <c r="D66" s="31"/>
      <c r="E66" s="30"/>
      <c r="F66" s="30"/>
      <c r="G66" s="30"/>
      <c r="H66" s="30"/>
      <c r="I66" s="30"/>
      <c r="J66" s="30"/>
      <c r="K66" s="30"/>
      <c r="L66" s="30"/>
      <c r="M66" s="30"/>
      <c r="N66" s="30"/>
      <c r="O66" s="30"/>
      <c r="P66" s="30"/>
      <c r="Q66" s="31"/>
      <c r="R66" s="15"/>
    </row>
    <row r="67" spans="1:23" ht="15.5">
      <c r="A67" s="8"/>
      <c r="B67" s="15"/>
      <c r="C67" s="38"/>
      <c r="D67" s="31"/>
      <c r="E67" s="30"/>
      <c r="F67" s="30"/>
      <c r="G67" s="30"/>
      <c r="H67" s="30"/>
      <c r="I67" s="30"/>
      <c r="J67" s="30"/>
      <c r="K67" s="30"/>
      <c r="L67" s="30"/>
      <c r="M67" s="30"/>
      <c r="N67" s="30"/>
      <c r="O67" s="30"/>
      <c r="P67" s="30"/>
      <c r="Q67" s="31"/>
      <c r="R67" s="15"/>
    </row>
    <row r="68" spans="1:23" ht="15.5">
      <c r="A68" s="8"/>
      <c r="B68" s="15"/>
      <c r="C68" s="38"/>
      <c r="D68" s="31"/>
      <c r="E68" s="30"/>
      <c r="F68" s="30"/>
      <c r="G68" s="30"/>
      <c r="H68" s="30"/>
      <c r="I68" s="30"/>
      <c r="J68" s="30"/>
      <c r="K68" s="30"/>
      <c r="L68" s="30"/>
      <c r="M68" s="30"/>
      <c r="N68" s="30"/>
      <c r="O68" s="30"/>
      <c r="P68" s="30"/>
      <c r="Q68" s="31"/>
      <c r="R68" s="15"/>
    </row>
    <row r="69" spans="1:23" ht="15.5">
      <c r="A69" s="8"/>
      <c r="B69" s="15"/>
      <c r="C69" s="39" t="s">
        <v>362</v>
      </c>
      <c r="D69" s="40"/>
      <c r="E69" s="34">
        <f t="shared" ref="E69:Q69" si="19">(E50*$C50)+(E51*$C51)+(E52*$C52)+(E53*$C53)+(E54*$C54)+(E55*$C55)+(E56*$C56)+(E57*$C57)+(E58*$C58)+(E59*$C59)+(E60*$C60)+(E61*$C61)</f>
        <v>3599.7840000000001</v>
      </c>
      <c r="F69" s="34">
        <f t="shared" si="19"/>
        <v>3599.7840000000001</v>
      </c>
      <c r="G69" s="34">
        <f t="shared" si="19"/>
        <v>3599.7840000000001</v>
      </c>
      <c r="H69" s="34">
        <f t="shared" si="19"/>
        <v>3599.7840000000001</v>
      </c>
      <c r="I69" s="34">
        <f t="shared" si="19"/>
        <v>3599.7840000000001</v>
      </c>
      <c r="J69" s="34">
        <f t="shared" si="19"/>
        <v>3599.7840000000001</v>
      </c>
      <c r="K69" s="34">
        <f t="shared" si="19"/>
        <v>3599.7840000000001</v>
      </c>
      <c r="L69" s="34">
        <f t="shared" si="19"/>
        <v>3599.7840000000001</v>
      </c>
      <c r="M69" s="34">
        <f t="shared" si="19"/>
        <v>3599.7840000000001</v>
      </c>
      <c r="N69" s="34">
        <f t="shared" si="19"/>
        <v>3599.7840000000001</v>
      </c>
      <c r="O69" s="34">
        <f t="shared" si="19"/>
        <v>3599.7840000000001</v>
      </c>
      <c r="P69" s="34">
        <f t="shared" si="19"/>
        <v>3599.7840000000001</v>
      </c>
      <c r="Q69" s="34">
        <f t="shared" si="19"/>
        <v>43197.408000000003</v>
      </c>
      <c r="R69" s="15"/>
    </row>
    <row r="70" spans="1:23" ht="15.5">
      <c r="A70" s="8"/>
      <c r="B70" s="8"/>
      <c r="C70" s="8"/>
      <c r="D70" s="8"/>
      <c r="E70" s="8"/>
      <c r="F70" s="8"/>
      <c r="G70" s="8"/>
      <c r="H70" s="8"/>
      <c r="I70" s="8"/>
      <c r="J70" s="8"/>
      <c r="K70" s="8"/>
      <c r="L70" s="8"/>
      <c r="M70" s="8"/>
      <c r="N70" s="8"/>
      <c r="O70" s="8"/>
      <c r="P70" s="8"/>
      <c r="Q70" s="8"/>
      <c r="R70" s="8"/>
      <c r="S70"/>
      <c r="T70"/>
      <c r="U70"/>
      <c r="V70"/>
      <c r="W70"/>
    </row>
    <row r="71" spans="1:23">
      <c r="A71"/>
      <c r="B71"/>
      <c r="C71"/>
      <c r="D71"/>
      <c r="E71"/>
      <c r="F71"/>
      <c r="G71"/>
      <c r="H71"/>
      <c r="I71"/>
      <c r="J71"/>
      <c r="K71"/>
      <c r="L71"/>
      <c r="M71"/>
      <c r="N71"/>
      <c r="O71"/>
      <c r="P71"/>
      <c r="Q71"/>
      <c r="R71"/>
      <c r="S71"/>
      <c r="T71"/>
      <c r="U71"/>
      <c r="V71"/>
      <c r="W71"/>
    </row>
    <row r="72" spans="1:23" ht="22.5">
      <c r="A72" s="8"/>
      <c r="B72" s="14" t="s">
        <v>18</v>
      </c>
      <c r="C72" s="15"/>
      <c r="D72" s="15"/>
      <c r="E72" s="15"/>
      <c r="F72" s="16" t="str">
        <f>F47</f>
        <v>Jhon Wesly inc.</v>
      </c>
      <c r="G72" s="15"/>
      <c r="H72" s="15"/>
      <c r="I72" s="15"/>
      <c r="J72" s="15"/>
      <c r="K72" s="15"/>
      <c r="L72" s="15"/>
      <c r="M72" s="15"/>
      <c r="N72" s="15"/>
      <c r="O72" s="15"/>
      <c r="P72" s="15" t="s">
        <v>366</v>
      </c>
      <c r="Q72" s="15"/>
      <c r="R72" s="15"/>
      <c r="S72"/>
      <c r="T72"/>
      <c r="U72"/>
      <c r="V72"/>
      <c r="W72"/>
    </row>
    <row r="73" spans="1:23" ht="15.5">
      <c r="A73" s="8"/>
      <c r="B73" s="15"/>
      <c r="C73" s="17"/>
      <c r="D73" s="17"/>
      <c r="E73" s="18">
        <f>E48+366</f>
        <v>46390</v>
      </c>
      <c r="F73" s="18">
        <f>E73+31</f>
        <v>46421</v>
      </c>
      <c r="G73" s="18">
        <f t="shared" ref="G73:P73" si="20">F73+31</f>
        <v>46452</v>
      </c>
      <c r="H73" s="18">
        <f t="shared" si="20"/>
        <v>46483</v>
      </c>
      <c r="I73" s="18">
        <f t="shared" si="20"/>
        <v>46514</v>
      </c>
      <c r="J73" s="18">
        <f t="shared" si="20"/>
        <v>46545</v>
      </c>
      <c r="K73" s="18">
        <f t="shared" si="20"/>
        <v>46576</v>
      </c>
      <c r="L73" s="18">
        <f t="shared" si="20"/>
        <v>46607</v>
      </c>
      <c r="M73" s="18">
        <f t="shared" si="20"/>
        <v>46638</v>
      </c>
      <c r="N73" s="18">
        <f t="shared" si="20"/>
        <v>46669</v>
      </c>
      <c r="O73" s="18">
        <f t="shared" si="20"/>
        <v>46700</v>
      </c>
      <c r="P73" s="19">
        <f t="shared" si="20"/>
        <v>46731</v>
      </c>
      <c r="Q73" s="35" t="s">
        <v>498</v>
      </c>
      <c r="R73" s="17"/>
      <c r="S73"/>
      <c r="T73"/>
      <c r="U73"/>
      <c r="V73"/>
      <c r="W73"/>
    </row>
    <row r="74" spans="1:23" ht="15.5">
      <c r="A74" s="8"/>
      <c r="B74" s="15"/>
      <c r="C74" s="21" t="s">
        <v>358</v>
      </c>
      <c r="D74" s="21" t="s">
        <v>359</v>
      </c>
      <c r="E74" s="21" t="s">
        <v>360</v>
      </c>
      <c r="F74" s="21" t="s">
        <v>360</v>
      </c>
      <c r="G74" s="21" t="s">
        <v>360</v>
      </c>
      <c r="H74" s="21" t="s">
        <v>360</v>
      </c>
      <c r="I74" s="21" t="s">
        <v>360</v>
      </c>
      <c r="J74" s="21" t="s">
        <v>360</v>
      </c>
      <c r="K74" s="21" t="s">
        <v>360</v>
      </c>
      <c r="L74" s="21" t="s">
        <v>360</v>
      </c>
      <c r="M74" s="21" t="s">
        <v>360</v>
      </c>
      <c r="N74" s="21" t="s">
        <v>360</v>
      </c>
      <c r="O74" s="21" t="s">
        <v>360</v>
      </c>
      <c r="P74" s="21" t="s">
        <v>360</v>
      </c>
      <c r="Q74" s="21" t="s">
        <v>360</v>
      </c>
      <c r="R74" s="17"/>
      <c r="S74"/>
      <c r="T74"/>
      <c r="U74"/>
      <c r="V74"/>
      <c r="W74"/>
    </row>
    <row r="75" spans="1:23" ht="15.5">
      <c r="A75" s="8"/>
      <c r="B75" s="731" t="str">
        <f>'RH4'!B$20</f>
        <v>Poste MOD 1 - Actionnaire</v>
      </c>
      <c r="C75" s="732">
        <f>'RH4'!O$20</f>
        <v>11.93859</v>
      </c>
      <c r="D75" s="733">
        <f>'RH4'!Y20</f>
        <v>0</v>
      </c>
      <c r="E75" s="4">
        <f>INT('RH4'!$Z20*'RH4'!$O$15)*$D75*'RH4'!C20</f>
        <v>0</v>
      </c>
      <c r="F75" s="4">
        <f>INT('RH4'!$Z20*'RH4'!$O$15)*$D75*'RH4'!D20</f>
        <v>0</v>
      </c>
      <c r="G75" s="4">
        <f>INT('RH4'!$Z20*'RH4'!$O$15)*$D75*'RH4'!E20</f>
        <v>0</v>
      </c>
      <c r="H75" s="4">
        <f>INT('RH4'!$Z20*'RH4'!$O$15)*$D75*'RH4'!F20</f>
        <v>0</v>
      </c>
      <c r="I75" s="4">
        <f>INT('RH4'!$Z20*'RH4'!$O$15)*$D75*'RH4'!G20</f>
        <v>0</v>
      </c>
      <c r="J75" s="4">
        <f>INT('RH4'!$Z20*'RH4'!$O$15)*$D75*'RH4'!H20</f>
        <v>0</v>
      </c>
      <c r="K75" s="4">
        <f>INT('RH4'!$Z20*'RH4'!$O$15)*$D75*'RH4'!I20</f>
        <v>0</v>
      </c>
      <c r="L75" s="4">
        <f>INT('RH4'!$Z20*'RH4'!$O$15)*$D75*'RH4'!J20</f>
        <v>0</v>
      </c>
      <c r="M75" s="4">
        <f>INT('RH4'!$Z20*'RH4'!$O$15)*$D75*'RH4'!K20</f>
        <v>0</v>
      </c>
      <c r="N75" s="4">
        <f>INT('RH4'!$Z20*'RH4'!$O$15)*$D75*'RH4'!L20</f>
        <v>0</v>
      </c>
      <c r="O75" s="4">
        <f>INT('RH4'!$Z20*'RH4'!$O$15)*$D75*'RH4'!M20</f>
        <v>0</v>
      </c>
      <c r="P75" s="4">
        <f>INT('RH4'!$Z20*'RH4'!$O$15)*$D75*'RH4'!N20</f>
        <v>0</v>
      </c>
      <c r="Q75" s="23">
        <f t="shared" ref="Q75:Q86" si="21">SUM(E75:P75)</f>
        <v>0</v>
      </c>
      <c r="R75" s="37">
        <f t="shared" ref="R75:R86" si="22">Q75*$C75</f>
        <v>0</v>
      </c>
      <c r="S75" s="26">
        <f>(P75*T75)-(P75*C75)</f>
        <v>0</v>
      </c>
      <c r="T75" s="26">
        <f>'RH4'!X20</f>
        <v>13.374802377</v>
      </c>
      <c r="U75"/>
      <c r="W75"/>
    </row>
    <row r="76" spans="1:23" ht="15.5">
      <c r="A76" s="8"/>
      <c r="B76" s="731" t="str">
        <f>'RH4'!B$21</f>
        <v>Poste MOD 2 - Actionnaire</v>
      </c>
      <c r="C76" s="732">
        <f>'RH4'!O$21</f>
        <v>11.93859</v>
      </c>
      <c r="D76" s="733">
        <f>'RH4'!Y21</f>
        <v>0</v>
      </c>
      <c r="E76" s="4">
        <f>INT('RH4'!$Z21*'RH4'!$O$15)*$D76*'RH4'!C21</f>
        <v>0</v>
      </c>
      <c r="F76" s="4">
        <f>INT('RH4'!$Z21*'RH4'!$O$15)*$D76*'RH4'!D21</f>
        <v>0</v>
      </c>
      <c r="G76" s="4">
        <f>INT('RH4'!$Z21*'RH4'!$O$15)*$D76*'RH4'!E21</f>
        <v>0</v>
      </c>
      <c r="H76" s="4">
        <f>INT('RH4'!$Z21*'RH4'!$O$15)*$D76*'RH4'!F21</f>
        <v>0</v>
      </c>
      <c r="I76" s="4">
        <f>INT('RH4'!$Z21*'RH4'!$O$15)*$D76*'RH4'!G21</f>
        <v>0</v>
      </c>
      <c r="J76" s="4">
        <f>INT('RH4'!$Z21*'RH4'!$O$15)*$D76*'RH4'!H21</f>
        <v>0</v>
      </c>
      <c r="K76" s="4">
        <f>INT('RH4'!$Z21*'RH4'!$O$15)*$D76*'RH4'!I21</f>
        <v>0</v>
      </c>
      <c r="L76" s="4">
        <f>INT('RH4'!$Z21*'RH4'!$O$15)*$D76*'RH4'!J21</f>
        <v>0</v>
      </c>
      <c r="M76" s="4">
        <f>INT('RH4'!$Z21*'RH4'!$O$15)*$D76*'RH4'!K21</f>
        <v>0</v>
      </c>
      <c r="N76" s="4">
        <f>INT('RH4'!$Z21*'RH4'!$O$15)*$D76*'RH4'!L21</f>
        <v>0</v>
      </c>
      <c r="O76" s="4">
        <f>INT('RH4'!$Z21*'RH4'!$O$15)*$D76*'RH4'!M21</f>
        <v>0</v>
      </c>
      <c r="P76" s="4">
        <f>INT('RH4'!$Z21*'RH4'!$O$15)*$D76*'RH4'!N21</f>
        <v>0</v>
      </c>
      <c r="Q76" s="23">
        <f t="shared" si="21"/>
        <v>0</v>
      </c>
      <c r="R76" s="37">
        <f t="shared" si="22"/>
        <v>0</v>
      </c>
      <c r="S76" s="26">
        <f t="shared" ref="S76:S86" si="23">(P76*T76)-(P76*C76)</f>
        <v>0</v>
      </c>
      <c r="T76" s="26">
        <f>'RH4'!X21</f>
        <v>13.374802377</v>
      </c>
      <c r="U76"/>
      <c r="W76"/>
    </row>
    <row r="77" spans="1:23" ht="15.5">
      <c r="A77" s="8"/>
      <c r="B77" s="731" t="str">
        <f>'RH4'!B$22</f>
        <v>Poste MOD 3</v>
      </c>
      <c r="C77" s="732">
        <f>'RH4'!O$22</f>
        <v>11.93859</v>
      </c>
      <c r="D77" s="733">
        <f>'RH4'!Y22</f>
        <v>0</v>
      </c>
      <c r="E77" s="4">
        <f>INT('RH4'!$Z22*'RH4'!$O$15)*$D77*'RH4'!C22</f>
        <v>0</v>
      </c>
      <c r="F77" s="4">
        <f>INT('RH4'!$Z22*'RH4'!$O$15)*$D77*'RH4'!D22</f>
        <v>0</v>
      </c>
      <c r="G77" s="4">
        <f>INT('RH4'!$Z22*'RH4'!$O$15)*$D77*'RH4'!E22</f>
        <v>0</v>
      </c>
      <c r="H77" s="4">
        <f>INT('RH4'!$Z22*'RH4'!$O$15)*$D77*'RH4'!F22</f>
        <v>0</v>
      </c>
      <c r="I77" s="4">
        <f>INT('RH4'!$Z22*'RH4'!$O$15)*$D77*'RH4'!G22</f>
        <v>0</v>
      </c>
      <c r="J77" s="4">
        <f>INT('RH4'!$Z22*'RH4'!$O$15)*$D77*'RH4'!H22</f>
        <v>0</v>
      </c>
      <c r="K77" s="4">
        <f>INT('RH4'!$Z22*'RH4'!$O$15)*$D77*'RH4'!I22</f>
        <v>0</v>
      </c>
      <c r="L77" s="4">
        <f>INT('RH4'!$Z22*'RH4'!$O$15)*$D77*'RH4'!J22</f>
        <v>0</v>
      </c>
      <c r="M77" s="4">
        <f>INT('RH4'!$Z22*'RH4'!$O$15)*$D77*'RH4'!K22</f>
        <v>0</v>
      </c>
      <c r="N77" s="4">
        <f>INT('RH4'!$Z22*'RH4'!$O$15)*$D77*'RH4'!L22</f>
        <v>0</v>
      </c>
      <c r="O77" s="4">
        <f>INT('RH4'!$Z22*'RH4'!$O$15)*$D77*'RH4'!M22</f>
        <v>0</v>
      </c>
      <c r="P77" s="4">
        <f>INT('RH4'!$Z22*'RH4'!$O$15)*$D77*'RH4'!N22</f>
        <v>0</v>
      </c>
      <c r="Q77" s="23">
        <f t="shared" si="21"/>
        <v>0</v>
      </c>
      <c r="R77" s="37">
        <f t="shared" si="22"/>
        <v>0</v>
      </c>
      <c r="S77" s="26">
        <f t="shared" si="23"/>
        <v>0</v>
      </c>
      <c r="T77" s="26">
        <f>'RH4'!X22</f>
        <v>14.938757667000001</v>
      </c>
      <c r="U77"/>
      <c r="W77"/>
    </row>
    <row r="78" spans="1:23" ht="15.5">
      <c r="A78" s="8"/>
      <c r="B78" s="731" t="str">
        <f>'RH4'!B$23</f>
        <v>Poste MOD 4</v>
      </c>
      <c r="C78" s="732">
        <f>'RH4'!O$23</f>
        <v>11.93859</v>
      </c>
      <c r="D78" s="733">
        <f>'RH4'!Y23</f>
        <v>0</v>
      </c>
      <c r="E78" s="4">
        <f>INT('RH4'!$Z23*'RH4'!$O$15)*$D78*'RH4'!C23</f>
        <v>0</v>
      </c>
      <c r="F78" s="4">
        <f>INT('RH4'!$Z23*'RH4'!$O$15)*$D78*'RH4'!D23</f>
        <v>0</v>
      </c>
      <c r="G78" s="4">
        <f>INT('RH4'!$Z23*'RH4'!$O$15)*$D78*'RH4'!E23</f>
        <v>0</v>
      </c>
      <c r="H78" s="4">
        <f>INT('RH4'!$Z23*'RH4'!$O$15)*$D78*'RH4'!F23</f>
        <v>0</v>
      </c>
      <c r="I78" s="4">
        <f>INT('RH4'!$Z23*'RH4'!$O$15)*$D78*'RH4'!G23</f>
        <v>0</v>
      </c>
      <c r="J78" s="4">
        <f>INT('RH4'!$Z23*'RH4'!$O$15)*$D78*'RH4'!H23</f>
        <v>0</v>
      </c>
      <c r="K78" s="4">
        <f>INT('RH4'!$Z23*'RH4'!$O$15)*$D78*'RH4'!I23</f>
        <v>0</v>
      </c>
      <c r="L78" s="4">
        <f>INT('RH4'!$Z23*'RH4'!$O$15)*$D78*'RH4'!J23</f>
        <v>0</v>
      </c>
      <c r="M78" s="4">
        <f>INT('RH4'!$Z23*'RH4'!$O$15)*$D78*'RH4'!K23</f>
        <v>0</v>
      </c>
      <c r="N78" s="4">
        <f>INT('RH4'!$Z23*'RH4'!$O$15)*$D78*'RH4'!L23</f>
        <v>0</v>
      </c>
      <c r="O78" s="4">
        <f>INT('RH4'!$Z23*'RH4'!$O$15)*$D78*'RH4'!M23</f>
        <v>0</v>
      </c>
      <c r="P78" s="4">
        <f>INT('RH4'!$Z23*'RH4'!$O$15)*$D78*'RH4'!N23</f>
        <v>0</v>
      </c>
      <c r="Q78" s="23">
        <f t="shared" si="21"/>
        <v>0</v>
      </c>
      <c r="R78" s="37">
        <f t="shared" si="22"/>
        <v>0</v>
      </c>
      <c r="S78" s="26">
        <f t="shared" si="23"/>
        <v>0</v>
      </c>
      <c r="T78" s="26">
        <f>'RH4'!X23</f>
        <v>14.938757667000001</v>
      </c>
      <c r="U78"/>
      <c r="W78"/>
    </row>
    <row r="79" spans="1:23" ht="15.5">
      <c r="A79" s="8"/>
      <c r="B79" s="731" t="str">
        <f>'RH4'!B$24</f>
        <v>Poste MOD 5</v>
      </c>
      <c r="C79" s="732">
        <f>'RH4'!O$24</f>
        <v>11.93859</v>
      </c>
      <c r="D79" s="733">
        <f>'RH4'!Y24</f>
        <v>0</v>
      </c>
      <c r="E79" s="4">
        <f>INT('RH4'!$Z24*'RH4'!$O$15)*$D79*'RH4'!C24</f>
        <v>0</v>
      </c>
      <c r="F79" s="4">
        <f>INT('RH4'!$Z24*'RH4'!$O$15)*$D79*'RH4'!D24</f>
        <v>0</v>
      </c>
      <c r="G79" s="4">
        <f>INT('RH4'!$Z24*'RH4'!$O$15)*$D79*'RH4'!E24</f>
        <v>0</v>
      </c>
      <c r="H79" s="4">
        <f>INT('RH4'!$Z24*'RH4'!$O$15)*$D79*'RH4'!F24</f>
        <v>0</v>
      </c>
      <c r="I79" s="4">
        <f>INT('RH4'!$Z24*'RH4'!$O$15)*$D79*'RH4'!G24</f>
        <v>0</v>
      </c>
      <c r="J79" s="4">
        <f>INT('RH4'!$Z24*'RH4'!$O$15)*$D79*'RH4'!H24</f>
        <v>0</v>
      </c>
      <c r="K79" s="4">
        <f>INT('RH4'!$Z24*'RH4'!$O$15)*$D79*'RH4'!I24</f>
        <v>0</v>
      </c>
      <c r="L79" s="4">
        <f>INT('RH4'!$Z24*'RH4'!$O$15)*$D79*'RH4'!J24</f>
        <v>0</v>
      </c>
      <c r="M79" s="4">
        <f>INT('RH4'!$Z24*'RH4'!$O$15)*$D79*'RH4'!K24</f>
        <v>0</v>
      </c>
      <c r="N79" s="4">
        <f>INT('RH4'!$Z24*'RH4'!$O$15)*$D79*'RH4'!L24</f>
        <v>0</v>
      </c>
      <c r="O79" s="4">
        <f>INT('RH4'!$Z24*'RH4'!$O$15)*$D79*'RH4'!M24</f>
        <v>0</v>
      </c>
      <c r="P79" s="4">
        <f>INT('RH4'!$Z24*'RH4'!$O$15)*$D79*'RH4'!N24</f>
        <v>0</v>
      </c>
      <c r="Q79" s="23">
        <f t="shared" si="21"/>
        <v>0</v>
      </c>
      <c r="R79" s="37">
        <f t="shared" si="22"/>
        <v>0</v>
      </c>
      <c r="S79" s="26">
        <f t="shared" si="23"/>
        <v>0</v>
      </c>
      <c r="T79" s="26">
        <f>'RH4'!X24</f>
        <v>14.938757667000001</v>
      </c>
      <c r="U79"/>
      <c r="W79"/>
    </row>
    <row r="80" spans="1:23" ht="15.5">
      <c r="A80" s="8"/>
      <c r="B80" s="731" t="str">
        <f>'RH4'!B$25</f>
        <v>Poste MOD 6</v>
      </c>
      <c r="C80" s="732">
        <f>'RH4'!O$25</f>
        <v>11.93859</v>
      </c>
      <c r="D80" s="733">
        <f>'RH4'!Y25</f>
        <v>0</v>
      </c>
      <c r="E80" s="4">
        <f>INT('RH4'!$Z25*'RH4'!$O$15)*$D80*'RH4'!C25</f>
        <v>0</v>
      </c>
      <c r="F80" s="4">
        <f>INT('RH4'!$Z25*'RH4'!$O$15)*$D80*'RH4'!D25</f>
        <v>0</v>
      </c>
      <c r="G80" s="4">
        <f>INT('RH4'!$Z25*'RH4'!$O$15)*$D80*'RH4'!E25</f>
        <v>0</v>
      </c>
      <c r="H80" s="4">
        <f>INT('RH4'!$Z25*'RH4'!$O$15)*$D80*'RH4'!F25</f>
        <v>0</v>
      </c>
      <c r="I80" s="4">
        <f>INT('RH4'!$Z25*'RH4'!$O$15)*$D80*'RH4'!G25</f>
        <v>0</v>
      </c>
      <c r="J80" s="4">
        <f>INT('RH4'!$Z25*'RH4'!$O$15)*$D80*'RH4'!H25</f>
        <v>0</v>
      </c>
      <c r="K80" s="4">
        <f>INT('RH4'!$Z25*'RH4'!$O$15)*$D80*'RH4'!I25</f>
        <v>0</v>
      </c>
      <c r="L80" s="4">
        <f>INT('RH4'!$Z25*'RH4'!$O$15)*$D80*'RH4'!J25</f>
        <v>0</v>
      </c>
      <c r="M80" s="4">
        <f>INT('RH4'!$Z25*'RH4'!$O$15)*$D80*'RH4'!K25</f>
        <v>0</v>
      </c>
      <c r="N80" s="4">
        <f>INT('RH4'!$Z25*'RH4'!$O$15)*$D80*'RH4'!L25</f>
        <v>0</v>
      </c>
      <c r="O80" s="4">
        <f>INT('RH4'!$Z25*'RH4'!$O$15)*$D80*'RH4'!M25</f>
        <v>0</v>
      </c>
      <c r="P80" s="4">
        <f>INT('RH4'!$Z25*'RH4'!$O$15)*$D80*'RH4'!N25</f>
        <v>0</v>
      </c>
      <c r="Q80" s="23">
        <f t="shared" si="21"/>
        <v>0</v>
      </c>
      <c r="R80" s="37">
        <f t="shared" si="22"/>
        <v>0</v>
      </c>
      <c r="S80" s="26">
        <f t="shared" si="23"/>
        <v>0</v>
      </c>
      <c r="T80" s="26">
        <f>'RH4'!X25</f>
        <v>14.938757667000001</v>
      </c>
      <c r="U80" s="41"/>
      <c r="W80"/>
    </row>
    <row r="81" spans="1:23" ht="15.5">
      <c r="A81" s="8"/>
      <c r="B81" s="731" t="str">
        <f>'RH4'!B26</f>
        <v>Poste MOD 7</v>
      </c>
      <c r="C81" s="732">
        <f>'RH4'!O$26</f>
        <v>11.93859</v>
      </c>
      <c r="D81" s="733">
        <f>'RH4'!Y26</f>
        <v>0</v>
      </c>
      <c r="E81" s="4">
        <f>INT('RH4'!$Z26*'RH4'!$O$15)*$D81*'RH4'!C26</f>
        <v>0</v>
      </c>
      <c r="F81" s="4">
        <f>INT('RH4'!$Z26*'RH4'!$O$15)*$D81*'RH4'!D26</f>
        <v>0</v>
      </c>
      <c r="G81" s="4">
        <f>INT('RH4'!$Z26*'RH4'!$O$15)*$D81*'RH4'!E26</f>
        <v>0</v>
      </c>
      <c r="H81" s="4">
        <f>INT('RH4'!$Z26*'RH4'!$O$15)*$D81*'RH4'!F26</f>
        <v>0</v>
      </c>
      <c r="I81" s="4">
        <f>INT('RH4'!$Z26*'RH4'!$O$15)*$D81*'RH4'!G26</f>
        <v>0</v>
      </c>
      <c r="J81" s="4">
        <f>INT('RH4'!$Z26*'RH4'!$O$15)*$D81*'RH4'!H26</f>
        <v>0</v>
      </c>
      <c r="K81" s="4">
        <f>INT('RH4'!$Z26*'RH4'!$O$15)*$D81*'RH4'!I26</f>
        <v>0</v>
      </c>
      <c r="L81" s="4">
        <f>INT('RH4'!$Z26*'RH4'!$O$15)*$D81*'RH4'!J26</f>
        <v>0</v>
      </c>
      <c r="M81" s="4">
        <f>INT('RH4'!$Z26*'RH4'!$O$15)*$D81*'RH4'!K26</f>
        <v>0</v>
      </c>
      <c r="N81" s="4">
        <f>INT('RH4'!$Z26*'RH4'!$O$15)*$D81*'RH4'!L26</f>
        <v>0</v>
      </c>
      <c r="O81" s="4">
        <f>INT('RH4'!$Z26*'RH4'!$O$15)*$D81*'RH4'!M26</f>
        <v>0</v>
      </c>
      <c r="P81" s="4">
        <f>INT('RH4'!$Z26*'RH4'!$O$15)*$D81*'RH4'!N26</f>
        <v>0</v>
      </c>
      <c r="Q81" s="23">
        <f t="shared" si="21"/>
        <v>0</v>
      </c>
      <c r="R81" s="37">
        <f t="shared" si="22"/>
        <v>0</v>
      </c>
      <c r="S81" s="26">
        <f t="shared" si="23"/>
        <v>0</v>
      </c>
      <c r="T81" s="26">
        <f>'RH4'!X26</f>
        <v>14.938757667000001</v>
      </c>
      <c r="U81"/>
      <c r="W81"/>
    </row>
    <row r="82" spans="1:23" ht="15.5">
      <c r="A82" s="8"/>
      <c r="B82" s="731" t="str">
        <f>'RH4'!B$27</f>
        <v>Poste MOD 8</v>
      </c>
      <c r="C82" s="732">
        <f>'RH4'!O$27</f>
        <v>11.93859</v>
      </c>
      <c r="D82" s="733">
        <f>'RH4'!Y27</f>
        <v>0</v>
      </c>
      <c r="E82" s="4">
        <f>INT('RH4'!$Z27*'RH4'!$O$15)*$D82*'RH4'!C27</f>
        <v>0</v>
      </c>
      <c r="F82" s="4">
        <f>INT('RH4'!$Z27*'RH4'!$O$15)*$D82*'RH4'!D27</f>
        <v>0</v>
      </c>
      <c r="G82" s="4">
        <f>INT('RH4'!$Z27*'RH4'!$O$15)*$D82*'RH4'!E27</f>
        <v>0</v>
      </c>
      <c r="H82" s="4">
        <f>INT('RH4'!$Z27*'RH4'!$O$15)*$D82*'RH4'!F27</f>
        <v>0</v>
      </c>
      <c r="I82" s="4">
        <f>INT('RH4'!$Z27*'RH4'!$O$15)*$D82*'RH4'!G27</f>
        <v>0</v>
      </c>
      <c r="J82" s="4">
        <f>INT('RH4'!$Z27*'RH4'!$O$15)*$D82*'RH4'!H27</f>
        <v>0</v>
      </c>
      <c r="K82" s="4">
        <f>INT('RH4'!$Z27*'RH4'!$O$15)*$D82*'RH4'!I27</f>
        <v>0</v>
      </c>
      <c r="L82" s="4">
        <f>INT('RH4'!$Z27*'RH4'!$O$15)*$D82*'RH4'!J27</f>
        <v>0</v>
      </c>
      <c r="M82" s="4">
        <f>INT('RH4'!$Z27*'RH4'!$O$15)*$D82*'RH4'!K27</f>
        <v>0</v>
      </c>
      <c r="N82" s="4">
        <f>INT('RH4'!$Z27*'RH4'!$O$15)*$D82*'RH4'!L27</f>
        <v>0</v>
      </c>
      <c r="O82" s="4">
        <f>INT('RH4'!$Z27*'RH4'!$O$15)*$D82*'RH4'!M27</f>
        <v>0</v>
      </c>
      <c r="P82" s="4">
        <f>INT('RH4'!$Z27*'RH4'!$O$15)*$D82*'RH4'!N27</f>
        <v>0</v>
      </c>
      <c r="Q82" s="23">
        <f t="shared" si="21"/>
        <v>0</v>
      </c>
      <c r="R82" s="37">
        <f t="shared" si="22"/>
        <v>0</v>
      </c>
      <c r="S82" s="26">
        <f t="shared" si="23"/>
        <v>0</v>
      </c>
      <c r="T82" s="26">
        <f>'RH4'!X27</f>
        <v>14.938757667000001</v>
      </c>
      <c r="U82"/>
      <c r="W82"/>
    </row>
    <row r="83" spans="1:23" ht="15.5">
      <c r="A83" s="8"/>
      <c r="B83" s="731" t="str">
        <f>'RH4'!B$28</f>
        <v>Poste ADM 1 - Actionnaire</v>
      </c>
      <c r="C83" s="732">
        <f>'RH4'!O$28</f>
        <v>11.93859</v>
      </c>
      <c r="D83" s="733">
        <f>'RH4'!Y28</f>
        <v>0</v>
      </c>
      <c r="E83" s="4">
        <f>INT('RH4'!$Z28*'RH4'!$O$15)*$D83*'RH4'!C28</f>
        <v>0</v>
      </c>
      <c r="F83" s="4">
        <f>INT('RH4'!$Z28*'RH4'!$O$15)*$D83*'RH4'!D28</f>
        <v>0</v>
      </c>
      <c r="G83" s="4">
        <f>INT('RH4'!$Z28*'RH4'!$O$15)*$D83*'RH4'!E28</f>
        <v>0</v>
      </c>
      <c r="H83" s="4">
        <f>INT('RH4'!$Z28*'RH4'!$O$15)*$D83*'RH4'!F28</f>
        <v>0</v>
      </c>
      <c r="I83" s="4">
        <f>INT('RH4'!$Z28*'RH4'!$O$15)*$D83*'RH4'!G28</f>
        <v>0</v>
      </c>
      <c r="J83" s="4">
        <f>INT('RH4'!$Z28*'RH4'!$O$15)*$D83*'RH4'!H28</f>
        <v>0</v>
      </c>
      <c r="K83" s="4">
        <f>INT('RH4'!$Z28*'RH4'!$O$15)*$D83*'RH4'!I28</f>
        <v>0</v>
      </c>
      <c r="L83" s="4">
        <f>INT('RH4'!$Z28*'RH4'!$O$15)*$D83*'RH4'!J28</f>
        <v>0</v>
      </c>
      <c r="M83" s="4">
        <f>INT('RH4'!$Z28*'RH4'!$O$15)*$D83*'RH4'!K28</f>
        <v>0</v>
      </c>
      <c r="N83" s="4">
        <f>INT('RH4'!$Z28*'RH4'!$O$15)*$D83*'RH4'!L28</f>
        <v>0</v>
      </c>
      <c r="O83" s="4">
        <f>INT('RH4'!$Z28*'RH4'!$O$15)*$D83*'RH4'!M28</f>
        <v>0</v>
      </c>
      <c r="P83" s="4">
        <f>INT('RH4'!$Z28*'RH4'!$O$15)*$D83*'RH4'!N28</f>
        <v>0</v>
      </c>
      <c r="Q83" s="23">
        <f t="shared" si="21"/>
        <v>0</v>
      </c>
      <c r="R83" s="37">
        <f t="shared" si="22"/>
        <v>0</v>
      </c>
      <c r="S83" s="26">
        <f t="shared" si="23"/>
        <v>0</v>
      </c>
      <c r="T83" s="26">
        <f>'RH4'!X28</f>
        <v>13.374802377</v>
      </c>
      <c r="U83"/>
      <c r="W83"/>
    </row>
    <row r="84" spans="1:23" ht="15.5">
      <c r="A84" s="8"/>
      <c r="B84" s="731" t="str">
        <f>'RH4'!B$29</f>
        <v>Poste ADM 2 - Actionnaire</v>
      </c>
      <c r="C84" s="732">
        <f>'RH4'!O$29</f>
        <v>11.93859</v>
      </c>
      <c r="D84" s="733">
        <f>'RH4'!Y29</f>
        <v>0</v>
      </c>
      <c r="E84" s="4">
        <f>INT('RH4'!$Z29*'RH4'!$O$15)*$D84*'RH4'!C29</f>
        <v>0</v>
      </c>
      <c r="F84" s="4">
        <f>INT('RH4'!$Z29*'RH4'!$O$15)*$D84*'RH4'!D29</f>
        <v>0</v>
      </c>
      <c r="G84" s="4">
        <f>INT('RH4'!$Z29*'RH4'!$O$15)*$D84*'RH4'!E29</f>
        <v>0</v>
      </c>
      <c r="H84" s="4">
        <f>INT('RH4'!$Z29*'RH4'!$O$15)*$D84*'RH4'!F29</f>
        <v>0</v>
      </c>
      <c r="I84" s="4">
        <f>INT('RH4'!$Z29*'RH4'!$O$15)*$D84*'RH4'!G29</f>
        <v>0</v>
      </c>
      <c r="J84" s="4">
        <f>INT('RH4'!$Z29*'RH4'!$O$15)*$D84*'RH4'!H29</f>
        <v>0</v>
      </c>
      <c r="K84" s="4">
        <f>INT('RH4'!$Z29*'RH4'!$O$15)*$D84*'RH4'!I29</f>
        <v>0</v>
      </c>
      <c r="L84" s="4">
        <f>INT('RH4'!$Z29*'RH4'!$O$15)*$D84*'RH4'!J29</f>
        <v>0</v>
      </c>
      <c r="M84" s="4">
        <f>INT('RH4'!$Z29*'RH4'!$O$15)*$D84*'RH4'!K29</f>
        <v>0</v>
      </c>
      <c r="N84" s="4">
        <f>INT('RH4'!$Z29*'RH4'!$O$15)*$D84*'RH4'!L29</f>
        <v>0</v>
      </c>
      <c r="O84" s="4">
        <f>INT('RH4'!$Z29*'RH4'!$O$15)*$D84*'RH4'!M29</f>
        <v>0</v>
      </c>
      <c r="P84" s="4">
        <f>INT('RH4'!$Z29*'RH4'!$O$15)*$D84*'RH4'!N29</f>
        <v>0</v>
      </c>
      <c r="Q84" s="23">
        <f t="shared" si="21"/>
        <v>0</v>
      </c>
      <c r="R84" s="37">
        <f t="shared" si="22"/>
        <v>0</v>
      </c>
      <c r="S84" s="26">
        <f t="shared" si="23"/>
        <v>0</v>
      </c>
      <c r="T84" s="26">
        <f>'RH4'!X29</f>
        <v>13.374802377</v>
      </c>
      <c r="U84"/>
      <c r="W84"/>
    </row>
    <row r="85" spans="1:23" ht="15.5">
      <c r="A85" s="8"/>
      <c r="B85" s="731" t="str">
        <f>'RH4'!B$30</f>
        <v>Poste administratif 3</v>
      </c>
      <c r="C85" s="732">
        <f>'RH4'!O$30</f>
        <v>11.93859</v>
      </c>
      <c r="D85" s="733">
        <f>'RH4'!Y30</f>
        <v>0</v>
      </c>
      <c r="E85" s="4">
        <f>INT('RH4'!$Z30*'RH4'!$O$15)*$D85*'RH4'!C30</f>
        <v>0</v>
      </c>
      <c r="F85" s="4">
        <f>INT('RH4'!$Z30*'RH4'!$O$15)*$D85*'RH4'!D30</f>
        <v>0</v>
      </c>
      <c r="G85" s="4">
        <f>INT('RH4'!$Z30*'RH4'!$O$15)*$D85*'RH4'!E30</f>
        <v>0</v>
      </c>
      <c r="H85" s="4">
        <f>INT('RH4'!$Z30*'RH4'!$O$15)*$D85*'RH4'!F30</f>
        <v>0</v>
      </c>
      <c r="I85" s="4">
        <f>INT('RH4'!$Z30*'RH4'!$O$15)*$D85*'RH4'!G30</f>
        <v>0</v>
      </c>
      <c r="J85" s="4">
        <f>INT('RH4'!$Z30*'RH4'!$O$15)*$D85*'RH4'!H30</f>
        <v>0</v>
      </c>
      <c r="K85" s="4">
        <f>INT('RH4'!$Z30*'RH4'!$O$15)*$D85*'RH4'!I30</f>
        <v>0</v>
      </c>
      <c r="L85" s="4">
        <f>INT('RH4'!$Z30*'RH4'!$O$15)*$D85*'RH4'!J30</f>
        <v>0</v>
      </c>
      <c r="M85" s="4">
        <f>INT('RH4'!$Z30*'RH4'!$O$15)*$D85*'RH4'!K30</f>
        <v>0</v>
      </c>
      <c r="N85" s="4">
        <f>INT('RH4'!$Z30*'RH4'!$O$15)*$D85*'RH4'!L30</f>
        <v>0</v>
      </c>
      <c r="O85" s="4">
        <f>INT('RH4'!$Z30*'RH4'!$O$15)*$D85*'RH4'!M30</f>
        <v>0</v>
      </c>
      <c r="P85" s="4">
        <f>INT('RH4'!$Z30*'RH4'!$O$15)*$D85*'RH4'!N30</f>
        <v>0</v>
      </c>
      <c r="Q85" s="23">
        <f t="shared" si="21"/>
        <v>0</v>
      </c>
      <c r="R85" s="37">
        <f t="shared" si="22"/>
        <v>0</v>
      </c>
      <c r="S85" s="26">
        <f t="shared" si="23"/>
        <v>0</v>
      </c>
      <c r="T85" s="26">
        <f>'RH4'!X30</f>
        <v>14.938757667000001</v>
      </c>
      <c r="U85"/>
      <c r="W85"/>
    </row>
    <row r="86" spans="1:23" ht="15.5">
      <c r="A86" s="8"/>
      <c r="B86" s="731" t="str">
        <f>'RH4'!B$31</f>
        <v>Poste administratif 4</v>
      </c>
      <c r="C86" s="732">
        <f>'RH4'!O$31</f>
        <v>21.224160000000001</v>
      </c>
      <c r="D86" s="733">
        <f>'RH4'!Y31</f>
        <v>1</v>
      </c>
      <c r="E86" s="4">
        <f>INT('RH4'!$Z31*'RH4'!$O$15)*$D86*'RH4'!C31</f>
        <v>173</v>
      </c>
      <c r="F86" s="4">
        <f>INT('RH4'!$Z31*'RH4'!$O$15)*$D86*'RH4'!D31</f>
        <v>173</v>
      </c>
      <c r="G86" s="4">
        <f>INT('RH4'!$Z31*'RH4'!$O$15)*$D86*'RH4'!E31</f>
        <v>173</v>
      </c>
      <c r="H86" s="4">
        <f>INT('RH4'!$Z31*'RH4'!$O$15)*$D86*'RH4'!F31</f>
        <v>173</v>
      </c>
      <c r="I86" s="4">
        <f>INT('RH4'!$Z31*'RH4'!$O$15)*$D86*'RH4'!G31</f>
        <v>173</v>
      </c>
      <c r="J86" s="4">
        <f>INT('RH4'!$Z31*'RH4'!$O$15)*$D86*'RH4'!H31</f>
        <v>173</v>
      </c>
      <c r="K86" s="4">
        <f>INT('RH4'!$Z31*'RH4'!$O$15)*$D86*'RH4'!I31</f>
        <v>173</v>
      </c>
      <c r="L86" s="4">
        <f>INT('RH4'!$Z31*'RH4'!$O$15)*$D86*'RH4'!J31</f>
        <v>173</v>
      </c>
      <c r="M86" s="4">
        <f>INT('RH4'!$Z31*'RH4'!$O$15)*$D86*'RH4'!K31</f>
        <v>173</v>
      </c>
      <c r="N86" s="4">
        <f>INT('RH4'!$Z31*'RH4'!$O$15)*$D86*'RH4'!L31</f>
        <v>173</v>
      </c>
      <c r="O86" s="4">
        <f>INT('RH4'!$Z31*'RH4'!$O$15)*$D86*'RH4'!M31</f>
        <v>173</v>
      </c>
      <c r="P86" s="4">
        <f>INT('RH4'!$Z31*'RH4'!$O$15)*$D86*'RH4'!N31</f>
        <v>173</v>
      </c>
      <c r="Q86" s="23">
        <f t="shared" si="21"/>
        <v>2076</v>
      </c>
      <c r="R86" s="37">
        <f t="shared" si="22"/>
        <v>44061.356160000003</v>
      </c>
      <c r="S86" s="26">
        <f t="shared" si="23"/>
        <v>922.71823358400025</v>
      </c>
      <c r="T86" s="26">
        <f>'RH4'!X31</f>
        <v>26.557791408</v>
      </c>
      <c r="U86" s="41"/>
      <c r="W86"/>
    </row>
    <row r="87" spans="1:23" ht="15.5">
      <c r="A87" s="8"/>
      <c r="B87" s="15"/>
      <c r="C87" s="38" t="s">
        <v>361</v>
      </c>
      <c r="D87" s="31">
        <f t="shared" ref="D87:P87" si="24">SUM(D75:D86)</f>
        <v>1</v>
      </c>
      <c r="E87" s="30">
        <f t="shared" si="24"/>
        <v>173</v>
      </c>
      <c r="F87" s="30">
        <f t="shared" si="24"/>
        <v>173</v>
      </c>
      <c r="G87" s="30">
        <f t="shared" si="24"/>
        <v>173</v>
      </c>
      <c r="H87" s="30">
        <f t="shared" si="24"/>
        <v>173</v>
      </c>
      <c r="I87" s="30">
        <f t="shared" si="24"/>
        <v>173</v>
      </c>
      <c r="J87" s="30">
        <f t="shared" si="24"/>
        <v>173</v>
      </c>
      <c r="K87" s="30">
        <f t="shared" si="24"/>
        <v>173</v>
      </c>
      <c r="L87" s="30">
        <f t="shared" si="24"/>
        <v>173</v>
      </c>
      <c r="M87" s="30">
        <f t="shared" si="24"/>
        <v>173</v>
      </c>
      <c r="N87" s="30">
        <f t="shared" si="24"/>
        <v>173</v>
      </c>
      <c r="O87" s="30">
        <f t="shared" si="24"/>
        <v>173</v>
      </c>
      <c r="P87" s="30">
        <f t="shared" si="24"/>
        <v>173</v>
      </c>
      <c r="Q87" s="31">
        <f>SUM(E87:P87)</f>
        <v>2076</v>
      </c>
      <c r="R87" s="15"/>
      <c r="S87" s="26">
        <f>SUM(S75:S86)</f>
        <v>922.71823358400025</v>
      </c>
      <c r="T87" s="26"/>
      <c r="U87"/>
      <c r="W87"/>
    </row>
    <row r="88" spans="1:23" ht="15.5">
      <c r="A88" s="8"/>
      <c r="B88" s="15"/>
      <c r="C88" s="38"/>
      <c r="D88" s="31"/>
      <c r="E88" s="30"/>
      <c r="F88" s="30"/>
      <c r="G88" s="30"/>
      <c r="H88" s="30"/>
      <c r="I88" s="30"/>
      <c r="J88" s="30"/>
      <c r="K88" s="30"/>
      <c r="L88" s="30"/>
      <c r="M88" s="30"/>
      <c r="N88" s="30"/>
      <c r="O88" s="30"/>
      <c r="P88" s="30"/>
      <c r="Q88" s="31"/>
      <c r="R88" s="15"/>
      <c r="S88" s="26"/>
      <c r="T88" s="41"/>
      <c r="U88"/>
      <c r="V88"/>
      <c r="W88"/>
    </row>
    <row r="89" spans="1:23" ht="15.5">
      <c r="A89" s="8"/>
      <c r="B89" s="15"/>
      <c r="C89" s="38"/>
      <c r="D89" s="31"/>
      <c r="E89" s="30"/>
      <c r="F89" s="30"/>
      <c r="G89" s="30"/>
      <c r="H89" s="30"/>
      <c r="I89" s="30"/>
      <c r="J89" s="30"/>
      <c r="K89" s="30"/>
      <c r="L89" s="30"/>
      <c r="M89" s="30"/>
      <c r="N89" s="30"/>
      <c r="O89" s="30"/>
      <c r="P89" s="30"/>
      <c r="Q89" s="31"/>
      <c r="R89" s="15"/>
      <c r="S89"/>
      <c r="T89"/>
      <c r="U89"/>
      <c r="V89"/>
      <c r="W89"/>
    </row>
    <row r="90" spans="1:23" ht="15.5">
      <c r="A90" s="8"/>
      <c r="B90" s="15"/>
      <c r="C90" s="38"/>
      <c r="D90" s="31"/>
      <c r="E90" s="30"/>
      <c r="F90" s="30"/>
      <c r="G90" s="30"/>
      <c r="H90" s="30"/>
      <c r="I90" s="30"/>
      <c r="J90" s="30"/>
      <c r="K90" s="30"/>
      <c r="L90" s="30"/>
      <c r="M90" s="30"/>
      <c r="N90" s="30"/>
      <c r="O90" s="30"/>
      <c r="P90" s="30"/>
      <c r="Q90" s="31"/>
      <c r="R90" s="15"/>
      <c r="S90"/>
      <c r="T90"/>
      <c r="U90"/>
      <c r="V90"/>
      <c r="W90"/>
    </row>
    <row r="91" spans="1:23" ht="15.5">
      <c r="A91" s="8"/>
      <c r="B91" s="15"/>
      <c r="C91" s="38"/>
      <c r="D91" s="31"/>
      <c r="E91" s="30"/>
      <c r="F91" s="30"/>
      <c r="G91" s="30"/>
      <c r="H91" s="30"/>
      <c r="I91" s="30"/>
      <c r="J91" s="30"/>
      <c r="K91" s="30"/>
      <c r="L91" s="30"/>
      <c r="M91" s="30"/>
      <c r="N91" s="30"/>
      <c r="O91" s="30"/>
      <c r="P91" s="30"/>
      <c r="Q91" s="31"/>
      <c r="R91" s="15"/>
      <c r="S91"/>
      <c r="T91"/>
      <c r="U91"/>
      <c r="V91"/>
      <c r="W91"/>
    </row>
    <row r="92" spans="1:23" ht="15.5">
      <c r="A92" s="8"/>
      <c r="B92" s="15"/>
      <c r="C92" s="38"/>
      <c r="D92" s="31"/>
      <c r="E92" s="30"/>
      <c r="F92" s="30"/>
      <c r="G92" s="30"/>
      <c r="H92" s="30"/>
      <c r="I92" s="30"/>
      <c r="J92" s="30"/>
      <c r="K92" s="30"/>
      <c r="L92" s="30"/>
      <c r="M92" s="30"/>
      <c r="N92" s="30"/>
      <c r="O92" s="30"/>
      <c r="P92" s="30"/>
      <c r="Q92" s="31"/>
      <c r="R92" s="15"/>
      <c r="S92"/>
      <c r="T92"/>
      <c r="U92"/>
      <c r="V92"/>
      <c r="W92"/>
    </row>
    <row r="93" spans="1:23" ht="15.5">
      <c r="A93" s="8"/>
      <c r="B93" s="15"/>
      <c r="C93" s="38"/>
      <c r="D93" s="31"/>
      <c r="E93" s="30"/>
      <c r="F93" s="30"/>
      <c r="G93" s="30"/>
      <c r="H93" s="30"/>
      <c r="I93" s="30"/>
      <c r="J93" s="30"/>
      <c r="K93" s="30"/>
      <c r="L93" s="30"/>
      <c r="M93" s="30"/>
      <c r="N93" s="30"/>
      <c r="O93" s="30"/>
      <c r="P93" s="30"/>
      <c r="Q93" s="31"/>
      <c r="R93" s="15"/>
      <c r="S93"/>
      <c r="T93"/>
      <c r="U93"/>
      <c r="V93"/>
      <c r="W93"/>
    </row>
    <row r="94" spans="1:23" ht="15.5">
      <c r="A94" s="8"/>
      <c r="B94" s="15"/>
      <c r="C94" s="39" t="s">
        <v>362</v>
      </c>
      <c r="D94" s="40"/>
      <c r="E94" s="34">
        <f t="shared" ref="E94:Q94" si="25">(E75*$C75)+(E76*$C76)+(E77*$C77)+(E78*$C78)+(E79*$C79)+(E80*$C80)+(E81*$C81)+(E82*$C82)+(E83*$C83)+(E84*$C84)+(E85*$C85)+(E86*$C86)</f>
        <v>3671.7796800000001</v>
      </c>
      <c r="F94" s="34">
        <f t="shared" si="25"/>
        <v>3671.7796800000001</v>
      </c>
      <c r="G94" s="34">
        <f t="shared" si="25"/>
        <v>3671.7796800000001</v>
      </c>
      <c r="H94" s="34">
        <f t="shared" si="25"/>
        <v>3671.7796800000001</v>
      </c>
      <c r="I94" s="34">
        <f t="shared" si="25"/>
        <v>3671.7796800000001</v>
      </c>
      <c r="J94" s="34">
        <f t="shared" si="25"/>
        <v>3671.7796800000001</v>
      </c>
      <c r="K94" s="34">
        <f t="shared" si="25"/>
        <v>3671.7796800000001</v>
      </c>
      <c r="L94" s="34">
        <f t="shared" si="25"/>
        <v>3671.7796800000001</v>
      </c>
      <c r="M94" s="34">
        <f t="shared" si="25"/>
        <v>3671.7796800000001</v>
      </c>
      <c r="N94" s="34">
        <f t="shared" si="25"/>
        <v>3671.7796800000001</v>
      </c>
      <c r="O94" s="34">
        <f t="shared" si="25"/>
        <v>3671.7796800000001</v>
      </c>
      <c r="P94" s="34">
        <f t="shared" si="25"/>
        <v>3671.7796800000001</v>
      </c>
      <c r="Q94" s="34">
        <f t="shared" si="25"/>
        <v>44061.356160000003</v>
      </c>
      <c r="R94" s="15"/>
      <c r="S94"/>
      <c r="T94"/>
      <c r="U94"/>
      <c r="V94"/>
      <c r="W94"/>
    </row>
    <row r="95" spans="1:23">
      <c r="A95"/>
      <c r="B95"/>
      <c r="C95"/>
      <c r="D95"/>
      <c r="E95"/>
      <c r="F95"/>
      <c r="G95"/>
      <c r="H95"/>
      <c r="I95"/>
      <c r="J95"/>
      <c r="K95"/>
      <c r="L95"/>
      <c r="M95"/>
      <c r="N95"/>
      <c r="O95"/>
      <c r="P95"/>
      <c r="Q95"/>
      <c r="R95"/>
      <c r="S95"/>
      <c r="T95"/>
      <c r="U95"/>
      <c r="V95"/>
      <c r="W95"/>
    </row>
    <row r="96" spans="1:23">
      <c r="A96"/>
      <c r="B96"/>
      <c r="C96"/>
      <c r="D96"/>
      <c r="E96"/>
      <c r="F96"/>
      <c r="G96"/>
      <c r="H96"/>
      <c r="I96"/>
      <c r="J96"/>
      <c r="K96"/>
      <c r="L96"/>
      <c r="M96"/>
      <c r="N96"/>
      <c r="O96"/>
      <c r="P96"/>
      <c r="Q96"/>
      <c r="R96"/>
      <c r="S96"/>
      <c r="T96"/>
      <c r="U96"/>
      <c r="V96"/>
      <c r="W96"/>
    </row>
    <row r="97" spans="1:23" ht="22.5">
      <c r="A97" s="8"/>
      <c r="B97" s="14" t="s">
        <v>19</v>
      </c>
      <c r="C97" s="15"/>
      <c r="D97" s="15"/>
      <c r="E97" s="15"/>
      <c r="F97" s="16" t="str">
        <f>F72</f>
        <v>Jhon Wesly inc.</v>
      </c>
      <c r="G97" s="15"/>
      <c r="H97" s="15"/>
      <c r="I97" s="15"/>
      <c r="J97" s="15"/>
      <c r="K97" s="15"/>
      <c r="L97" s="15"/>
      <c r="M97" s="15"/>
      <c r="N97" s="15"/>
      <c r="O97" s="15"/>
      <c r="P97" s="15" t="s">
        <v>366</v>
      </c>
      <c r="Q97" s="15"/>
      <c r="R97" s="15"/>
      <c r="S97"/>
      <c r="T97"/>
      <c r="U97"/>
      <c r="V97"/>
      <c r="W97"/>
    </row>
    <row r="98" spans="1:23" ht="15.5">
      <c r="A98" s="8"/>
      <c r="B98" s="15"/>
      <c r="C98" s="17"/>
      <c r="D98" s="17"/>
      <c r="E98" s="18">
        <f>E73+366</f>
        <v>46756</v>
      </c>
      <c r="F98" s="18">
        <f>E98+31</f>
        <v>46787</v>
      </c>
      <c r="G98" s="18">
        <f t="shared" ref="G98:P98" si="26">F98+31</f>
        <v>46818</v>
      </c>
      <c r="H98" s="18">
        <f t="shared" si="26"/>
        <v>46849</v>
      </c>
      <c r="I98" s="18">
        <f t="shared" si="26"/>
        <v>46880</v>
      </c>
      <c r="J98" s="18">
        <f t="shared" si="26"/>
        <v>46911</v>
      </c>
      <c r="K98" s="18">
        <f t="shared" si="26"/>
        <v>46942</v>
      </c>
      <c r="L98" s="18">
        <f t="shared" si="26"/>
        <v>46973</v>
      </c>
      <c r="M98" s="18">
        <f t="shared" si="26"/>
        <v>47004</v>
      </c>
      <c r="N98" s="18">
        <f t="shared" si="26"/>
        <v>47035</v>
      </c>
      <c r="O98" s="18">
        <f t="shared" si="26"/>
        <v>47066</v>
      </c>
      <c r="P98" s="19">
        <f t="shared" si="26"/>
        <v>47097</v>
      </c>
      <c r="Q98" s="35" t="s">
        <v>498</v>
      </c>
      <c r="R98" s="17"/>
      <c r="S98"/>
      <c r="T98"/>
      <c r="U98"/>
      <c r="V98"/>
      <c r="W98"/>
    </row>
    <row r="99" spans="1:23" ht="15.5">
      <c r="A99" s="8"/>
      <c r="B99" s="15"/>
      <c r="C99" s="21" t="s">
        <v>358</v>
      </c>
      <c r="D99" s="21" t="s">
        <v>359</v>
      </c>
      <c r="E99" s="21" t="s">
        <v>360</v>
      </c>
      <c r="F99" s="21" t="s">
        <v>360</v>
      </c>
      <c r="G99" s="21" t="s">
        <v>360</v>
      </c>
      <c r="H99" s="21" t="s">
        <v>360</v>
      </c>
      <c r="I99" s="21" t="s">
        <v>360</v>
      </c>
      <c r="J99" s="21" t="s">
        <v>360</v>
      </c>
      <c r="K99" s="21" t="s">
        <v>360</v>
      </c>
      <c r="L99" s="21" t="s">
        <v>360</v>
      </c>
      <c r="M99" s="21" t="s">
        <v>360</v>
      </c>
      <c r="N99" s="21" t="s">
        <v>360</v>
      </c>
      <c r="O99" s="21" t="s">
        <v>360</v>
      </c>
      <c r="P99" s="21" t="s">
        <v>360</v>
      </c>
      <c r="Q99" s="21" t="s">
        <v>360</v>
      </c>
      <c r="R99" s="17"/>
      <c r="S99"/>
      <c r="T99"/>
      <c r="U99"/>
      <c r="V99"/>
      <c r="W99"/>
    </row>
    <row r="100" spans="1:23" ht="15.5">
      <c r="A100" s="8"/>
      <c r="B100" s="23" t="str">
        <f>'RH5'!B20</f>
        <v>Poste MOD 1 - Actionnaire</v>
      </c>
      <c r="C100" s="36">
        <f>'RH5'!O20</f>
        <v>12.1773618</v>
      </c>
      <c r="D100" s="23">
        <f>'RH5'!Y20</f>
        <v>0</v>
      </c>
      <c r="E100" s="880">
        <f>INT('RH5'!$Z20*'RH5'!$O$15)*$D100*'RH5'!C20</f>
        <v>0</v>
      </c>
      <c r="F100" s="880">
        <f>INT('RH5'!$Z20*'RH5'!$O$15)*$D100*'RH5'!D20</f>
        <v>0</v>
      </c>
      <c r="G100" s="880">
        <f>INT('RH5'!$Z20*'RH5'!$O$15)*$D100*'RH5'!E20</f>
        <v>0</v>
      </c>
      <c r="H100" s="880">
        <f>INT('RH5'!$Z20*'RH5'!$O$15)*$D100*'RH5'!F20</f>
        <v>0</v>
      </c>
      <c r="I100" s="880">
        <f>INT('RH5'!$Z20*'RH5'!$O$15)*$D100*'RH5'!G20</f>
        <v>0</v>
      </c>
      <c r="J100" s="880">
        <f>INT('RH5'!$Z20*'RH5'!$O$15)*$D100*'RH5'!H20</f>
        <v>0</v>
      </c>
      <c r="K100" s="880">
        <f>INT('RH5'!$Z20*'RH5'!$O$15)*$D100*'RH5'!I20</f>
        <v>0</v>
      </c>
      <c r="L100" s="880">
        <f>INT('RH5'!$Z20*'RH5'!$O$15)*$D100*'RH5'!J20</f>
        <v>0</v>
      </c>
      <c r="M100" s="880">
        <f>INT('RH5'!$Z20*'RH5'!$O$15)*$D100*'RH5'!K20</f>
        <v>0</v>
      </c>
      <c r="N100" s="880">
        <f>INT('RH5'!$Z20*'RH5'!$O$15)*$D100*'RH5'!L20</f>
        <v>0</v>
      </c>
      <c r="O100" s="880">
        <f>INT('RH5'!$Z20*'RH5'!$O$15)*$D100*'RH5'!M20</f>
        <v>0</v>
      </c>
      <c r="P100" s="880">
        <f>INT('RH5'!$Z20*'RH5'!$O$15)*$D100*'RH5'!N20</f>
        <v>0</v>
      </c>
      <c r="Q100" s="881">
        <f t="shared" ref="Q100:Q111" si="27">SUM(E100:P100)</f>
        <v>0</v>
      </c>
      <c r="R100" s="37">
        <f t="shared" ref="R100:R111" si="28">Q100*$C100</f>
        <v>0</v>
      </c>
      <c r="S100" s="26">
        <f>(P100*T100)-(P100*C100)</f>
        <v>0</v>
      </c>
      <c r="T100" s="26">
        <f>'RH5'!X20</f>
        <v>13.642298424540002</v>
      </c>
      <c r="U100"/>
      <c r="W100"/>
    </row>
    <row r="101" spans="1:23" ht="15.5">
      <c r="A101" s="8"/>
      <c r="B101" s="23" t="str">
        <f>'RH5'!B21</f>
        <v>Poste MOD 2 - Actionnaire</v>
      </c>
      <c r="C101" s="36">
        <f>'RH5'!O21</f>
        <v>12.1773618</v>
      </c>
      <c r="D101" s="23">
        <f>'RH5'!Y21</f>
        <v>0</v>
      </c>
      <c r="E101" s="880">
        <f>INT('RH5'!$Z21*'RH5'!$O$15)*$D101*'RH5'!C21</f>
        <v>0</v>
      </c>
      <c r="F101" s="880">
        <f>INT('RH5'!$Z21*'RH5'!$O$15)*$D101*'RH5'!D21</f>
        <v>0</v>
      </c>
      <c r="G101" s="880">
        <f>INT('RH5'!$Z21*'RH5'!$O$15)*$D101*'RH5'!E21</f>
        <v>0</v>
      </c>
      <c r="H101" s="880">
        <f>INT('RH5'!$Z21*'RH5'!$O$15)*$D101*'RH5'!F21</f>
        <v>0</v>
      </c>
      <c r="I101" s="880">
        <f>INT('RH5'!$Z21*'RH5'!$O$15)*$D101*'RH5'!G21</f>
        <v>0</v>
      </c>
      <c r="J101" s="880">
        <f>INT('RH5'!$Z21*'RH5'!$O$15)*$D101*'RH5'!H21</f>
        <v>0</v>
      </c>
      <c r="K101" s="880">
        <f>INT('RH5'!$Z21*'RH5'!$O$15)*$D101*'RH5'!I21</f>
        <v>0</v>
      </c>
      <c r="L101" s="880">
        <f>INT('RH5'!$Z21*'RH5'!$O$15)*$D101*'RH5'!J21</f>
        <v>0</v>
      </c>
      <c r="M101" s="880">
        <f>INT('RH5'!$Z21*'RH5'!$O$15)*$D101*'RH5'!K21</f>
        <v>0</v>
      </c>
      <c r="N101" s="880">
        <f>INT('RH5'!$Z21*'RH5'!$O$15)*$D101*'RH5'!L21</f>
        <v>0</v>
      </c>
      <c r="O101" s="880">
        <f>INT('RH5'!$Z21*'RH5'!$O$15)*$D101*'RH5'!M21</f>
        <v>0</v>
      </c>
      <c r="P101" s="880">
        <f>INT('RH5'!$Z21*'RH5'!$O$15)*$D101*'RH5'!N21</f>
        <v>0</v>
      </c>
      <c r="Q101" s="881">
        <f t="shared" si="27"/>
        <v>0</v>
      </c>
      <c r="R101" s="37">
        <f t="shared" si="28"/>
        <v>0</v>
      </c>
      <c r="S101" s="26">
        <f t="shared" ref="S101:S111" si="29">(P101*T101)-(P101*C101)</f>
        <v>0</v>
      </c>
      <c r="T101" s="26">
        <f>'RH5'!X21</f>
        <v>13.642298424540002</v>
      </c>
      <c r="U101"/>
      <c r="W101"/>
    </row>
    <row r="102" spans="1:23" ht="15.5">
      <c r="A102" s="8"/>
      <c r="B102" s="23" t="str">
        <f>'RH5'!B22</f>
        <v>Poste MOD 3</v>
      </c>
      <c r="C102" s="36">
        <f>'RH5'!O22</f>
        <v>12.1773618</v>
      </c>
      <c r="D102" s="23">
        <f>'RH5'!Y22</f>
        <v>0</v>
      </c>
      <c r="E102" s="880">
        <f>INT('RH5'!$Z22*'RH5'!$O$15)*$D102*'RH5'!C22</f>
        <v>0</v>
      </c>
      <c r="F102" s="880">
        <f>INT('RH5'!$Z22*'RH5'!$O$15)*$D102*'RH5'!D22</f>
        <v>0</v>
      </c>
      <c r="G102" s="880">
        <f>INT('RH5'!$Z22*'RH5'!$O$15)*$D102*'RH5'!E22</f>
        <v>0</v>
      </c>
      <c r="H102" s="880">
        <f>INT('RH5'!$Z22*'RH5'!$O$15)*$D102*'RH5'!F22</f>
        <v>0</v>
      </c>
      <c r="I102" s="880">
        <f>INT('RH5'!$Z22*'RH5'!$O$15)*$D102*'RH5'!G22</f>
        <v>0</v>
      </c>
      <c r="J102" s="880">
        <f>INT('RH5'!$Z22*'RH5'!$O$15)*$D102*'RH5'!H22</f>
        <v>0</v>
      </c>
      <c r="K102" s="880">
        <f>INT('RH5'!$Z22*'RH5'!$O$15)*$D102*'RH5'!I22</f>
        <v>0</v>
      </c>
      <c r="L102" s="880">
        <f>INT('RH5'!$Z22*'RH5'!$O$15)*$D102*'RH5'!J22</f>
        <v>0</v>
      </c>
      <c r="M102" s="880">
        <f>INT('RH5'!$Z22*'RH5'!$O$15)*$D102*'RH5'!K22</f>
        <v>0</v>
      </c>
      <c r="N102" s="880">
        <f>INT('RH5'!$Z22*'RH5'!$O$15)*$D102*'RH5'!L22</f>
        <v>0</v>
      </c>
      <c r="O102" s="880">
        <f>INT('RH5'!$Z22*'RH5'!$O$15)*$D102*'RH5'!M22</f>
        <v>0</v>
      </c>
      <c r="P102" s="880">
        <f>INT('RH5'!$Z22*'RH5'!$O$15)*$D102*'RH5'!N22</f>
        <v>0</v>
      </c>
      <c r="Q102" s="881">
        <f t="shared" si="27"/>
        <v>0</v>
      </c>
      <c r="R102" s="37">
        <f t="shared" si="28"/>
        <v>0</v>
      </c>
      <c r="S102" s="26">
        <f t="shared" si="29"/>
        <v>0</v>
      </c>
      <c r="T102" s="26">
        <f>'RH5'!X22</f>
        <v>15.237532820340002</v>
      </c>
      <c r="U102"/>
      <c r="W102"/>
    </row>
    <row r="103" spans="1:23" ht="15.5">
      <c r="A103" s="8"/>
      <c r="B103" s="23" t="str">
        <f>'RH5'!B23</f>
        <v>Poste MOD 4</v>
      </c>
      <c r="C103" s="36">
        <f>'RH5'!O23</f>
        <v>12.1773618</v>
      </c>
      <c r="D103" s="23">
        <f>'RH5'!Y23</f>
        <v>0</v>
      </c>
      <c r="E103" s="880">
        <f>INT('RH5'!$Z23*'RH5'!$O$15)*$D103*'RH5'!C23</f>
        <v>0</v>
      </c>
      <c r="F103" s="880">
        <f>INT('RH5'!$Z23*'RH5'!$O$15)*$D103*'RH5'!D23</f>
        <v>0</v>
      </c>
      <c r="G103" s="880">
        <f>INT('RH5'!$Z23*'RH5'!$O$15)*$D103*'RH5'!E23</f>
        <v>0</v>
      </c>
      <c r="H103" s="880">
        <f>INT('RH5'!$Z23*'RH5'!$O$15)*$D103*'RH5'!F23</f>
        <v>0</v>
      </c>
      <c r="I103" s="880">
        <f>INT('RH5'!$Z23*'RH5'!$O$15)*$D103*'RH5'!G23</f>
        <v>0</v>
      </c>
      <c r="J103" s="880">
        <f>INT('RH5'!$Z23*'RH5'!$O$15)*$D103*'RH5'!H23</f>
        <v>0</v>
      </c>
      <c r="K103" s="880">
        <f>INT('RH5'!$Z23*'RH5'!$O$15)*$D103*'RH5'!I23</f>
        <v>0</v>
      </c>
      <c r="L103" s="880">
        <f>INT('RH5'!$Z23*'RH5'!$O$15)*$D103*'RH5'!J23</f>
        <v>0</v>
      </c>
      <c r="M103" s="880">
        <f>INT('RH5'!$Z23*'RH5'!$O$15)*$D103*'RH5'!K23</f>
        <v>0</v>
      </c>
      <c r="N103" s="880">
        <f>INT('RH5'!$Z23*'RH5'!$O$15)*$D103*'RH5'!L23</f>
        <v>0</v>
      </c>
      <c r="O103" s="880">
        <f>INT('RH5'!$Z23*'RH5'!$O$15)*$D103*'RH5'!M23</f>
        <v>0</v>
      </c>
      <c r="P103" s="880">
        <f>INT('RH5'!$Z23*'RH5'!$O$15)*$D103*'RH5'!N23</f>
        <v>0</v>
      </c>
      <c r="Q103" s="881">
        <f t="shared" si="27"/>
        <v>0</v>
      </c>
      <c r="R103" s="37">
        <f t="shared" si="28"/>
        <v>0</v>
      </c>
      <c r="S103" s="26">
        <f t="shared" si="29"/>
        <v>0</v>
      </c>
      <c r="T103" s="26">
        <f>'RH5'!X23</f>
        <v>15.237532820340002</v>
      </c>
      <c r="U103"/>
      <c r="W103"/>
    </row>
    <row r="104" spans="1:23" ht="15.5">
      <c r="A104" s="8"/>
      <c r="B104" s="23" t="str">
        <f>'RH5'!B24</f>
        <v>Poste MOD 5</v>
      </c>
      <c r="C104" s="36">
        <f>'RH5'!O24</f>
        <v>12.1773618</v>
      </c>
      <c r="D104" s="23">
        <f>'RH5'!Y24</f>
        <v>0</v>
      </c>
      <c r="E104" s="880">
        <f>INT('RH5'!$Z24*'RH5'!$O$15)*$D104*'RH5'!C24</f>
        <v>0</v>
      </c>
      <c r="F104" s="880">
        <f>INT('RH5'!$Z24*'RH5'!$O$15)*$D104*'RH5'!D24</f>
        <v>0</v>
      </c>
      <c r="G104" s="880">
        <f>INT('RH5'!$Z24*'RH5'!$O$15)*$D104*'RH5'!E24</f>
        <v>0</v>
      </c>
      <c r="H104" s="880">
        <f>INT('RH5'!$Z24*'RH5'!$O$15)*$D104*'RH5'!F24</f>
        <v>0</v>
      </c>
      <c r="I104" s="880">
        <f>INT('RH5'!$Z24*'RH5'!$O$15)*$D104*'RH5'!G24</f>
        <v>0</v>
      </c>
      <c r="J104" s="880">
        <f>INT('RH5'!$Z24*'RH5'!$O$15)*$D104*'RH5'!H24</f>
        <v>0</v>
      </c>
      <c r="K104" s="880">
        <f>INT('RH5'!$Z24*'RH5'!$O$15)*$D104*'RH5'!I24</f>
        <v>0</v>
      </c>
      <c r="L104" s="880">
        <f>INT('RH5'!$Z24*'RH5'!$O$15)*$D104*'RH5'!J24</f>
        <v>0</v>
      </c>
      <c r="M104" s="880">
        <f>INT('RH5'!$Z24*'RH5'!$O$15)*$D104*'RH5'!K24</f>
        <v>0</v>
      </c>
      <c r="N104" s="880">
        <f>INT('RH5'!$Z24*'RH5'!$O$15)*$D104*'RH5'!L24</f>
        <v>0</v>
      </c>
      <c r="O104" s="880">
        <f>INT('RH5'!$Z24*'RH5'!$O$15)*$D104*'RH5'!M24</f>
        <v>0</v>
      </c>
      <c r="P104" s="880">
        <f>INT('RH5'!$Z24*'RH5'!$O$15)*$D104*'RH5'!N24</f>
        <v>0</v>
      </c>
      <c r="Q104" s="881">
        <f t="shared" si="27"/>
        <v>0</v>
      </c>
      <c r="R104" s="37">
        <f t="shared" si="28"/>
        <v>0</v>
      </c>
      <c r="S104" s="26">
        <f t="shared" si="29"/>
        <v>0</v>
      </c>
      <c r="T104" s="26">
        <f>'RH5'!X24</f>
        <v>15.237532820340002</v>
      </c>
      <c r="U104"/>
      <c r="W104"/>
    </row>
    <row r="105" spans="1:23" ht="15.5">
      <c r="A105" s="8"/>
      <c r="B105" s="23" t="str">
        <f>'RH5'!B25</f>
        <v>Poste MOD 6</v>
      </c>
      <c r="C105" s="36">
        <f>'RH5'!O25</f>
        <v>12.1773618</v>
      </c>
      <c r="D105" s="23">
        <f>'RH5'!Y25</f>
        <v>0</v>
      </c>
      <c r="E105" s="880">
        <f>INT('RH5'!$Z25*'RH5'!$O$15)*$D105*'RH5'!C25</f>
        <v>0</v>
      </c>
      <c r="F105" s="880">
        <f>INT('RH5'!$Z25*'RH5'!$O$15)*$D105*'RH5'!D25</f>
        <v>0</v>
      </c>
      <c r="G105" s="880">
        <f>INT('RH5'!$Z25*'RH5'!$O$15)*$D105*'RH5'!E25</f>
        <v>0</v>
      </c>
      <c r="H105" s="880">
        <f>INT('RH5'!$Z25*'RH5'!$O$15)*$D105*'RH5'!F25</f>
        <v>0</v>
      </c>
      <c r="I105" s="880">
        <f>INT('RH5'!$Z25*'RH5'!$O$15)*$D105*'RH5'!G25</f>
        <v>0</v>
      </c>
      <c r="J105" s="880">
        <f>INT('RH5'!$Z25*'RH5'!$O$15)*$D105*'RH5'!H25</f>
        <v>0</v>
      </c>
      <c r="K105" s="880">
        <f>INT('RH5'!$Z25*'RH5'!$O$15)*$D105*'RH5'!I25</f>
        <v>0</v>
      </c>
      <c r="L105" s="880">
        <f>INT('RH5'!$Z25*'RH5'!$O$15)*$D105*'RH5'!J25</f>
        <v>0</v>
      </c>
      <c r="M105" s="880">
        <f>INT('RH5'!$Z25*'RH5'!$O$15)*$D105*'RH5'!K25</f>
        <v>0</v>
      </c>
      <c r="N105" s="880">
        <f>INT('RH5'!$Z25*'RH5'!$O$15)*$D105*'RH5'!L25</f>
        <v>0</v>
      </c>
      <c r="O105" s="880">
        <f>INT('RH5'!$Z25*'RH5'!$O$15)*$D105*'RH5'!M25</f>
        <v>0</v>
      </c>
      <c r="P105" s="880">
        <f>INT('RH5'!$Z25*'RH5'!$O$15)*$D105*'RH5'!N25</f>
        <v>0</v>
      </c>
      <c r="Q105" s="881">
        <f t="shared" si="27"/>
        <v>0</v>
      </c>
      <c r="R105" s="37">
        <f t="shared" si="28"/>
        <v>0</v>
      </c>
      <c r="S105" s="26">
        <f t="shared" si="29"/>
        <v>0</v>
      </c>
      <c r="T105" s="26">
        <f>'RH5'!X25</f>
        <v>15.237532820340002</v>
      </c>
      <c r="U105" s="41"/>
      <c r="W105"/>
    </row>
    <row r="106" spans="1:23" ht="15.5">
      <c r="A106" s="8"/>
      <c r="B106" s="23" t="str">
        <f>'RH5'!B26</f>
        <v>Poste MOD 7</v>
      </c>
      <c r="C106" s="36">
        <f>'RH5'!O26</f>
        <v>12.1773618</v>
      </c>
      <c r="D106" s="23">
        <f>'RH5'!Y26</f>
        <v>0</v>
      </c>
      <c r="E106" s="880">
        <f>INT('RH5'!$Z26*'RH5'!$O$15)*$D106*'RH5'!C26</f>
        <v>0</v>
      </c>
      <c r="F106" s="880">
        <f>INT('RH5'!$Z26*'RH5'!$O$15)*$D106*'RH5'!D26</f>
        <v>0</v>
      </c>
      <c r="G106" s="880">
        <f>INT('RH5'!$Z26*'RH5'!$O$15)*$D106*'RH5'!E26</f>
        <v>0</v>
      </c>
      <c r="H106" s="880">
        <f>INT('RH5'!$Z26*'RH5'!$O$15)*$D106*'RH5'!F26</f>
        <v>0</v>
      </c>
      <c r="I106" s="880">
        <f>INT('RH5'!$Z26*'RH5'!$O$15)*$D106*'RH5'!G26</f>
        <v>0</v>
      </c>
      <c r="J106" s="880">
        <f>INT('RH5'!$Z26*'RH5'!$O$15)*$D106*'RH5'!H26</f>
        <v>0</v>
      </c>
      <c r="K106" s="880">
        <f>INT('RH5'!$Z26*'RH5'!$O$15)*$D106*'RH5'!I26</f>
        <v>0</v>
      </c>
      <c r="L106" s="880">
        <f>INT('RH5'!$Z26*'RH5'!$O$15)*$D106*'RH5'!J26</f>
        <v>0</v>
      </c>
      <c r="M106" s="880">
        <f>INT('RH5'!$Z26*'RH5'!$O$15)*$D106*'RH5'!K26</f>
        <v>0</v>
      </c>
      <c r="N106" s="880">
        <f>INT('RH5'!$Z26*'RH5'!$O$15)*$D106*'RH5'!L26</f>
        <v>0</v>
      </c>
      <c r="O106" s="880">
        <f>INT('RH5'!$Z26*'RH5'!$O$15)*$D106*'RH5'!M26</f>
        <v>0</v>
      </c>
      <c r="P106" s="880">
        <f>INT('RH5'!$Z26*'RH5'!$O$15)*$D106*'RH5'!N26</f>
        <v>0</v>
      </c>
      <c r="Q106" s="881">
        <f t="shared" si="27"/>
        <v>0</v>
      </c>
      <c r="R106" s="37">
        <f t="shared" si="28"/>
        <v>0</v>
      </c>
      <c r="S106" s="26">
        <f t="shared" si="29"/>
        <v>0</v>
      </c>
      <c r="T106" s="26">
        <f>'RH5'!X26</f>
        <v>15.237532820340002</v>
      </c>
      <c r="U106"/>
      <c r="W106"/>
    </row>
    <row r="107" spans="1:23" ht="15.5">
      <c r="A107" s="8"/>
      <c r="B107" s="23" t="str">
        <f>'RH5'!B27</f>
        <v>Poste MOD 8</v>
      </c>
      <c r="C107" s="36">
        <f>'RH5'!O27</f>
        <v>12.1773618</v>
      </c>
      <c r="D107" s="23">
        <f>'RH5'!Y27</f>
        <v>0</v>
      </c>
      <c r="E107" s="880">
        <f>INT('RH5'!$Z27*'RH5'!$O$15)*$D107*'RH5'!C27</f>
        <v>0</v>
      </c>
      <c r="F107" s="880">
        <f>INT('RH5'!$Z27*'RH5'!$O$15)*$D107*'RH5'!D27</f>
        <v>0</v>
      </c>
      <c r="G107" s="880">
        <f>INT('RH5'!$Z27*'RH5'!$O$15)*$D107*'RH5'!E27</f>
        <v>0</v>
      </c>
      <c r="H107" s="880">
        <f>INT('RH5'!$Z27*'RH5'!$O$15)*$D107*'RH5'!F27</f>
        <v>0</v>
      </c>
      <c r="I107" s="880">
        <f>INT('RH5'!$Z27*'RH5'!$O$15)*$D107*'RH5'!G27</f>
        <v>0</v>
      </c>
      <c r="J107" s="880">
        <f>INT('RH5'!$Z27*'RH5'!$O$15)*$D107*'RH5'!H27</f>
        <v>0</v>
      </c>
      <c r="K107" s="880">
        <f>INT('RH5'!$Z27*'RH5'!$O$15)*$D107*'RH5'!I27</f>
        <v>0</v>
      </c>
      <c r="L107" s="880">
        <f>INT('RH5'!$Z27*'RH5'!$O$15)*$D107*'RH5'!J27</f>
        <v>0</v>
      </c>
      <c r="M107" s="880">
        <f>INT('RH5'!$Z27*'RH5'!$O$15)*$D107*'RH5'!K27</f>
        <v>0</v>
      </c>
      <c r="N107" s="880">
        <f>INT('RH5'!$Z27*'RH5'!$O$15)*$D107*'RH5'!L27</f>
        <v>0</v>
      </c>
      <c r="O107" s="880">
        <f>INT('RH5'!$Z27*'RH5'!$O$15)*$D107*'RH5'!M27</f>
        <v>0</v>
      </c>
      <c r="P107" s="880">
        <f>INT('RH5'!$Z27*'RH5'!$O$15)*$D107*'RH5'!N27</f>
        <v>0</v>
      </c>
      <c r="Q107" s="881">
        <f t="shared" si="27"/>
        <v>0</v>
      </c>
      <c r="R107" s="37">
        <f t="shared" si="28"/>
        <v>0</v>
      </c>
      <c r="S107" s="26">
        <f t="shared" si="29"/>
        <v>0</v>
      </c>
      <c r="T107" s="26">
        <f>'RH5'!X27</f>
        <v>15.237532820340002</v>
      </c>
      <c r="U107"/>
      <c r="W107"/>
    </row>
    <row r="108" spans="1:23" ht="15.5">
      <c r="A108" s="8"/>
      <c r="B108" s="23" t="str">
        <f>'RH5'!B28</f>
        <v>Poste ADM 1 - Actionnaire</v>
      </c>
      <c r="C108" s="36">
        <f>'RH5'!O28</f>
        <v>12.1773618</v>
      </c>
      <c r="D108" s="23">
        <f>'RH5'!Y28</f>
        <v>0</v>
      </c>
      <c r="E108" s="880">
        <f>INT('RH5'!$Z28*'RH5'!$O$15)*$D108*'RH5'!C28</f>
        <v>0</v>
      </c>
      <c r="F108" s="880">
        <f>INT('RH5'!$Z28*'RH5'!$O$15)*$D108*'RH5'!D28</f>
        <v>0</v>
      </c>
      <c r="G108" s="880">
        <f>INT('RH5'!$Z28*'RH5'!$O$15)*$D108*'RH5'!E28</f>
        <v>0</v>
      </c>
      <c r="H108" s="880">
        <f>INT('RH5'!$Z28*'RH5'!$O$15)*$D108*'RH5'!F28</f>
        <v>0</v>
      </c>
      <c r="I108" s="880">
        <f>INT('RH5'!$Z28*'RH5'!$O$15)*$D108*'RH5'!G28</f>
        <v>0</v>
      </c>
      <c r="J108" s="880">
        <f>INT('RH5'!$Z28*'RH5'!$O$15)*$D108*'RH5'!H28</f>
        <v>0</v>
      </c>
      <c r="K108" s="880">
        <f>INT('RH5'!$Z28*'RH5'!$O$15)*$D108*'RH5'!I28</f>
        <v>0</v>
      </c>
      <c r="L108" s="880">
        <f>INT('RH5'!$Z28*'RH5'!$O$15)*$D108*'RH5'!J28</f>
        <v>0</v>
      </c>
      <c r="M108" s="880">
        <f>INT('RH5'!$Z28*'RH5'!$O$15)*$D108*'RH5'!K28</f>
        <v>0</v>
      </c>
      <c r="N108" s="880">
        <f>INT('RH5'!$Z28*'RH5'!$O$15)*$D108*'RH5'!L28</f>
        <v>0</v>
      </c>
      <c r="O108" s="880">
        <f>INT('RH5'!$Z28*'RH5'!$O$15)*$D108*'RH5'!M28</f>
        <v>0</v>
      </c>
      <c r="P108" s="880">
        <f>INT('RH5'!$Z28*'RH5'!$O$15)*$D108*'RH5'!N28</f>
        <v>0</v>
      </c>
      <c r="Q108" s="881">
        <f t="shared" si="27"/>
        <v>0</v>
      </c>
      <c r="R108" s="37">
        <f t="shared" si="28"/>
        <v>0</v>
      </c>
      <c r="S108" s="26">
        <f t="shared" si="29"/>
        <v>0</v>
      </c>
      <c r="T108" s="26">
        <f>'RH5'!X28</f>
        <v>13.642298424540002</v>
      </c>
      <c r="U108"/>
      <c r="W108"/>
    </row>
    <row r="109" spans="1:23" ht="15.5">
      <c r="A109" s="8"/>
      <c r="B109" s="23" t="str">
        <f>'RH5'!B29</f>
        <v>Poste ADM 2 - Actionnaire</v>
      </c>
      <c r="C109" s="36">
        <f>'RH5'!O29</f>
        <v>12.1773618</v>
      </c>
      <c r="D109" s="23">
        <f>'RH5'!Y29</f>
        <v>0</v>
      </c>
      <c r="E109" s="880">
        <f>INT('RH5'!$Z29*'RH5'!$O$15)*$D109*'RH5'!C29</f>
        <v>0</v>
      </c>
      <c r="F109" s="880">
        <f>INT('RH5'!$Z29*'RH5'!$O$15)*$D109*'RH5'!D29</f>
        <v>0</v>
      </c>
      <c r="G109" s="880">
        <f>INT('RH5'!$Z29*'RH5'!$O$15)*$D109*'RH5'!E29</f>
        <v>0</v>
      </c>
      <c r="H109" s="880">
        <f>INT('RH5'!$Z29*'RH5'!$O$15)*$D109*'RH5'!F29</f>
        <v>0</v>
      </c>
      <c r="I109" s="880">
        <f>INT('RH5'!$Z29*'RH5'!$O$15)*$D109*'RH5'!G29</f>
        <v>0</v>
      </c>
      <c r="J109" s="880">
        <f>INT('RH5'!$Z29*'RH5'!$O$15)*$D109*'RH5'!H29</f>
        <v>0</v>
      </c>
      <c r="K109" s="880">
        <f>INT('RH5'!$Z29*'RH5'!$O$15)*$D109*'RH5'!I29</f>
        <v>0</v>
      </c>
      <c r="L109" s="880">
        <f>INT('RH5'!$Z29*'RH5'!$O$15)*$D109*'RH5'!J29</f>
        <v>0</v>
      </c>
      <c r="M109" s="880">
        <f>INT('RH5'!$Z29*'RH5'!$O$15)*$D109*'RH5'!K29</f>
        <v>0</v>
      </c>
      <c r="N109" s="880">
        <f>INT('RH5'!$Z29*'RH5'!$O$15)*$D109*'RH5'!L29</f>
        <v>0</v>
      </c>
      <c r="O109" s="880">
        <f>INT('RH5'!$Z29*'RH5'!$O$15)*$D109*'RH5'!M29</f>
        <v>0</v>
      </c>
      <c r="P109" s="880">
        <f>INT('RH5'!$Z29*'RH5'!$O$15)*$D109*'RH5'!N29</f>
        <v>0</v>
      </c>
      <c r="Q109" s="881">
        <f t="shared" si="27"/>
        <v>0</v>
      </c>
      <c r="R109" s="37">
        <f t="shared" si="28"/>
        <v>0</v>
      </c>
      <c r="S109" s="26">
        <f t="shared" si="29"/>
        <v>0</v>
      </c>
      <c r="T109" s="26">
        <f>'RH5'!X29</f>
        <v>13.642298424540002</v>
      </c>
      <c r="U109"/>
      <c r="W109"/>
    </row>
    <row r="110" spans="1:23" ht="15.5">
      <c r="A110" s="8"/>
      <c r="B110" s="23" t="str">
        <f>'RH5'!B30</f>
        <v>Poste administratif 3</v>
      </c>
      <c r="C110" s="36">
        <f>'RH5'!O30</f>
        <v>12.1773618</v>
      </c>
      <c r="D110" s="23">
        <f>'RH5'!Y30</f>
        <v>0</v>
      </c>
      <c r="E110" s="880">
        <f>INT('RH5'!$Z30*'RH5'!$O$15)*$D110*'RH5'!C30</f>
        <v>0</v>
      </c>
      <c r="F110" s="880">
        <f>INT('RH5'!$Z30*'RH5'!$O$15)*$D110*'RH5'!D30</f>
        <v>0</v>
      </c>
      <c r="G110" s="880">
        <f>INT('RH5'!$Z30*'RH5'!$O$15)*$D110*'RH5'!E30</f>
        <v>0</v>
      </c>
      <c r="H110" s="880">
        <f>INT('RH5'!$Z30*'RH5'!$O$15)*$D110*'RH5'!F30</f>
        <v>0</v>
      </c>
      <c r="I110" s="880">
        <f>INT('RH5'!$Z30*'RH5'!$O$15)*$D110*'RH5'!G30</f>
        <v>0</v>
      </c>
      <c r="J110" s="880">
        <f>INT('RH5'!$Z30*'RH5'!$O$15)*$D110*'RH5'!H30</f>
        <v>0</v>
      </c>
      <c r="K110" s="880">
        <f>INT('RH5'!$Z30*'RH5'!$O$15)*$D110*'RH5'!I30</f>
        <v>0</v>
      </c>
      <c r="L110" s="880">
        <f>INT('RH5'!$Z30*'RH5'!$O$15)*$D110*'RH5'!J30</f>
        <v>0</v>
      </c>
      <c r="M110" s="880">
        <f>INT('RH5'!$Z30*'RH5'!$O$15)*$D110*'RH5'!K30</f>
        <v>0</v>
      </c>
      <c r="N110" s="880">
        <f>INT('RH5'!$Z30*'RH5'!$O$15)*$D110*'RH5'!L30</f>
        <v>0</v>
      </c>
      <c r="O110" s="880">
        <f>INT('RH5'!$Z30*'RH5'!$O$15)*$D110*'RH5'!M30</f>
        <v>0</v>
      </c>
      <c r="P110" s="880">
        <f>INT('RH5'!$Z30*'RH5'!$O$15)*$D110*'RH5'!N30</f>
        <v>0</v>
      </c>
      <c r="Q110" s="881">
        <f t="shared" si="27"/>
        <v>0</v>
      </c>
      <c r="R110" s="37">
        <f t="shared" si="28"/>
        <v>0</v>
      </c>
      <c r="S110" s="26">
        <f t="shared" si="29"/>
        <v>0</v>
      </c>
      <c r="T110" s="26">
        <f>'RH5'!X30</f>
        <v>15.237532820340002</v>
      </c>
      <c r="U110"/>
      <c r="W110"/>
    </row>
    <row r="111" spans="1:23" ht="15.5">
      <c r="A111" s="8"/>
      <c r="B111" s="23" t="str">
        <f>'RH5'!B31</f>
        <v>Poste administratif 4</v>
      </c>
      <c r="C111" s="36">
        <f>'RH5'!O31</f>
        <v>21.648643200000002</v>
      </c>
      <c r="D111" s="23">
        <f>'RH5'!Y31</f>
        <v>1</v>
      </c>
      <c r="E111" s="880">
        <f>INT('RH5'!$Z31*'RH5'!$O$15)*$D111*'RH5'!C31</f>
        <v>173</v>
      </c>
      <c r="F111" s="880">
        <f>INT('RH5'!$Z31*'RH5'!$O$15)*$D111*'RH5'!D31</f>
        <v>173</v>
      </c>
      <c r="G111" s="880">
        <f>INT('RH5'!$Z31*'RH5'!$O$15)*$D111*'RH5'!E31</f>
        <v>173</v>
      </c>
      <c r="H111" s="880">
        <f>INT('RH5'!$Z31*'RH5'!$O$15)*$D111*'RH5'!F31</f>
        <v>173</v>
      </c>
      <c r="I111" s="880">
        <f>INT('RH5'!$Z31*'RH5'!$O$15)*$D111*'RH5'!G31</f>
        <v>173</v>
      </c>
      <c r="J111" s="880">
        <f>INT('RH5'!$Z31*'RH5'!$O$15)*$D111*'RH5'!H31</f>
        <v>173</v>
      </c>
      <c r="K111" s="880">
        <f>INT('RH5'!$Z31*'RH5'!$O$15)*$D111*'RH5'!I31</f>
        <v>173</v>
      </c>
      <c r="L111" s="880">
        <f>INT('RH5'!$Z31*'RH5'!$O$15)*$D111*'RH5'!J31</f>
        <v>173</v>
      </c>
      <c r="M111" s="880">
        <f>INT('RH5'!$Z31*'RH5'!$O$15)*$D111*'RH5'!K31</f>
        <v>173</v>
      </c>
      <c r="N111" s="880">
        <f>INT('RH5'!$Z31*'RH5'!$O$15)*$D111*'RH5'!L31</f>
        <v>173</v>
      </c>
      <c r="O111" s="880">
        <f>INT('RH5'!$Z31*'RH5'!$O$15)*$D111*'RH5'!M31</f>
        <v>173</v>
      </c>
      <c r="P111" s="880">
        <f>INT('RH5'!$Z31*'RH5'!$O$15)*$D111*'RH5'!N31</f>
        <v>173</v>
      </c>
      <c r="Q111" s="881">
        <f t="shared" si="27"/>
        <v>2076</v>
      </c>
      <c r="R111" s="37">
        <f t="shared" si="28"/>
        <v>44942.583283200001</v>
      </c>
      <c r="S111" s="26">
        <f t="shared" si="29"/>
        <v>941.17259825567953</v>
      </c>
      <c r="T111" s="26">
        <f>'RH5'!X31</f>
        <v>27.088947236159999</v>
      </c>
      <c r="U111" s="41"/>
      <c r="W111"/>
    </row>
    <row r="112" spans="1:23" ht="15.5">
      <c r="A112" s="8"/>
      <c r="B112" s="15"/>
      <c r="C112" s="38" t="s">
        <v>361</v>
      </c>
      <c r="D112" s="31">
        <f t="shared" ref="D112:P112" si="30">SUM(D100:D111)</f>
        <v>1</v>
      </c>
      <c r="E112" s="882">
        <f t="shared" si="30"/>
        <v>173</v>
      </c>
      <c r="F112" s="882">
        <f t="shared" si="30"/>
        <v>173</v>
      </c>
      <c r="G112" s="882">
        <f t="shared" si="30"/>
        <v>173</v>
      </c>
      <c r="H112" s="882">
        <f t="shared" si="30"/>
        <v>173</v>
      </c>
      <c r="I112" s="882">
        <f t="shared" si="30"/>
        <v>173</v>
      </c>
      <c r="J112" s="882">
        <f t="shared" si="30"/>
        <v>173</v>
      </c>
      <c r="K112" s="882">
        <f t="shared" si="30"/>
        <v>173</v>
      </c>
      <c r="L112" s="882">
        <f t="shared" si="30"/>
        <v>173</v>
      </c>
      <c r="M112" s="882">
        <f t="shared" si="30"/>
        <v>173</v>
      </c>
      <c r="N112" s="882">
        <f t="shared" si="30"/>
        <v>173</v>
      </c>
      <c r="O112" s="882">
        <f t="shared" si="30"/>
        <v>173</v>
      </c>
      <c r="P112" s="882">
        <f t="shared" si="30"/>
        <v>173</v>
      </c>
      <c r="Q112" s="883">
        <f>SUM(E112:P112)</f>
        <v>2076</v>
      </c>
      <c r="R112" s="15"/>
      <c r="S112" s="26">
        <f>SUM(S100:S111)</f>
        <v>941.17259825567953</v>
      </c>
      <c r="T112" s="26"/>
      <c r="U112"/>
      <c r="W112"/>
    </row>
    <row r="113" spans="1:23" ht="15.5">
      <c r="A113" s="8"/>
      <c r="B113" s="15"/>
      <c r="C113" s="38"/>
      <c r="D113" s="31"/>
      <c r="E113" s="30"/>
      <c r="F113" s="30"/>
      <c r="G113" s="30"/>
      <c r="H113" s="30"/>
      <c r="I113" s="30"/>
      <c r="J113" s="30"/>
      <c r="K113" s="30"/>
      <c r="L113" s="30"/>
      <c r="M113" s="30"/>
      <c r="N113" s="30"/>
      <c r="O113" s="30"/>
      <c r="P113" s="30"/>
      <c r="Q113" s="31"/>
      <c r="R113" s="15"/>
      <c r="S113" s="26"/>
      <c r="T113" s="41"/>
      <c r="U113"/>
      <c r="V113"/>
      <c r="W113"/>
    </row>
    <row r="114" spans="1:23" ht="15.5">
      <c r="A114" s="8"/>
      <c r="B114" s="15"/>
      <c r="C114" s="38"/>
      <c r="D114" s="31"/>
      <c r="E114" s="30"/>
      <c r="F114" s="30"/>
      <c r="G114" s="30"/>
      <c r="H114" s="30"/>
      <c r="I114" s="30"/>
      <c r="J114" s="30"/>
      <c r="K114" s="30"/>
      <c r="L114" s="30"/>
      <c r="M114" s="30"/>
      <c r="N114" s="30"/>
      <c r="O114" s="30"/>
      <c r="P114" s="30"/>
      <c r="Q114" s="31"/>
      <c r="R114" s="15"/>
      <c r="S114"/>
      <c r="T114"/>
      <c r="U114"/>
      <c r="V114"/>
      <c r="W114"/>
    </row>
    <row r="115" spans="1:23" ht="15.5">
      <c r="A115" s="8"/>
      <c r="B115" s="15"/>
      <c r="C115" s="38"/>
      <c r="D115" s="31"/>
      <c r="E115" s="30"/>
      <c r="F115" s="30"/>
      <c r="G115" s="30"/>
      <c r="H115" s="30"/>
      <c r="I115" s="30"/>
      <c r="J115" s="30"/>
      <c r="K115" s="30"/>
      <c r="L115" s="30"/>
      <c r="M115" s="30"/>
      <c r="N115" s="30"/>
      <c r="O115" s="30"/>
      <c r="P115" s="30"/>
      <c r="Q115" s="31"/>
      <c r="R115" s="15"/>
      <c r="S115"/>
      <c r="T115"/>
      <c r="U115"/>
      <c r="V115"/>
      <c r="W115"/>
    </row>
    <row r="116" spans="1:23" ht="15.5">
      <c r="A116" s="8"/>
      <c r="B116" s="15"/>
      <c r="C116" s="38"/>
      <c r="D116" s="31"/>
      <c r="E116" s="30"/>
      <c r="F116" s="30"/>
      <c r="G116" s="30"/>
      <c r="H116" s="30"/>
      <c r="I116" s="30"/>
      <c r="J116" s="30"/>
      <c r="K116" s="30"/>
      <c r="L116" s="30"/>
      <c r="M116" s="30"/>
      <c r="N116" s="30"/>
      <c r="O116" s="30"/>
      <c r="P116" s="30"/>
      <c r="Q116" s="31"/>
      <c r="R116" s="15"/>
      <c r="S116"/>
      <c r="T116"/>
      <c r="U116"/>
      <c r="V116"/>
      <c r="W116"/>
    </row>
    <row r="117" spans="1:23" ht="15.5">
      <c r="A117" s="8"/>
      <c r="B117" s="15"/>
      <c r="C117" s="38"/>
      <c r="D117" s="31"/>
      <c r="E117" s="30"/>
      <c r="F117" s="30"/>
      <c r="G117" s="30"/>
      <c r="H117" s="30"/>
      <c r="I117" s="30"/>
      <c r="J117" s="30"/>
      <c r="K117" s="30"/>
      <c r="L117" s="30"/>
      <c r="M117" s="30"/>
      <c r="N117" s="30"/>
      <c r="O117" s="30"/>
      <c r="P117" s="30"/>
      <c r="Q117" s="31"/>
      <c r="R117" s="15"/>
      <c r="S117"/>
      <c r="T117"/>
      <c r="U117"/>
      <c r="V117"/>
      <c r="W117"/>
    </row>
    <row r="118" spans="1:23" ht="15.5">
      <c r="A118" s="8"/>
      <c r="B118" s="15"/>
      <c r="C118" s="38"/>
      <c r="D118" s="31"/>
      <c r="E118" s="30"/>
      <c r="F118" s="30"/>
      <c r="G118" s="30"/>
      <c r="H118" s="30"/>
      <c r="I118" s="30"/>
      <c r="J118" s="30"/>
      <c r="K118" s="30"/>
      <c r="L118" s="30"/>
      <c r="M118" s="30"/>
      <c r="N118" s="30"/>
      <c r="O118" s="30"/>
      <c r="P118" s="30"/>
      <c r="Q118" s="31"/>
      <c r="R118" s="15"/>
      <c r="S118"/>
      <c r="T118"/>
      <c r="U118"/>
      <c r="V118"/>
      <c r="W118"/>
    </row>
    <row r="119" spans="1:23" ht="15.5">
      <c r="A119" s="8"/>
      <c r="B119" s="15"/>
      <c r="C119" s="39" t="s">
        <v>362</v>
      </c>
      <c r="D119" s="40"/>
      <c r="E119" s="34">
        <f t="shared" ref="E119:Q119" si="31">(E100*$C100)+(E101*$C101)+(E102*$C102)+(E103*$C103)+(E104*$C104)+(E105*$C105)+(E106*$C106)+(E107*$C107)+(E108*$C108)+(E109*$C109)+(E110*$C110)+(E111*$C111)</f>
        <v>3745.2152736000003</v>
      </c>
      <c r="F119" s="34">
        <f t="shared" si="31"/>
        <v>3745.2152736000003</v>
      </c>
      <c r="G119" s="34">
        <f t="shared" si="31"/>
        <v>3745.2152736000003</v>
      </c>
      <c r="H119" s="34">
        <f t="shared" si="31"/>
        <v>3745.2152736000003</v>
      </c>
      <c r="I119" s="34">
        <f t="shared" si="31"/>
        <v>3745.2152736000003</v>
      </c>
      <c r="J119" s="34">
        <f t="shared" si="31"/>
        <v>3745.2152736000003</v>
      </c>
      <c r="K119" s="34">
        <f t="shared" si="31"/>
        <v>3745.2152736000003</v>
      </c>
      <c r="L119" s="34">
        <f t="shared" si="31"/>
        <v>3745.2152736000003</v>
      </c>
      <c r="M119" s="34">
        <f t="shared" si="31"/>
        <v>3745.2152736000003</v>
      </c>
      <c r="N119" s="34">
        <f t="shared" si="31"/>
        <v>3745.2152736000003</v>
      </c>
      <c r="O119" s="34">
        <f t="shared" si="31"/>
        <v>3745.2152736000003</v>
      </c>
      <c r="P119" s="34">
        <f t="shared" si="31"/>
        <v>3745.2152736000003</v>
      </c>
      <c r="Q119" s="34">
        <f t="shared" si="31"/>
        <v>44942.583283200001</v>
      </c>
      <c r="R119" s="15"/>
      <c r="S119"/>
      <c r="T119"/>
      <c r="U119"/>
      <c r="V119"/>
      <c r="W119"/>
    </row>
    <row r="120" spans="1:23">
      <c r="A120"/>
      <c r="B120"/>
      <c r="C120"/>
      <c r="D120"/>
      <c r="E120"/>
      <c r="F120"/>
      <c r="G120"/>
      <c r="H120"/>
      <c r="I120"/>
      <c r="J120"/>
      <c r="K120"/>
      <c r="L120"/>
      <c r="M120"/>
      <c r="N120"/>
      <c r="O120"/>
      <c r="P120"/>
      <c r="Q120"/>
      <c r="R120"/>
      <c r="S120"/>
      <c r="T120"/>
      <c r="U120"/>
      <c r="V120"/>
      <c r="W120"/>
    </row>
    <row r="126" spans="1:23" s="251" customFormat="1" ht="13.5" customHeight="1">
      <c r="A126" s="72" t="s">
        <v>203</v>
      </c>
      <c r="B126" s="106"/>
      <c r="C126" s="107"/>
      <c r="D126" s="268"/>
      <c r="E126" s="268"/>
      <c r="F126" s="268"/>
      <c r="G126" s="268"/>
      <c r="H126" s="268"/>
      <c r="I126" s="268"/>
      <c r="J126" s="268"/>
      <c r="K126" s="268"/>
      <c r="L126" s="268"/>
      <c r="M126" s="268"/>
      <c r="N126" s="268"/>
      <c r="O126" s="268"/>
    </row>
    <row r="127" spans="1:23" s="251" customFormat="1" ht="13.5" customHeight="1">
      <c r="A127" s="143"/>
      <c r="B127" s="106"/>
      <c r="C127" s="177"/>
      <c r="D127" s="177"/>
      <c r="E127" s="177"/>
      <c r="F127" s="177"/>
      <c r="G127" s="177"/>
      <c r="H127" s="177"/>
      <c r="I127" s="177"/>
      <c r="J127" s="177"/>
      <c r="K127" s="177"/>
      <c r="L127" s="177"/>
      <c r="M127" s="177"/>
      <c r="N127" s="177"/>
      <c r="O127" s="48"/>
    </row>
    <row r="128" spans="1:23" s="251" customFormat="1" ht="13.5" customHeight="1" thickBot="1">
      <c r="A128" s="1210" t="s">
        <v>613</v>
      </c>
      <c r="B128" s="1211"/>
      <c r="C128" s="411">
        <f>(TE!$C$13*TE!E13)+(TE!$C$14*TE!E14)+(TE!$C$15*TE!E15)+(TE!$C$16*TE!E16)+(TE!$C$17*TE!E17)+(TE!$C$18*TE!E18)</f>
        <v>0</v>
      </c>
      <c r="D128" s="411">
        <f>(TE!$C$13*TE!F13)+(TE!$C$14*TE!F14)+(TE!$C$15*TE!F15)+(TE!$C$16*TE!F16)+(TE!$C$17*TE!F17)+(TE!$C$18*TE!F18)</f>
        <v>0</v>
      </c>
      <c r="E128" s="411">
        <f>(TE!$C$13*TE!G13)+(TE!$C$14*TE!G14)+(TE!$C$15*TE!G15)+(TE!$C$16*TE!G16)+(TE!$C$17*TE!G17)+(TE!$C$18*TE!G18)</f>
        <v>0</v>
      </c>
      <c r="F128" s="411">
        <f>(TE!$C$13*TE!H13)+(TE!$C$14*TE!H14)+(TE!$C$15*TE!H15)+(TE!$C$16*TE!H16)+(TE!$C$17*TE!H17)+(TE!$C$18*TE!H18)</f>
        <v>0</v>
      </c>
      <c r="G128" s="411">
        <f>(TE!$C$13*TE!I13)+(TE!$C$14*TE!I14)+(TE!$C$15*TE!I15)+(TE!$C$16*TE!I16)+(TE!$C$17*TE!I17)+(TE!$C$18*TE!I18)</f>
        <v>0</v>
      </c>
      <c r="H128" s="411">
        <f>(TE!$C$13*TE!J13)+(TE!$C$14*TE!J14)+(TE!$C$15*TE!J15)+(TE!$C$16*TE!J16)+(TE!$C$17*TE!J17)+(TE!$C$18*TE!J18)</f>
        <v>0</v>
      </c>
      <c r="I128" s="411">
        <f>(TE!$C$13*TE!K13)+(TE!$C$14*TE!K14)+(TE!$C$15*TE!K15)+(TE!$C$16*TE!K16)+(TE!$C$17*TE!K17)+(TE!$C$18*TE!K18)</f>
        <v>0</v>
      </c>
      <c r="J128" s="411">
        <f>(TE!$C$13*TE!L13)+(TE!$C$14*TE!L14)+(TE!$C$15*TE!L15)+(TE!$C$16*TE!L16)+(TE!$C$17*TE!L17)+(TE!$C$18*TE!L18)</f>
        <v>0</v>
      </c>
      <c r="K128" s="411">
        <f>(TE!$C$13*TE!M13)+(TE!$C$14*TE!M14)+(TE!$C$15*TE!M15)+(TE!$C$16*TE!M16)+(TE!$C$17*TE!M17)+(TE!$C$18*TE!M18)</f>
        <v>0</v>
      </c>
      <c r="L128" s="411">
        <f>(TE!$C$13*TE!N13)+(TE!$C$14*TE!N14)+(TE!$C$15*TE!N15)+(TE!$C$16*TE!N16)+(TE!$C$17*TE!N17)+(TE!$C$18*TE!N18)</f>
        <v>0</v>
      </c>
      <c r="M128" s="411">
        <f>(TE!$C$13*TE!O13)+(TE!$C$14*TE!O14)+(TE!$C$15*TE!O15)+(TE!$C$16*TE!O16)+(TE!$C$17*TE!O17)+(TE!$C$18*TE!O18)</f>
        <v>0</v>
      </c>
      <c r="N128" s="411">
        <f>(TE!$C$13*TE!P13)+(TE!$C$14*TE!P14)+(TE!$C$15*TE!P15)+(TE!$C$16*TE!P16)+(TE!$C$17*TE!P17)+(TE!$C$18*TE!P18)</f>
        <v>0</v>
      </c>
      <c r="O128" s="411">
        <f t="shared" ref="O128:O135" si="32">SUM(C128:N128)</f>
        <v>0</v>
      </c>
      <c r="P128" s="558"/>
      <c r="Q128" s="558"/>
    </row>
    <row r="129" spans="1:19" s="251" customFormat="1" ht="13.5" customHeight="1" thickBot="1">
      <c r="A129" s="43" t="s">
        <v>230</v>
      </c>
      <c r="B129" s="413">
        <f>'RH1'!P18+('RH1'!Q18*1.4)+'RH1'!R18+'RH1'!S18+('RH1'!T18*1.4)+'RH1'!U18+'RH1'!V18</f>
        <v>0.25969999999999999</v>
      </c>
      <c r="C129" s="411">
        <f>INT($B$129*C128)</f>
        <v>0</v>
      </c>
      <c r="D129" s="411">
        <f t="shared" ref="D129:N129" si="33">INT($B$129*D128)</f>
        <v>0</v>
      </c>
      <c r="E129" s="411">
        <f t="shared" si="33"/>
        <v>0</v>
      </c>
      <c r="F129" s="411">
        <f t="shared" si="33"/>
        <v>0</v>
      </c>
      <c r="G129" s="411">
        <f t="shared" si="33"/>
        <v>0</v>
      </c>
      <c r="H129" s="411">
        <f t="shared" si="33"/>
        <v>0</v>
      </c>
      <c r="I129" s="411">
        <f t="shared" si="33"/>
        <v>0</v>
      </c>
      <c r="J129" s="411">
        <f t="shared" si="33"/>
        <v>0</v>
      </c>
      <c r="K129" s="411">
        <f t="shared" si="33"/>
        <v>0</v>
      </c>
      <c r="L129" s="411">
        <f t="shared" si="33"/>
        <v>0</v>
      </c>
      <c r="M129" s="411">
        <f t="shared" si="33"/>
        <v>0</v>
      </c>
      <c r="N129" s="411">
        <f t="shared" si="33"/>
        <v>0</v>
      </c>
      <c r="O129" s="892">
        <f t="shared" si="32"/>
        <v>0</v>
      </c>
      <c r="P129" s="558"/>
      <c r="Q129"/>
    </row>
    <row r="130" spans="1:19" s="251" customFormat="1" ht="13.5" customHeight="1" thickBot="1">
      <c r="A130" s="1210" t="s">
        <v>614</v>
      </c>
      <c r="B130" s="1211"/>
      <c r="C130" s="411">
        <f>(TE!$C$11*TE!E11)+(TE!$C$12*TE!E12)</f>
        <v>0</v>
      </c>
      <c r="D130" s="411">
        <f>(TE!$C$11*TE!F11)+(TE!$C$12*TE!F12)</f>
        <v>0</v>
      </c>
      <c r="E130" s="411">
        <f>(TE!$C$11*TE!G11)+(TE!$C$12*TE!G12)</f>
        <v>0</v>
      </c>
      <c r="F130" s="411">
        <f>(TE!$C$11*TE!H11)+(TE!$C$12*TE!H12)</f>
        <v>0</v>
      </c>
      <c r="G130" s="411">
        <f>(TE!$C$11*TE!I11)+(TE!$C$12*TE!I12)</f>
        <v>0</v>
      </c>
      <c r="H130" s="411">
        <f>(TE!$C$11*TE!J11)+(TE!$C$12*TE!J12)</f>
        <v>0</v>
      </c>
      <c r="I130" s="411">
        <f>(TE!$C$11*TE!K11)+(TE!$C$12*TE!K12)</f>
        <v>0</v>
      </c>
      <c r="J130" s="411">
        <f>(TE!$C$11*TE!L11)+(TE!$C$12*TE!L12)</f>
        <v>0</v>
      </c>
      <c r="K130" s="411">
        <f>(TE!$C$11*TE!M11)+(TE!$C$12*TE!M12)</f>
        <v>0</v>
      </c>
      <c r="L130" s="411">
        <f>(TE!$C$11*TE!N11)+(TE!$C$12*TE!N12)</f>
        <v>0</v>
      </c>
      <c r="M130" s="411">
        <f>(TE!$C$11*TE!O11)+(TE!$C$12*TE!O12)</f>
        <v>0</v>
      </c>
      <c r="N130" s="411">
        <f>(TE!$C$11*TE!P11)+(TE!$C$12*TE!P12)</f>
        <v>0</v>
      </c>
      <c r="O130" s="411">
        <f t="shared" si="32"/>
        <v>0</v>
      </c>
    </row>
    <row r="131" spans="1:19" s="251" customFormat="1" ht="13.5" customHeight="1" thickBot="1">
      <c r="A131" s="43" t="s">
        <v>230</v>
      </c>
      <c r="B131" s="413">
        <f>'RH1'!P18+'RH1'!R18+'RH1'!U18+'RH1'!V18</f>
        <v>0.12029999999999999</v>
      </c>
      <c r="C131" s="411">
        <f>INT($B131*C130)</f>
        <v>0</v>
      </c>
      <c r="D131" s="411">
        <f t="shared" ref="D131:N131" si="34">INT($B131*D130)</f>
        <v>0</v>
      </c>
      <c r="E131" s="411">
        <f t="shared" si="34"/>
        <v>0</v>
      </c>
      <c r="F131" s="411">
        <f t="shared" si="34"/>
        <v>0</v>
      </c>
      <c r="G131" s="411">
        <f t="shared" si="34"/>
        <v>0</v>
      </c>
      <c r="H131" s="411">
        <f t="shared" si="34"/>
        <v>0</v>
      </c>
      <c r="I131" s="411">
        <f t="shared" si="34"/>
        <v>0</v>
      </c>
      <c r="J131" s="411">
        <f t="shared" si="34"/>
        <v>0</v>
      </c>
      <c r="K131" s="411">
        <f t="shared" si="34"/>
        <v>0</v>
      </c>
      <c r="L131" s="411">
        <f t="shared" si="34"/>
        <v>0</v>
      </c>
      <c r="M131" s="411">
        <f t="shared" si="34"/>
        <v>0</v>
      </c>
      <c r="N131" s="411">
        <f t="shared" si="34"/>
        <v>0</v>
      </c>
      <c r="O131" s="892">
        <f t="shared" si="32"/>
        <v>0</v>
      </c>
      <c r="P131" s="425">
        <f>O128+O130</f>
        <v>0</v>
      </c>
      <c r="Q131" s="425"/>
      <c r="R131" s="886">
        <f>O129+O131</f>
        <v>0</v>
      </c>
    </row>
    <row r="132" spans="1:19" s="251" customFormat="1" ht="13.5" customHeight="1" thickBot="1">
      <c r="A132" s="1210" t="s">
        <v>503</v>
      </c>
      <c r="B132" s="1211"/>
      <c r="C132" s="411">
        <f>(TE!$C$21*TE!E21)+(TE!$C$22*TE!E22)</f>
        <v>3460</v>
      </c>
      <c r="D132" s="411">
        <f>(TE!$C$21*TE!F21)+(TE!$C$22*TE!F22)</f>
        <v>3460</v>
      </c>
      <c r="E132" s="411">
        <f>(TE!$C$21*TE!G21)+(TE!$C$22*TE!G22)</f>
        <v>3460</v>
      </c>
      <c r="F132" s="411">
        <f>(TE!$C$21*TE!H21)+(TE!$C$22*TE!H22)</f>
        <v>3460</v>
      </c>
      <c r="G132" s="411">
        <f>(TE!$C$21*TE!I21)+(TE!$C$22*TE!I22)</f>
        <v>3460</v>
      </c>
      <c r="H132" s="411">
        <f>(TE!$C$21*TE!J21)+(TE!$C$22*TE!J22)</f>
        <v>3460</v>
      </c>
      <c r="I132" s="411">
        <f>(TE!$C$21*TE!K21)+(TE!$C$22*TE!K22)</f>
        <v>3460</v>
      </c>
      <c r="J132" s="411">
        <f>(TE!$C$21*TE!L21)+(TE!$C$22*TE!L22)</f>
        <v>3460</v>
      </c>
      <c r="K132" s="411">
        <f>(TE!$C$21*TE!M21)+(TE!$C$22*TE!M22)</f>
        <v>3460</v>
      </c>
      <c r="L132" s="411">
        <f>(TE!$C$21*TE!N21)+(TE!$C$22*TE!N22)</f>
        <v>3460</v>
      </c>
      <c r="M132" s="411">
        <f>(TE!$C$21*TE!O21)+(TE!$C$22*TE!O22)</f>
        <v>3460</v>
      </c>
      <c r="N132" s="411">
        <f>(TE!$C$21*TE!P21)+(TE!$C$22*TE!P22)</f>
        <v>3460</v>
      </c>
      <c r="O132" s="411">
        <f t="shared" si="32"/>
        <v>41520</v>
      </c>
    </row>
    <row r="133" spans="1:19" s="251" customFormat="1" ht="13.5" customHeight="1" thickBot="1">
      <c r="A133" s="43" t="s">
        <v>230</v>
      </c>
      <c r="B133" s="414">
        <f>B129</f>
        <v>0.25969999999999999</v>
      </c>
      <c r="C133" s="411">
        <f>INT($B133*C132)</f>
        <v>898</v>
      </c>
      <c r="D133" s="411">
        <f t="shared" ref="D133:N133" si="35">INT($B133*D132)</f>
        <v>898</v>
      </c>
      <c r="E133" s="411">
        <f t="shared" si="35"/>
        <v>898</v>
      </c>
      <c r="F133" s="411">
        <f t="shared" si="35"/>
        <v>898</v>
      </c>
      <c r="G133" s="411">
        <f t="shared" si="35"/>
        <v>898</v>
      </c>
      <c r="H133" s="411">
        <f t="shared" si="35"/>
        <v>898</v>
      </c>
      <c r="I133" s="411">
        <f t="shared" si="35"/>
        <v>898</v>
      </c>
      <c r="J133" s="411">
        <f t="shared" si="35"/>
        <v>898</v>
      </c>
      <c r="K133" s="411">
        <f t="shared" si="35"/>
        <v>898</v>
      </c>
      <c r="L133" s="411">
        <f t="shared" si="35"/>
        <v>898</v>
      </c>
      <c r="M133" s="411">
        <f t="shared" si="35"/>
        <v>898</v>
      </c>
      <c r="N133" s="411">
        <f t="shared" si="35"/>
        <v>898</v>
      </c>
      <c r="O133" s="894">
        <f t="shared" si="32"/>
        <v>10776</v>
      </c>
      <c r="S133" s="889">
        <f>R131+R135</f>
        <v>10776</v>
      </c>
    </row>
    <row r="134" spans="1:19" s="251" customFormat="1" ht="13.5" customHeight="1" thickBot="1">
      <c r="A134" s="1210" t="s">
        <v>198</v>
      </c>
      <c r="B134" s="1211"/>
      <c r="C134" s="411">
        <f>(TE!$C$19*TE!E19)+(TE!$C$20*TE!E20)</f>
        <v>0</v>
      </c>
      <c r="D134" s="411">
        <f>(TE!$C$19*TE!F19)+(TE!$C$20*TE!F20)</f>
        <v>0</v>
      </c>
      <c r="E134" s="411">
        <f>(TE!$C$19*TE!G19)+(TE!$C$20*TE!G20)</f>
        <v>0</v>
      </c>
      <c r="F134" s="411">
        <f>(TE!$C$19*TE!H19)+(TE!$C$20*TE!H20)</f>
        <v>0</v>
      </c>
      <c r="G134" s="411">
        <f>(TE!$C$19*TE!I19)+(TE!$C$20*TE!I20)</f>
        <v>0</v>
      </c>
      <c r="H134" s="411">
        <f>(TE!$C$19*TE!J19)+(TE!$C$20*TE!J20)</f>
        <v>0</v>
      </c>
      <c r="I134" s="411">
        <f>(TE!$C$19*TE!K19)+(TE!$C$20*TE!K20)</f>
        <v>0</v>
      </c>
      <c r="J134" s="411">
        <f>(TE!$C$19*TE!L19)+(TE!$C$20*TE!L20)</f>
        <v>0</v>
      </c>
      <c r="K134" s="411">
        <f>(TE!$C$19*TE!M19)+(TE!$C$20*TE!M20)</f>
        <v>0</v>
      </c>
      <c r="L134" s="411">
        <f>(TE!$C$19*TE!N19)+(TE!$C$20*TE!N20)</f>
        <v>0</v>
      </c>
      <c r="M134" s="411">
        <f>(TE!$C$19*TE!O19)+(TE!$C$20*TE!O20)</f>
        <v>0</v>
      </c>
      <c r="N134" s="411">
        <f>(TE!$C$19*TE!P19)+(TE!$C$20*TE!P20)</f>
        <v>0</v>
      </c>
      <c r="O134" s="411">
        <f t="shared" si="32"/>
        <v>0</v>
      </c>
      <c r="S134" s="887">
        <f>-'BC1'!P31-'BC1'!P65</f>
        <v>-9878</v>
      </c>
    </row>
    <row r="135" spans="1:19" s="251" customFormat="1" ht="13.5" customHeight="1" thickBot="1">
      <c r="A135" s="43" t="s">
        <v>230</v>
      </c>
      <c r="B135" s="414">
        <f>B131</f>
        <v>0.12029999999999999</v>
      </c>
      <c r="C135" s="411">
        <f>INT($B135*C134)</f>
        <v>0</v>
      </c>
      <c r="D135" s="411">
        <f t="shared" ref="D135:N135" si="36">INT($B135*D134)</f>
        <v>0</v>
      </c>
      <c r="E135" s="411">
        <f t="shared" si="36"/>
        <v>0</v>
      </c>
      <c r="F135" s="411">
        <f t="shared" si="36"/>
        <v>0</v>
      </c>
      <c r="G135" s="411">
        <f t="shared" si="36"/>
        <v>0</v>
      </c>
      <c r="H135" s="411">
        <f t="shared" si="36"/>
        <v>0</v>
      </c>
      <c r="I135" s="411">
        <f t="shared" si="36"/>
        <v>0</v>
      </c>
      <c r="J135" s="411">
        <f t="shared" si="36"/>
        <v>0</v>
      </c>
      <c r="K135" s="411">
        <f t="shared" si="36"/>
        <v>0</v>
      </c>
      <c r="L135" s="411">
        <f t="shared" si="36"/>
        <v>0</v>
      </c>
      <c r="M135" s="411">
        <f t="shared" si="36"/>
        <v>0</v>
      </c>
      <c r="N135" s="411">
        <f t="shared" si="36"/>
        <v>0</v>
      </c>
      <c r="O135" s="894">
        <f t="shared" si="32"/>
        <v>0</v>
      </c>
      <c r="P135" s="425">
        <f>O132+O134</f>
        <v>41520</v>
      </c>
      <c r="Q135" s="425"/>
      <c r="R135" s="893">
        <f>O133+O135</f>
        <v>10776</v>
      </c>
      <c r="S135" s="885">
        <f>SUM(S133:S134)</f>
        <v>898</v>
      </c>
    </row>
    <row r="136" spans="1:19" s="251" customFormat="1" ht="13.5" customHeight="1">
      <c r="A136" s="48"/>
      <c r="B136" s="88"/>
      <c r="C136" s="268"/>
      <c r="D136" s="268"/>
      <c r="E136" s="268"/>
      <c r="F136" s="268"/>
      <c r="G136" s="268"/>
      <c r="H136" s="268"/>
      <c r="I136" s="268"/>
      <c r="J136" s="268"/>
      <c r="K136" s="268"/>
      <c r="L136" s="268"/>
      <c r="M136" s="268"/>
      <c r="N136" s="268"/>
      <c r="O136" s="268"/>
    </row>
    <row r="137" spans="1:19" s="251" customFormat="1" ht="13.5" customHeight="1">
      <c r="O137" s="425">
        <f>SUM(O128:O136)</f>
        <v>52296</v>
      </c>
    </row>
    <row r="138" spans="1:19" s="251" customFormat="1" ht="13.5" customHeight="1">
      <c r="A138" s="72" t="s">
        <v>293</v>
      </c>
      <c r="B138" s="106"/>
      <c r="C138" s="268"/>
      <c r="D138" s="268"/>
      <c r="E138" s="268"/>
      <c r="F138" s="268"/>
      <c r="G138" s="268"/>
      <c r="H138" s="268"/>
      <c r="I138" s="268"/>
      <c r="J138" s="268"/>
      <c r="K138" s="268"/>
      <c r="L138" s="268"/>
      <c r="M138" s="268"/>
      <c r="N138" s="268"/>
      <c r="O138" s="268"/>
    </row>
    <row r="139" spans="1:19" s="251" customFormat="1" ht="13.5" customHeight="1">
      <c r="A139" s="143"/>
      <c r="B139" s="106"/>
      <c r="C139" s="177"/>
      <c r="D139" s="177"/>
      <c r="E139" s="177"/>
      <c r="F139" s="177"/>
      <c r="G139" s="177"/>
      <c r="H139" s="177"/>
      <c r="I139" s="177"/>
      <c r="J139" s="177"/>
      <c r="K139" s="177"/>
      <c r="L139" s="177"/>
      <c r="M139" s="177"/>
      <c r="N139" s="177"/>
      <c r="O139" s="48"/>
      <c r="S139" s="425"/>
    </row>
    <row r="140" spans="1:19" s="251" customFormat="1" ht="13.5" customHeight="1" thickBot="1">
      <c r="A140" s="1210" t="str">
        <f>TE!A128</f>
        <v>Salaires de production</v>
      </c>
      <c r="B140" s="1211"/>
      <c r="C140" s="250">
        <f>(TE!$C$33*TE!E33)+(TE!$C$34*TE!E34)+(TE!$C$35*TE!E35)+(TE!$C$36*TE!E36)+(TE!$C$37*TE!E37)+(TE!$C$38*TE!E38)</f>
        <v>0</v>
      </c>
      <c r="D140" s="250">
        <f>(TE!$C$33*TE!F33)+(TE!$C$34*TE!F34)+(TE!$C$35*TE!F35)+(TE!$C$36*TE!F36)+(TE!$C$37*TE!F37)+(TE!$C$38*TE!F38)</f>
        <v>0</v>
      </c>
      <c r="E140" s="250">
        <f>(TE!$C$33*TE!G33)+(TE!$C$34*TE!G34)+(TE!$C$35*TE!G35)+(TE!$C$36*TE!G36)+(TE!$C$37*TE!G37)+(TE!$C$38*TE!G38)</f>
        <v>0</v>
      </c>
      <c r="F140" s="250">
        <f>(TE!$C$33*TE!H33)+(TE!$C$34*TE!H34)+(TE!$C$35*TE!H35)+(TE!$C$36*TE!H36)+(TE!$C$37*TE!H37)+(TE!$C$38*TE!H38)</f>
        <v>0</v>
      </c>
      <c r="G140" s="250">
        <f>(TE!$C$33*TE!I33)+(TE!$C$34*TE!I34)+(TE!$C$35*TE!I35)+(TE!$C$36*TE!I36)+(TE!$C$37*TE!I37)+(TE!$C$38*TE!I38)</f>
        <v>0</v>
      </c>
      <c r="H140" s="250">
        <f>(TE!$C$33*TE!J33)+(TE!$C$34*TE!J34)+(TE!$C$35*TE!J35)+(TE!$C$36*TE!J36)+(TE!$C$37*TE!J37)+(TE!$C$38*TE!J38)</f>
        <v>0</v>
      </c>
      <c r="I140" s="250">
        <f>(TE!$C$33*TE!K33)+(TE!$C$34*TE!K34)+(TE!$C$35*TE!K35)+(TE!$C$36*TE!K36)+(TE!$C$37*TE!K37)+(TE!$C$38*TE!K38)</f>
        <v>0</v>
      </c>
      <c r="J140" s="250">
        <f>(TE!$C$33*TE!L33)+(TE!$C$34*TE!L34)+(TE!$C$35*TE!L35)+(TE!$C$36*TE!L36)+(TE!$C$37*TE!L37)+(TE!$C$38*TE!L38)</f>
        <v>0</v>
      </c>
      <c r="K140" s="250">
        <f>(TE!$C$33*TE!M33)+(TE!$C$34*TE!M34)+(TE!$C$35*TE!M35)+(TE!$C$36*TE!M36)+(TE!$C$37*TE!M37)+(TE!$C$38*TE!M38)</f>
        <v>0</v>
      </c>
      <c r="L140" s="250">
        <f>(TE!$C$33*TE!N33)+(TE!$C$34*TE!N34)+(TE!$C$35*TE!N35)+(TE!$C$36*TE!N36)+(TE!$C$37*TE!N37)+(TE!$C$38*TE!N38)</f>
        <v>0</v>
      </c>
      <c r="M140" s="250">
        <f>(TE!$C$33*TE!O33)+(TE!$C$34*TE!O34)+(TE!$C$35*TE!O35)+(TE!$C$36*TE!O36)+(TE!$C$37*TE!O37)+(TE!$C$38*TE!O38)</f>
        <v>0</v>
      </c>
      <c r="N140" s="250">
        <f>(TE!$C$33*TE!P33)+(TE!$C$34*TE!P34)+(TE!$C$35*TE!P35)+(TE!$C$36*TE!P36)+(TE!$C$37*TE!P37)+(TE!$C$38*TE!P38)</f>
        <v>0</v>
      </c>
      <c r="O140" s="250">
        <f t="shared" ref="O140:O147" si="37">SUM(C140:N140)</f>
        <v>0</v>
      </c>
      <c r="P140" s="558"/>
      <c r="Q140" s="558"/>
      <c r="S140" s="425"/>
    </row>
    <row r="141" spans="1:19" s="251" customFormat="1" ht="13.5" customHeight="1" thickBot="1">
      <c r="A141" s="43" t="s">
        <v>230</v>
      </c>
      <c r="B141" s="415">
        <f>'RH2'!P18+('RH2'!Q18*1.4)+'RH2'!R18+'RH2'!S18+('RH2'!T18*1.4)+'RH2'!U18+'RH2'!V18</f>
        <v>0.25969999999999999</v>
      </c>
      <c r="C141" s="411">
        <f t="shared" ref="C141:N141" si="38">INT($B141*C140)</f>
        <v>0</v>
      </c>
      <c r="D141" s="411">
        <f t="shared" si="38"/>
        <v>0</v>
      </c>
      <c r="E141" s="411">
        <f t="shared" si="38"/>
        <v>0</v>
      </c>
      <c r="F141" s="411">
        <f t="shared" si="38"/>
        <v>0</v>
      </c>
      <c r="G141" s="411">
        <f t="shared" si="38"/>
        <v>0</v>
      </c>
      <c r="H141" s="411">
        <f t="shared" si="38"/>
        <v>0</v>
      </c>
      <c r="I141" s="411">
        <f t="shared" si="38"/>
        <v>0</v>
      </c>
      <c r="J141" s="411">
        <f t="shared" si="38"/>
        <v>0</v>
      </c>
      <c r="K141" s="411">
        <f t="shared" si="38"/>
        <v>0</v>
      </c>
      <c r="L141" s="411">
        <f t="shared" si="38"/>
        <v>0</v>
      </c>
      <c r="M141" s="411">
        <f t="shared" si="38"/>
        <v>0</v>
      </c>
      <c r="N141" s="411">
        <f t="shared" si="38"/>
        <v>0</v>
      </c>
      <c r="O141" s="416">
        <f t="shared" si="37"/>
        <v>0</v>
      </c>
      <c r="P141" s="558"/>
      <c r="Q141"/>
    </row>
    <row r="142" spans="1:19" s="251" customFormat="1" ht="13.5" customHeight="1" thickBot="1">
      <c r="A142" s="1210" t="str">
        <f>TE!A130</f>
        <v>Salaires de production - actionnaires</v>
      </c>
      <c r="B142" s="1211"/>
      <c r="C142" s="250">
        <f>(TE!$C$31*TE!E31)+(TE!$C$32*TE!E32)</f>
        <v>0</v>
      </c>
      <c r="D142" s="250">
        <f>(TE!$C$31*TE!F31)+(TE!$C$32*TE!F32)</f>
        <v>0</v>
      </c>
      <c r="E142" s="250">
        <f>(TE!$C$31*TE!G31)+(TE!$C$32*TE!G32)</f>
        <v>0</v>
      </c>
      <c r="F142" s="250">
        <f>(TE!$C$31*TE!H31)+(TE!$C$32*TE!H32)</f>
        <v>0</v>
      </c>
      <c r="G142" s="250">
        <f>(TE!$C$31*TE!I31)+(TE!$C$32*TE!I32)</f>
        <v>0</v>
      </c>
      <c r="H142" s="250">
        <f>(TE!$C$31*TE!J31)+(TE!$C$32*TE!J32)</f>
        <v>0</v>
      </c>
      <c r="I142" s="250">
        <f>(TE!$C$31*TE!K31)+(TE!$C$32*TE!K32)</f>
        <v>0</v>
      </c>
      <c r="J142" s="250">
        <f>(TE!$C$31*TE!L31)+(TE!$C$32*TE!L32)</f>
        <v>0</v>
      </c>
      <c r="K142" s="250">
        <f>(TE!$C$31*TE!M31)+(TE!$C$32*TE!M32)</f>
        <v>0</v>
      </c>
      <c r="L142" s="250">
        <f>(TE!$C$31*TE!N31)+(TE!$C$32*TE!N32)</f>
        <v>0</v>
      </c>
      <c r="M142" s="250">
        <f>(TE!$C$31*TE!O31)+(TE!$C$32*TE!O32)</f>
        <v>0</v>
      </c>
      <c r="N142" s="250">
        <f>(TE!$C$31*TE!P31)+(TE!$C$32*TE!P32)</f>
        <v>0</v>
      </c>
      <c r="O142" s="250">
        <f t="shared" si="37"/>
        <v>0</v>
      </c>
    </row>
    <row r="143" spans="1:19" s="251" customFormat="1" ht="13.5" customHeight="1" thickBot="1">
      <c r="A143" s="43" t="s">
        <v>230</v>
      </c>
      <c r="B143" s="415">
        <f>'RH2'!P18+'RH2'!R18+'RH2'!U18+'RH2'!V18</f>
        <v>0.12029999999999999</v>
      </c>
      <c r="C143" s="411">
        <f t="shared" ref="C143:N143" si="39">INT($B143*C142)</f>
        <v>0</v>
      </c>
      <c r="D143" s="411">
        <f t="shared" si="39"/>
        <v>0</v>
      </c>
      <c r="E143" s="411">
        <f t="shared" si="39"/>
        <v>0</v>
      </c>
      <c r="F143" s="411">
        <f t="shared" si="39"/>
        <v>0</v>
      </c>
      <c r="G143" s="411">
        <f t="shared" si="39"/>
        <v>0</v>
      </c>
      <c r="H143" s="411">
        <f t="shared" si="39"/>
        <v>0</v>
      </c>
      <c r="I143" s="411">
        <f t="shared" si="39"/>
        <v>0</v>
      </c>
      <c r="J143" s="411">
        <f t="shared" si="39"/>
        <v>0</v>
      </c>
      <c r="K143" s="411">
        <f t="shared" si="39"/>
        <v>0</v>
      </c>
      <c r="L143" s="411">
        <f t="shared" si="39"/>
        <v>0</v>
      </c>
      <c r="M143" s="411">
        <f t="shared" si="39"/>
        <v>0</v>
      </c>
      <c r="N143" s="411">
        <f t="shared" si="39"/>
        <v>0</v>
      </c>
      <c r="O143" s="416">
        <f t="shared" si="37"/>
        <v>0</v>
      </c>
      <c r="P143" s="425">
        <f>O140+O142</f>
        <v>0</v>
      </c>
      <c r="Q143" s="425"/>
      <c r="R143" s="425">
        <f>O141+O143</f>
        <v>0</v>
      </c>
    </row>
    <row r="144" spans="1:19" s="251" customFormat="1" ht="13.5" customHeight="1" thickBot="1">
      <c r="A144" s="1210" t="str">
        <f>TE!A132</f>
        <v>Salaires administratifs</v>
      </c>
      <c r="B144" s="1211"/>
      <c r="C144" s="250">
        <f>(TE!$C$41*TE!E41)+(TE!$C$42*TE!E42)</f>
        <v>3529.2</v>
      </c>
      <c r="D144" s="250">
        <f>(TE!$C$41*TE!F41)+(TE!$C$42*TE!F42)</f>
        <v>3529.2</v>
      </c>
      <c r="E144" s="250">
        <f>(TE!$C$41*TE!G41)+(TE!$C$42*TE!G42)</f>
        <v>3529.2</v>
      </c>
      <c r="F144" s="250">
        <f>(TE!$C$41*TE!H41)+(TE!$C$42*TE!H42)</f>
        <v>3529.2</v>
      </c>
      <c r="G144" s="250">
        <f>(TE!$C$41*TE!I41)+(TE!$C$42*TE!I42)</f>
        <v>3529.2</v>
      </c>
      <c r="H144" s="250">
        <f>(TE!$C$41*TE!J41)+(TE!$C$42*TE!J42)</f>
        <v>3529.2</v>
      </c>
      <c r="I144" s="250">
        <f>(TE!$C$41*TE!K41)+(TE!$C$42*TE!K42)</f>
        <v>3529.2</v>
      </c>
      <c r="J144" s="250">
        <f>(TE!$C$41*TE!L41)+(TE!$C$42*TE!L42)</f>
        <v>3529.2</v>
      </c>
      <c r="K144" s="250">
        <f>(TE!$C$41*TE!M41)+(TE!$C$42*TE!M42)</f>
        <v>3529.2</v>
      </c>
      <c r="L144" s="250">
        <f>(TE!$C$41*TE!N41)+(TE!$C$42*TE!N42)</f>
        <v>3529.2</v>
      </c>
      <c r="M144" s="250">
        <f>(TE!$C$41*TE!O41)+(TE!$C$42*TE!O42)</f>
        <v>3529.2</v>
      </c>
      <c r="N144" s="250">
        <f>(TE!$C$41*TE!P41)+(TE!$C$42*TE!P42)</f>
        <v>3529.2</v>
      </c>
      <c r="O144" s="250">
        <f t="shared" si="37"/>
        <v>42350.399999999994</v>
      </c>
      <c r="S144" s="888">
        <f>S135</f>
        <v>898</v>
      </c>
    </row>
    <row r="145" spans="1:20" s="251" customFormat="1" ht="13.5" customHeight="1" thickBot="1">
      <c r="A145" s="43" t="s">
        <v>230</v>
      </c>
      <c r="B145" s="415">
        <f>B141</f>
        <v>0.25969999999999999</v>
      </c>
      <c r="C145" s="411">
        <f t="shared" ref="C145:N145" si="40">INT($B145*C144)</f>
        <v>916</v>
      </c>
      <c r="D145" s="411">
        <f t="shared" si="40"/>
        <v>916</v>
      </c>
      <c r="E145" s="411">
        <f t="shared" si="40"/>
        <v>916</v>
      </c>
      <c r="F145" s="411">
        <f t="shared" si="40"/>
        <v>916</v>
      </c>
      <c r="G145" s="411">
        <f t="shared" si="40"/>
        <v>916</v>
      </c>
      <c r="H145" s="411">
        <f t="shared" si="40"/>
        <v>916</v>
      </c>
      <c r="I145" s="411">
        <f t="shared" si="40"/>
        <v>916</v>
      </c>
      <c r="J145" s="411">
        <f t="shared" si="40"/>
        <v>916</v>
      </c>
      <c r="K145" s="411">
        <f t="shared" si="40"/>
        <v>916</v>
      </c>
      <c r="L145" s="411">
        <f t="shared" si="40"/>
        <v>916</v>
      </c>
      <c r="M145" s="411">
        <f t="shared" si="40"/>
        <v>916</v>
      </c>
      <c r="N145" s="411">
        <f t="shared" si="40"/>
        <v>916</v>
      </c>
      <c r="O145" s="416">
        <f t="shared" si="37"/>
        <v>10992</v>
      </c>
      <c r="S145" s="889">
        <f>R143+R147</f>
        <v>10992</v>
      </c>
    </row>
    <row r="146" spans="1:20" s="251" customFormat="1" ht="13.5" customHeight="1" thickBot="1">
      <c r="A146" s="1210" t="str">
        <f>TE!A134</f>
        <v>Salaires administratifs - actionnaires</v>
      </c>
      <c r="B146" s="1211"/>
      <c r="C146" s="250">
        <f>(TE!$C$39*TE!E39)+(TE!$C$40*TE!E40)</f>
        <v>0</v>
      </c>
      <c r="D146" s="250">
        <f>(TE!$C$39*TE!F39)+(TE!$C$40*TE!F40)</f>
        <v>0</v>
      </c>
      <c r="E146" s="250">
        <f>(TE!$C$39*TE!G39)+(TE!$C$40*TE!G40)</f>
        <v>0</v>
      </c>
      <c r="F146" s="250">
        <f>(TE!$C$39*TE!H39)+(TE!$C$40*TE!H40)</f>
        <v>0</v>
      </c>
      <c r="G146" s="250">
        <f>(TE!$C$39*TE!I39)+(TE!$C$40*TE!I40)</f>
        <v>0</v>
      </c>
      <c r="H146" s="250">
        <f>(TE!$C$39*TE!J39)+(TE!$C$40*TE!J40)</f>
        <v>0</v>
      </c>
      <c r="I146" s="250">
        <f>(TE!$C$39*TE!K39)+(TE!$C$40*TE!K40)</f>
        <v>0</v>
      </c>
      <c r="J146" s="250">
        <f>(TE!$C$39*TE!L39)+(TE!$C$40*TE!L40)</f>
        <v>0</v>
      </c>
      <c r="K146" s="250">
        <f>(TE!$C$39*TE!M39)+(TE!$C$40*TE!M40)</f>
        <v>0</v>
      </c>
      <c r="L146" s="250">
        <f>(TE!$C$39*TE!N39)+(TE!$C$40*TE!N40)</f>
        <v>0</v>
      </c>
      <c r="M146" s="250">
        <f>(TE!$C$39*TE!O39)+(TE!$C$40*TE!O40)</f>
        <v>0</v>
      </c>
      <c r="N146" s="250">
        <f>(TE!$C$39*TE!P39)+(TE!$C$40*TE!P40)</f>
        <v>0</v>
      </c>
      <c r="O146" s="250">
        <f t="shared" si="37"/>
        <v>0</v>
      </c>
      <c r="S146" s="887">
        <f>-'BC2'!O30-'BC2'!O64</f>
        <v>-10974</v>
      </c>
    </row>
    <row r="147" spans="1:20" s="251" customFormat="1" ht="13.5" customHeight="1" thickBot="1">
      <c r="A147" s="43" t="s">
        <v>230</v>
      </c>
      <c r="B147" s="415">
        <f>B143</f>
        <v>0.12029999999999999</v>
      </c>
      <c r="C147" s="411">
        <f t="shared" ref="C147:N147" si="41">INT($B147*C146)</f>
        <v>0</v>
      </c>
      <c r="D147" s="411">
        <f t="shared" si="41"/>
        <v>0</v>
      </c>
      <c r="E147" s="411">
        <f t="shared" si="41"/>
        <v>0</v>
      </c>
      <c r="F147" s="411">
        <f t="shared" si="41"/>
        <v>0</v>
      </c>
      <c r="G147" s="411">
        <f t="shared" si="41"/>
        <v>0</v>
      </c>
      <c r="H147" s="411">
        <f t="shared" si="41"/>
        <v>0</v>
      </c>
      <c r="I147" s="411">
        <f t="shared" si="41"/>
        <v>0</v>
      </c>
      <c r="J147" s="411">
        <f t="shared" si="41"/>
        <v>0</v>
      </c>
      <c r="K147" s="411">
        <f t="shared" si="41"/>
        <v>0</v>
      </c>
      <c r="L147" s="411">
        <f t="shared" si="41"/>
        <v>0</v>
      </c>
      <c r="M147" s="411">
        <f t="shared" si="41"/>
        <v>0</v>
      </c>
      <c r="N147" s="411">
        <f t="shared" si="41"/>
        <v>0</v>
      </c>
      <c r="O147" s="416">
        <f t="shared" si="37"/>
        <v>0</v>
      </c>
      <c r="P147" s="425">
        <f>O144+O146</f>
        <v>42350.399999999994</v>
      </c>
      <c r="Q147" s="425"/>
      <c r="R147" s="425">
        <f>O145+O147</f>
        <v>10992</v>
      </c>
      <c r="S147" s="885">
        <f>SUM(S144:S146)</f>
        <v>916</v>
      </c>
    </row>
    <row r="148" spans="1:20" s="251" customFormat="1" ht="13.5" customHeight="1"/>
    <row r="149" spans="1:20" s="251" customFormat="1" ht="13.5" customHeight="1">
      <c r="O149" s="777">
        <f>SUM(O140:O148)</f>
        <v>53342.399999999994</v>
      </c>
    </row>
    <row r="150" spans="1:20" s="251" customFormat="1" ht="15">
      <c r="A150" s="72" t="s">
        <v>5</v>
      </c>
      <c r="B150" s="106"/>
      <c r="C150" s="107"/>
      <c r="D150" s="268"/>
      <c r="E150" s="268"/>
      <c r="F150" s="268"/>
      <c r="G150" s="268"/>
      <c r="H150" s="268"/>
      <c r="I150" s="268"/>
      <c r="J150" s="268"/>
      <c r="K150" s="268"/>
      <c r="L150" s="268"/>
      <c r="M150" s="268"/>
      <c r="N150" s="268"/>
      <c r="O150" s="268"/>
      <c r="P150"/>
      <c r="Q150"/>
      <c r="R150"/>
    </row>
    <row r="151" spans="1:20" s="251" customFormat="1" ht="13">
      <c r="A151" s="143"/>
      <c r="B151" s="106"/>
      <c r="C151" s="177"/>
      <c r="D151" s="177"/>
      <c r="E151" s="177"/>
      <c r="F151" s="177"/>
      <c r="G151" s="177"/>
      <c r="H151" s="177"/>
      <c r="I151" s="177"/>
      <c r="J151" s="177"/>
      <c r="K151" s="177"/>
      <c r="L151" s="177"/>
      <c r="M151" s="177"/>
      <c r="N151" s="177"/>
      <c r="O151" s="48"/>
      <c r="P151"/>
      <c r="Q151"/>
      <c r="R151"/>
    </row>
    <row r="152" spans="1:20" s="251" customFormat="1" ht="13.5" thickBot="1">
      <c r="A152" s="162" t="s">
        <v>511</v>
      </c>
      <c r="B152" s="676"/>
      <c r="C152" s="411">
        <f>(TE!$C$52*TE!E52)+(TE!$C$53*TE!E53)+(TE!$C$54*TE!E54)+(TE!$C$55*TE!E55)+(TE!$C$56*TE!E56)+(TE!$C$57*TE!E57)</f>
        <v>0</v>
      </c>
      <c r="D152" s="411">
        <f>(TE!$C$52*TE!F52)+(TE!$C$53*TE!F53)+(TE!$C$54*TE!F54)+(TE!$C$55*TE!F55)+(TE!$C$56*TE!F56)+(TE!$C$57*TE!F57)</f>
        <v>0</v>
      </c>
      <c r="E152" s="411">
        <f>(TE!$C$52*TE!G52)+(TE!$C$53*TE!G53)+(TE!$C$54*TE!G54)+(TE!$C$55*TE!G55)+(TE!$C$56*TE!G56)+(TE!$C$57*TE!G57)</f>
        <v>0</v>
      </c>
      <c r="F152" s="411">
        <f>(TE!$C$52*TE!H52)+(TE!$C$53*TE!H53)+(TE!$C$54*TE!H54)+(TE!$C$55*TE!H55)+(TE!$C$56*TE!H56)+(TE!$C$57*TE!H57)</f>
        <v>0</v>
      </c>
      <c r="G152" s="411">
        <f>(TE!$C$52*TE!I52)+(TE!$C$53*TE!I53)+(TE!$C$54*TE!I54)+(TE!$C$55*TE!I55)+(TE!$C$56*TE!I56)+(TE!$C$57*TE!I57)</f>
        <v>0</v>
      </c>
      <c r="H152" s="411">
        <f>(TE!$C$52*TE!J52)+(TE!$C$53*TE!J53)+(TE!$C$54*TE!J54)+(TE!$C$55*TE!J55)+(TE!$C$56*TE!J56)+(TE!$C$57*TE!J57)</f>
        <v>0</v>
      </c>
      <c r="I152" s="411">
        <f>(TE!$C$52*TE!K52)+(TE!$C$53*TE!K53)+(TE!$C$54*TE!K54)+(TE!$C$55*TE!K55)+(TE!$C$56*TE!K56)+(TE!$C$57*TE!K57)</f>
        <v>0</v>
      </c>
      <c r="J152" s="411">
        <f>(TE!$C$52*TE!L52)+(TE!$C$53*TE!L53)+(TE!$C$54*TE!L54)+(TE!$C$55*TE!L55)+(TE!$C$56*TE!L56)+(TE!$C$57*TE!L57)</f>
        <v>0</v>
      </c>
      <c r="K152" s="411">
        <f>(TE!$C$52*TE!M52)+(TE!$C$53*TE!M53)+(TE!$C$54*TE!M54)+(TE!$C$55*TE!M55)+(TE!$C$56*TE!M56)+(TE!$C$57*TE!M57)</f>
        <v>0</v>
      </c>
      <c r="L152" s="411">
        <f>(TE!$C$52*TE!N52)+(TE!$C$53*TE!N53)+(TE!$C$54*TE!N54)+(TE!$C$55*TE!N55)+(TE!$C$56*TE!N56)+(TE!$C$57*TE!N57)</f>
        <v>0</v>
      </c>
      <c r="M152" s="411">
        <f>(TE!$C$52*TE!O52)+(TE!$C$53*TE!O53)+(TE!$C$54*TE!O54)+(TE!$C$55*TE!O55)+(TE!$C$56*TE!O56)+(TE!$C$57*TE!O57)</f>
        <v>0</v>
      </c>
      <c r="N152" s="411">
        <f>(TE!$C$52*TE!P52)+(TE!$C$53*TE!P53)+(TE!$C$54*TE!P54)+(TE!$C$55*TE!P55)+(TE!$C$56*TE!P56)+(TE!$C$57*TE!P57)</f>
        <v>0</v>
      </c>
      <c r="O152" s="411">
        <f t="shared" ref="O152:O159" si="42">SUM(C152:N152)</f>
        <v>0</v>
      </c>
      <c r="P152" s="558"/>
      <c r="Q152" s="558"/>
      <c r="R152"/>
    </row>
    <row r="153" spans="1:20" s="251" customFormat="1" ht="13.5" thickBot="1">
      <c r="A153" s="43" t="s">
        <v>230</v>
      </c>
      <c r="B153" s="413">
        <f>'RH3'!P18+('RH3'!Q18*1.4)+'RH3'!R18+'RH3'!S18+('RH3'!T18*1.4)+'RH3'!U18+'RH3'!V18</f>
        <v>0.25969999999999999</v>
      </c>
      <c r="C153" s="411">
        <f t="shared" ref="C153:N153" si="43">INT($B153*C152)</f>
        <v>0</v>
      </c>
      <c r="D153" s="411">
        <f t="shared" si="43"/>
        <v>0</v>
      </c>
      <c r="E153" s="411">
        <f t="shared" si="43"/>
        <v>0</v>
      </c>
      <c r="F153" s="411">
        <f t="shared" si="43"/>
        <v>0</v>
      </c>
      <c r="G153" s="411">
        <f t="shared" si="43"/>
        <v>0</v>
      </c>
      <c r="H153" s="411">
        <f t="shared" si="43"/>
        <v>0</v>
      </c>
      <c r="I153" s="411">
        <f t="shared" si="43"/>
        <v>0</v>
      </c>
      <c r="J153" s="411">
        <f t="shared" si="43"/>
        <v>0</v>
      </c>
      <c r="K153" s="411">
        <f t="shared" si="43"/>
        <v>0</v>
      </c>
      <c r="L153" s="411">
        <f t="shared" si="43"/>
        <v>0</v>
      </c>
      <c r="M153" s="411">
        <f t="shared" si="43"/>
        <v>0</v>
      </c>
      <c r="N153" s="411">
        <f t="shared" si="43"/>
        <v>0</v>
      </c>
      <c r="O153" s="411">
        <f t="shared" si="42"/>
        <v>0</v>
      </c>
      <c r="P153" s="558"/>
      <c r="Q153"/>
      <c r="R153"/>
    </row>
    <row r="154" spans="1:20" s="251" customFormat="1" ht="13.5" thickBot="1">
      <c r="A154" s="162" t="s">
        <v>197</v>
      </c>
      <c r="B154" s="676"/>
      <c r="C154" s="411">
        <f>(TE!$C$50*TE!E50)+(TE!$C$51*TE!E51)</f>
        <v>0</v>
      </c>
      <c r="D154" s="411">
        <f>(TE!$C$50*TE!F50)+(TE!$C$51*TE!F51)</f>
        <v>0</v>
      </c>
      <c r="E154" s="411">
        <f>(TE!$C$50*TE!G50)+(TE!$C$51*TE!G51)</f>
        <v>0</v>
      </c>
      <c r="F154" s="411">
        <f>(TE!$C$50*TE!H50)+(TE!$C$51*TE!H51)</f>
        <v>0</v>
      </c>
      <c r="G154" s="411">
        <f>(TE!$C$50*TE!I50)+(TE!$C$51*TE!I51)</f>
        <v>0</v>
      </c>
      <c r="H154" s="411">
        <f>(TE!$C$50*TE!J50)+(TE!$C$51*TE!J51)</f>
        <v>0</v>
      </c>
      <c r="I154" s="411">
        <f>(TE!$C$50*TE!K50)+(TE!$C$51*TE!K51)</f>
        <v>0</v>
      </c>
      <c r="J154" s="411">
        <f>(TE!$C$50*TE!L50)+(TE!$C$51*TE!L51)</f>
        <v>0</v>
      </c>
      <c r="K154" s="411">
        <f>(TE!$C$50*TE!M50)+(TE!$C$51*TE!M51)</f>
        <v>0</v>
      </c>
      <c r="L154" s="411">
        <f>(TE!$C$50*TE!N50)+(TE!$C$51*TE!N51)</f>
        <v>0</v>
      </c>
      <c r="M154" s="411">
        <f>(TE!$C$50*TE!O50)+(TE!$C$51*TE!O51)</f>
        <v>0</v>
      </c>
      <c r="N154" s="411">
        <f>(TE!$C$50*TE!P50)+(TE!$C$51*TE!P51)</f>
        <v>0</v>
      </c>
      <c r="O154" s="411">
        <f t="shared" si="42"/>
        <v>0</v>
      </c>
      <c r="P154"/>
      <c r="Q154"/>
      <c r="R154"/>
    </row>
    <row r="155" spans="1:20" s="251" customFormat="1" ht="13.5" thickBot="1">
      <c r="A155" s="43" t="s">
        <v>230</v>
      </c>
      <c r="B155" s="413">
        <f>'RH3'!P18+'RH3'!R18+'RH3'!U18+'RH3'!V18</f>
        <v>0.12029999999999999</v>
      </c>
      <c r="C155" s="411">
        <f t="shared" ref="C155:N155" si="44">INT($B155*C154)</f>
        <v>0</v>
      </c>
      <c r="D155" s="411">
        <f t="shared" si="44"/>
        <v>0</v>
      </c>
      <c r="E155" s="411">
        <f t="shared" si="44"/>
        <v>0</v>
      </c>
      <c r="F155" s="411">
        <f t="shared" si="44"/>
        <v>0</v>
      </c>
      <c r="G155" s="411">
        <f t="shared" si="44"/>
        <v>0</v>
      </c>
      <c r="H155" s="411">
        <f t="shared" si="44"/>
        <v>0</v>
      </c>
      <c r="I155" s="411">
        <f t="shared" si="44"/>
        <v>0</v>
      </c>
      <c r="J155" s="411">
        <f t="shared" si="44"/>
        <v>0</v>
      </c>
      <c r="K155" s="411">
        <f t="shared" si="44"/>
        <v>0</v>
      </c>
      <c r="L155" s="411">
        <f t="shared" si="44"/>
        <v>0</v>
      </c>
      <c r="M155" s="411">
        <f t="shared" si="44"/>
        <v>0</v>
      </c>
      <c r="N155" s="411">
        <f t="shared" si="44"/>
        <v>0</v>
      </c>
      <c r="O155" s="411">
        <f t="shared" si="42"/>
        <v>0</v>
      </c>
      <c r="P155" s="425">
        <f>O152+O154</f>
        <v>0</v>
      </c>
      <c r="Q155" s="724"/>
      <c r="R155" s="425">
        <f>O153+O155</f>
        <v>0</v>
      </c>
    </row>
    <row r="156" spans="1:20" s="251" customFormat="1" ht="13.5" thickBot="1">
      <c r="A156" s="162" t="s">
        <v>503</v>
      </c>
      <c r="B156" s="676"/>
      <c r="C156" s="411">
        <f>(TE!$C$60*TE!E60)+(TE!$C$61*TE!E61)</f>
        <v>3599.7840000000001</v>
      </c>
      <c r="D156" s="411">
        <f>(TE!$C$60*TE!F60)+(TE!$C$61*TE!F61)</f>
        <v>3599.7840000000001</v>
      </c>
      <c r="E156" s="411">
        <f>(TE!$C$60*TE!G60)+(TE!$C$61*TE!G61)</f>
        <v>3599.7840000000001</v>
      </c>
      <c r="F156" s="411">
        <f>(TE!$C$60*TE!H60)+(TE!$C$61*TE!H61)</f>
        <v>3599.7840000000001</v>
      </c>
      <c r="G156" s="411">
        <f>(TE!$C$60*TE!I60)+(TE!$C$61*TE!I61)</f>
        <v>3599.7840000000001</v>
      </c>
      <c r="H156" s="411">
        <f>(TE!$C$60*TE!J60)+(TE!$C$61*TE!J61)</f>
        <v>3599.7840000000001</v>
      </c>
      <c r="I156" s="411">
        <f>(TE!$C$60*TE!K60)+(TE!$C$61*TE!K61)</f>
        <v>3599.7840000000001</v>
      </c>
      <c r="J156" s="411">
        <f>(TE!$C$60*TE!L60)+(TE!$C$61*TE!L61)</f>
        <v>3599.7840000000001</v>
      </c>
      <c r="K156" s="411">
        <f>(TE!$C$60*TE!M60)+(TE!$C$61*TE!M61)</f>
        <v>3599.7840000000001</v>
      </c>
      <c r="L156" s="411">
        <f>(TE!$C$60*TE!N60)+(TE!$C$61*TE!N61)</f>
        <v>3599.7840000000001</v>
      </c>
      <c r="M156" s="411">
        <f>(TE!$C$60*TE!O60)+(TE!$C$61*TE!O61)</f>
        <v>3599.7840000000001</v>
      </c>
      <c r="N156" s="411">
        <f>(TE!$C$60*TE!P60)+(TE!$C$61*TE!P61)</f>
        <v>3599.7840000000001</v>
      </c>
      <c r="O156" s="411">
        <f t="shared" si="42"/>
        <v>43197.408000000003</v>
      </c>
      <c r="Q156"/>
      <c r="S156" s="888">
        <f>S147</f>
        <v>916</v>
      </c>
    </row>
    <row r="157" spans="1:20" s="251" customFormat="1" ht="13.5" thickBot="1">
      <c r="A157" s="43" t="s">
        <v>230</v>
      </c>
      <c r="B157" s="413">
        <f>B153</f>
        <v>0.25969999999999999</v>
      </c>
      <c r="C157" s="411">
        <f t="shared" ref="C157:N157" si="45">INT($B157*C156)</f>
        <v>934</v>
      </c>
      <c r="D157" s="411">
        <f t="shared" si="45"/>
        <v>934</v>
      </c>
      <c r="E157" s="411">
        <f t="shared" si="45"/>
        <v>934</v>
      </c>
      <c r="F157" s="411">
        <f t="shared" si="45"/>
        <v>934</v>
      </c>
      <c r="G157" s="411">
        <f t="shared" si="45"/>
        <v>934</v>
      </c>
      <c r="H157" s="411">
        <f t="shared" si="45"/>
        <v>934</v>
      </c>
      <c r="I157" s="411">
        <f t="shared" si="45"/>
        <v>934</v>
      </c>
      <c r="J157" s="411">
        <f t="shared" si="45"/>
        <v>934</v>
      </c>
      <c r="K157" s="411">
        <f t="shared" si="45"/>
        <v>934</v>
      </c>
      <c r="L157" s="411">
        <f t="shared" si="45"/>
        <v>934</v>
      </c>
      <c r="M157" s="411">
        <f t="shared" si="45"/>
        <v>934</v>
      </c>
      <c r="N157" s="411">
        <f t="shared" si="45"/>
        <v>934</v>
      </c>
      <c r="O157" s="412">
        <f t="shared" si="42"/>
        <v>11208</v>
      </c>
      <c r="Q157"/>
      <c r="S157" s="889">
        <f>R155+R159</f>
        <v>11208</v>
      </c>
      <c r="T157" s="425">
        <f>O153+O155+O157+O159</f>
        <v>11208</v>
      </c>
    </row>
    <row r="158" spans="1:20" s="251" customFormat="1" ht="13.5" thickBot="1">
      <c r="A158" s="162" t="s">
        <v>198</v>
      </c>
      <c r="B158" s="676"/>
      <c r="C158" s="411">
        <f>(TE!$C$58*TE!E58)+(TE!$C$59*TE!E59)</f>
        <v>0</v>
      </c>
      <c r="D158" s="411">
        <f>(TE!$C$58*TE!F58)+(TE!$C$59*TE!F59)</f>
        <v>0</v>
      </c>
      <c r="E158" s="411">
        <f>(TE!$C$58*TE!G58)+(TE!$C$59*TE!G59)</f>
        <v>0</v>
      </c>
      <c r="F158" s="411">
        <f>(TE!$C$58*TE!H58)+(TE!$C$59*TE!H59)</f>
        <v>0</v>
      </c>
      <c r="G158" s="411">
        <f>(TE!$C$58*TE!I58)+(TE!$C$59*TE!I59)</f>
        <v>0</v>
      </c>
      <c r="H158" s="411">
        <f>(TE!$C$58*TE!J58)+(TE!$C$59*TE!J59)</f>
        <v>0</v>
      </c>
      <c r="I158" s="411">
        <f>(TE!$C$58*TE!K58)+(TE!$C$59*TE!K59)</f>
        <v>0</v>
      </c>
      <c r="J158" s="411">
        <f>(TE!$C$58*TE!L58)+(TE!$C$59*TE!L59)</f>
        <v>0</v>
      </c>
      <c r="K158" s="411">
        <f>(TE!$C$58*TE!M58)+(TE!$C$59*TE!M59)</f>
        <v>0</v>
      </c>
      <c r="L158" s="411">
        <f>(TE!$C$58*TE!N58)+(TE!$C$59*TE!N59)</f>
        <v>0</v>
      </c>
      <c r="M158" s="411">
        <f>(TE!$C$58*TE!O58)+(TE!$C$59*TE!O59)</f>
        <v>0</v>
      </c>
      <c r="N158" s="411">
        <f>(TE!$C$58*TE!P58)+(TE!$C$59*TE!P59)</f>
        <v>0</v>
      </c>
      <c r="O158" s="411">
        <f t="shared" si="42"/>
        <v>0</v>
      </c>
      <c r="Q158"/>
      <c r="S158" s="887">
        <f>-'BC3'!O30-'BC3'!O64</f>
        <v>-11190</v>
      </c>
    </row>
    <row r="159" spans="1:20" s="251" customFormat="1" ht="13.5" thickBot="1">
      <c r="A159" s="43" t="s">
        <v>230</v>
      </c>
      <c r="B159" s="413">
        <f>B155</f>
        <v>0.12029999999999999</v>
      </c>
      <c r="C159" s="411">
        <f t="shared" ref="C159:N159" si="46">INT($B159*C158)</f>
        <v>0</v>
      </c>
      <c r="D159" s="411">
        <f t="shared" si="46"/>
        <v>0</v>
      </c>
      <c r="E159" s="411">
        <f t="shared" si="46"/>
        <v>0</v>
      </c>
      <c r="F159" s="411">
        <f t="shared" si="46"/>
        <v>0</v>
      </c>
      <c r="G159" s="411">
        <f t="shared" si="46"/>
        <v>0</v>
      </c>
      <c r="H159" s="411">
        <f t="shared" si="46"/>
        <v>0</v>
      </c>
      <c r="I159" s="411">
        <f t="shared" si="46"/>
        <v>0</v>
      </c>
      <c r="J159" s="411">
        <f t="shared" si="46"/>
        <v>0</v>
      </c>
      <c r="K159" s="411">
        <f t="shared" si="46"/>
        <v>0</v>
      </c>
      <c r="L159" s="411">
        <f t="shared" si="46"/>
        <v>0</v>
      </c>
      <c r="M159" s="411">
        <f t="shared" si="46"/>
        <v>0</v>
      </c>
      <c r="N159" s="411">
        <f t="shared" si="46"/>
        <v>0</v>
      </c>
      <c r="O159" s="412">
        <f t="shared" si="42"/>
        <v>0</v>
      </c>
      <c r="P159" s="425">
        <f>O156+O158</f>
        <v>43197.408000000003</v>
      </c>
      <c r="Q159" s="724"/>
      <c r="R159" s="425">
        <f>O157+O159</f>
        <v>11208</v>
      </c>
      <c r="S159" s="885">
        <f>SUM(S156:S158)</f>
        <v>934</v>
      </c>
    </row>
    <row r="160" spans="1:20" s="251" customFormat="1" ht="13">
      <c r="A160" s="48"/>
      <c r="B160" s="88"/>
      <c r="C160" s="268"/>
      <c r="D160" s="268"/>
      <c r="E160" s="268"/>
      <c r="F160" s="268"/>
      <c r="G160" s="268"/>
      <c r="H160" s="268"/>
      <c r="I160" s="268"/>
      <c r="J160" s="268"/>
      <c r="K160" s="268"/>
      <c r="L160" s="268"/>
      <c r="M160" s="268"/>
      <c r="N160" s="268"/>
      <c r="O160" s="268"/>
      <c r="P160"/>
      <c r="Q160"/>
      <c r="R160"/>
    </row>
    <row r="161" spans="1:19" s="251" customFormat="1">
      <c r="A161"/>
      <c r="B161"/>
      <c r="C161"/>
      <c r="D161"/>
      <c r="E161"/>
      <c r="F161"/>
      <c r="G161"/>
      <c r="H161"/>
      <c r="I161"/>
      <c r="J161"/>
      <c r="K161"/>
      <c r="L161"/>
      <c r="M161"/>
      <c r="N161"/>
      <c r="O161" s="724">
        <f>SUM(O152:O160)</f>
        <v>54405.408000000003</v>
      </c>
      <c r="P161"/>
      <c r="Q161"/>
      <c r="R161"/>
    </row>
    <row r="162" spans="1:19" s="251" customFormat="1" ht="15">
      <c r="A162" s="72" t="s">
        <v>6</v>
      </c>
      <c r="B162" s="106"/>
      <c r="C162" s="268"/>
      <c r="D162" s="268"/>
      <c r="E162" s="268"/>
      <c r="F162" s="268"/>
      <c r="G162" s="268"/>
      <c r="H162" s="268"/>
      <c r="I162" s="268"/>
      <c r="J162" s="268"/>
      <c r="K162" s="268"/>
      <c r="L162" s="268"/>
      <c r="M162" s="268"/>
      <c r="N162" s="268"/>
      <c r="O162" s="268"/>
      <c r="P162"/>
      <c r="Q162"/>
      <c r="R162"/>
    </row>
    <row r="163" spans="1:19" s="251" customFormat="1" ht="13">
      <c r="A163" s="143"/>
      <c r="B163" s="106"/>
      <c r="C163" s="177"/>
      <c r="D163" s="177"/>
      <c r="E163" s="177"/>
      <c r="F163" s="177"/>
      <c r="G163" s="177"/>
      <c r="H163" s="177"/>
      <c r="I163" s="177"/>
      <c r="J163" s="177"/>
      <c r="K163" s="177"/>
      <c r="L163" s="177"/>
      <c r="M163" s="177"/>
      <c r="N163" s="177"/>
      <c r="O163" s="48"/>
      <c r="P163"/>
      <c r="Q163"/>
      <c r="R163"/>
    </row>
    <row r="164" spans="1:19" s="251" customFormat="1" ht="13.5" thickBot="1">
      <c r="A164" s="162" t="str">
        <f>TE!A152</f>
        <v>Salaires directs</v>
      </c>
      <c r="B164" s="676"/>
      <c r="C164" s="250">
        <f>(TE!$C$77*TE!E77)+(TE!$C$78*TE!E78)+(TE!$C$79*TE!E79)+(TE!$C$80*TE!E80)+(TE!$C$81*TE!E81)+(TE!$C$82*TE!E82)</f>
        <v>0</v>
      </c>
      <c r="D164" s="250">
        <f>(TE!$C$77*TE!F77)+(TE!$C$78*TE!F78)+(TE!$C$79*TE!F79)+(TE!$C$80*TE!F80)+(TE!$C$81*TE!F81)+(TE!$C$82*TE!F82)</f>
        <v>0</v>
      </c>
      <c r="E164" s="250">
        <f>(TE!$C$77*TE!G77)+(TE!$C$78*TE!G78)+(TE!$C$79*TE!G79)+(TE!$C$80*TE!G80)+(TE!$C$81*TE!G81)+(TE!$C$82*TE!G82)</f>
        <v>0</v>
      </c>
      <c r="F164" s="250">
        <f>(TE!$C$77*TE!H77)+(TE!$C$78*TE!H78)+(TE!$C$79*TE!H79)+(TE!$C$80*TE!H80)+(TE!$C$81*TE!H81)+(TE!$C$82*TE!H82)</f>
        <v>0</v>
      </c>
      <c r="G164" s="250">
        <f>(TE!$C$77*TE!I77)+(TE!$C$78*TE!I78)+(TE!$C$79*TE!I79)+(TE!$C$80*TE!I80)+(TE!$C$81*TE!I81)+(TE!$C$82*TE!I82)</f>
        <v>0</v>
      </c>
      <c r="H164" s="250">
        <f>(TE!$C$77*TE!J77)+(TE!$C$78*TE!J78)+(TE!$C$79*TE!J79)+(TE!$C$80*TE!J80)+(TE!$C$81*TE!J81)+(TE!$C$82*TE!J82)</f>
        <v>0</v>
      </c>
      <c r="I164" s="250">
        <f>(TE!$C$77*TE!K77)+(TE!$C$78*TE!K78)+(TE!$C$79*TE!K79)+(TE!$C$80*TE!K80)+(TE!$C$81*TE!K81)+(TE!$C$82*TE!K82)</f>
        <v>0</v>
      </c>
      <c r="J164" s="250">
        <f>(TE!$C$77*TE!L77)+(TE!$C$78*TE!L78)+(TE!$C$79*TE!L79)+(TE!$C$80*TE!L80)+(TE!$C$81*TE!L81)+(TE!$C$82*TE!L82)</f>
        <v>0</v>
      </c>
      <c r="K164" s="250">
        <f>(TE!$C$77*TE!M77)+(TE!$C$78*TE!M78)+(TE!$C$79*TE!M79)+(TE!$C$80*TE!M80)+(TE!$C$81*TE!M81)+(TE!$C$82*TE!M82)</f>
        <v>0</v>
      </c>
      <c r="L164" s="250">
        <f>(TE!$C$77*TE!N77)+(TE!$C$78*TE!N78)+(TE!$C$79*TE!N79)+(TE!$C$80*TE!N80)+(TE!$C$81*TE!N81)+(TE!$C$82*TE!N82)</f>
        <v>0</v>
      </c>
      <c r="M164" s="250">
        <f>(TE!$C$77*TE!O77)+(TE!$C$78*TE!O78)+(TE!$C$79*TE!O79)+(TE!$C$80*TE!O80)+(TE!$C$81*TE!O81)+(TE!$C$82*TE!O82)</f>
        <v>0</v>
      </c>
      <c r="N164" s="250">
        <f>(TE!$C$77*TE!P77)+(TE!$C$78*TE!P78)+(TE!$C$79*TE!P79)+(TE!$C$80*TE!P80)+(TE!$C$81*TE!P81)+(TE!$C$82*TE!P82)</f>
        <v>0</v>
      </c>
      <c r="O164" s="250">
        <f t="shared" ref="O164:O171" si="47">SUM(C164:N164)</f>
        <v>0</v>
      </c>
      <c r="P164" s="558"/>
      <c r="Q164" s="558"/>
      <c r="R164"/>
    </row>
    <row r="165" spans="1:19" s="251" customFormat="1" ht="13.5" thickBot="1">
      <c r="A165" s="43" t="s">
        <v>230</v>
      </c>
      <c r="B165" s="415">
        <f>'RH4'!P18+('RH4'!Q18*1.4)+'RH4'!R18+'RH4'!S18+('RH4'!T18*1.4)+'RH4'!U18+'RH4'!V18</f>
        <v>0.25969999999999999</v>
      </c>
      <c r="C165" s="411">
        <f t="shared" ref="C165:N165" si="48">INT($B165*C164)</f>
        <v>0</v>
      </c>
      <c r="D165" s="411">
        <f t="shared" si="48"/>
        <v>0</v>
      </c>
      <c r="E165" s="411">
        <f t="shared" si="48"/>
        <v>0</v>
      </c>
      <c r="F165" s="411">
        <f t="shared" si="48"/>
        <v>0</v>
      </c>
      <c r="G165" s="411">
        <f t="shared" si="48"/>
        <v>0</v>
      </c>
      <c r="H165" s="411">
        <f t="shared" si="48"/>
        <v>0</v>
      </c>
      <c r="I165" s="411">
        <f t="shared" si="48"/>
        <v>0</v>
      </c>
      <c r="J165" s="411">
        <f t="shared" si="48"/>
        <v>0</v>
      </c>
      <c r="K165" s="411">
        <f t="shared" si="48"/>
        <v>0</v>
      </c>
      <c r="L165" s="411">
        <f t="shared" si="48"/>
        <v>0</v>
      </c>
      <c r="M165" s="411">
        <f t="shared" si="48"/>
        <v>0</v>
      </c>
      <c r="N165" s="411">
        <f t="shared" si="48"/>
        <v>0</v>
      </c>
      <c r="O165" s="416">
        <f t="shared" si="47"/>
        <v>0</v>
      </c>
      <c r="P165" s="558"/>
      <c r="Q165"/>
      <c r="R165"/>
    </row>
    <row r="166" spans="1:19" s="251" customFormat="1" ht="13.5" thickBot="1">
      <c r="A166" s="162" t="str">
        <f>TE!A154</f>
        <v>Salaires directs - actionnaires</v>
      </c>
      <c r="B166" s="676"/>
      <c r="C166" s="250">
        <f>(TE!$C$75*TE!E75)+(TE!$C$76*TE!E76)</f>
        <v>0</v>
      </c>
      <c r="D166" s="250">
        <f>(TE!$C$75*TE!F75)+(TE!$C$76*TE!F76)</f>
        <v>0</v>
      </c>
      <c r="E166" s="250">
        <f>(TE!$C$75*TE!G75)+(TE!$C$76*TE!G76)</f>
        <v>0</v>
      </c>
      <c r="F166" s="250">
        <f>(TE!$C$75*TE!H75)+(TE!$C$76*TE!H76)</f>
        <v>0</v>
      </c>
      <c r="G166" s="250">
        <f>(TE!$C$75*TE!I75)+(TE!$C$76*TE!I76)</f>
        <v>0</v>
      </c>
      <c r="H166" s="250">
        <f>(TE!$C$75*TE!J75)+(TE!$C$76*TE!J76)</f>
        <v>0</v>
      </c>
      <c r="I166" s="250">
        <f>(TE!$C$75*TE!K75)+(TE!$C$76*TE!K76)</f>
        <v>0</v>
      </c>
      <c r="J166" s="250">
        <f>(TE!$C$75*TE!L75)+(TE!$C$76*TE!L76)</f>
        <v>0</v>
      </c>
      <c r="K166" s="250">
        <f>(TE!$C$75*TE!M75)+(TE!$C$76*TE!M76)</f>
        <v>0</v>
      </c>
      <c r="L166" s="250">
        <f>(TE!$C$75*TE!N75)+(TE!$C$76*TE!N76)</f>
        <v>0</v>
      </c>
      <c r="M166" s="250">
        <f>(TE!$C$75*TE!O75)+(TE!$C$76*TE!O76)</f>
        <v>0</v>
      </c>
      <c r="N166" s="250">
        <f>(TE!$C$75*TE!P75)+(TE!$C$76*TE!P76)</f>
        <v>0</v>
      </c>
      <c r="O166" s="250">
        <f t="shared" si="47"/>
        <v>0</v>
      </c>
      <c r="P166"/>
      <c r="Q166"/>
      <c r="R166"/>
    </row>
    <row r="167" spans="1:19" s="251" customFormat="1" ht="13.5" thickBot="1">
      <c r="A167" s="43" t="s">
        <v>230</v>
      </c>
      <c r="B167" s="415">
        <f>'RH4'!P18+'RH4'!R18+'RH4'!U18+'RH4'!V18</f>
        <v>0.12029999999999999</v>
      </c>
      <c r="C167" s="411">
        <f t="shared" ref="C167:N167" si="49">INT($B167*C166)</f>
        <v>0</v>
      </c>
      <c r="D167" s="411">
        <f t="shared" si="49"/>
        <v>0</v>
      </c>
      <c r="E167" s="411">
        <f t="shared" si="49"/>
        <v>0</v>
      </c>
      <c r="F167" s="411">
        <f t="shared" si="49"/>
        <v>0</v>
      </c>
      <c r="G167" s="411">
        <f t="shared" si="49"/>
        <v>0</v>
      </c>
      <c r="H167" s="411">
        <f t="shared" si="49"/>
        <v>0</v>
      </c>
      <c r="I167" s="411">
        <f t="shared" si="49"/>
        <v>0</v>
      </c>
      <c r="J167" s="411">
        <f t="shared" si="49"/>
        <v>0</v>
      </c>
      <c r="K167" s="411">
        <f t="shared" si="49"/>
        <v>0</v>
      </c>
      <c r="L167" s="411">
        <f t="shared" si="49"/>
        <v>0</v>
      </c>
      <c r="M167" s="411">
        <f t="shared" si="49"/>
        <v>0</v>
      </c>
      <c r="N167" s="411">
        <f t="shared" si="49"/>
        <v>0</v>
      </c>
      <c r="O167" s="416">
        <f t="shared" si="47"/>
        <v>0</v>
      </c>
      <c r="P167" s="425">
        <f>O164+O166</f>
        <v>0</v>
      </c>
      <c r="Q167" s="724"/>
      <c r="R167" s="425">
        <f>O165+O167</f>
        <v>0</v>
      </c>
    </row>
    <row r="168" spans="1:19" s="251" customFormat="1" ht="13.5" thickBot="1">
      <c r="A168" s="162" t="str">
        <f>TE!A156</f>
        <v>Salaires administratifs</v>
      </c>
      <c r="B168" s="676"/>
      <c r="C168" s="250">
        <f>(TE!$C$85*TE!E85)+(TE!$C$86*TE!E86)</f>
        <v>3671.7796800000001</v>
      </c>
      <c r="D168" s="250">
        <f>(TE!$C$85*TE!F85)+(TE!$C$86*TE!F86)</f>
        <v>3671.7796800000001</v>
      </c>
      <c r="E168" s="250">
        <f>(TE!$C$85*TE!G85)+(TE!$C$86*TE!G86)</f>
        <v>3671.7796800000001</v>
      </c>
      <c r="F168" s="250">
        <f>(TE!$C$85*TE!H85)+(TE!$C$86*TE!H86)</f>
        <v>3671.7796800000001</v>
      </c>
      <c r="G168" s="250">
        <f>(TE!$C$85*TE!I85)+(TE!$C$86*TE!I86)</f>
        <v>3671.7796800000001</v>
      </c>
      <c r="H168" s="250">
        <f>(TE!$C$85*TE!J85)+(TE!$C$86*TE!J86)</f>
        <v>3671.7796800000001</v>
      </c>
      <c r="I168" s="250">
        <f>(TE!$C$85*TE!K85)+(TE!$C$86*TE!K86)</f>
        <v>3671.7796800000001</v>
      </c>
      <c r="J168" s="250">
        <f>(TE!$C$85*TE!L85)+(TE!$C$86*TE!L86)</f>
        <v>3671.7796800000001</v>
      </c>
      <c r="K168" s="250">
        <f>(TE!$C$85*TE!M85)+(TE!$C$86*TE!M86)</f>
        <v>3671.7796800000001</v>
      </c>
      <c r="L168" s="250">
        <f>(TE!$C$85*TE!N85)+(TE!$C$86*TE!N86)</f>
        <v>3671.7796800000001</v>
      </c>
      <c r="M168" s="250">
        <f>(TE!$C$85*TE!O85)+(TE!$C$86*TE!O86)</f>
        <v>3671.7796800000001</v>
      </c>
      <c r="N168" s="250">
        <f>(TE!$C$85*TE!P85)+(TE!$C$86*TE!P86)</f>
        <v>3671.7796800000001</v>
      </c>
      <c r="O168" s="250">
        <f t="shared" si="47"/>
        <v>44061.356160000003</v>
      </c>
      <c r="Q168"/>
      <c r="S168" s="888">
        <f>S159</f>
        <v>934</v>
      </c>
    </row>
    <row r="169" spans="1:19" s="251" customFormat="1" ht="13.5" thickBot="1">
      <c r="A169" s="43" t="s">
        <v>230</v>
      </c>
      <c r="B169" s="415">
        <f>B165</f>
        <v>0.25969999999999999</v>
      </c>
      <c r="C169" s="411">
        <f t="shared" ref="C169:N169" si="50">INT($B169*C168)</f>
        <v>953</v>
      </c>
      <c r="D169" s="411">
        <f t="shared" si="50"/>
        <v>953</v>
      </c>
      <c r="E169" s="411">
        <f t="shared" si="50"/>
        <v>953</v>
      </c>
      <c r="F169" s="411">
        <f t="shared" si="50"/>
        <v>953</v>
      </c>
      <c r="G169" s="411">
        <f t="shared" si="50"/>
        <v>953</v>
      </c>
      <c r="H169" s="411">
        <f t="shared" si="50"/>
        <v>953</v>
      </c>
      <c r="I169" s="411">
        <f t="shared" si="50"/>
        <v>953</v>
      </c>
      <c r="J169" s="411">
        <f t="shared" si="50"/>
        <v>953</v>
      </c>
      <c r="K169" s="411">
        <f t="shared" si="50"/>
        <v>953</v>
      </c>
      <c r="L169" s="411">
        <f t="shared" si="50"/>
        <v>953</v>
      </c>
      <c r="M169" s="411">
        <f t="shared" si="50"/>
        <v>953</v>
      </c>
      <c r="N169" s="411">
        <f t="shared" si="50"/>
        <v>953</v>
      </c>
      <c r="O169" s="416">
        <f t="shared" si="47"/>
        <v>11436</v>
      </c>
      <c r="Q169"/>
      <c r="S169" s="889">
        <f>R167+R171</f>
        <v>11436</v>
      </c>
    </row>
    <row r="170" spans="1:19" s="251" customFormat="1" ht="13.5" thickBot="1">
      <c r="A170" s="162" t="str">
        <f>TE!A158</f>
        <v>Salaires administratifs - actionnaires</v>
      </c>
      <c r="B170" s="676"/>
      <c r="C170" s="250">
        <f>(TE!$C$83*TE!E83)+(TE!$C$84*TE!E84)</f>
        <v>0</v>
      </c>
      <c r="D170" s="250">
        <f>(TE!$C$83*TE!F83)+(TE!$C$84*TE!F84)</f>
        <v>0</v>
      </c>
      <c r="E170" s="250">
        <f>(TE!$C$83*TE!G83)+(TE!$C$84*TE!G84)</f>
        <v>0</v>
      </c>
      <c r="F170" s="250">
        <f>(TE!$C$83*TE!H83)+(TE!$C$84*TE!H84)</f>
        <v>0</v>
      </c>
      <c r="G170" s="250">
        <f>(TE!$C$83*TE!I83)+(TE!$C$84*TE!I84)</f>
        <v>0</v>
      </c>
      <c r="H170" s="250">
        <f>(TE!$C$83*TE!J83)+(TE!$C$84*TE!J84)</f>
        <v>0</v>
      </c>
      <c r="I170" s="250">
        <f>(TE!$C$83*TE!K83)+(TE!$C$84*TE!K84)</f>
        <v>0</v>
      </c>
      <c r="J170" s="250">
        <f>(TE!$C$83*TE!L83)+(TE!$C$84*TE!L84)</f>
        <v>0</v>
      </c>
      <c r="K170" s="250">
        <f>(TE!$C$83*TE!M83)+(TE!$C$84*TE!M84)</f>
        <v>0</v>
      </c>
      <c r="L170" s="250">
        <f>(TE!$C$83*TE!N83)+(TE!$C$84*TE!N84)</f>
        <v>0</v>
      </c>
      <c r="M170" s="250">
        <f>(TE!$C$83*TE!O83)+(TE!$C$84*TE!O84)</f>
        <v>0</v>
      </c>
      <c r="N170" s="250">
        <f>(TE!$C$83*TE!P83)+(TE!$C$84*TE!P84)</f>
        <v>0</v>
      </c>
      <c r="O170" s="250">
        <f t="shared" si="47"/>
        <v>0</v>
      </c>
      <c r="Q170"/>
      <c r="S170" s="887">
        <f>-'BC4'!O30-'BC4'!O64</f>
        <v>-11417</v>
      </c>
    </row>
    <row r="171" spans="1:19" s="251" customFormat="1" ht="13.5" thickBot="1">
      <c r="A171" s="43" t="s">
        <v>230</v>
      </c>
      <c r="B171" s="415">
        <f>B167</f>
        <v>0.12029999999999999</v>
      </c>
      <c r="C171" s="411">
        <f t="shared" ref="C171:N171" si="51">INT($B171*C170)</f>
        <v>0</v>
      </c>
      <c r="D171" s="411">
        <f t="shared" si="51"/>
        <v>0</v>
      </c>
      <c r="E171" s="411">
        <f t="shared" si="51"/>
        <v>0</v>
      </c>
      <c r="F171" s="411">
        <f t="shared" si="51"/>
        <v>0</v>
      </c>
      <c r="G171" s="411">
        <f t="shared" si="51"/>
        <v>0</v>
      </c>
      <c r="H171" s="411">
        <f t="shared" si="51"/>
        <v>0</v>
      </c>
      <c r="I171" s="411">
        <f t="shared" si="51"/>
        <v>0</v>
      </c>
      <c r="J171" s="411">
        <f t="shared" si="51"/>
        <v>0</v>
      </c>
      <c r="K171" s="411">
        <f t="shared" si="51"/>
        <v>0</v>
      </c>
      <c r="L171" s="411">
        <f t="shared" si="51"/>
        <v>0</v>
      </c>
      <c r="M171" s="411">
        <f t="shared" si="51"/>
        <v>0</v>
      </c>
      <c r="N171" s="411">
        <f t="shared" si="51"/>
        <v>0</v>
      </c>
      <c r="O171" s="416">
        <f t="shared" si="47"/>
        <v>0</v>
      </c>
      <c r="P171" s="425">
        <f>O168+O170</f>
        <v>44061.356160000003</v>
      </c>
      <c r="Q171" s="724"/>
      <c r="R171" s="425">
        <f>O169+O171</f>
        <v>11436</v>
      </c>
      <c r="S171" s="885">
        <f>SUM(S168:S170)</f>
        <v>953</v>
      </c>
    </row>
    <row r="172" spans="1:19" s="251" customFormat="1">
      <c r="A172"/>
      <c r="B172"/>
      <c r="C172"/>
      <c r="D172"/>
      <c r="E172"/>
      <c r="F172"/>
      <c r="G172"/>
      <c r="H172"/>
      <c r="I172"/>
      <c r="J172"/>
      <c r="K172"/>
      <c r="L172"/>
      <c r="M172"/>
      <c r="N172"/>
      <c r="O172"/>
      <c r="P172"/>
      <c r="Q172"/>
      <c r="R172"/>
    </row>
    <row r="173" spans="1:19" s="251" customFormat="1">
      <c r="A173"/>
      <c r="B173"/>
      <c r="C173"/>
      <c r="D173"/>
      <c r="E173"/>
      <c r="F173"/>
      <c r="G173"/>
      <c r="H173"/>
      <c r="I173"/>
      <c r="J173"/>
      <c r="K173"/>
      <c r="L173"/>
      <c r="M173"/>
      <c r="N173"/>
      <c r="O173" s="724">
        <f>SUM(O164:O172)</f>
        <v>55497.356160000003</v>
      </c>
      <c r="P173"/>
      <c r="Q173"/>
      <c r="R173"/>
    </row>
    <row r="174" spans="1:19" s="251" customFormat="1" ht="15">
      <c r="A174" s="72" t="s">
        <v>7</v>
      </c>
      <c r="B174" s="106"/>
      <c r="C174" s="268"/>
      <c r="D174" s="268"/>
      <c r="E174" s="268"/>
      <c r="F174" s="268"/>
      <c r="G174" s="268"/>
      <c r="H174" s="268"/>
      <c r="I174" s="268"/>
      <c r="J174" s="268"/>
      <c r="K174" s="268"/>
      <c r="L174" s="268"/>
      <c r="M174" s="268"/>
      <c r="N174" s="268"/>
      <c r="O174" s="268"/>
      <c r="P174"/>
      <c r="Q174"/>
      <c r="R174"/>
    </row>
    <row r="175" spans="1:19" s="251" customFormat="1" ht="13">
      <c r="A175" s="143"/>
      <c r="B175" s="106"/>
      <c r="C175" s="177"/>
      <c r="D175" s="177"/>
      <c r="E175" s="177"/>
      <c r="F175" s="177"/>
      <c r="G175" s="177"/>
      <c r="H175" s="177"/>
      <c r="I175" s="177"/>
      <c r="J175" s="177"/>
      <c r="K175" s="177"/>
      <c r="L175" s="177"/>
      <c r="M175" s="177"/>
      <c r="N175" s="177"/>
      <c r="O175" s="48"/>
      <c r="P175"/>
      <c r="Q175"/>
      <c r="R175"/>
    </row>
    <row r="176" spans="1:19" s="251" customFormat="1" ht="13.5" thickBot="1">
      <c r="A176" s="162" t="str">
        <f>TE!A164</f>
        <v>Salaires directs</v>
      </c>
      <c r="B176" s="676"/>
      <c r="C176" s="250">
        <f>(TE!$C$102*TE!E102)+(TE!$C$103*TE!E103)+(TE!$C$104*TE!E104)+(TE!$C$105*TE!E105)+(TE!$C$106*TE!E106)+(TE!$C$107*TE!E107)</f>
        <v>0</v>
      </c>
      <c r="D176" s="250">
        <f>(TE!$C$102*TE!F102)+(TE!$C$103*TE!F103)+(TE!$C$104*TE!F104)+(TE!$C$105*TE!F105)+(TE!$C$106*TE!F106)+(TE!$C$107*TE!F107)</f>
        <v>0</v>
      </c>
      <c r="E176" s="250">
        <f>(TE!$C$102*TE!G102)+(TE!$C$103*TE!G103)+(TE!$C$104*TE!G104)+(TE!$C$105*TE!G105)+(TE!$C$106*TE!G106)+(TE!$C$107*TE!G107)</f>
        <v>0</v>
      </c>
      <c r="F176" s="250">
        <f>(TE!$C$102*TE!H102)+(TE!$C$103*TE!H103)+(TE!$C$104*TE!H104)+(TE!$C$105*TE!H105)+(TE!$C$106*TE!H106)+(TE!$C$107*TE!H107)</f>
        <v>0</v>
      </c>
      <c r="G176" s="250">
        <f>(TE!$C$102*TE!I102)+(TE!$C$103*TE!I103)+(TE!$C$104*TE!I104)+(TE!$C$105*TE!I105)+(TE!$C$106*TE!I106)+(TE!$C$107*TE!I107)</f>
        <v>0</v>
      </c>
      <c r="H176" s="250">
        <f>(TE!$C$102*TE!J102)+(TE!$C$103*TE!J103)+(TE!$C$104*TE!J104)+(TE!$C$105*TE!J105)+(TE!$C$106*TE!J106)+(TE!$C$107*TE!J107)</f>
        <v>0</v>
      </c>
      <c r="I176" s="250">
        <f>(TE!$C$102*TE!K102)+(TE!$C$103*TE!K103)+(TE!$C$104*TE!K104)+(TE!$C$105*TE!K105)+(TE!$C$106*TE!K106)+(TE!$C$107*TE!K107)</f>
        <v>0</v>
      </c>
      <c r="J176" s="250">
        <f>(TE!$C$102*TE!L102)+(TE!$C$103*TE!L103)+(TE!$C$104*TE!L104)+(TE!$C$105*TE!L105)+(TE!$C$106*TE!L106)+(TE!$C$107*TE!L107)</f>
        <v>0</v>
      </c>
      <c r="K176" s="250">
        <f>(TE!$C$102*TE!M102)+(TE!$C$103*TE!M103)+(TE!$C$104*TE!M104)+(TE!$C$105*TE!M105)+(TE!$C$106*TE!M106)+(TE!$C$107*TE!M107)</f>
        <v>0</v>
      </c>
      <c r="L176" s="250">
        <f>(TE!$C$102*TE!N102)+(TE!$C$103*TE!N103)+(TE!$C$104*TE!N104)+(TE!$C$105*TE!N105)+(TE!$C$106*TE!N106)+(TE!$C$107*TE!N107)</f>
        <v>0</v>
      </c>
      <c r="M176" s="250">
        <f>(TE!$C$102*TE!O102)+(TE!$C$103*TE!O103)+(TE!$C$104*TE!O104)+(TE!$C$105*TE!O105)+(TE!$C$106*TE!O106)+(TE!$C$107*TE!O107)</f>
        <v>0</v>
      </c>
      <c r="N176" s="250">
        <f>(TE!$C$102*TE!P102)+(TE!$C$103*TE!P103)+(TE!$C$104*TE!P104)+(TE!$C$105*TE!P105)+(TE!$C$106*TE!P106)+(TE!$C$107*TE!P107)</f>
        <v>0</v>
      </c>
      <c r="O176" s="250">
        <f t="shared" ref="O176:O183" si="52">SUM(C176:N176)</f>
        <v>0</v>
      </c>
      <c r="P176" s="558"/>
      <c r="Q176" s="558"/>
      <c r="R176"/>
    </row>
    <row r="177" spans="1:19" s="251" customFormat="1" ht="13.5" thickBot="1">
      <c r="A177" s="43" t="s">
        <v>230</v>
      </c>
      <c r="B177" s="415">
        <f>'RH5'!P18+('RH5'!Q18*1.4)+'RH5'!R18+'RH5'!S18+('RH5'!T18*1.4)+'RH5'!U18+'RH5'!V18</f>
        <v>0.25969999999999999</v>
      </c>
      <c r="C177" s="411">
        <f t="shared" ref="C177:N177" si="53">INT($B177*C176)</f>
        <v>0</v>
      </c>
      <c r="D177" s="411">
        <f t="shared" si="53"/>
        <v>0</v>
      </c>
      <c r="E177" s="411">
        <f t="shared" si="53"/>
        <v>0</v>
      </c>
      <c r="F177" s="411">
        <f t="shared" si="53"/>
        <v>0</v>
      </c>
      <c r="G177" s="411">
        <f t="shared" si="53"/>
        <v>0</v>
      </c>
      <c r="H177" s="411">
        <f t="shared" si="53"/>
        <v>0</v>
      </c>
      <c r="I177" s="411">
        <f t="shared" si="53"/>
        <v>0</v>
      </c>
      <c r="J177" s="411">
        <f t="shared" si="53"/>
        <v>0</v>
      </c>
      <c r="K177" s="411">
        <f t="shared" si="53"/>
        <v>0</v>
      </c>
      <c r="L177" s="411">
        <f t="shared" si="53"/>
        <v>0</v>
      </c>
      <c r="M177" s="411">
        <f t="shared" si="53"/>
        <v>0</v>
      </c>
      <c r="N177" s="411">
        <f t="shared" si="53"/>
        <v>0</v>
      </c>
      <c r="O177" s="416">
        <f t="shared" si="52"/>
        <v>0</v>
      </c>
      <c r="P177" s="558"/>
      <c r="Q177"/>
      <c r="R177"/>
    </row>
    <row r="178" spans="1:19" s="251" customFormat="1" ht="13.5" thickBot="1">
      <c r="A178" s="162" t="str">
        <f>TE!A166</f>
        <v>Salaires directs - actionnaires</v>
      </c>
      <c r="B178" s="676"/>
      <c r="C178" s="250">
        <f>(TE!$C$100*TE!E100)+(TE!$C$101*TE!E101)</f>
        <v>0</v>
      </c>
      <c r="D178" s="250">
        <f>(TE!$C$100*TE!F100)+(TE!$C$101*TE!F101)</f>
        <v>0</v>
      </c>
      <c r="E178" s="250">
        <f>(TE!$C$100*TE!G100)+(TE!$C$101*TE!G101)</f>
        <v>0</v>
      </c>
      <c r="F178" s="250">
        <f>(TE!$C$100*TE!H100)+(TE!$C$101*TE!H101)</f>
        <v>0</v>
      </c>
      <c r="G178" s="250">
        <f>(TE!$C$100*TE!I100)+(TE!$C$101*TE!I101)</f>
        <v>0</v>
      </c>
      <c r="H178" s="250">
        <f>(TE!$C$100*TE!J100)+(TE!$C$101*TE!J101)</f>
        <v>0</v>
      </c>
      <c r="I178" s="250">
        <f>(TE!$C$100*TE!K100)+(TE!$C$101*TE!K101)</f>
        <v>0</v>
      </c>
      <c r="J178" s="250">
        <f>(TE!$C$100*TE!L100)+(TE!$C$101*TE!L101)</f>
        <v>0</v>
      </c>
      <c r="K178" s="250">
        <f>(TE!$C$100*TE!M100)+(TE!$C$101*TE!M101)</f>
        <v>0</v>
      </c>
      <c r="L178" s="250">
        <f>(TE!$C$100*TE!N100)+(TE!$C$101*TE!N101)</f>
        <v>0</v>
      </c>
      <c r="M178" s="250">
        <f>(TE!$C$100*TE!O100)+(TE!$C$101*TE!O101)</f>
        <v>0</v>
      </c>
      <c r="N178" s="250">
        <f>(TE!$C$100*TE!P100)+(TE!$C$101*TE!P101)</f>
        <v>0</v>
      </c>
      <c r="O178" s="250">
        <f t="shared" si="52"/>
        <v>0</v>
      </c>
      <c r="P178"/>
      <c r="Q178"/>
      <c r="R178"/>
    </row>
    <row r="179" spans="1:19" s="251" customFormat="1" ht="13.5" thickBot="1">
      <c r="A179" s="43" t="s">
        <v>230</v>
      </c>
      <c r="B179" s="415">
        <f>'RH5'!P18+'RH5'!R18+'RH5'!U18+'RH5'!V18</f>
        <v>0.12029999999999999</v>
      </c>
      <c r="C179" s="411">
        <f t="shared" ref="C179:N179" si="54">INT($B179*C178)</f>
        <v>0</v>
      </c>
      <c r="D179" s="411">
        <f t="shared" si="54"/>
        <v>0</v>
      </c>
      <c r="E179" s="411">
        <f t="shared" si="54"/>
        <v>0</v>
      </c>
      <c r="F179" s="411">
        <f t="shared" si="54"/>
        <v>0</v>
      </c>
      <c r="G179" s="411">
        <f t="shared" si="54"/>
        <v>0</v>
      </c>
      <c r="H179" s="411">
        <f t="shared" si="54"/>
        <v>0</v>
      </c>
      <c r="I179" s="411">
        <f t="shared" si="54"/>
        <v>0</v>
      </c>
      <c r="J179" s="411">
        <f t="shared" si="54"/>
        <v>0</v>
      </c>
      <c r="K179" s="411">
        <f t="shared" si="54"/>
        <v>0</v>
      </c>
      <c r="L179" s="411">
        <f t="shared" si="54"/>
        <v>0</v>
      </c>
      <c r="M179" s="411">
        <f t="shared" si="54"/>
        <v>0</v>
      </c>
      <c r="N179" s="411">
        <f t="shared" si="54"/>
        <v>0</v>
      </c>
      <c r="O179" s="416">
        <f t="shared" si="52"/>
        <v>0</v>
      </c>
      <c r="P179" s="425">
        <f>O176+O178</f>
        <v>0</v>
      </c>
      <c r="Q179" s="724"/>
      <c r="R179" s="425">
        <f>O177+O179</f>
        <v>0</v>
      </c>
    </row>
    <row r="180" spans="1:19" s="251" customFormat="1" ht="13.5" thickBot="1">
      <c r="A180" s="162" t="str">
        <f>TE!A168</f>
        <v>Salaires administratifs</v>
      </c>
      <c r="B180" s="676"/>
      <c r="C180" s="250">
        <f>(TE!$C$110*TE!E110)+(TE!$C$111*TE!E111)</f>
        <v>3745.2152736000003</v>
      </c>
      <c r="D180" s="250">
        <f>(TE!$C$110*TE!F110)+(TE!$C$111*TE!F111)</f>
        <v>3745.2152736000003</v>
      </c>
      <c r="E180" s="250">
        <f>(TE!$C$110*TE!G110)+(TE!$C$111*TE!G111)</f>
        <v>3745.2152736000003</v>
      </c>
      <c r="F180" s="250">
        <f>(TE!$C$110*TE!H110)+(TE!$C$111*TE!H111)</f>
        <v>3745.2152736000003</v>
      </c>
      <c r="G180" s="250">
        <f>(TE!$C$110*TE!I110)+(TE!$C$111*TE!I111)</f>
        <v>3745.2152736000003</v>
      </c>
      <c r="H180" s="250">
        <f>(TE!$C$110*TE!J110)+(TE!$C$111*TE!J111)</f>
        <v>3745.2152736000003</v>
      </c>
      <c r="I180" s="250">
        <f>(TE!$C$110*TE!K110)+(TE!$C$111*TE!K111)</f>
        <v>3745.2152736000003</v>
      </c>
      <c r="J180" s="250">
        <f>(TE!$C$110*TE!L110)+(TE!$C$111*TE!L111)</f>
        <v>3745.2152736000003</v>
      </c>
      <c r="K180" s="250">
        <f>(TE!$C$110*TE!M110)+(TE!$C$111*TE!M111)</f>
        <v>3745.2152736000003</v>
      </c>
      <c r="L180" s="250">
        <f>(TE!$C$110*TE!N110)+(TE!$C$111*TE!N111)</f>
        <v>3745.2152736000003</v>
      </c>
      <c r="M180" s="250">
        <f>(TE!$C$110*TE!O110)+(TE!$C$111*TE!O111)</f>
        <v>3745.2152736000003</v>
      </c>
      <c r="N180" s="250">
        <f>(TE!$C$110*TE!P110)+(TE!$C$111*TE!P111)</f>
        <v>3745.2152736000003</v>
      </c>
      <c r="O180" s="250">
        <f t="shared" si="52"/>
        <v>44942.583283199994</v>
      </c>
      <c r="Q180"/>
      <c r="S180" s="888">
        <f>S171</f>
        <v>953</v>
      </c>
    </row>
    <row r="181" spans="1:19" s="251" customFormat="1" ht="13.5" thickBot="1">
      <c r="A181" s="43" t="s">
        <v>230</v>
      </c>
      <c r="B181" s="415">
        <f>B177</f>
        <v>0.25969999999999999</v>
      </c>
      <c r="C181" s="411">
        <f t="shared" ref="C181:N181" si="55">INT($B181*C180)</f>
        <v>972</v>
      </c>
      <c r="D181" s="411">
        <f t="shared" si="55"/>
        <v>972</v>
      </c>
      <c r="E181" s="411">
        <f t="shared" si="55"/>
        <v>972</v>
      </c>
      <c r="F181" s="411">
        <f t="shared" si="55"/>
        <v>972</v>
      </c>
      <c r="G181" s="411">
        <f t="shared" si="55"/>
        <v>972</v>
      </c>
      <c r="H181" s="411">
        <f t="shared" si="55"/>
        <v>972</v>
      </c>
      <c r="I181" s="411">
        <f t="shared" si="55"/>
        <v>972</v>
      </c>
      <c r="J181" s="411">
        <f t="shared" si="55"/>
        <v>972</v>
      </c>
      <c r="K181" s="411">
        <f t="shared" si="55"/>
        <v>972</v>
      </c>
      <c r="L181" s="411">
        <f t="shared" si="55"/>
        <v>972</v>
      </c>
      <c r="M181" s="411">
        <f t="shared" si="55"/>
        <v>972</v>
      </c>
      <c r="N181" s="411">
        <f t="shared" si="55"/>
        <v>972</v>
      </c>
      <c r="O181" s="416">
        <f t="shared" si="52"/>
        <v>11664</v>
      </c>
      <c r="Q181"/>
      <c r="S181" s="889">
        <f>R179+R183</f>
        <v>11664</v>
      </c>
    </row>
    <row r="182" spans="1:19" s="251" customFormat="1" ht="13.5" thickBot="1">
      <c r="A182" s="162" t="str">
        <f>TE!A170</f>
        <v>Salaires administratifs - actionnaires</v>
      </c>
      <c r="B182" s="676"/>
      <c r="C182" s="250">
        <f>(TE!$C$108*TE!E108)+(TE!$C$109*TE!E109)</f>
        <v>0</v>
      </c>
      <c r="D182" s="250">
        <f>(TE!$C$108*TE!F108)+(TE!$C$109*TE!F109)</f>
        <v>0</v>
      </c>
      <c r="E182" s="250">
        <f>(TE!$C$108*TE!G108)+(TE!$C$109*TE!G109)</f>
        <v>0</v>
      </c>
      <c r="F182" s="250">
        <f>(TE!$C$108*TE!H108)+(TE!$C$109*TE!H109)</f>
        <v>0</v>
      </c>
      <c r="G182" s="250">
        <f>(TE!$C$108*TE!I108)+(TE!$C$109*TE!I109)</f>
        <v>0</v>
      </c>
      <c r="H182" s="250">
        <f>(TE!$C$108*TE!J108)+(TE!$C$109*TE!J109)</f>
        <v>0</v>
      </c>
      <c r="I182" s="250">
        <f>(TE!$C$108*TE!K108)+(TE!$C$109*TE!K109)</f>
        <v>0</v>
      </c>
      <c r="J182" s="250">
        <f>(TE!$C$108*TE!L108)+(TE!$C$109*TE!L109)</f>
        <v>0</v>
      </c>
      <c r="K182" s="250">
        <f>(TE!$C$108*TE!M108)+(TE!$C$109*TE!M109)</f>
        <v>0</v>
      </c>
      <c r="L182" s="250">
        <f>(TE!$C$108*TE!N108)+(TE!$C$109*TE!N109)</f>
        <v>0</v>
      </c>
      <c r="M182" s="250">
        <f>(TE!$C$108*TE!O108)+(TE!$C$109*TE!O109)</f>
        <v>0</v>
      </c>
      <c r="N182" s="250">
        <f>(TE!$C$108*TE!P108)+(TE!$C$109*TE!P109)</f>
        <v>0</v>
      </c>
      <c r="O182" s="250">
        <f t="shared" si="52"/>
        <v>0</v>
      </c>
      <c r="Q182"/>
      <c r="S182" s="887">
        <f>-'BC5'!O30-'BC5'!O64</f>
        <v>-11645</v>
      </c>
    </row>
    <row r="183" spans="1:19" s="251" customFormat="1" ht="13.5" thickBot="1">
      <c r="A183" s="43" t="s">
        <v>230</v>
      </c>
      <c r="B183" s="415">
        <f>B179</f>
        <v>0.12029999999999999</v>
      </c>
      <c r="C183" s="411">
        <f t="shared" ref="C183:N183" si="56">INT($B183*C182)</f>
        <v>0</v>
      </c>
      <c r="D183" s="411">
        <f t="shared" si="56"/>
        <v>0</v>
      </c>
      <c r="E183" s="411">
        <f t="shared" si="56"/>
        <v>0</v>
      </c>
      <c r="F183" s="411">
        <f t="shared" si="56"/>
        <v>0</v>
      </c>
      <c r="G183" s="411">
        <f t="shared" si="56"/>
        <v>0</v>
      </c>
      <c r="H183" s="411">
        <f t="shared" si="56"/>
        <v>0</v>
      </c>
      <c r="I183" s="411">
        <f t="shared" si="56"/>
        <v>0</v>
      </c>
      <c r="J183" s="411">
        <f t="shared" si="56"/>
        <v>0</v>
      </c>
      <c r="K183" s="411">
        <f t="shared" si="56"/>
        <v>0</v>
      </c>
      <c r="L183" s="411">
        <f t="shared" si="56"/>
        <v>0</v>
      </c>
      <c r="M183" s="411">
        <f t="shared" si="56"/>
        <v>0</v>
      </c>
      <c r="N183" s="411">
        <f t="shared" si="56"/>
        <v>0</v>
      </c>
      <c r="O183" s="416">
        <f t="shared" si="52"/>
        <v>0</v>
      </c>
      <c r="P183" s="425">
        <f>O180+O182</f>
        <v>44942.583283199994</v>
      </c>
      <c r="Q183" s="724"/>
      <c r="R183" s="425">
        <f>O181+O183</f>
        <v>11664</v>
      </c>
      <c r="S183" s="885">
        <f>SUM(S180:S182)</f>
        <v>972</v>
      </c>
    </row>
  </sheetData>
  <sheetProtection password="E242" sheet="1" objects="1" scenarios="1"/>
  <customSheetViews>
    <customSheetView guid="{30D0538C-360A-4CDF-8D89-584CED1967CC}"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1"/>
      <headerFooter alignWithMargins="0"/>
    </customSheetView>
    <customSheetView guid="{4F3169C3-3348-49DE-A6DC-8AA4D2A9D7A1}"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2"/>
      <headerFooter alignWithMargins="0"/>
    </customSheetView>
  </customSheetViews>
  <mergeCells count="8">
    <mergeCell ref="A146:B146"/>
    <mergeCell ref="A128:B128"/>
    <mergeCell ref="A132:B132"/>
    <mergeCell ref="A140:B140"/>
    <mergeCell ref="A144:B144"/>
    <mergeCell ref="A130:B130"/>
    <mergeCell ref="A134:B134"/>
    <mergeCell ref="A142:B142"/>
  </mergeCells>
  <phoneticPr fontId="0" type="noConversion"/>
  <pageMargins left="0.78740157499999996" right="0.78740157499999996" top="0.984251969" bottom="0.984251969" header="0.4921259845" footer="0.4921259845"/>
  <pageSetup scale="24" orientation="portrait" horizontalDpi="300" verticalDpi="300" r:id="rId3"/>
  <headerFooter alignWithMargins="0"/>
  <legacyDrawing r:id="rId4"/>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Feuil8">
    <pageSetUpPr fitToPage="1"/>
  </sheetPr>
  <dimension ref="A1:L150"/>
  <sheetViews>
    <sheetView showGridLines="0" zoomScaleNormal="100" workbookViewId="0">
      <selection activeCell="G26" sqref="G26"/>
    </sheetView>
  </sheetViews>
  <sheetFormatPr baseColWidth="10" defaultColWidth="0" defaultRowHeight="13"/>
  <cols>
    <col min="1" max="1" width="17.08984375" style="43" customWidth="1"/>
    <col min="2" max="2" width="11.81640625" style="43" customWidth="1"/>
    <col min="3" max="3" width="7.08984375" style="43" customWidth="1"/>
    <col min="4" max="4" width="10.453125" style="364" hidden="1" customWidth="1"/>
    <col min="5" max="5" width="19.36328125" style="364" customWidth="1"/>
    <col min="6" max="6" width="2.36328125" style="364" customWidth="1"/>
    <col min="7" max="9" width="11.453125" style="43" customWidth="1"/>
    <col min="10" max="10" width="10.6328125" style="43" customWidth="1"/>
    <col min="11" max="11" width="2.453125" style="43" customWidth="1"/>
    <col min="12" max="16384" width="0" style="43" hidden="1"/>
  </cols>
  <sheetData>
    <row r="1" spans="1:11" customFormat="1" ht="12.5"/>
    <row r="2" spans="1:11" customFormat="1" ht="12.5"/>
    <row r="3" spans="1:11" customFormat="1" ht="12.5"/>
    <row r="4" spans="1:11" customFormat="1" ht="12.5"/>
    <row r="5" spans="1:11" customFormat="1" ht="12.5"/>
    <row r="6" spans="1:11" customFormat="1" ht="12.5"/>
    <row r="7" spans="1:11" customFormat="1" thickBot="1"/>
    <row r="8" spans="1:11">
      <c r="A8" s="1216" t="s">
        <v>161</v>
      </c>
      <c r="B8" s="1217"/>
      <c r="C8" s="1217"/>
      <c r="D8" s="1217"/>
      <c r="E8" s="1217"/>
      <c r="F8" s="1217"/>
      <c r="G8" s="1217"/>
      <c r="H8" s="1217"/>
      <c r="I8" s="1217"/>
      <c r="J8" s="1217"/>
      <c r="K8" s="1218"/>
    </row>
    <row r="9" spans="1:11" ht="13.5" thickBot="1">
      <c r="A9" s="1219"/>
      <c r="B9" s="1123"/>
      <c r="C9" s="1123"/>
      <c r="D9" s="1123"/>
      <c r="E9" s="1123"/>
      <c r="F9" s="1123"/>
      <c r="G9" s="1123"/>
      <c r="H9" s="1123"/>
      <c r="I9" s="1123"/>
      <c r="J9" s="1123"/>
      <c r="K9" s="1220"/>
    </row>
    <row r="10" spans="1:11">
      <c r="A10" s="1102" t="s">
        <v>60</v>
      </c>
      <c r="B10" s="1103"/>
      <c r="C10" s="897">
        <v>2018</v>
      </c>
      <c r="D10" s="1104"/>
      <c r="E10" s="1104"/>
      <c r="F10" s="1102"/>
      <c r="G10" s="1105" t="s">
        <v>164</v>
      </c>
      <c r="H10" s="1103"/>
      <c r="I10" s="1102"/>
      <c r="J10" s="897">
        <v>2018</v>
      </c>
      <c r="K10" s="1105"/>
    </row>
    <row r="11" spans="1:11">
      <c r="A11" s="365" t="s">
        <v>494</v>
      </c>
      <c r="B11" s="1213" t="s">
        <v>495</v>
      </c>
      <c r="C11" s="1213"/>
      <c r="D11" s="366"/>
      <c r="E11" s="364" t="s">
        <v>675</v>
      </c>
      <c r="F11" s="367"/>
      <c r="K11" s="368"/>
    </row>
    <row r="12" spans="1:11">
      <c r="A12" s="369">
        <v>0</v>
      </c>
      <c r="B12" s="1215">
        <v>0</v>
      </c>
      <c r="C12" s="1215"/>
      <c r="D12" s="366"/>
      <c r="E12" s="835">
        <v>0.2853</v>
      </c>
      <c r="F12" s="367"/>
      <c r="G12" s="43" t="s">
        <v>497</v>
      </c>
      <c r="J12" s="1047">
        <v>0.1</v>
      </c>
      <c r="K12" s="368"/>
    </row>
    <row r="13" spans="1:11">
      <c r="A13" s="369">
        <v>8000</v>
      </c>
      <c r="B13" s="1215">
        <v>0</v>
      </c>
      <c r="C13" s="1215"/>
      <c r="D13" s="366">
        <f t="shared" ref="D13:D76" si="0">B13*A13</f>
        <v>0</v>
      </c>
      <c r="E13" s="835">
        <v>0.2853</v>
      </c>
      <c r="F13" s="367"/>
      <c r="G13" s="43" t="s">
        <v>390</v>
      </c>
      <c r="J13" s="1047">
        <v>0.11700000000000001</v>
      </c>
      <c r="K13" s="368"/>
    </row>
    <row r="14" spans="1:11">
      <c r="A14" s="369">
        <f>A13+1000</f>
        <v>9000</v>
      </c>
      <c r="B14" s="1215">
        <v>0</v>
      </c>
      <c r="C14" s="1215"/>
      <c r="D14" s="366">
        <f t="shared" si="0"/>
        <v>0</v>
      </c>
      <c r="E14" s="835">
        <v>0.2853</v>
      </c>
      <c r="F14" s="367"/>
      <c r="K14" s="368"/>
    </row>
    <row r="15" spans="1:11">
      <c r="A15" s="369">
        <f>A14+1000</f>
        <v>10000</v>
      </c>
      <c r="B15" s="1215">
        <v>0</v>
      </c>
      <c r="C15" s="1215"/>
      <c r="D15" s="366">
        <f t="shared" si="0"/>
        <v>0</v>
      </c>
      <c r="E15" s="835">
        <v>0.2853</v>
      </c>
      <c r="F15" s="367"/>
      <c r="G15" s="43" t="s">
        <v>496</v>
      </c>
      <c r="J15" s="332">
        <f>J13+J12</f>
        <v>0.21700000000000003</v>
      </c>
      <c r="K15" s="368"/>
    </row>
    <row r="16" spans="1:11">
      <c r="A16" s="369">
        <f>A15+1500</f>
        <v>11500</v>
      </c>
      <c r="B16" s="1215">
        <f>(D15+3)/A16</f>
        <v>2.6086956521739128E-4</v>
      </c>
      <c r="C16" s="1215"/>
      <c r="D16" s="366">
        <f t="shared" si="0"/>
        <v>2.9999999999999996</v>
      </c>
      <c r="E16" s="835">
        <v>0.2853</v>
      </c>
      <c r="F16" s="367"/>
      <c r="K16" s="368"/>
    </row>
    <row r="17" spans="1:12">
      <c r="A17" s="369">
        <f>A16+3500</f>
        <v>15000</v>
      </c>
      <c r="B17" s="1215">
        <f>((14500-11809)*0.1253+(15000-14890)*0.15)/A17</f>
        <v>2.357882E-2</v>
      </c>
      <c r="C17" s="1215"/>
      <c r="D17" s="366">
        <f t="shared" si="0"/>
        <v>353.6823</v>
      </c>
      <c r="E17" s="835">
        <v>0.2853</v>
      </c>
      <c r="F17" s="367"/>
      <c r="G17" s="763" t="s">
        <v>79</v>
      </c>
      <c r="J17" s="67">
        <v>2018</v>
      </c>
      <c r="K17" s="368"/>
    </row>
    <row r="18" spans="1:12">
      <c r="A18" s="369">
        <f>A17+1000</f>
        <v>16000</v>
      </c>
      <c r="B18" s="1215">
        <f t="shared" ref="B18:B44" si="1">(D17+275)/A18</f>
        <v>3.9292643749999995E-2</v>
      </c>
      <c r="C18" s="1215"/>
      <c r="D18" s="366">
        <f t="shared" si="0"/>
        <v>628.68229999999994</v>
      </c>
      <c r="E18" s="835">
        <v>0.2853</v>
      </c>
      <c r="F18" s="367"/>
      <c r="G18" s="43" t="s">
        <v>134</v>
      </c>
      <c r="J18" s="1046">
        <v>0.05</v>
      </c>
      <c r="K18" s="368"/>
    </row>
    <row r="19" spans="1:12">
      <c r="A19" s="369">
        <f>A18+1000</f>
        <v>17000</v>
      </c>
      <c r="B19" s="1215">
        <f t="shared" si="1"/>
        <v>5.315778235294117E-2</v>
      </c>
      <c r="C19" s="1215"/>
      <c r="D19" s="366">
        <f t="shared" si="0"/>
        <v>903.68229999999994</v>
      </c>
      <c r="E19" s="835">
        <v>0.2853</v>
      </c>
      <c r="F19" s="367"/>
      <c r="G19" s="43" t="s">
        <v>135</v>
      </c>
      <c r="J19" s="1046">
        <v>9.9750000000000005E-2</v>
      </c>
      <c r="K19" s="368"/>
    </row>
    <row r="20" spans="1:12">
      <c r="A20" s="369">
        <f>A19+1000</f>
        <v>18000</v>
      </c>
      <c r="B20" s="1215">
        <f t="shared" si="1"/>
        <v>6.5482349999999995E-2</v>
      </c>
      <c r="C20" s="1215"/>
      <c r="D20" s="366">
        <f t="shared" si="0"/>
        <v>1178.6822999999999</v>
      </c>
      <c r="E20" s="835">
        <v>0.2853</v>
      </c>
      <c r="F20" s="367"/>
      <c r="K20" s="368"/>
    </row>
    <row r="21" spans="1:12">
      <c r="A21" s="369">
        <f t="shared" ref="A21:A77" si="2">A20+1000</f>
        <v>19000</v>
      </c>
      <c r="B21" s="1215">
        <f t="shared" si="1"/>
        <v>7.6509594736842101E-2</v>
      </c>
      <c r="C21" s="1215"/>
      <c r="D21" s="366">
        <f t="shared" si="0"/>
        <v>1453.6822999999999</v>
      </c>
      <c r="E21" s="835">
        <v>0.2853</v>
      </c>
      <c r="F21" s="367"/>
      <c r="G21" s="504" t="s">
        <v>669</v>
      </c>
      <c r="H21" s="503"/>
      <c r="K21" s="368"/>
    </row>
    <row r="22" spans="1:12">
      <c r="A22" s="369">
        <f t="shared" si="2"/>
        <v>20000</v>
      </c>
      <c r="B22" s="1215">
        <f t="shared" si="1"/>
        <v>8.6434114999999992E-2</v>
      </c>
      <c r="C22" s="1215"/>
      <c r="D22" s="366">
        <f t="shared" si="0"/>
        <v>1728.6822999999999</v>
      </c>
      <c r="E22" s="835">
        <v>0.2853</v>
      </c>
      <c r="F22" s="367"/>
      <c r="G22" s="1224"/>
      <c r="H22" s="1224"/>
      <c r="K22" s="368"/>
    </row>
    <row r="23" spans="1:12">
      <c r="A23" s="369">
        <f t="shared" si="2"/>
        <v>21000</v>
      </c>
      <c r="B23" s="1215">
        <f t="shared" si="1"/>
        <v>9.5413442857142858E-2</v>
      </c>
      <c r="C23" s="1215"/>
      <c r="D23" s="366">
        <f t="shared" si="0"/>
        <v>2003.6822999999999</v>
      </c>
      <c r="E23" s="835">
        <v>0.2853</v>
      </c>
      <c r="F23" s="367"/>
      <c r="G23" s="1221" t="str">
        <f>IF(RG!$A$78&lt;5,"Frais de variable 1",IF(RG!$A$78=5,"Transport et mise en marché","Sous-traitance 1"))</f>
        <v>Frais de variable 1</v>
      </c>
      <c r="H23" s="1222"/>
      <c r="K23" s="368"/>
      <c r="L23" s="71">
        <f>IF(G23="Publicité",1,0)</f>
        <v>0</v>
      </c>
    </row>
    <row r="24" spans="1:12">
      <c r="A24" s="369">
        <f t="shared" si="2"/>
        <v>22000</v>
      </c>
      <c r="B24" s="1215">
        <f t="shared" si="1"/>
        <v>0.10357646818181818</v>
      </c>
      <c r="C24" s="1215"/>
      <c r="D24" s="366">
        <f t="shared" si="0"/>
        <v>2278.6822999999999</v>
      </c>
      <c r="E24" s="835">
        <v>0.2853</v>
      </c>
      <c r="F24" s="367"/>
      <c r="G24" s="1223"/>
      <c r="H24" s="1223"/>
      <c r="K24" s="368"/>
      <c r="L24" s="71"/>
    </row>
    <row r="25" spans="1:12">
      <c r="A25" s="369">
        <f t="shared" si="2"/>
        <v>23000</v>
      </c>
      <c r="B25" s="1215">
        <f t="shared" si="1"/>
        <v>0.1110296652173913</v>
      </c>
      <c r="C25" s="1215"/>
      <c r="D25" s="366">
        <f t="shared" si="0"/>
        <v>2553.6822999999999</v>
      </c>
      <c r="E25" s="835">
        <v>0.2853</v>
      </c>
      <c r="F25" s="367"/>
      <c r="G25" s="1221" t="str">
        <f>IF(RG!$A$78&lt;5,"Frais de variable 2",IF(RG!$A$78=5,"Vétérinaires et remèdes","Sous-traitance 2"))</f>
        <v>Frais de variable 2</v>
      </c>
      <c r="H25" s="1222"/>
      <c r="K25" s="368"/>
      <c r="L25" s="71">
        <f>IF(G25="Publicité",1,0)</f>
        <v>0</v>
      </c>
    </row>
    <row r="26" spans="1:12">
      <c r="A26" s="369">
        <f t="shared" si="2"/>
        <v>24000</v>
      </c>
      <c r="B26" s="1215">
        <f t="shared" si="1"/>
        <v>0.11786176249999999</v>
      </c>
      <c r="C26" s="1215"/>
      <c r="D26" s="366">
        <f t="shared" si="0"/>
        <v>2828.6822999999999</v>
      </c>
      <c r="E26" s="835">
        <v>0.2853</v>
      </c>
      <c r="F26" s="367"/>
      <c r="K26" s="368"/>
      <c r="L26" s="71"/>
    </row>
    <row r="27" spans="1:12">
      <c r="A27" s="369">
        <f t="shared" si="2"/>
        <v>25000</v>
      </c>
      <c r="B27" s="1215">
        <f t="shared" si="1"/>
        <v>0.12414729199999999</v>
      </c>
      <c r="C27" s="1215"/>
      <c r="D27" s="366">
        <f t="shared" si="0"/>
        <v>3103.6822999999999</v>
      </c>
      <c r="E27" s="835">
        <v>0.2853</v>
      </c>
      <c r="F27" s="367"/>
      <c r="G27" s="1221" t="str">
        <f>IF(RG!$A$78&lt;5,"Frais de variable 3",IF(RG!$A$78=5,"Insémination et embryon","Sous-traitance 3"))</f>
        <v>Frais de variable 3</v>
      </c>
      <c r="H27" s="1222"/>
      <c r="K27" s="368"/>
      <c r="L27" s="71">
        <f>IF(G27="Publicité",1,0)</f>
        <v>0</v>
      </c>
    </row>
    <row r="28" spans="1:12">
      <c r="A28" s="369">
        <f t="shared" si="2"/>
        <v>26000</v>
      </c>
      <c r="B28" s="1215">
        <f t="shared" si="1"/>
        <v>0.12994931923076922</v>
      </c>
      <c r="C28" s="1215"/>
      <c r="D28" s="366">
        <f t="shared" si="0"/>
        <v>3378.6822999999995</v>
      </c>
      <c r="E28" s="835">
        <v>0.2853</v>
      </c>
      <c r="F28" s="367"/>
      <c r="K28" s="368"/>
      <c r="L28" s="71"/>
    </row>
    <row r="29" spans="1:12">
      <c r="A29" s="369">
        <f t="shared" si="2"/>
        <v>27000</v>
      </c>
      <c r="B29" s="1215">
        <f t="shared" si="1"/>
        <v>0.13532156666666664</v>
      </c>
      <c r="C29" s="1215"/>
      <c r="D29" s="366">
        <f t="shared" si="0"/>
        <v>3653.6822999999995</v>
      </c>
      <c r="E29" s="835">
        <v>0.2853</v>
      </c>
      <c r="F29" s="367"/>
      <c r="G29" s="1221" t="str">
        <f>IF(RG!$A$78&lt;5,"Frais de variable 4",IF(RG!$A$78=5,"Fournitures","Sous-traitance 4"))</f>
        <v>Frais de variable 4</v>
      </c>
      <c r="H29" s="1222"/>
      <c r="K29" s="368"/>
      <c r="L29" s="71">
        <f>IF(G29="Publicité",1,0)</f>
        <v>0</v>
      </c>
    </row>
    <row r="30" spans="1:12">
      <c r="A30" s="369">
        <f t="shared" si="2"/>
        <v>28000</v>
      </c>
      <c r="B30" s="1215">
        <f t="shared" si="1"/>
        <v>0.14031008214285712</v>
      </c>
      <c r="C30" s="1215"/>
      <c r="D30" s="366">
        <f t="shared" si="0"/>
        <v>3928.6822999999995</v>
      </c>
      <c r="E30" s="835">
        <v>0.2853</v>
      </c>
      <c r="F30" s="367"/>
      <c r="K30" s="368"/>
      <c r="L30" s="71"/>
    </row>
    <row r="31" spans="1:12">
      <c r="A31" s="369">
        <f t="shared" si="2"/>
        <v>29000</v>
      </c>
      <c r="B31" s="1215">
        <f t="shared" si="1"/>
        <v>0.14495456206896551</v>
      </c>
      <c r="C31" s="1215"/>
      <c r="D31" s="366">
        <f t="shared" si="0"/>
        <v>4203.6822999999995</v>
      </c>
      <c r="E31" s="835">
        <v>0.2853</v>
      </c>
      <c r="F31" s="367"/>
      <c r="G31" s="1221" t="str">
        <f>IF(RG!$A$78&lt;5,"Frais de variable 5",IF(RG!$A$78=5,"Assurance stabilisation","Sous-traitance 5"))</f>
        <v>Frais de variable 5</v>
      </c>
      <c r="H31" s="1222"/>
      <c r="K31" s="368"/>
      <c r="L31" s="71">
        <f>IF(G31="Publicité",1,0)</f>
        <v>0</v>
      </c>
    </row>
    <row r="32" spans="1:12">
      <c r="A32" s="369">
        <f>A31+1000</f>
        <v>30000</v>
      </c>
      <c r="B32" s="1215">
        <f t="shared" si="1"/>
        <v>0.14928940999999998</v>
      </c>
      <c r="C32" s="1215"/>
      <c r="D32" s="366">
        <f t="shared" si="0"/>
        <v>4478.6822999999995</v>
      </c>
      <c r="E32" s="835">
        <v>0.2853</v>
      </c>
      <c r="F32" s="367"/>
      <c r="K32" s="368"/>
      <c r="L32" s="71"/>
    </row>
    <row r="33" spans="1:12">
      <c r="A33" s="369">
        <f t="shared" si="2"/>
        <v>31000</v>
      </c>
      <c r="B33" s="1215">
        <f t="shared" si="1"/>
        <v>0.15334459032258063</v>
      </c>
      <c r="C33" s="1215"/>
      <c r="D33" s="366">
        <f t="shared" si="0"/>
        <v>4753.6822999999995</v>
      </c>
      <c r="E33" s="835">
        <v>0.2853</v>
      </c>
      <c r="F33" s="367"/>
      <c r="G33" s="1221" t="str">
        <f>IF(RG!$A$78&lt;5,"Frais de variable 6",IF(RG!$A$78=5,"Fertilisants et herbicides","Sous-traitance 6"))</f>
        <v>Frais de variable 6</v>
      </c>
      <c r="H33" s="1222"/>
      <c r="K33" s="368"/>
      <c r="L33" s="71">
        <f>IF(G33="Publicité",1,0)</f>
        <v>0</v>
      </c>
    </row>
    <row r="34" spans="1:12">
      <c r="A34" s="369">
        <f t="shared" si="2"/>
        <v>32000</v>
      </c>
      <c r="B34" s="1215">
        <f t="shared" si="1"/>
        <v>0.15714632187499999</v>
      </c>
      <c r="C34" s="1215"/>
      <c r="D34" s="366">
        <f t="shared" si="0"/>
        <v>5028.6822999999995</v>
      </c>
      <c r="E34" s="835">
        <v>0.2853</v>
      </c>
      <c r="F34" s="367"/>
      <c r="K34" s="368"/>
    </row>
    <row r="35" spans="1:12">
      <c r="A35" s="369">
        <f t="shared" si="2"/>
        <v>33000</v>
      </c>
      <c r="B35" s="1215">
        <f t="shared" si="1"/>
        <v>0.16071764545454545</v>
      </c>
      <c r="C35" s="1215"/>
      <c r="D35" s="366">
        <f t="shared" si="0"/>
        <v>5303.6822999999995</v>
      </c>
      <c r="E35" s="835">
        <v>0.2853</v>
      </c>
      <c r="F35" s="367"/>
      <c r="G35" s="1214"/>
      <c r="H35" s="1214"/>
      <c r="K35" s="368"/>
      <c r="L35" s="71">
        <f>SUM(L23:L33)</f>
        <v>0</v>
      </c>
    </row>
    <row r="36" spans="1:12">
      <c r="A36" s="369">
        <f t="shared" si="2"/>
        <v>34000</v>
      </c>
      <c r="B36" s="1215">
        <f t="shared" si="1"/>
        <v>0.16407889117647056</v>
      </c>
      <c r="C36" s="1215"/>
      <c r="D36" s="366">
        <f t="shared" si="0"/>
        <v>5578.6822999999995</v>
      </c>
      <c r="E36" s="835">
        <v>0.2853</v>
      </c>
      <c r="F36" s="367"/>
      <c r="G36" s="1212"/>
      <c r="H36" s="1212"/>
      <c r="K36" s="368"/>
    </row>
    <row r="37" spans="1:12">
      <c r="A37" s="369">
        <f t="shared" si="2"/>
        <v>35000</v>
      </c>
      <c r="B37" s="1215">
        <f t="shared" si="1"/>
        <v>0.16724806571428569</v>
      </c>
      <c r="C37" s="1215"/>
      <c r="D37" s="366">
        <f t="shared" si="0"/>
        <v>5853.6822999999995</v>
      </c>
      <c r="E37" s="835">
        <v>0.2853</v>
      </c>
      <c r="F37" s="367"/>
      <c r="G37" s="1213"/>
      <c r="H37" s="1213"/>
      <c r="K37" s="368"/>
    </row>
    <row r="38" spans="1:12">
      <c r="A38" s="369">
        <f t="shared" si="2"/>
        <v>36000</v>
      </c>
      <c r="B38" s="1215">
        <f t="shared" si="1"/>
        <v>0.17024117499999999</v>
      </c>
      <c r="C38" s="1215"/>
      <c r="D38" s="366">
        <f t="shared" si="0"/>
        <v>6128.6822999999995</v>
      </c>
      <c r="E38" s="835">
        <v>0.2853</v>
      </c>
      <c r="F38" s="367"/>
      <c r="G38" s="1212"/>
      <c r="H38" s="1212"/>
      <c r="K38" s="368"/>
    </row>
    <row r="39" spans="1:12">
      <c r="A39" s="369">
        <f t="shared" si="2"/>
        <v>37000</v>
      </c>
      <c r="B39" s="1215">
        <f t="shared" si="1"/>
        <v>0.17307249459459459</v>
      </c>
      <c r="C39" s="1215"/>
      <c r="D39" s="366">
        <f t="shared" si="0"/>
        <v>6403.6822999999995</v>
      </c>
      <c r="E39" s="835">
        <v>0.2853</v>
      </c>
      <c r="F39" s="367"/>
      <c r="K39" s="368"/>
    </row>
    <row r="40" spans="1:12">
      <c r="A40" s="369">
        <f t="shared" si="2"/>
        <v>38000</v>
      </c>
      <c r="B40" s="1215">
        <f t="shared" si="1"/>
        <v>0.17575479736842103</v>
      </c>
      <c r="C40" s="1215"/>
      <c r="D40" s="366">
        <f t="shared" si="0"/>
        <v>6678.6822999999995</v>
      </c>
      <c r="E40" s="835">
        <v>0.2853</v>
      </c>
      <c r="F40" s="367"/>
      <c r="G40" s="1212"/>
      <c r="H40" s="1212"/>
      <c r="K40" s="368"/>
    </row>
    <row r="41" spans="1:12">
      <c r="A41" s="369">
        <f t="shared" si="2"/>
        <v>39000</v>
      </c>
      <c r="B41" s="1215">
        <f t="shared" si="1"/>
        <v>0.17829954615384613</v>
      </c>
      <c r="C41" s="1215"/>
      <c r="D41" s="366">
        <f t="shared" si="0"/>
        <v>6953.6822999999995</v>
      </c>
      <c r="E41" s="835">
        <v>0.2853</v>
      </c>
      <c r="F41" s="367"/>
      <c r="K41" s="368"/>
    </row>
    <row r="42" spans="1:12">
      <c r="A42" s="369">
        <f t="shared" si="2"/>
        <v>40000</v>
      </c>
      <c r="B42" s="1215">
        <f t="shared" si="1"/>
        <v>0.1807170575</v>
      </c>
      <c r="C42" s="1215"/>
      <c r="D42" s="366">
        <f t="shared" si="0"/>
        <v>7228.6823000000004</v>
      </c>
      <c r="E42" s="835">
        <v>0.2853</v>
      </c>
      <c r="F42" s="367"/>
      <c r="G42" s="1212"/>
      <c r="H42" s="1212"/>
      <c r="K42" s="368"/>
    </row>
    <row r="43" spans="1:12">
      <c r="A43" s="369">
        <f t="shared" si="2"/>
        <v>41000</v>
      </c>
      <c r="B43" s="1215">
        <f t="shared" si="1"/>
        <v>0.18301664146341465</v>
      </c>
      <c r="C43" s="1215"/>
      <c r="D43" s="366">
        <f t="shared" si="0"/>
        <v>7503.6823000000004</v>
      </c>
      <c r="E43" s="835">
        <v>0.2853</v>
      </c>
      <c r="F43" s="367"/>
      <c r="K43" s="368"/>
    </row>
    <row r="44" spans="1:12">
      <c r="A44" s="369">
        <f t="shared" si="2"/>
        <v>42000</v>
      </c>
      <c r="B44" s="1215">
        <f t="shared" si="1"/>
        <v>0.18520672142857145</v>
      </c>
      <c r="C44" s="1215"/>
      <c r="D44" s="366">
        <f t="shared" si="0"/>
        <v>7778.6823000000004</v>
      </c>
      <c r="E44" s="835">
        <v>0.2853</v>
      </c>
      <c r="F44" s="367"/>
      <c r="G44" s="1212"/>
      <c r="H44" s="1212"/>
      <c r="K44" s="368"/>
    </row>
    <row r="45" spans="1:12">
      <c r="A45" s="369">
        <f>A44+1055</f>
        <v>43055</v>
      </c>
      <c r="B45" s="1215">
        <f>(D44+(1055*0.275))/A45</f>
        <v>0.18740697479967483</v>
      </c>
      <c r="C45" s="1215"/>
      <c r="D45" s="366">
        <f t="shared" si="0"/>
        <v>8068.8072999999995</v>
      </c>
      <c r="E45" s="835">
        <v>0.32529999999999998</v>
      </c>
      <c r="F45" s="367"/>
      <c r="K45" s="368"/>
    </row>
    <row r="46" spans="1:12">
      <c r="A46" s="369">
        <f>A45+3212</f>
        <v>46267</v>
      </c>
      <c r="B46" s="1215">
        <f>(D45+(3211*0.3712))/A46</f>
        <v>0.20015843906023731</v>
      </c>
      <c r="C46" s="1215"/>
      <c r="D46" s="366">
        <f t="shared" si="0"/>
        <v>9260.7304999999997</v>
      </c>
      <c r="E46" s="835">
        <v>0.37119999999999997</v>
      </c>
      <c r="F46" s="367"/>
      <c r="G46" s="1212"/>
      <c r="H46" s="1212"/>
      <c r="K46" s="368"/>
    </row>
    <row r="47" spans="1:12">
      <c r="A47" s="369">
        <f>A46+1084</f>
        <v>47351</v>
      </c>
      <c r="B47" s="1215">
        <f>(D46+(1084*0.3712))/A47</f>
        <v>0.20407407024138879</v>
      </c>
      <c r="C47" s="1215"/>
      <c r="D47" s="366">
        <f t="shared" si="0"/>
        <v>9663.1113000000005</v>
      </c>
      <c r="E47" s="835">
        <v>0.37119999999999997</v>
      </c>
      <c r="F47" s="367"/>
      <c r="K47" s="368"/>
    </row>
    <row r="48" spans="1:12">
      <c r="A48" s="369">
        <f>A47+1000</f>
        <v>48351</v>
      </c>
      <c r="B48" s="1215">
        <f>(D47+371)/A48</f>
        <v>0.20752644826373809</v>
      </c>
      <c r="C48" s="1215"/>
      <c r="D48" s="366">
        <f t="shared" si="0"/>
        <v>10034.1113</v>
      </c>
      <c r="E48" s="835">
        <v>0.37119999999999997</v>
      </c>
      <c r="F48" s="367"/>
      <c r="G48" s="1214"/>
      <c r="H48" s="1214"/>
      <c r="K48" s="368"/>
    </row>
    <row r="49" spans="1:11">
      <c r="A49" s="369">
        <f t="shared" si="2"/>
        <v>49351</v>
      </c>
      <c r="B49" s="1215">
        <f t="shared" ref="B49:B81" si="3">(D48+371)/A49</f>
        <v>0.21083891511823469</v>
      </c>
      <c r="C49" s="1215"/>
      <c r="D49" s="366">
        <f t="shared" si="0"/>
        <v>10405.1113</v>
      </c>
      <c r="E49" s="835">
        <v>0.37119999999999997</v>
      </c>
      <c r="F49" s="367"/>
      <c r="G49" s="1212"/>
      <c r="H49" s="1212"/>
      <c r="K49" s="368"/>
    </row>
    <row r="50" spans="1:11">
      <c r="A50" s="369">
        <f t="shared" si="2"/>
        <v>50351</v>
      </c>
      <c r="B50" s="1215">
        <f t="shared" si="3"/>
        <v>0.2140198069551747</v>
      </c>
      <c r="C50" s="1215"/>
      <c r="D50" s="366">
        <f t="shared" si="0"/>
        <v>10776.1113</v>
      </c>
      <c r="E50" s="835">
        <v>0.37119999999999997</v>
      </c>
      <c r="F50" s="367"/>
      <c r="G50" s="1213"/>
      <c r="H50" s="1213"/>
      <c r="K50" s="368"/>
    </row>
    <row r="51" spans="1:11">
      <c r="A51" s="369">
        <f t="shared" si="2"/>
        <v>51351</v>
      </c>
      <c r="B51" s="1215">
        <f t="shared" si="3"/>
        <v>0.21707681057817765</v>
      </c>
      <c r="C51" s="1215"/>
      <c r="D51" s="366">
        <f t="shared" si="0"/>
        <v>11147.1113</v>
      </c>
      <c r="E51" s="835">
        <v>0.37119999999999997</v>
      </c>
      <c r="F51" s="367"/>
      <c r="G51" s="1212"/>
      <c r="H51" s="1212"/>
      <c r="K51" s="368"/>
    </row>
    <row r="52" spans="1:11">
      <c r="A52" s="369">
        <f t="shared" si="2"/>
        <v>52351</v>
      </c>
      <c r="B52" s="1215">
        <f t="shared" si="3"/>
        <v>0.22001702546274188</v>
      </c>
      <c r="C52" s="1215"/>
      <c r="D52" s="366">
        <f t="shared" si="0"/>
        <v>11518.1113</v>
      </c>
      <c r="E52" s="835">
        <v>0.37119999999999997</v>
      </c>
      <c r="F52" s="367"/>
      <c r="K52" s="368"/>
    </row>
    <row r="53" spans="1:11">
      <c r="A53" s="369">
        <f t="shared" si="2"/>
        <v>53351</v>
      </c>
      <c r="B53" s="1215">
        <f t="shared" si="3"/>
        <v>0.2228470188000225</v>
      </c>
      <c r="C53" s="1215"/>
      <c r="D53" s="366">
        <f t="shared" si="0"/>
        <v>11889.1113</v>
      </c>
      <c r="E53" s="835">
        <v>0.37119999999999997</v>
      </c>
      <c r="F53" s="367"/>
      <c r="G53" s="1212"/>
      <c r="H53" s="1212"/>
      <c r="K53" s="368"/>
    </row>
    <row r="54" spans="1:11">
      <c r="A54" s="369">
        <f t="shared" si="2"/>
        <v>54351</v>
      </c>
      <c r="B54" s="1215">
        <f t="shared" si="3"/>
        <v>0.2255728744641313</v>
      </c>
      <c r="C54" s="1215"/>
      <c r="D54" s="366">
        <f t="shared" si="0"/>
        <v>12260.1113</v>
      </c>
      <c r="E54" s="835">
        <v>0.37119999999999997</v>
      </c>
      <c r="F54" s="367"/>
      <c r="K54" s="368"/>
    </row>
    <row r="55" spans="1:11">
      <c r="A55" s="369">
        <f t="shared" si="2"/>
        <v>55351</v>
      </c>
      <c r="B55" s="1215">
        <f t="shared" si="3"/>
        <v>0.22820023667142419</v>
      </c>
      <c r="C55" s="1215"/>
      <c r="D55" s="366">
        <f t="shared" si="0"/>
        <v>12631.1113</v>
      </c>
      <c r="E55" s="835">
        <v>0.37119999999999997</v>
      </c>
      <c r="F55" s="367"/>
      <c r="G55" s="1212"/>
      <c r="H55" s="1212"/>
      <c r="K55" s="368"/>
    </row>
    <row r="56" spans="1:11">
      <c r="A56" s="369">
        <f t="shared" si="2"/>
        <v>56351</v>
      </c>
      <c r="B56" s="1215">
        <f t="shared" si="3"/>
        <v>0.23073434899114481</v>
      </c>
      <c r="C56" s="1215"/>
      <c r="D56" s="366">
        <f t="shared" si="0"/>
        <v>13002.1113</v>
      </c>
      <c r="E56" s="835">
        <v>0.37119999999999997</v>
      </c>
      <c r="F56" s="367"/>
      <c r="K56" s="368"/>
    </row>
    <row r="57" spans="1:11">
      <c r="A57" s="369">
        <f t="shared" si="2"/>
        <v>57351</v>
      </c>
      <c r="B57" s="1215">
        <f t="shared" si="3"/>
        <v>0.23318008927481648</v>
      </c>
      <c r="C57" s="1215"/>
      <c r="D57" s="366">
        <f t="shared" si="0"/>
        <v>13373.1113</v>
      </c>
      <c r="E57" s="835">
        <v>0.37119999999999997</v>
      </c>
      <c r="F57" s="367"/>
      <c r="G57" s="1212"/>
      <c r="H57" s="1212"/>
      <c r="K57" s="368"/>
    </row>
    <row r="58" spans="1:11">
      <c r="A58" s="369">
        <f t="shared" si="2"/>
        <v>58351</v>
      </c>
      <c r="B58" s="1215">
        <f t="shared" si="3"/>
        <v>0.23554200099398467</v>
      </c>
      <c r="C58" s="1215"/>
      <c r="D58" s="366">
        <f t="shared" si="0"/>
        <v>13744.1113</v>
      </c>
      <c r="E58" s="835">
        <v>0.37119999999999997</v>
      </c>
      <c r="F58" s="367"/>
      <c r="K58" s="368"/>
    </row>
    <row r="59" spans="1:11">
      <c r="A59" s="369">
        <f t="shared" si="2"/>
        <v>59351</v>
      </c>
      <c r="B59" s="1215">
        <f t="shared" si="3"/>
        <v>0.23782432140991727</v>
      </c>
      <c r="C59" s="1215"/>
      <c r="D59" s="366">
        <f t="shared" si="0"/>
        <v>14115.1113</v>
      </c>
      <c r="E59" s="835">
        <v>0.37119999999999997</v>
      </c>
      <c r="F59" s="367"/>
      <c r="G59" s="1212"/>
      <c r="H59" s="1212"/>
      <c r="K59" s="368"/>
    </row>
    <row r="60" spans="1:11">
      <c r="A60" s="369">
        <f t="shared" si="2"/>
        <v>60351</v>
      </c>
      <c r="B60" s="1215">
        <f t="shared" si="3"/>
        <v>0.24003100694271845</v>
      </c>
      <c r="C60" s="1215"/>
      <c r="D60" s="366">
        <f t="shared" si="0"/>
        <v>14486.1113</v>
      </c>
      <c r="E60" s="835">
        <v>0.37119999999999997</v>
      </c>
      <c r="F60" s="367"/>
      <c r="K60" s="368"/>
    </row>
    <row r="61" spans="1:11">
      <c r="A61" s="369">
        <f t="shared" si="2"/>
        <v>61351</v>
      </c>
      <c r="B61" s="1215">
        <f t="shared" si="3"/>
        <v>0.24216575605939594</v>
      </c>
      <c r="C61" s="1215"/>
      <c r="D61" s="366">
        <f t="shared" si="0"/>
        <v>14857.1113</v>
      </c>
      <c r="E61" s="835">
        <v>0.37119999999999997</v>
      </c>
      <c r="F61" s="367"/>
      <c r="K61" s="368"/>
    </row>
    <row r="62" spans="1:11">
      <c r="A62" s="369">
        <f t="shared" si="2"/>
        <v>62351</v>
      </c>
      <c r="B62" s="1215">
        <f t="shared" si="3"/>
        <v>0.24423202995942328</v>
      </c>
      <c r="C62" s="1215"/>
      <c r="D62" s="366">
        <f t="shared" si="0"/>
        <v>15228.1113</v>
      </c>
      <c r="E62" s="835">
        <v>0.37119999999999997</v>
      </c>
      <c r="F62" s="367"/>
      <c r="K62" s="368"/>
    </row>
    <row r="63" spans="1:11">
      <c r="A63" s="369">
        <f t="shared" si="2"/>
        <v>63351</v>
      </c>
      <c r="B63" s="1215">
        <f t="shared" si="3"/>
        <v>0.24623307130116337</v>
      </c>
      <c r="C63" s="1215"/>
      <c r="D63" s="366">
        <f t="shared" si="0"/>
        <v>15599.1113</v>
      </c>
      <c r="E63" s="835">
        <v>0.37119999999999997</v>
      </c>
      <c r="F63" s="367"/>
      <c r="K63" s="368"/>
    </row>
    <row r="64" spans="1:11">
      <c r="A64" s="369">
        <f t="shared" si="2"/>
        <v>64351</v>
      </c>
      <c r="B64" s="1215">
        <f t="shared" si="3"/>
        <v>0.24817192118226603</v>
      </c>
      <c r="C64" s="1215"/>
      <c r="D64" s="366">
        <f t="shared" si="0"/>
        <v>15970.1113</v>
      </c>
      <c r="E64" s="835">
        <v>0.37119999999999997</v>
      </c>
      <c r="F64" s="367"/>
      <c r="K64" s="368"/>
    </row>
    <row r="65" spans="1:11">
      <c r="A65" s="369">
        <f t="shared" si="2"/>
        <v>65351</v>
      </c>
      <c r="B65" s="1215">
        <f t="shared" si="3"/>
        <v>0.2500514345610626</v>
      </c>
      <c r="C65" s="1215"/>
      <c r="D65" s="366">
        <f t="shared" si="0"/>
        <v>16341.111300000002</v>
      </c>
      <c r="E65" s="835">
        <v>0.37119999999999997</v>
      </c>
      <c r="F65" s="367"/>
      <c r="K65" s="368"/>
    </row>
    <row r="66" spans="1:11">
      <c r="A66" s="369">
        <f t="shared" si="2"/>
        <v>66351</v>
      </c>
      <c r="B66" s="1215">
        <f t="shared" si="3"/>
        <v>0.25187429428343211</v>
      </c>
      <c r="C66" s="1215"/>
      <c r="D66" s="366">
        <f t="shared" si="0"/>
        <v>16712.111300000004</v>
      </c>
      <c r="E66" s="835">
        <v>0.37119999999999997</v>
      </c>
      <c r="F66" s="367"/>
      <c r="K66" s="368"/>
    </row>
    <row r="67" spans="1:11">
      <c r="A67" s="369">
        <f t="shared" si="2"/>
        <v>67351</v>
      </c>
      <c r="B67" s="1215">
        <f t="shared" si="3"/>
        <v>0.25364302386007637</v>
      </c>
      <c r="C67" s="1215"/>
      <c r="D67" s="366">
        <f t="shared" si="0"/>
        <v>17083.111300000004</v>
      </c>
      <c r="E67" s="835">
        <v>0.37119999999999997</v>
      </c>
      <c r="F67" s="367"/>
      <c r="K67" s="368"/>
    </row>
    <row r="68" spans="1:11">
      <c r="A68" s="369">
        <f t="shared" si="2"/>
        <v>68351</v>
      </c>
      <c r="B68" s="1215">
        <f t="shared" si="3"/>
        <v>0.25535999912217822</v>
      </c>
      <c r="C68" s="1215"/>
      <c r="D68" s="366">
        <f t="shared" si="0"/>
        <v>17454.111300000004</v>
      </c>
      <c r="E68" s="835">
        <v>0.37119999999999997</v>
      </c>
      <c r="F68" s="367"/>
      <c r="K68" s="368"/>
    </row>
    <row r="69" spans="1:11">
      <c r="A69" s="369">
        <f t="shared" si="2"/>
        <v>69351</v>
      </c>
      <c r="B69" s="1215">
        <f t="shared" si="3"/>
        <v>0.25702745886865375</v>
      </c>
      <c r="C69" s="1215"/>
      <c r="D69" s="366">
        <f t="shared" si="0"/>
        <v>17825.111300000008</v>
      </c>
      <c r="E69" s="835">
        <v>0.37119999999999997</v>
      </c>
      <c r="F69" s="367"/>
      <c r="K69" s="368"/>
    </row>
    <row r="70" spans="1:11">
      <c r="A70" s="369">
        <f t="shared" si="2"/>
        <v>70351</v>
      </c>
      <c r="B70" s="1215">
        <f t="shared" si="3"/>
        <v>0.25864751460533619</v>
      </c>
      <c r="C70" s="1215"/>
      <c r="D70" s="366">
        <f t="shared" si="0"/>
        <v>18196.111300000008</v>
      </c>
      <c r="E70" s="835">
        <v>0.37119999999999997</v>
      </c>
      <c r="F70" s="367"/>
      <c r="K70" s="368"/>
    </row>
    <row r="71" spans="1:11">
      <c r="A71" s="369">
        <f t="shared" si="2"/>
        <v>71351</v>
      </c>
      <c r="B71" s="1215">
        <f t="shared" si="3"/>
        <v>0.26022215946517929</v>
      </c>
      <c r="C71" s="1215"/>
      <c r="D71" s="366">
        <f t="shared" si="0"/>
        <v>18567.111300000008</v>
      </c>
      <c r="E71" s="835">
        <v>0.37119999999999997</v>
      </c>
      <c r="F71" s="367"/>
      <c r="K71" s="368"/>
    </row>
    <row r="72" spans="1:11">
      <c r="A72" s="369">
        <f t="shared" si="2"/>
        <v>72351</v>
      </c>
      <c r="B72" s="1215">
        <f t="shared" si="3"/>
        <v>0.26175327638871621</v>
      </c>
      <c r="C72" s="1215"/>
      <c r="D72" s="366">
        <f t="shared" si="0"/>
        <v>18938.111300000008</v>
      </c>
      <c r="E72" s="835">
        <v>0.37119999999999997</v>
      </c>
      <c r="F72" s="367"/>
      <c r="K72" s="368"/>
    </row>
    <row r="73" spans="1:11">
      <c r="A73" s="369">
        <f t="shared" si="2"/>
        <v>73351</v>
      </c>
      <c r="B73" s="1215">
        <f t="shared" si="3"/>
        <v>0.26324264563536975</v>
      </c>
      <c r="C73" s="1215"/>
      <c r="D73" s="366">
        <f t="shared" si="0"/>
        <v>19309.111300000008</v>
      </c>
      <c r="E73" s="835">
        <v>0.37119999999999997</v>
      </c>
      <c r="F73" s="367"/>
      <c r="K73" s="368"/>
    </row>
    <row r="74" spans="1:11">
      <c r="A74" s="369">
        <f t="shared" si="2"/>
        <v>74351</v>
      </c>
      <c r="B74" s="1215">
        <f t="shared" si="3"/>
        <v>0.2646919516886122</v>
      </c>
      <c r="C74" s="1215"/>
      <c r="D74" s="366">
        <f t="shared" si="0"/>
        <v>19680.111300000008</v>
      </c>
      <c r="E74" s="835">
        <v>0.37119999999999997</v>
      </c>
      <c r="F74" s="367"/>
      <c r="K74" s="368"/>
    </row>
    <row r="75" spans="1:11">
      <c r="A75" s="369">
        <f t="shared" si="2"/>
        <v>75351</v>
      </c>
      <c r="B75" s="1215">
        <f t="shared" si="3"/>
        <v>0.26610278961128597</v>
      </c>
      <c r="C75" s="1215"/>
      <c r="D75" s="366">
        <f t="shared" si="0"/>
        <v>20051.111300000008</v>
      </c>
      <c r="E75" s="835">
        <v>0.37119999999999997</v>
      </c>
      <c r="F75" s="367"/>
      <c r="K75" s="368"/>
    </row>
    <row r="76" spans="1:11">
      <c r="A76" s="369">
        <f t="shared" si="2"/>
        <v>76351</v>
      </c>
      <c r="B76" s="1215">
        <f t="shared" si="3"/>
        <v>0.26747667090149452</v>
      </c>
      <c r="C76" s="1215"/>
      <c r="D76" s="366">
        <f t="shared" si="0"/>
        <v>20422.111300000008</v>
      </c>
      <c r="E76" s="835">
        <v>0.37119999999999997</v>
      </c>
      <c r="F76" s="367"/>
      <c r="K76" s="368"/>
    </row>
    <row r="77" spans="1:11">
      <c r="A77" s="369">
        <f t="shared" si="2"/>
        <v>77351</v>
      </c>
      <c r="B77" s="1215">
        <f t="shared" si="3"/>
        <v>0.26881502889426134</v>
      </c>
      <c r="C77" s="1215"/>
      <c r="D77" s="366">
        <f t="shared" ref="D77:D111" si="4">B77*A77</f>
        <v>20793.111300000008</v>
      </c>
      <c r="E77" s="835">
        <v>0.37119999999999997</v>
      </c>
      <c r="F77" s="367"/>
      <c r="K77" s="368"/>
    </row>
    <row r="78" spans="1:11">
      <c r="A78" s="369">
        <f>A77+1000</f>
        <v>78351</v>
      </c>
      <c r="B78" s="1215">
        <f t="shared" si="3"/>
        <v>0.27011922374953745</v>
      </c>
      <c r="C78" s="1215"/>
      <c r="D78" s="366">
        <f t="shared" si="4"/>
        <v>21164.111300000008</v>
      </c>
      <c r="E78" s="835">
        <v>0.37119999999999997</v>
      </c>
      <c r="F78" s="367"/>
      <c r="K78" s="368"/>
    </row>
    <row r="79" spans="1:11">
      <c r="A79" s="369">
        <f>A78+1000</f>
        <v>79351</v>
      </c>
      <c r="B79" s="1215">
        <f t="shared" si="3"/>
        <v>0.2713905470630491</v>
      </c>
      <c r="C79" s="1215"/>
      <c r="D79" s="366">
        <f t="shared" si="4"/>
        <v>21535.111300000008</v>
      </c>
      <c r="E79" s="835">
        <v>0.37119999999999997</v>
      </c>
      <c r="F79" s="367"/>
      <c r="K79" s="368"/>
    </row>
    <row r="80" spans="1:11">
      <c r="A80" s="369">
        <f>A79+1000</f>
        <v>80351</v>
      </c>
      <c r="B80" s="1215">
        <f t="shared" si="3"/>
        <v>0.27263022613284227</v>
      </c>
      <c r="C80" s="1215"/>
      <c r="D80" s="366">
        <f t="shared" si="4"/>
        <v>21906.111300000008</v>
      </c>
      <c r="E80" s="835">
        <v>0.37119999999999997</v>
      </c>
      <c r="F80" s="367"/>
      <c r="K80" s="368"/>
    </row>
    <row r="81" spans="1:11">
      <c r="A81" s="369">
        <f>A80+1000</f>
        <v>81351</v>
      </c>
      <c r="B81" s="1215">
        <f t="shared" si="3"/>
        <v>0.27383942791115057</v>
      </c>
      <c r="C81" s="1215"/>
      <c r="D81" s="366">
        <f t="shared" si="4"/>
        <v>22277.111300000011</v>
      </c>
      <c r="E81" s="835">
        <v>0.37119999999999997</v>
      </c>
      <c r="F81" s="367"/>
      <c r="K81" s="368"/>
    </row>
    <row r="82" spans="1:11">
      <c r="A82" s="369">
        <f>A81+4754</f>
        <v>86105</v>
      </c>
      <c r="B82" s="1215">
        <f>(D81+(4754*0.3712))/A82</f>
        <v>0.27921486673247792</v>
      </c>
      <c r="C82" s="1215"/>
      <c r="D82" s="366">
        <f t="shared" si="4"/>
        <v>24041.79610000001</v>
      </c>
      <c r="E82" s="835">
        <v>0.41120000000000001</v>
      </c>
      <c r="F82" s="367"/>
      <c r="K82" s="368"/>
    </row>
    <row r="83" spans="1:11">
      <c r="A83" s="369">
        <f>A82+5783+643</f>
        <v>92531</v>
      </c>
      <c r="B83" s="1215">
        <f>(D82+(6426*0.4112))/A83</f>
        <v>0.28838083777328694</v>
      </c>
      <c r="C83" s="1215"/>
      <c r="D83" s="366">
        <f t="shared" si="4"/>
        <v>26684.167300000012</v>
      </c>
      <c r="E83" s="835">
        <v>0.41120000000000001</v>
      </c>
      <c r="F83" s="367"/>
      <c r="K83" s="368"/>
    </row>
    <row r="84" spans="1:11">
      <c r="A84" s="369">
        <f>A83+677</f>
        <v>93208</v>
      </c>
      <c r="B84" s="1215">
        <f>(D83+(677*0.4571))/A84</f>
        <v>0.28960629988842174</v>
      </c>
      <c r="C84" s="1215"/>
      <c r="D84" s="366">
        <f t="shared" si="4"/>
        <v>26993.624000000014</v>
      </c>
      <c r="E84" s="835">
        <v>0.45710000000000001</v>
      </c>
      <c r="F84" s="367"/>
      <c r="K84" s="368"/>
    </row>
    <row r="85" spans="1:11">
      <c r="A85" s="369">
        <f>A84+4000</f>
        <v>97208</v>
      </c>
      <c r="B85" s="1215">
        <f>(D84+(4000*0.4571))/A85</f>
        <v>0.29649847749156466</v>
      </c>
      <c r="C85" s="1215"/>
      <c r="D85" s="366">
        <f t="shared" si="4"/>
        <v>28822.024000000016</v>
      </c>
      <c r="E85" s="835">
        <v>0.45710000000000001</v>
      </c>
      <c r="F85" s="367"/>
      <c r="K85" s="368"/>
    </row>
    <row r="86" spans="1:11">
      <c r="A86" s="369">
        <f>A85+5000</f>
        <v>102208</v>
      </c>
      <c r="B86" s="1215">
        <f>(D85+(5*457))/A86</f>
        <v>0.30435018785222306</v>
      </c>
      <c r="C86" s="1215"/>
      <c r="D86" s="366">
        <f t="shared" si="4"/>
        <v>31107.024000000016</v>
      </c>
      <c r="E86" s="835">
        <v>0.45710000000000001</v>
      </c>
      <c r="F86" s="367"/>
      <c r="K86" s="368"/>
    </row>
    <row r="87" spans="1:11">
      <c r="A87" s="369">
        <f>A86+1914</f>
        <v>104122</v>
      </c>
      <c r="B87" s="1215">
        <f>(D86+(1914*0.4571))/A87</f>
        <v>0.30715807802385681</v>
      </c>
      <c r="C87" s="1215"/>
      <c r="D87" s="366">
        <f t="shared" si="4"/>
        <v>31981.913400000019</v>
      </c>
      <c r="E87" s="835">
        <v>0.45710000000000001</v>
      </c>
      <c r="F87" s="367"/>
      <c r="K87" s="368"/>
    </row>
    <row r="88" spans="1:11">
      <c r="A88" s="369">
        <f>A87+643</f>
        <v>104765</v>
      </c>
      <c r="B88" s="1215">
        <f>(D87+(643*0.4746))/A88</f>
        <v>0.30818576051162144</v>
      </c>
      <c r="C88" s="1215"/>
      <c r="D88" s="366">
        <f t="shared" si="4"/>
        <v>32287.081200000019</v>
      </c>
      <c r="E88" s="835">
        <v>0.47460000000000002</v>
      </c>
      <c r="F88" s="367"/>
      <c r="K88" s="368"/>
    </row>
    <row r="89" spans="1:11">
      <c r="A89" s="369">
        <f>A88+5000</f>
        <v>109765</v>
      </c>
      <c r="B89" s="1215">
        <f>(D88+(5*474.6))/A89</f>
        <v>0.31576623878285442</v>
      </c>
      <c r="C89" s="1215"/>
      <c r="D89" s="366">
        <f t="shared" si="4"/>
        <v>34660.081200000015</v>
      </c>
      <c r="E89" s="835">
        <v>0.47460000000000002</v>
      </c>
      <c r="F89" s="367"/>
      <c r="K89" s="368"/>
    </row>
    <row r="90" spans="1:11">
      <c r="A90" s="369">
        <f>A89+5000</f>
        <v>114765</v>
      </c>
      <c r="B90" s="1215">
        <f>(D89+(5*474.6))/A90</f>
        <v>0.32268619526859249</v>
      </c>
      <c r="C90" s="1215"/>
      <c r="D90" s="366">
        <f t="shared" si="4"/>
        <v>37033.081200000015</v>
      </c>
      <c r="E90" s="835">
        <v>0.47460000000000002</v>
      </c>
      <c r="F90" s="367"/>
      <c r="K90" s="368"/>
    </row>
    <row r="91" spans="1:11">
      <c r="A91" s="369">
        <f>A90+5000</f>
        <v>119765</v>
      </c>
      <c r="B91" s="1215">
        <f t="shared" ref="B91:B93" si="5">(D90+(5*474.6))/A91</f>
        <v>0.32902835719951584</v>
      </c>
      <c r="C91" s="1215"/>
      <c r="D91" s="366">
        <f t="shared" si="4"/>
        <v>39406.081200000015</v>
      </c>
      <c r="E91" s="835">
        <v>0.47460000000000002</v>
      </c>
      <c r="F91" s="367"/>
      <c r="K91" s="368"/>
    </row>
    <row r="92" spans="1:11">
      <c r="A92" s="369">
        <f t="shared" ref="A92:A100" si="6">A91+5000</f>
        <v>124765</v>
      </c>
      <c r="B92" s="1215">
        <f t="shared" si="5"/>
        <v>0.33486219051817429</v>
      </c>
      <c r="C92" s="1215"/>
      <c r="D92" s="366">
        <f t="shared" si="4"/>
        <v>41779.081200000015</v>
      </c>
      <c r="E92" s="835">
        <v>0.47460000000000002</v>
      </c>
      <c r="F92" s="367"/>
      <c r="K92" s="368"/>
    </row>
    <row r="93" spans="1:11">
      <c r="A93" s="369">
        <f t="shared" si="6"/>
        <v>129765</v>
      </c>
      <c r="B93" s="1215">
        <f t="shared" si="5"/>
        <v>0.34024645474511628</v>
      </c>
      <c r="C93" s="1215"/>
      <c r="D93" s="366">
        <f t="shared" si="4"/>
        <v>44152.081200000015</v>
      </c>
      <c r="E93" s="835">
        <v>0.47460000000000002</v>
      </c>
      <c r="F93" s="367"/>
      <c r="K93" s="368"/>
    </row>
    <row r="94" spans="1:11">
      <c r="A94" s="369">
        <f>A93+7352</f>
        <v>137117</v>
      </c>
      <c r="B94" s="1215">
        <f>(D93+(7352*0.4746))/A94</f>
        <v>0.34745028260536631</v>
      </c>
      <c r="C94" s="1215"/>
      <c r="D94" s="366">
        <f t="shared" si="4"/>
        <v>47641.340400000016</v>
      </c>
      <c r="E94" s="835">
        <v>0.47460000000000002</v>
      </c>
      <c r="F94" s="367"/>
      <c r="K94" s="368"/>
    </row>
    <row r="95" spans="1:11">
      <c r="A95" s="369">
        <f>A94+7372</f>
        <v>144489</v>
      </c>
      <c r="B95" s="1215">
        <f>(D94+(7372*0.4997))/A95</f>
        <v>0.35521824360331938</v>
      </c>
      <c r="C95" s="1215"/>
      <c r="D95" s="366">
        <f t="shared" si="4"/>
        <v>51325.128800000013</v>
      </c>
      <c r="E95" s="835">
        <v>0.49969999999999998</v>
      </c>
      <c r="F95" s="367"/>
      <c r="K95" s="368"/>
    </row>
    <row r="96" spans="1:11">
      <c r="A96" s="369">
        <f t="shared" si="6"/>
        <v>149489</v>
      </c>
      <c r="B96" s="1215">
        <f>(D95+(2499))/A96</f>
        <v>0.36005410966693208</v>
      </c>
      <c r="C96" s="1215"/>
      <c r="D96" s="366">
        <f t="shared" si="4"/>
        <v>53824.128800000006</v>
      </c>
      <c r="E96" s="835">
        <v>0.49969999999999998</v>
      </c>
      <c r="F96" s="367"/>
      <c r="K96" s="368"/>
    </row>
    <row r="97" spans="1:11">
      <c r="A97" s="369">
        <f t="shared" si="6"/>
        <v>154489</v>
      </c>
      <c r="B97" s="1215">
        <f t="shared" ref="B97:B100" si="7">(D96+(2499))/A97</f>
        <v>0.36457695240437832</v>
      </c>
      <c r="C97" s="1215"/>
      <c r="D97" s="366">
        <f t="shared" si="4"/>
        <v>56323.128799999999</v>
      </c>
      <c r="E97" s="835">
        <v>0.49969999999999998</v>
      </c>
      <c r="F97" s="367"/>
      <c r="K97" s="368"/>
    </row>
    <row r="98" spans="1:11">
      <c r="A98" s="369">
        <f t="shared" si="6"/>
        <v>159489</v>
      </c>
      <c r="B98" s="1215">
        <f t="shared" si="7"/>
        <v>0.36881621177636076</v>
      </c>
      <c r="C98" s="1215"/>
      <c r="D98" s="366">
        <f t="shared" si="4"/>
        <v>58822.128799999999</v>
      </c>
      <c r="E98" s="835">
        <v>0.49969999999999998</v>
      </c>
      <c r="F98" s="367"/>
      <c r="K98" s="368"/>
    </row>
    <row r="99" spans="1:11">
      <c r="A99" s="369">
        <f t="shared" si="6"/>
        <v>164489</v>
      </c>
      <c r="B99" s="1215">
        <f t="shared" si="7"/>
        <v>0.37279774817768968</v>
      </c>
      <c r="C99" s="1215"/>
      <c r="D99" s="366">
        <f t="shared" si="4"/>
        <v>61321.128799999999</v>
      </c>
      <c r="E99" s="835">
        <v>0.49969999999999998</v>
      </c>
      <c r="F99" s="367"/>
      <c r="K99" s="368"/>
    </row>
    <row r="100" spans="1:11">
      <c r="A100" s="369">
        <f t="shared" si="6"/>
        <v>169489</v>
      </c>
      <c r="B100" s="1215">
        <f t="shared" si="7"/>
        <v>0.37654437043111944</v>
      </c>
      <c r="C100" s="1215"/>
      <c r="D100" s="366">
        <f t="shared" si="4"/>
        <v>63820.128799999999</v>
      </c>
      <c r="E100" s="835">
        <v>0.49969999999999998</v>
      </c>
      <c r="F100" s="367"/>
      <c r="K100" s="368"/>
    </row>
    <row r="101" spans="1:11">
      <c r="A101" s="369">
        <f>A100+32799</f>
        <v>202288</v>
      </c>
      <c r="B101" s="1215">
        <f>(D100+(32799*0.4997))/A101</f>
        <v>0.39651283862611719</v>
      </c>
      <c r="C101" s="1215"/>
      <c r="D101" s="366">
        <f t="shared" si="4"/>
        <v>80209.789099999995</v>
      </c>
      <c r="E101" s="835">
        <v>0.49969999999999998</v>
      </c>
      <c r="F101" s="367"/>
      <c r="K101" s="368"/>
    </row>
    <row r="102" spans="1:11">
      <c r="A102" s="369">
        <f>A101+3554</f>
        <v>205842</v>
      </c>
      <c r="B102" s="1215">
        <f>(D101+(3554*0.5331))/A102</f>
        <v>0.39887110745134619</v>
      </c>
      <c r="C102" s="1215"/>
      <c r="D102" s="366">
        <f t="shared" si="4"/>
        <v>82104.426500000001</v>
      </c>
      <c r="E102" s="835">
        <v>0.53310000000000002</v>
      </c>
      <c r="F102" s="367"/>
      <c r="K102" s="368"/>
    </row>
    <row r="103" spans="1:11">
      <c r="A103" s="369">
        <f t="shared" ref="A103:A111" si="8">A102+50000</f>
        <v>255842</v>
      </c>
      <c r="B103" s="1215">
        <f t="shared" ref="B103:B111" si="9">(D102+(26655))/A103</f>
        <v>0.42510387856567727</v>
      </c>
      <c r="C103" s="1215"/>
      <c r="D103" s="366">
        <f t="shared" si="4"/>
        <v>108759.4265</v>
      </c>
      <c r="E103" s="835">
        <v>0.53310000000000002</v>
      </c>
      <c r="F103" s="367"/>
      <c r="K103" s="368"/>
    </row>
    <row r="104" spans="1:11">
      <c r="A104" s="369">
        <f t="shared" si="8"/>
        <v>305842</v>
      </c>
      <c r="B104" s="1215">
        <f t="shared" si="9"/>
        <v>0.44275941989654788</v>
      </c>
      <c r="C104" s="1215"/>
      <c r="D104" s="366">
        <f t="shared" si="4"/>
        <v>135414.4265</v>
      </c>
      <c r="E104" s="835">
        <v>0.53310000000000002</v>
      </c>
      <c r="F104" s="367"/>
      <c r="K104" s="368"/>
    </row>
    <row r="105" spans="1:11">
      <c r="A105" s="369">
        <f t="shared" si="8"/>
        <v>355842</v>
      </c>
      <c r="B105" s="1215">
        <f t="shared" si="9"/>
        <v>0.45545333743627792</v>
      </c>
      <c r="C105" s="1215"/>
      <c r="D105" s="366">
        <f t="shared" si="4"/>
        <v>162069.4265</v>
      </c>
      <c r="E105" s="835">
        <v>0.53310000000000002</v>
      </c>
      <c r="F105" s="367"/>
      <c r="K105" s="368"/>
    </row>
    <row r="106" spans="1:11">
      <c r="A106" s="369">
        <f t="shared" si="8"/>
        <v>405842</v>
      </c>
      <c r="B106" s="1215">
        <f t="shared" si="9"/>
        <v>0.46501945707935599</v>
      </c>
      <c r="C106" s="1215"/>
      <c r="D106" s="366">
        <f t="shared" si="4"/>
        <v>188724.4265</v>
      </c>
      <c r="E106" s="835">
        <v>0.53310000000000002</v>
      </c>
      <c r="F106" s="367"/>
      <c r="K106" s="368"/>
    </row>
    <row r="107" spans="1:11">
      <c r="A107" s="369">
        <f t="shared" si="8"/>
        <v>455842</v>
      </c>
      <c r="B107" s="1215">
        <f t="shared" si="9"/>
        <v>0.47248701633460716</v>
      </c>
      <c r="C107" s="1215"/>
      <c r="D107" s="366">
        <f t="shared" si="4"/>
        <v>215379.4265</v>
      </c>
      <c r="E107" s="835">
        <v>0.53310000000000002</v>
      </c>
      <c r="F107" s="367"/>
      <c r="K107" s="368"/>
    </row>
    <row r="108" spans="1:11">
      <c r="A108" s="369">
        <f t="shared" si="8"/>
        <v>505842</v>
      </c>
      <c r="B108" s="1215">
        <f t="shared" si="9"/>
        <v>0.47847831239794242</v>
      </c>
      <c r="C108" s="1215"/>
      <c r="D108" s="366">
        <f t="shared" si="4"/>
        <v>242034.4265</v>
      </c>
      <c r="E108" s="835">
        <v>0.53310000000000002</v>
      </c>
      <c r="F108" s="367"/>
      <c r="K108" s="368"/>
    </row>
    <row r="109" spans="1:11">
      <c r="A109" s="369">
        <f t="shared" si="8"/>
        <v>555842</v>
      </c>
      <c r="B109" s="1215">
        <f t="shared" si="9"/>
        <v>0.48339173092353582</v>
      </c>
      <c r="C109" s="1215"/>
      <c r="D109" s="366">
        <f t="shared" si="4"/>
        <v>268689.4265</v>
      </c>
      <c r="E109" s="835">
        <v>0.53310000000000002</v>
      </c>
      <c r="F109" s="367"/>
      <c r="K109" s="368"/>
    </row>
    <row r="110" spans="1:11">
      <c r="A110" s="369">
        <f t="shared" si="8"/>
        <v>605842</v>
      </c>
      <c r="B110" s="1215">
        <f t="shared" si="9"/>
        <v>0.48749414286233045</v>
      </c>
      <c r="C110" s="1215"/>
      <c r="D110" s="366">
        <f t="shared" si="4"/>
        <v>295344.4265</v>
      </c>
      <c r="E110" s="835">
        <v>0.53310000000000002</v>
      </c>
      <c r="F110" s="367"/>
      <c r="K110" s="368"/>
    </row>
    <row r="111" spans="1:11" ht="13.5" thickBot="1">
      <c r="A111" s="370">
        <f t="shared" si="8"/>
        <v>655842</v>
      </c>
      <c r="B111" s="1225">
        <f t="shared" si="9"/>
        <v>0.49097103646914958</v>
      </c>
      <c r="C111" s="1225"/>
      <c r="D111" s="371">
        <f t="shared" si="4"/>
        <v>321999.4265</v>
      </c>
      <c r="E111" s="1076">
        <v>0.53310000000000002</v>
      </c>
      <c r="F111" s="372"/>
      <c r="G111" s="373"/>
      <c r="H111" s="373"/>
      <c r="I111" s="373"/>
      <c r="J111" s="373"/>
      <c r="K111" s="374"/>
    </row>
    <row r="112" spans="1:11">
      <c r="A112" s="375"/>
      <c r="B112" s="375"/>
      <c r="C112" s="376"/>
    </row>
    <row r="113" spans="1:3">
      <c r="A113" s="375"/>
      <c r="B113" s="375"/>
      <c r="C113" s="376"/>
    </row>
    <row r="114" spans="1:3">
      <c r="A114" s="375"/>
      <c r="B114" s="375"/>
      <c r="C114" s="376"/>
    </row>
    <row r="115" spans="1:3">
      <c r="A115" s="375"/>
      <c r="B115" s="375"/>
      <c r="C115" s="376"/>
    </row>
    <row r="116" spans="1:3">
      <c r="A116" s="375"/>
      <c r="B116" s="375"/>
      <c r="C116" s="376"/>
    </row>
    <row r="117" spans="1:3">
      <c r="A117" s="375"/>
      <c r="B117" s="375"/>
      <c r="C117" s="376"/>
    </row>
    <row r="118" spans="1:3">
      <c r="A118" s="375"/>
      <c r="B118" s="375"/>
      <c r="C118" s="376"/>
    </row>
    <row r="119" spans="1:3">
      <c r="A119" s="375"/>
      <c r="B119" s="375"/>
      <c r="C119" s="376"/>
    </row>
    <row r="120" spans="1:3">
      <c r="A120" s="375"/>
      <c r="B120" s="375"/>
      <c r="C120" s="376"/>
    </row>
    <row r="121" spans="1:3">
      <c r="A121" s="375"/>
      <c r="B121" s="375"/>
      <c r="C121" s="376"/>
    </row>
    <row r="122" spans="1:3">
      <c r="A122" s="375"/>
      <c r="B122" s="375"/>
      <c r="C122" s="376"/>
    </row>
    <row r="123" spans="1:3">
      <c r="A123" s="375"/>
      <c r="B123" s="375"/>
      <c r="C123" s="376"/>
    </row>
    <row r="124" spans="1:3">
      <c r="A124" s="375"/>
      <c r="B124" s="375"/>
      <c r="C124" s="376"/>
    </row>
    <row r="125" spans="1:3">
      <c r="A125" s="375"/>
      <c r="B125" s="375"/>
      <c r="C125" s="376"/>
    </row>
    <row r="126" spans="1:3">
      <c r="A126" s="375"/>
      <c r="B126" s="375"/>
      <c r="C126" s="376"/>
    </row>
    <row r="127" spans="1:3">
      <c r="A127" s="375"/>
      <c r="B127" s="375"/>
      <c r="C127" s="376"/>
    </row>
    <row r="128" spans="1:3">
      <c r="A128" s="375"/>
      <c r="B128" s="375"/>
      <c r="C128" s="376"/>
    </row>
    <row r="129" spans="1:3">
      <c r="A129" s="375"/>
      <c r="B129" s="375"/>
      <c r="C129" s="376"/>
    </row>
    <row r="130" spans="1:3">
      <c r="A130" s="375"/>
      <c r="B130" s="375"/>
      <c r="C130" s="376"/>
    </row>
    <row r="131" spans="1:3">
      <c r="A131" s="375"/>
      <c r="B131" s="375"/>
      <c r="C131" s="376"/>
    </row>
    <row r="132" spans="1:3">
      <c r="A132" s="375"/>
      <c r="B132" s="375"/>
      <c r="C132" s="376"/>
    </row>
    <row r="133" spans="1:3">
      <c r="A133" s="375"/>
      <c r="B133" s="375"/>
      <c r="C133" s="376"/>
    </row>
    <row r="134" spans="1:3">
      <c r="A134" s="375"/>
      <c r="B134" s="375"/>
      <c r="C134" s="376"/>
    </row>
    <row r="135" spans="1:3">
      <c r="A135" s="375"/>
      <c r="B135" s="375"/>
      <c r="C135" s="376"/>
    </row>
    <row r="136" spans="1:3">
      <c r="A136" s="375"/>
      <c r="B136" s="375"/>
      <c r="C136" s="376"/>
    </row>
    <row r="137" spans="1:3">
      <c r="A137" s="375"/>
      <c r="B137" s="375"/>
      <c r="C137" s="376"/>
    </row>
    <row r="138" spans="1:3">
      <c r="A138" s="375"/>
      <c r="B138" s="375"/>
      <c r="C138" s="376"/>
    </row>
    <row r="139" spans="1:3">
      <c r="A139" s="375"/>
      <c r="B139" s="375"/>
      <c r="C139" s="376"/>
    </row>
    <row r="140" spans="1:3">
      <c r="A140" s="375"/>
      <c r="B140" s="375"/>
      <c r="C140" s="376"/>
    </row>
    <row r="141" spans="1:3">
      <c r="A141" s="375"/>
      <c r="B141" s="375"/>
      <c r="C141" s="376"/>
    </row>
    <row r="142" spans="1:3">
      <c r="A142" s="375"/>
      <c r="B142" s="375"/>
      <c r="C142" s="376"/>
    </row>
    <row r="143" spans="1:3">
      <c r="A143" s="375"/>
      <c r="B143" s="375"/>
      <c r="C143" s="376"/>
    </row>
    <row r="144" spans="1:3">
      <c r="A144" s="375"/>
      <c r="B144" s="375"/>
      <c r="C144" s="376"/>
    </row>
    <row r="145" spans="1:3">
      <c r="A145" s="375"/>
      <c r="B145" s="375"/>
      <c r="C145" s="376"/>
    </row>
    <row r="146" spans="1:3">
      <c r="A146" s="375"/>
      <c r="B146" s="375"/>
      <c r="C146" s="376"/>
    </row>
    <row r="147" spans="1:3">
      <c r="A147" s="375"/>
      <c r="B147" s="375"/>
      <c r="C147" s="376"/>
    </row>
    <row r="148" spans="1:3">
      <c r="A148" s="375"/>
      <c r="B148" s="375"/>
      <c r="C148" s="376"/>
    </row>
    <row r="149" spans="1:3">
      <c r="A149" s="375"/>
      <c r="B149" s="375"/>
    </row>
    <row r="150" spans="1:3">
      <c r="A150" s="375"/>
      <c r="B150" s="375"/>
    </row>
  </sheetData>
  <sheetProtection password="E242" sheet="1" objects="1" scenarios="1"/>
  <customSheetViews>
    <customSheetView guid="{30D0538C-360A-4CDF-8D89-584CED1967CC}" showGridLines="0" fitToPage="1" hiddenColumns="1">
      <selection activeCell="H17" sqref="H17"/>
      <pageMargins left="0.78740157499999996" right="0.78740157499999996" top="0.47" bottom="0.51" header="0.4921259845" footer="0.4921259845"/>
      <pageSetup scale="61" orientation="portrait" horizontalDpi="300" verticalDpi="300" r:id="rId1"/>
      <headerFooter alignWithMargins="0"/>
    </customSheetView>
    <customSheetView guid="{4F3169C3-3348-49DE-A6DC-8AA4D2A9D7A1}" showGridLines="0" fitToPage="1" hiddenColumns="1">
      <selection activeCell="H17" sqref="H17"/>
      <pageMargins left="0.78740157499999996" right="0.78740157499999996" top="0.47" bottom="0.51" header="0.4921259845" footer="0.4921259845"/>
      <pageSetup scale="61" orientation="portrait" horizontalDpi="300" verticalDpi="300" r:id="rId2"/>
      <headerFooter alignWithMargins="0"/>
    </customSheetView>
  </customSheetViews>
  <mergeCells count="126">
    <mergeCell ref="B110:C110"/>
    <mergeCell ref="B111:C111"/>
    <mergeCell ref="B101:C101"/>
    <mergeCell ref="B102:C102"/>
    <mergeCell ref="B103:C103"/>
    <mergeCell ref="B104:C104"/>
    <mergeCell ref="B105:C105"/>
    <mergeCell ref="B106:C106"/>
    <mergeCell ref="B107:C107"/>
    <mergeCell ref="B108:C108"/>
    <mergeCell ref="B109:C109"/>
    <mergeCell ref="B92:C92"/>
    <mergeCell ref="B93:C93"/>
    <mergeCell ref="B94:C94"/>
    <mergeCell ref="B95:C95"/>
    <mergeCell ref="B96:C96"/>
    <mergeCell ref="B97:C97"/>
    <mergeCell ref="B98:C98"/>
    <mergeCell ref="B99:C99"/>
    <mergeCell ref="B100:C100"/>
    <mergeCell ref="B28:C28"/>
    <mergeCell ref="B25:C25"/>
    <mergeCell ref="B23:C23"/>
    <mergeCell ref="B22:C22"/>
    <mergeCell ref="B24:C24"/>
    <mergeCell ref="B21:C21"/>
    <mergeCell ref="B29:C29"/>
    <mergeCell ref="G33:H33"/>
    <mergeCell ref="G23:H23"/>
    <mergeCell ref="G24:H24"/>
    <mergeCell ref="G25:H25"/>
    <mergeCell ref="G27:H27"/>
    <mergeCell ref="G29:H29"/>
    <mergeCell ref="G31:H31"/>
    <mergeCell ref="G22:H22"/>
    <mergeCell ref="B35:C35"/>
    <mergeCell ref="B42:C42"/>
    <mergeCell ref="B43:C43"/>
    <mergeCell ref="B39:C39"/>
    <mergeCell ref="B40:C40"/>
    <mergeCell ref="B41:C41"/>
    <mergeCell ref="A8:K9"/>
    <mergeCell ref="B12:C12"/>
    <mergeCell ref="B13:C13"/>
    <mergeCell ref="B18:C18"/>
    <mergeCell ref="B11:C11"/>
    <mergeCell ref="B14:C14"/>
    <mergeCell ref="B15:C15"/>
    <mergeCell ref="B16:C16"/>
    <mergeCell ref="B17:C17"/>
    <mergeCell ref="B30:C30"/>
    <mergeCell ref="B19:C19"/>
    <mergeCell ref="B20:C20"/>
    <mergeCell ref="B33:C33"/>
    <mergeCell ref="B34:C34"/>
    <mergeCell ref="B31:C31"/>
    <mergeCell ref="B32:C32"/>
    <mergeCell ref="B26:C26"/>
    <mergeCell ref="B27:C27"/>
    <mergeCell ref="B46:C46"/>
    <mergeCell ref="B37:C37"/>
    <mergeCell ref="B44:C44"/>
    <mergeCell ref="B45:C45"/>
    <mergeCell ref="B38:C38"/>
    <mergeCell ref="B49:C49"/>
    <mergeCell ref="B47:C47"/>
    <mergeCell ref="B48:C48"/>
    <mergeCell ref="B36:C36"/>
    <mergeCell ref="B68:C68"/>
    <mergeCell ref="B70:C70"/>
    <mergeCell ref="B69:C69"/>
    <mergeCell ref="B71:C71"/>
    <mergeCell ref="B72:C72"/>
    <mergeCell ref="B73:C73"/>
    <mergeCell ref="B53:C53"/>
    <mergeCell ref="B50:C50"/>
    <mergeCell ref="B55:C55"/>
    <mergeCell ref="B66:C66"/>
    <mergeCell ref="B63:C63"/>
    <mergeCell ref="B51:C51"/>
    <mergeCell ref="B54:C54"/>
    <mergeCell ref="B59:C59"/>
    <mergeCell ref="B57:C57"/>
    <mergeCell ref="B58:C58"/>
    <mergeCell ref="B60:C60"/>
    <mergeCell ref="B61:C61"/>
    <mergeCell ref="B62:C62"/>
    <mergeCell ref="B64:C64"/>
    <mergeCell ref="B65:C65"/>
    <mergeCell ref="B56:C56"/>
    <mergeCell ref="B52:C52"/>
    <mergeCell ref="G35:H35"/>
    <mergeCell ref="G36:H36"/>
    <mergeCell ref="G37:H37"/>
    <mergeCell ref="G38:H38"/>
    <mergeCell ref="B84:C84"/>
    <mergeCell ref="B85:C85"/>
    <mergeCell ref="B90:C90"/>
    <mergeCell ref="B91:C91"/>
    <mergeCell ref="B86:C86"/>
    <mergeCell ref="B87:C87"/>
    <mergeCell ref="B88:C88"/>
    <mergeCell ref="B89:C89"/>
    <mergeCell ref="B82:C82"/>
    <mergeCell ref="B83:C83"/>
    <mergeCell ref="B81:C81"/>
    <mergeCell ref="B76:C76"/>
    <mergeCell ref="B77:C77"/>
    <mergeCell ref="B78:C78"/>
    <mergeCell ref="B79:C79"/>
    <mergeCell ref="B80:C80"/>
    <mergeCell ref="B74:C74"/>
    <mergeCell ref="B75:C75"/>
    <mergeCell ref="B67:C67"/>
    <mergeCell ref="G57:H57"/>
    <mergeCell ref="G59:H59"/>
    <mergeCell ref="G49:H49"/>
    <mergeCell ref="G50:H50"/>
    <mergeCell ref="G51:H51"/>
    <mergeCell ref="G53:H53"/>
    <mergeCell ref="G55:H55"/>
    <mergeCell ref="G40:H40"/>
    <mergeCell ref="G42:H42"/>
    <mergeCell ref="G44:H44"/>
    <mergeCell ref="G46:H46"/>
    <mergeCell ref="G48:H48"/>
  </mergeCells>
  <phoneticPr fontId="0" type="noConversion"/>
  <pageMargins left="0.78740157499999996" right="0.78740157499999996" top="0.47" bottom="0.51" header="0.4921259845" footer="0.4921259845"/>
  <pageSetup scale="52" orientation="portrait" horizontalDpi="300" verticalDpi="300" r:id="rId3"/>
  <headerFooter alignWithMargins="0"/>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Feuil14">
    <pageSetUpPr fitToPage="1"/>
  </sheetPr>
  <dimension ref="A4:P31"/>
  <sheetViews>
    <sheetView showGridLines="0" showRowColHeaders="0" workbookViewId="0">
      <selection activeCell="K6" sqref="K6"/>
    </sheetView>
  </sheetViews>
  <sheetFormatPr baseColWidth="10" defaultColWidth="0" defaultRowHeight="12.5"/>
  <cols>
    <col min="1" max="5" width="11.453125" customWidth="1"/>
    <col min="6" max="6" width="3.453125" style="563" customWidth="1"/>
    <col min="7" max="7" width="3.453125" customWidth="1"/>
    <col min="8" max="8" width="11.453125" customWidth="1"/>
    <col min="9" max="9" width="2.36328125" customWidth="1"/>
    <col min="10" max="10" width="11.453125" customWidth="1"/>
    <col min="11" max="11" width="2.36328125" customWidth="1"/>
    <col min="12" max="12" width="11.453125" customWidth="1"/>
    <col min="13" max="13" width="2.36328125" customWidth="1"/>
    <col min="14" max="14" width="11.453125" customWidth="1"/>
    <col min="15" max="15" width="2.36328125" customWidth="1"/>
    <col min="16" max="16" width="11.453125" customWidth="1"/>
  </cols>
  <sheetData>
    <row r="4" spans="1:16" s="43" customFormat="1" ht="13">
      <c r="D4" s="364"/>
      <c r="E4" s="364"/>
      <c r="F4" s="364"/>
    </row>
    <row r="5" spans="1:16" s="43" customFormat="1" ht="13">
      <c r="D5" s="364"/>
      <c r="E5" s="364"/>
      <c r="F5" s="364"/>
    </row>
    <row r="6" spans="1:16" s="43" customFormat="1" ht="13">
      <c r="D6" s="364"/>
      <c r="E6" s="364"/>
      <c r="F6" s="364"/>
    </row>
    <row r="8" spans="1:16" ht="25">
      <c r="A8" s="194" t="str">
        <f>RG!D17</f>
        <v>Jhon Wesly inc.</v>
      </c>
      <c r="L8" s="749"/>
    </row>
    <row r="9" spans="1:16" ht="13">
      <c r="H9" s="715" t="s">
        <v>345</v>
      </c>
      <c r="J9" s="715" t="s">
        <v>492</v>
      </c>
      <c r="L9" s="715" t="s">
        <v>493</v>
      </c>
      <c r="N9" s="715" t="s">
        <v>9</v>
      </c>
      <c r="P9" s="715" t="s">
        <v>10</v>
      </c>
    </row>
    <row r="10" spans="1:16" ht="13" thickBot="1"/>
    <row r="11" spans="1:16" ht="13.5" thickBot="1">
      <c r="A11" s="716" t="s">
        <v>45</v>
      </c>
      <c r="B11" s="717"/>
      <c r="C11" s="717"/>
      <c r="D11" s="717"/>
      <c r="E11" s="717"/>
      <c r="F11" s="734" t="s">
        <v>11</v>
      </c>
      <c r="G11" s="718"/>
      <c r="H11" s="719">
        <f>IF(RG!$A$78=4,NE!D25+NE!D26,IF(RG!$A$78=1,NE!D25+NE!D26,0))</f>
        <v>0</v>
      </c>
      <c r="J11" s="719">
        <f>IF(RG!$A$78=4,NE!F25+NE!F26,IF(RG!$A$78=1,NE!F25+NE!F26,0))</f>
        <v>0</v>
      </c>
      <c r="L11" s="719">
        <f>IF(RG!$A$78=4,NE!H25+NE!H26,IF(RG!$A$78=1,NE!H25+NE!H26,0))</f>
        <v>0</v>
      </c>
      <c r="N11" s="719">
        <f>IF(RG!$A$78=4,NE!J25+NE!J26,IF(RG!$A$78=1,NE!J25+NE!J26,0))</f>
        <v>0</v>
      </c>
      <c r="P11" s="719">
        <f>IF(RG!$A$78=4,NE!L25+NE!L26,IF(RG!$A$78=1,NE!L25+NE!L26,0))</f>
        <v>0</v>
      </c>
    </row>
    <row r="12" spans="1:16" ht="13.5" thickBot="1">
      <c r="A12" s="257"/>
      <c r="F12" s="755"/>
      <c r="G12" s="756"/>
      <c r="H12" s="754"/>
      <c r="J12" s="754"/>
      <c r="L12" s="754"/>
      <c r="N12" s="754"/>
      <c r="P12" s="754"/>
    </row>
    <row r="13" spans="1:16" ht="13.5" thickBot="1">
      <c r="A13" s="716" t="s">
        <v>46</v>
      </c>
      <c r="B13" s="717"/>
      <c r="C13" s="717"/>
      <c r="D13" s="717"/>
      <c r="E13" s="717"/>
      <c r="F13" s="734" t="s">
        <v>82</v>
      </c>
      <c r="G13" s="718"/>
      <c r="H13" s="719">
        <f>ER!C36</f>
        <v>0</v>
      </c>
      <c r="J13" s="719">
        <f>ER!E36</f>
        <v>0</v>
      </c>
      <c r="L13" s="719">
        <f>ER!G36</f>
        <v>0</v>
      </c>
      <c r="N13" s="719">
        <f>ER!I36</f>
        <v>0</v>
      </c>
      <c r="P13" s="719">
        <f>ER!K36</f>
        <v>0</v>
      </c>
    </row>
    <row r="14" spans="1:16">
      <c r="A14" s="720"/>
      <c r="B14" s="567"/>
      <c r="C14" s="567"/>
      <c r="D14" s="567"/>
      <c r="E14" s="567"/>
      <c r="F14" s="735"/>
      <c r="G14" s="721"/>
      <c r="H14" s="567"/>
      <c r="J14" s="567"/>
      <c r="L14" s="567"/>
      <c r="N14" s="567"/>
      <c r="P14" s="567"/>
    </row>
    <row r="16" spans="1:16" ht="13">
      <c r="A16" s="716" t="s">
        <v>68</v>
      </c>
      <c r="B16" s="717"/>
      <c r="C16" s="717"/>
      <c r="D16" s="717"/>
      <c r="E16" s="717"/>
      <c r="F16" s="736"/>
      <c r="G16" s="718"/>
      <c r="H16" s="717"/>
      <c r="J16" s="717"/>
      <c r="L16" s="717"/>
      <c r="N16" s="717"/>
      <c r="P16" s="717"/>
    </row>
    <row r="18" spans="1:16">
      <c r="A18" s="1003" t="s">
        <v>81</v>
      </c>
      <c r="C18" s="234" t="s">
        <v>874</v>
      </c>
      <c r="F18" s="1004" t="s">
        <v>84</v>
      </c>
    </row>
    <row r="19" spans="1:16" ht="13">
      <c r="G19" t="s">
        <v>561</v>
      </c>
      <c r="H19" s="759" t="b">
        <f>IF(OR(RG!$A$78=1,RG!$A$78=4),IF((H11-50000)&gt;0,((H11-50000)*0.15)+((H11-((H11-50000)*0.15))*0.49),0))</f>
        <v>0</v>
      </c>
      <c r="I19" s="1"/>
      <c r="J19" s="759" t="b">
        <f>IF(OR(RG!$A$78=1,RG!$A$78=4),IF((H11-50000)&gt;0,((H11-50000)*0.15)+((H11-((H11-50000)*0.15))*0.49),0))</f>
        <v>0</v>
      </c>
      <c r="K19" s="1"/>
      <c r="L19" s="759" t="b">
        <f>IF(OR(RG!$A$78=1,RG!$A$78=4),IF((H11-50000)&gt;0,((H11-50000)*0.15)+((H11-((H11-50000)*0.15))*0.49),0))</f>
        <v>0</v>
      </c>
      <c r="M19" s="1"/>
      <c r="N19" s="759" t="b">
        <f>IF(OR(RG!$A$78=1,RG!$A$78=4),IF((H11-50000)&gt;0,((H11-50000)*0.15)+((H11-((H11-50000)*0.15))*0.49),0))</f>
        <v>0</v>
      </c>
      <c r="O19" s="1"/>
      <c r="P19" s="759" t="b">
        <f>IF(OR(RG!$A$78=1,RG!$A$78=4),IF((H11-50000)&gt;0,((H11-50000)*0.15)+((H11-((H11-50000)*0.15))*0.49),0))</f>
        <v>0</v>
      </c>
    </row>
    <row r="20" spans="1:16">
      <c r="A20" s="1003" t="s">
        <v>83</v>
      </c>
      <c r="C20" s="234" t="s">
        <v>875</v>
      </c>
      <c r="F20" s="1004" t="s">
        <v>91</v>
      </c>
      <c r="H20" s="1"/>
      <c r="I20" s="1"/>
      <c r="J20" s="1"/>
      <c r="K20" s="1"/>
      <c r="L20" s="1"/>
      <c r="M20" s="1"/>
      <c r="N20" s="1"/>
      <c r="O20" s="1"/>
      <c r="P20" s="1"/>
    </row>
    <row r="21" spans="1:16">
      <c r="A21" s="567"/>
      <c r="B21" s="567"/>
      <c r="C21" s="567"/>
      <c r="D21" s="567"/>
      <c r="E21" s="567"/>
      <c r="F21" s="737"/>
      <c r="G21" s="721"/>
      <c r="H21" s="760"/>
      <c r="I21" s="1"/>
      <c r="J21" s="760"/>
      <c r="K21" s="1"/>
      <c r="L21" s="760"/>
      <c r="M21" s="1"/>
      <c r="N21" s="760"/>
      <c r="O21" s="1"/>
      <c r="P21" s="760"/>
    </row>
    <row r="22" spans="1:16">
      <c r="H22" s="1"/>
      <c r="I22" s="1"/>
      <c r="J22" s="1"/>
      <c r="K22" s="1"/>
      <c r="L22" s="1"/>
      <c r="M22" s="1"/>
      <c r="N22" s="1"/>
      <c r="O22" s="1"/>
      <c r="P22" s="1"/>
    </row>
    <row r="23" spans="1:16" ht="13">
      <c r="A23" s="716" t="s">
        <v>85</v>
      </c>
      <c r="B23" s="717"/>
      <c r="C23" s="717"/>
      <c r="D23" s="717"/>
      <c r="E23" s="717"/>
      <c r="F23" s="736"/>
      <c r="G23" s="718"/>
      <c r="H23" s="761"/>
      <c r="I23" s="761"/>
      <c r="J23" s="761"/>
      <c r="K23" s="761"/>
      <c r="L23" s="761"/>
      <c r="M23" s="761"/>
      <c r="N23" s="761"/>
      <c r="O23" s="761"/>
      <c r="P23" s="761"/>
    </row>
    <row r="24" spans="1:16" ht="13">
      <c r="A24" s="716" t="s">
        <v>89</v>
      </c>
      <c r="B24" s="717"/>
      <c r="C24" s="717"/>
      <c r="D24" s="717"/>
      <c r="E24" s="717"/>
      <c r="F24" s="736"/>
      <c r="G24" s="718"/>
      <c r="H24" s="761"/>
      <c r="I24" s="761"/>
      <c r="J24" s="761"/>
      <c r="K24" s="761"/>
      <c r="L24" s="761"/>
      <c r="M24" s="761"/>
      <c r="N24" s="761"/>
      <c r="O24" s="761"/>
      <c r="P24" s="761"/>
    </row>
    <row r="25" spans="1:16">
      <c r="H25" s="1"/>
      <c r="I25" s="1"/>
      <c r="J25" s="1"/>
      <c r="K25" s="1"/>
      <c r="L25" s="1"/>
      <c r="M25" s="1"/>
      <c r="N25" s="1"/>
      <c r="O25" s="1"/>
      <c r="P25" s="1"/>
    </row>
    <row r="26" spans="1:16">
      <c r="A26" s="1003" t="s">
        <v>90</v>
      </c>
      <c r="C26" t="s">
        <v>563</v>
      </c>
      <c r="F26" s="1004" t="s">
        <v>93</v>
      </c>
      <c r="H26" s="1"/>
      <c r="I26" s="1"/>
      <c r="J26" s="1"/>
      <c r="K26" s="1"/>
      <c r="L26" s="1"/>
      <c r="M26" s="1"/>
      <c r="N26" s="1"/>
      <c r="O26" s="1"/>
      <c r="P26" s="1"/>
    </row>
    <row r="27" spans="1:16" ht="13">
      <c r="G27" t="s">
        <v>562</v>
      </c>
      <c r="H27" s="759">
        <f>(H11+H13-H19)*0.1312+(H11-H19)*0.08</f>
        <v>0</v>
      </c>
      <c r="I27" s="1"/>
      <c r="J27" s="759">
        <f>(J11+J13-J19)*0.1312+(J11-J19)*0.08</f>
        <v>0</v>
      </c>
      <c r="K27" s="1"/>
      <c r="L27" s="759">
        <f>(L11+L13-L19)*0.1312+(L11-L19)*0.08</f>
        <v>0</v>
      </c>
      <c r="M27" s="1"/>
      <c r="N27" s="759">
        <f>(N11+N13-N19)*0.1312+(N11-N19)*0.08</f>
        <v>0</v>
      </c>
      <c r="O27" s="1"/>
      <c r="P27" s="759">
        <f>(P11+P13-P19)*0.1312+(P11-P19)*0.08</f>
        <v>0</v>
      </c>
    </row>
    <row r="28" spans="1:16">
      <c r="A28" s="1003" t="s">
        <v>92</v>
      </c>
      <c r="C28" t="s">
        <v>564</v>
      </c>
      <c r="F28" s="1004" t="s">
        <v>47</v>
      </c>
      <c r="H28" s="1"/>
      <c r="I28" s="1"/>
      <c r="J28" s="1"/>
      <c r="K28" s="1"/>
      <c r="L28" s="1"/>
      <c r="M28" s="1"/>
      <c r="N28" s="1"/>
      <c r="O28" s="1"/>
      <c r="P28" s="1"/>
    </row>
    <row r="29" spans="1:16">
      <c r="A29" s="567"/>
      <c r="B29" s="567"/>
      <c r="C29" s="567"/>
      <c r="D29" s="567"/>
      <c r="E29" s="567"/>
      <c r="F29" s="737"/>
      <c r="G29" s="721"/>
      <c r="H29" s="760"/>
      <c r="I29" s="1"/>
      <c r="J29" s="760"/>
      <c r="K29" s="1"/>
      <c r="L29" s="760"/>
      <c r="M29" s="1"/>
      <c r="N29" s="760"/>
      <c r="O29" s="1"/>
      <c r="P29" s="760"/>
    </row>
    <row r="30" spans="1:16">
      <c r="H30" s="1"/>
      <c r="I30" s="1"/>
      <c r="J30" s="1"/>
      <c r="K30" s="1"/>
      <c r="L30" s="1"/>
      <c r="M30" s="1"/>
      <c r="N30" s="1"/>
      <c r="O30" s="1"/>
      <c r="P30" s="1"/>
    </row>
    <row r="31" spans="1:16" ht="14.5">
      <c r="A31" s="717" t="s">
        <v>565</v>
      </c>
      <c r="B31" s="717"/>
      <c r="C31" s="717"/>
      <c r="D31" s="717"/>
      <c r="E31" s="717"/>
      <c r="F31" s="736"/>
      <c r="G31" s="718"/>
      <c r="H31" s="762">
        <f>H11+H13-H19-H27</f>
        <v>0</v>
      </c>
      <c r="I31" s="1"/>
      <c r="J31" s="762">
        <f>J11+J13-J19-J27</f>
        <v>0</v>
      </c>
      <c r="K31" s="1"/>
      <c r="L31" s="762">
        <f>L11+L13-L19-L27</f>
        <v>0</v>
      </c>
      <c r="M31" s="1"/>
      <c r="N31" s="762">
        <f>N11+N13-N19-N27</f>
        <v>0</v>
      </c>
      <c r="O31" s="1"/>
      <c r="P31" s="762">
        <f>P11+P13-P19-P27</f>
        <v>0</v>
      </c>
    </row>
  </sheetData>
  <sheetProtection password="E242" sheet="1" objects="1" scenarios="1"/>
  <customSheetViews>
    <customSheetView guid="{30D0538C-360A-4CDF-8D89-584CED1967CC}" showGridLines="0" hiddenColumns="1">
      <selection activeCell="P8" sqref="P8"/>
      <pageMargins left="0.7" right="0.7" top="0.75" bottom="0.75" header="0.3" footer="0.3"/>
      <pageSetup orientation="portrait"/>
    </customSheetView>
    <customSheetView guid="{4F3169C3-3348-49DE-A6DC-8AA4D2A9D7A1}" showGridLines="0" hiddenColumns="1">
      <selection activeCell="P8" sqref="P8"/>
      <pageMargins left="0.7" right="0.7" top="0.75" bottom="0.75" header="0.3" footer="0.3"/>
      <pageSetup orientation="portrait"/>
    </customSheetView>
  </customSheetViews>
  <phoneticPr fontId="0" type="noConversion"/>
  <pageMargins left="0.7" right="0.7" top="0.75" bottom="0.75" header="0.3" footer="0.3"/>
  <pageSetup scale="70" fitToHeight="0" orientation="portrait" r:id="rId1"/>
  <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Feuil16">
    <pageSetUpPr fitToPage="1"/>
  </sheetPr>
  <dimension ref="A8:L74"/>
  <sheetViews>
    <sheetView showGridLines="0" showOutlineSymbols="0" zoomScale="120" zoomScaleNormal="120" workbookViewId="0">
      <selection activeCell="J7" sqref="J7"/>
    </sheetView>
  </sheetViews>
  <sheetFormatPr baseColWidth="10" defaultColWidth="0" defaultRowHeight="13"/>
  <cols>
    <col min="1" max="1" width="18.6328125" style="43" customWidth="1"/>
    <col min="2" max="2" width="18.6328125" style="43" hidden="1" customWidth="1"/>
    <col min="3" max="5" width="6.453125" style="43" hidden="1" customWidth="1"/>
    <col min="6" max="6" width="18.6328125" style="43" hidden="1" customWidth="1"/>
    <col min="7" max="7" width="5.6328125" style="43" customWidth="1"/>
    <col min="8" max="8" width="22.453125" style="43" customWidth="1"/>
    <col min="9" max="11" width="18.6328125" style="43" customWidth="1"/>
    <col min="12" max="16384" width="0" style="43" hidden="1"/>
  </cols>
  <sheetData>
    <row r="8" spans="1:11" ht="25">
      <c r="A8" s="194" t="str">
        <f>RG!D17</f>
        <v>Jhon Wesly inc.</v>
      </c>
    </row>
    <row r="10" spans="1:11" s="58" customFormat="1" ht="15" customHeight="1">
      <c r="A10" s="195" t="s">
        <v>97</v>
      </c>
      <c r="B10" s="196"/>
      <c r="C10" s="196"/>
      <c r="D10" s="196"/>
      <c r="E10" s="196"/>
      <c r="F10" s="196"/>
      <c r="G10" s="196"/>
      <c r="H10" s="196"/>
      <c r="I10" s="196"/>
    </row>
    <row r="11" spans="1:11" ht="15" customHeight="1">
      <c r="A11" s="197"/>
      <c r="B11" s="197"/>
      <c r="C11" s="197"/>
      <c r="D11" s="197"/>
      <c r="E11" s="197"/>
      <c r="F11" s="197"/>
      <c r="G11" s="197"/>
      <c r="H11" s="197"/>
      <c r="I11" s="1229" t="s">
        <v>295</v>
      </c>
      <c r="J11" s="1229"/>
    </row>
    <row r="12" spans="1:11" ht="15" customHeight="1" thickBot="1">
      <c r="A12" s="197"/>
      <c r="B12" s="197"/>
      <c r="C12" s="197"/>
      <c r="D12" s="197"/>
      <c r="E12" s="197"/>
      <c r="F12" s="197"/>
      <c r="G12" s="197"/>
      <c r="H12" s="197"/>
      <c r="I12" s="197"/>
    </row>
    <row r="13" spans="1:11" ht="12.75" customHeight="1" thickBot="1">
      <c r="A13" s="48" t="s">
        <v>593</v>
      </c>
      <c r="H13" s="1226" t="s">
        <v>302</v>
      </c>
      <c r="I13" s="1227"/>
      <c r="J13" s="1227"/>
      <c r="K13" s="1228"/>
    </row>
    <row r="14" spans="1:11" ht="13.5" customHeight="1" thickBot="1">
      <c r="A14" s="48"/>
      <c r="H14" s="198"/>
      <c r="I14" s="198"/>
      <c r="J14" s="198"/>
      <c r="K14" s="198"/>
    </row>
    <row r="15" spans="1:11" ht="13.5" thickBot="1">
      <c r="A15" s="48" t="s">
        <v>594</v>
      </c>
      <c r="H15" s="383">
        <v>0</v>
      </c>
    </row>
    <row r="16" spans="1:11" ht="6" customHeight="1" thickBot="1">
      <c r="A16" s="48"/>
      <c r="H16" s="199"/>
    </row>
    <row r="17" spans="1:12" ht="13.5" thickBot="1">
      <c r="A17" s="48" t="s">
        <v>595</v>
      </c>
      <c r="H17" s="382">
        <v>0</v>
      </c>
      <c r="J17" s="1" t="s">
        <v>254</v>
      </c>
      <c r="K17" s="1"/>
      <c r="L17" s="1"/>
    </row>
    <row r="18" spans="1:12" ht="6" customHeight="1" thickBot="1">
      <c r="A18" s="48"/>
      <c r="H18" s="200"/>
      <c r="J18" s="1"/>
      <c r="K18" s="1"/>
      <c r="L18" s="1"/>
    </row>
    <row r="19" spans="1:12" ht="13.5" thickBot="1">
      <c r="A19" s="48" t="s">
        <v>596</v>
      </c>
      <c r="H19" s="381">
        <v>0</v>
      </c>
      <c r="I19" s="48" t="s">
        <v>597</v>
      </c>
    </row>
    <row r="20" spans="1:12" ht="6" customHeight="1" thickBot="1">
      <c r="A20" s="48"/>
    </row>
    <row r="21" spans="1:12" ht="13.5" thickBot="1">
      <c r="A21" s="48" t="s">
        <v>192</v>
      </c>
      <c r="I21" s="380" t="s">
        <v>62</v>
      </c>
    </row>
    <row r="23" spans="1:12" ht="13.5" thickBot="1">
      <c r="A23" s="201" t="s">
        <v>451</v>
      </c>
      <c r="B23" s="201" t="s">
        <v>452</v>
      </c>
      <c r="C23" s="201"/>
      <c r="D23" s="201"/>
      <c r="E23" s="201"/>
      <c r="F23" s="201" t="s">
        <v>453</v>
      </c>
      <c r="G23" s="201" t="s">
        <v>454</v>
      </c>
      <c r="H23" s="201" t="s">
        <v>455</v>
      </c>
      <c r="I23" s="201" t="s">
        <v>456</v>
      </c>
      <c r="J23" s="201" t="s">
        <v>457</v>
      </c>
      <c r="K23" s="201" t="s">
        <v>458</v>
      </c>
    </row>
    <row r="24" spans="1:12" ht="13.5" thickTop="1">
      <c r="A24" s="202">
        <f>IF($M$23=0,EDATE(RG!$D$27,-1),$M$23)</f>
        <v>45261</v>
      </c>
      <c r="B24" s="65"/>
      <c r="C24" s="65"/>
      <c r="D24" s="65"/>
      <c r="E24" s="65"/>
      <c r="F24" s="65"/>
      <c r="G24" s="65"/>
      <c r="H24" s="69"/>
      <c r="I24" s="65"/>
      <c r="J24" s="65"/>
      <c r="K24" s="379">
        <f>H15</f>
        <v>0</v>
      </c>
    </row>
    <row r="25" spans="1:12">
      <c r="A25" s="202">
        <f>EDATE(A24,1)</f>
        <v>45292</v>
      </c>
      <c r="B25" s="203">
        <f t="shared" ref="B25:B72" si="0">$H$15</f>
        <v>0</v>
      </c>
      <c r="C25" s="506">
        <f>IF(DG!$A$127=1,1,0)</f>
        <v>1</v>
      </c>
      <c r="D25" s="506">
        <f>IF(OR(C25=0,C25-F25&gt;0),0,1)</f>
        <v>0</v>
      </c>
      <c r="E25" s="506">
        <f>IF(D25=0,0,IF($I$21="O",0,1))</f>
        <v>0</v>
      </c>
      <c r="F25" s="149">
        <f>$H$19</f>
        <v>0</v>
      </c>
      <c r="G25" s="473">
        <f>IF($H$17&gt;0,$H$17+0.0000001,0)</f>
        <v>0</v>
      </c>
      <c r="H25" s="204">
        <f t="shared" ref="H25:H72" si="1">IF(C25=0,0,IF(AND(F25-C25=0,$I$21="O"),J25+K24,IF(AND($I$21="N",F25-C25=0),J25+K24,IF($I$21="O",J25,0))))</f>
        <v>0</v>
      </c>
      <c r="I25" s="474">
        <f>IF(H25=0,0,IF($I$21="O",H25-J25,H25-J25))</f>
        <v>0</v>
      </c>
      <c r="J25" s="204">
        <f t="shared" ref="J25:J72" si="2">IF(C25=0,0,K24*G25/12)</f>
        <v>0</v>
      </c>
      <c r="K25" s="204">
        <f t="shared" ref="K25:K30" si="3">IF(D25+D26=0,0,IF(E25=1,(K24+(K24*G25/12))-H25,B25-I25))</f>
        <v>0</v>
      </c>
    </row>
    <row r="26" spans="1:12">
      <c r="A26" s="202">
        <f t="shared" ref="A26:A72" si="4">EDATE(A25,1)</f>
        <v>45323</v>
      </c>
      <c r="B26" s="203">
        <f t="shared" si="0"/>
        <v>0</v>
      </c>
      <c r="C26" s="506">
        <f>IF(DG!$A$127=1,2,0)</f>
        <v>2</v>
      </c>
      <c r="D26" s="506">
        <f t="shared" ref="D26:D72" si="5">IF(OR(C26=0,C26-F26&gt;0),0,1)</f>
        <v>0</v>
      </c>
      <c r="E26" s="506">
        <f t="shared" ref="E26:E72" si="6">IF(D26=0,0,IF($I$21="O",0,1))</f>
        <v>0</v>
      </c>
      <c r="F26" s="149">
        <f t="shared" ref="F26:F72" si="7">$H$19</f>
        <v>0</v>
      </c>
      <c r="G26" s="473">
        <f t="shared" ref="G26:G72" si="8">IF($H$17&gt;0,$H$17+0.0000001,0)</f>
        <v>0</v>
      </c>
      <c r="H26" s="204">
        <f t="shared" si="1"/>
        <v>0</v>
      </c>
      <c r="I26" s="474">
        <f>IF(H26=0,0,IF($I$21="O",H26-J26,H26-(SUM(J25:J26))))</f>
        <v>0</v>
      </c>
      <c r="J26" s="204">
        <f t="shared" si="2"/>
        <v>0</v>
      </c>
      <c r="K26" s="204">
        <f t="shared" si="3"/>
        <v>0</v>
      </c>
    </row>
    <row r="27" spans="1:12">
      <c r="A27" s="202">
        <f t="shared" si="4"/>
        <v>45352</v>
      </c>
      <c r="B27" s="203">
        <f t="shared" si="0"/>
        <v>0</v>
      </c>
      <c r="C27" s="506">
        <f>IF(DG!$A$127=1,3,0)</f>
        <v>3</v>
      </c>
      <c r="D27" s="506">
        <f t="shared" si="5"/>
        <v>0</v>
      </c>
      <c r="E27" s="506">
        <f t="shared" si="6"/>
        <v>0</v>
      </c>
      <c r="F27" s="149">
        <f t="shared" si="7"/>
        <v>0</v>
      </c>
      <c r="G27" s="473">
        <f t="shared" si="8"/>
        <v>0</v>
      </c>
      <c r="H27" s="204">
        <f t="shared" si="1"/>
        <v>0</v>
      </c>
      <c r="I27" s="474">
        <f>IF(H27=0,0,IF($I$21="O",H27-J27,H27-(SUM($J$25:J27))))</f>
        <v>0</v>
      </c>
      <c r="J27" s="204">
        <f t="shared" si="2"/>
        <v>0</v>
      </c>
      <c r="K27" s="204">
        <f t="shared" si="3"/>
        <v>0</v>
      </c>
    </row>
    <row r="28" spans="1:12">
      <c r="A28" s="202">
        <f t="shared" si="4"/>
        <v>45383</v>
      </c>
      <c r="B28" s="203">
        <f t="shared" si="0"/>
        <v>0</v>
      </c>
      <c r="C28" s="506">
        <f>IF(DG!$A$127=1,4,IF(DG!$A$127=2,1,0))</f>
        <v>4</v>
      </c>
      <c r="D28" s="506">
        <f t="shared" si="5"/>
        <v>0</v>
      </c>
      <c r="E28" s="506">
        <f t="shared" si="6"/>
        <v>0</v>
      </c>
      <c r="F28" s="149">
        <f t="shared" si="7"/>
        <v>0</v>
      </c>
      <c r="G28" s="473">
        <f t="shared" si="8"/>
        <v>0</v>
      </c>
      <c r="H28" s="204">
        <f t="shared" si="1"/>
        <v>0</v>
      </c>
      <c r="I28" s="474">
        <f>IF(H28=0,0,IF($I$21="O",H28-J28,H28-(SUM($J$25:J28))))</f>
        <v>0</v>
      </c>
      <c r="J28" s="204">
        <f t="shared" si="2"/>
        <v>0</v>
      </c>
      <c r="K28" s="204">
        <f t="shared" si="3"/>
        <v>0</v>
      </c>
    </row>
    <row r="29" spans="1:12">
      <c r="A29" s="202">
        <f t="shared" si="4"/>
        <v>45413</v>
      </c>
      <c r="B29" s="203">
        <f t="shared" si="0"/>
        <v>0</v>
      </c>
      <c r="C29" s="506">
        <f>IF(DG!$A$127=1,5,IF(DG!$A$127=2,2,0))</f>
        <v>5</v>
      </c>
      <c r="D29" s="506">
        <f t="shared" si="5"/>
        <v>0</v>
      </c>
      <c r="E29" s="506">
        <f t="shared" si="6"/>
        <v>0</v>
      </c>
      <c r="F29" s="149">
        <f t="shared" si="7"/>
        <v>0</v>
      </c>
      <c r="G29" s="473">
        <f t="shared" si="8"/>
        <v>0</v>
      </c>
      <c r="H29" s="204">
        <f t="shared" si="1"/>
        <v>0</v>
      </c>
      <c r="I29" s="474">
        <f>IF(H29=0,0,IF($I$21="O",H29-J29,H29-(SUM($J$25:J29))))</f>
        <v>0</v>
      </c>
      <c r="J29" s="204">
        <f t="shared" si="2"/>
        <v>0</v>
      </c>
      <c r="K29" s="204">
        <f t="shared" si="3"/>
        <v>0</v>
      </c>
    </row>
    <row r="30" spans="1:12">
      <c r="A30" s="202">
        <f t="shared" si="4"/>
        <v>45444</v>
      </c>
      <c r="B30" s="203">
        <f t="shared" si="0"/>
        <v>0</v>
      </c>
      <c r="C30" s="506">
        <f>IF(DG!$A$127=1,6,IF(DG!$A$127=2,3,0))</f>
        <v>6</v>
      </c>
      <c r="D30" s="506">
        <f t="shared" si="5"/>
        <v>0</v>
      </c>
      <c r="E30" s="506">
        <f t="shared" si="6"/>
        <v>0</v>
      </c>
      <c r="F30" s="149">
        <f t="shared" si="7"/>
        <v>0</v>
      </c>
      <c r="G30" s="473">
        <f t="shared" si="8"/>
        <v>0</v>
      </c>
      <c r="H30" s="204">
        <f t="shared" si="1"/>
        <v>0</v>
      </c>
      <c r="I30" s="474">
        <f>IF(H30=0,0,IF($I$21="O",H30-J30,H30-(SUM($J$25:J30))))</f>
        <v>0</v>
      </c>
      <c r="J30" s="204">
        <f t="shared" si="2"/>
        <v>0</v>
      </c>
      <c r="K30" s="204">
        <f t="shared" si="3"/>
        <v>0</v>
      </c>
    </row>
    <row r="31" spans="1:12">
      <c r="A31" s="202">
        <f t="shared" si="4"/>
        <v>45474</v>
      </c>
      <c r="B31" s="203">
        <f t="shared" si="0"/>
        <v>0</v>
      </c>
      <c r="C31" s="506">
        <f>IF(DG!$A$127=1,7,IF(DG!$A$127=2,4,IF(DG!$A$127=3,1,0)))</f>
        <v>7</v>
      </c>
      <c r="D31" s="506">
        <f t="shared" si="5"/>
        <v>0</v>
      </c>
      <c r="E31" s="506">
        <f t="shared" si="6"/>
        <v>0</v>
      </c>
      <c r="F31" s="149">
        <f t="shared" si="7"/>
        <v>0</v>
      </c>
      <c r="G31" s="473">
        <f t="shared" si="8"/>
        <v>0</v>
      </c>
      <c r="H31" s="204">
        <f t="shared" si="1"/>
        <v>0</v>
      </c>
      <c r="I31" s="474">
        <f>IF(H31=0,0,IF($I$21="O",H31-J31,H31-(SUM($J$25:J31))))</f>
        <v>0</v>
      </c>
      <c r="J31" s="204">
        <f t="shared" si="2"/>
        <v>0</v>
      </c>
      <c r="K31" s="204">
        <f>IF(D31+D32=0,0,IF(E31=1,(K30+(K30*G31/12))-H31,B31-I31))</f>
        <v>0</v>
      </c>
    </row>
    <row r="32" spans="1:12">
      <c r="A32" s="202">
        <f t="shared" si="4"/>
        <v>45505</v>
      </c>
      <c r="B32" s="203">
        <f t="shared" si="0"/>
        <v>0</v>
      </c>
      <c r="C32" s="506">
        <f>IF(DG!$A$127=1,8,IF(DG!$A$127=2,5,IF(DG!$A$127=3,2,0)))</f>
        <v>8</v>
      </c>
      <c r="D32" s="506">
        <f t="shared" si="5"/>
        <v>0</v>
      </c>
      <c r="E32" s="506">
        <f t="shared" si="6"/>
        <v>0</v>
      </c>
      <c r="F32" s="149">
        <f t="shared" si="7"/>
        <v>0</v>
      </c>
      <c r="G32" s="473">
        <f t="shared" si="8"/>
        <v>0</v>
      </c>
      <c r="H32" s="204">
        <f t="shared" si="1"/>
        <v>0</v>
      </c>
      <c r="I32" s="474">
        <f>IF(H32=0,0,IF($I$21="O",H32-J32,H32-(SUM($J$25:J32))))</f>
        <v>0</v>
      </c>
      <c r="J32" s="204">
        <f t="shared" si="2"/>
        <v>0</v>
      </c>
      <c r="K32" s="204">
        <f>IF(D32+D33=0,0,IF(E32=1,(K31+(K31*G32/12))-H32,B32-I32))</f>
        <v>0</v>
      </c>
    </row>
    <row r="33" spans="1:12">
      <c r="A33" s="202">
        <f t="shared" si="4"/>
        <v>45536</v>
      </c>
      <c r="B33" s="203">
        <f t="shared" si="0"/>
        <v>0</v>
      </c>
      <c r="C33" s="506">
        <f>IF(DG!$A$127=1,9,IF(DG!$A$127=2,6,IF(DG!$A$127=3,3,0)))</f>
        <v>9</v>
      </c>
      <c r="D33" s="506">
        <f t="shared" si="5"/>
        <v>0</v>
      </c>
      <c r="E33" s="506">
        <f t="shared" si="6"/>
        <v>0</v>
      </c>
      <c r="F33" s="149">
        <f t="shared" si="7"/>
        <v>0</v>
      </c>
      <c r="G33" s="473">
        <f t="shared" si="8"/>
        <v>0</v>
      </c>
      <c r="H33" s="204">
        <f t="shared" si="1"/>
        <v>0</v>
      </c>
      <c r="I33" s="474">
        <f>IF(H33=0,0,IF($I$21="O",H33-J33,H33-(SUM($J$25:J33))))</f>
        <v>0</v>
      </c>
      <c r="J33" s="204">
        <f t="shared" si="2"/>
        <v>0</v>
      </c>
      <c r="K33" s="204">
        <f t="shared" ref="K33:K72" si="9">IF(D33+D34=0,0,IF(E33=1,(K32+(K32*G33/12))-H33,B33-I33))</f>
        <v>0</v>
      </c>
    </row>
    <row r="34" spans="1:12">
      <c r="A34" s="202">
        <f t="shared" si="4"/>
        <v>45566</v>
      </c>
      <c r="B34" s="203">
        <f t="shared" si="0"/>
        <v>0</v>
      </c>
      <c r="C34" s="506">
        <f>IF(DG!$A$127=1,10,IF(DG!$A$127=2,7,IF(DG!$A$127=3,4,IF(DG!$A$127=4,1,0))))</f>
        <v>10</v>
      </c>
      <c r="D34" s="506">
        <f t="shared" si="5"/>
        <v>0</v>
      </c>
      <c r="E34" s="506">
        <f t="shared" si="6"/>
        <v>0</v>
      </c>
      <c r="F34" s="149">
        <f t="shared" si="7"/>
        <v>0</v>
      </c>
      <c r="G34" s="473">
        <f t="shared" si="8"/>
        <v>0</v>
      </c>
      <c r="H34" s="204">
        <f t="shared" si="1"/>
        <v>0</v>
      </c>
      <c r="I34" s="474">
        <f>IF(H34=0,0,IF($I$21="O",H34-J34,H34-(SUM($J$25:J34))))</f>
        <v>0</v>
      </c>
      <c r="J34" s="204">
        <f t="shared" si="2"/>
        <v>0</v>
      </c>
      <c r="K34" s="204">
        <f t="shared" si="9"/>
        <v>0</v>
      </c>
    </row>
    <row r="35" spans="1:12">
      <c r="A35" s="202">
        <f t="shared" si="4"/>
        <v>45597</v>
      </c>
      <c r="B35" s="203">
        <f t="shared" si="0"/>
        <v>0</v>
      </c>
      <c r="C35" s="506">
        <f>IF(DG!$A$127=1,11,IF(DG!$A$127=2,8,IF(DG!$A$127=3,5,IF(DG!$A$127=4,2,0))))</f>
        <v>11</v>
      </c>
      <c r="D35" s="506">
        <f t="shared" si="5"/>
        <v>0</v>
      </c>
      <c r="E35" s="506">
        <f t="shared" si="6"/>
        <v>0</v>
      </c>
      <c r="F35" s="149">
        <f t="shared" si="7"/>
        <v>0</v>
      </c>
      <c r="G35" s="473">
        <f t="shared" si="8"/>
        <v>0</v>
      </c>
      <c r="H35" s="204">
        <f t="shared" si="1"/>
        <v>0</v>
      </c>
      <c r="I35" s="474">
        <f>IF(H35=0,0,IF($I$21="O",H35-J35,H35-(SUM($J$25:J35))))</f>
        <v>0</v>
      </c>
      <c r="J35" s="204">
        <f t="shared" si="2"/>
        <v>0</v>
      </c>
      <c r="K35" s="204">
        <f t="shared" si="9"/>
        <v>0</v>
      </c>
    </row>
    <row r="36" spans="1:12">
      <c r="A36" s="202">
        <f t="shared" si="4"/>
        <v>45627</v>
      </c>
      <c r="B36" s="203">
        <f t="shared" si="0"/>
        <v>0</v>
      </c>
      <c r="C36" s="506">
        <f>IF(DG!$A$127=1,12,IF(DG!$A$127=2,9,IF(DG!$A$127=3,6,IF(DG!$A$127=4,3,0))))</f>
        <v>12</v>
      </c>
      <c r="D36" s="506">
        <f t="shared" si="5"/>
        <v>0</v>
      </c>
      <c r="E36" s="506">
        <f t="shared" si="6"/>
        <v>0</v>
      </c>
      <c r="F36" s="149">
        <f t="shared" si="7"/>
        <v>0</v>
      </c>
      <c r="G36" s="473">
        <f t="shared" si="8"/>
        <v>0</v>
      </c>
      <c r="H36" s="204">
        <f t="shared" si="1"/>
        <v>0</v>
      </c>
      <c r="I36" s="474">
        <f>IF(H36=0,0,IF($I$21="O",H36-J36,H36-(SUM($J$25:J36))))</f>
        <v>0</v>
      </c>
      <c r="J36" s="204">
        <f t="shared" si="2"/>
        <v>0</v>
      </c>
      <c r="K36" s="204">
        <f t="shared" si="9"/>
        <v>0</v>
      </c>
      <c r="L36" s="510"/>
    </row>
    <row r="37" spans="1:12">
      <c r="A37" s="202">
        <f t="shared" si="4"/>
        <v>45658</v>
      </c>
      <c r="B37" s="203">
        <f t="shared" si="0"/>
        <v>0</v>
      </c>
      <c r="C37" s="506">
        <f>IF(DG!$A$127=2,10,IF(DG!$A$127=3,7,IF(DG!$A$127=4,4,IF(DG!$A$127=5,1,0))))</f>
        <v>0</v>
      </c>
      <c r="D37" s="506">
        <f t="shared" si="5"/>
        <v>0</v>
      </c>
      <c r="E37" s="506">
        <f t="shared" si="6"/>
        <v>0</v>
      </c>
      <c r="F37" s="149">
        <f t="shared" si="7"/>
        <v>0</v>
      </c>
      <c r="G37" s="473">
        <f t="shared" si="8"/>
        <v>0</v>
      </c>
      <c r="H37" s="204">
        <f t="shared" si="1"/>
        <v>0</v>
      </c>
      <c r="I37" s="474">
        <f>IF(H37=0,0,IF($I$21="O",H37-J37,H37-(SUM($J$25:J37))))</f>
        <v>0</v>
      </c>
      <c r="J37" s="204">
        <f t="shared" si="2"/>
        <v>0</v>
      </c>
      <c r="K37" s="204">
        <f t="shared" si="9"/>
        <v>0</v>
      </c>
    </row>
    <row r="38" spans="1:12">
      <c r="A38" s="202">
        <f t="shared" si="4"/>
        <v>45689</v>
      </c>
      <c r="B38" s="203">
        <f t="shared" si="0"/>
        <v>0</v>
      </c>
      <c r="C38" s="506">
        <f>IF(DG!$A$127=2,11,IF(DG!$A$127=3,8,IF(DG!$A$127=4,5,IF(DG!$A$127=5,2,0))))</f>
        <v>0</v>
      </c>
      <c r="D38" s="506">
        <f t="shared" si="5"/>
        <v>0</v>
      </c>
      <c r="E38" s="506">
        <f t="shared" si="6"/>
        <v>0</v>
      </c>
      <c r="F38" s="149">
        <f t="shared" si="7"/>
        <v>0</v>
      </c>
      <c r="G38" s="473">
        <f t="shared" si="8"/>
        <v>0</v>
      </c>
      <c r="H38" s="204">
        <f t="shared" si="1"/>
        <v>0</v>
      </c>
      <c r="I38" s="474">
        <f>IF(H38=0,0,IF($I$21="O",H38-J38,H38-(SUM($J$25:J38))))</f>
        <v>0</v>
      </c>
      <c r="J38" s="204">
        <f t="shared" si="2"/>
        <v>0</v>
      </c>
      <c r="K38" s="204">
        <f t="shared" si="9"/>
        <v>0</v>
      </c>
    </row>
    <row r="39" spans="1:12">
      <c r="A39" s="202">
        <f t="shared" si="4"/>
        <v>45717</v>
      </c>
      <c r="B39" s="203">
        <f t="shared" si="0"/>
        <v>0</v>
      </c>
      <c r="C39" s="506">
        <f>IF(DG!$A$127=2,12,IF(DG!$A$127=3,9,IF(DG!$A$127=4,6,IF(DG!$A$127=5,3,0))))</f>
        <v>0</v>
      </c>
      <c r="D39" s="506">
        <f t="shared" si="5"/>
        <v>0</v>
      </c>
      <c r="E39" s="506">
        <f t="shared" si="6"/>
        <v>0</v>
      </c>
      <c r="F39" s="149">
        <f t="shared" si="7"/>
        <v>0</v>
      </c>
      <c r="G39" s="473">
        <f t="shared" si="8"/>
        <v>0</v>
      </c>
      <c r="H39" s="204">
        <f t="shared" si="1"/>
        <v>0</v>
      </c>
      <c r="I39" s="474">
        <f>IF(H39=0,0,IF($I$21="O",H39-J39,H39-(SUM($J$25:J39))))</f>
        <v>0</v>
      </c>
      <c r="J39" s="204">
        <f t="shared" si="2"/>
        <v>0</v>
      </c>
      <c r="K39" s="204">
        <f t="shared" si="9"/>
        <v>0</v>
      </c>
    </row>
    <row r="40" spans="1:12">
      <c r="A40" s="202">
        <f t="shared" si="4"/>
        <v>45748</v>
      </c>
      <c r="B40" s="203">
        <f t="shared" si="0"/>
        <v>0</v>
      </c>
      <c r="C40" s="506">
        <f>IF(DG!$A$127=3,10,IF(DG!$A$127=4,7,IF(DG!$A$127=5,4,IF(DG!$A$127=6,1,0))))</f>
        <v>0</v>
      </c>
      <c r="D40" s="506">
        <f t="shared" si="5"/>
        <v>0</v>
      </c>
      <c r="E40" s="506">
        <f t="shared" si="6"/>
        <v>0</v>
      </c>
      <c r="F40" s="149">
        <f t="shared" si="7"/>
        <v>0</v>
      </c>
      <c r="G40" s="473">
        <f t="shared" si="8"/>
        <v>0</v>
      </c>
      <c r="H40" s="204">
        <f t="shared" si="1"/>
        <v>0</v>
      </c>
      <c r="I40" s="474">
        <f>IF(H40=0,0,IF($I$21="O",H40-J40,H40-(SUM($J$25:J40))))</f>
        <v>0</v>
      </c>
      <c r="J40" s="204">
        <f t="shared" si="2"/>
        <v>0</v>
      </c>
      <c r="K40" s="204">
        <f t="shared" si="9"/>
        <v>0</v>
      </c>
    </row>
    <row r="41" spans="1:12">
      <c r="A41" s="202">
        <f t="shared" si="4"/>
        <v>45778</v>
      </c>
      <c r="B41" s="203">
        <f t="shared" si="0"/>
        <v>0</v>
      </c>
      <c r="C41" s="506">
        <f>IF(DG!$A$127=3,11,IF(DG!$A$127=4,8,IF(DG!$A$127=5,5,IF(DG!$A$127=6,2,0))))</f>
        <v>0</v>
      </c>
      <c r="D41" s="506">
        <f t="shared" si="5"/>
        <v>0</v>
      </c>
      <c r="E41" s="506">
        <f t="shared" si="6"/>
        <v>0</v>
      </c>
      <c r="F41" s="149">
        <f t="shared" si="7"/>
        <v>0</v>
      </c>
      <c r="G41" s="473">
        <f t="shared" si="8"/>
        <v>0</v>
      </c>
      <c r="H41" s="204">
        <f t="shared" si="1"/>
        <v>0</v>
      </c>
      <c r="I41" s="474">
        <f>IF(H41=0,0,IF($I$21="O",H41-J41,H41-(SUM($J$25:J41))))</f>
        <v>0</v>
      </c>
      <c r="J41" s="204">
        <f t="shared" si="2"/>
        <v>0</v>
      </c>
      <c r="K41" s="204">
        <f t="shared" si="9"/>
        <v>0</v>
      </c>
    </row>
    <row r="42" spans="1:12">
      <c r="A42" s="202">
        <f t="shared" si="4"/>
        <v>45809</v>
      </c>
      <c r="B42" s="203">
        <f t="shared" si="0"/>
        <v>0</v>
      </c>
      <c r="C42" s="506">
        <f>IF(DG!$A$127=3,12,IF(DG!$A$127=4,9,IF(DG!$A$127=5,6,IF(DG!$A$127=6,3,0))))</f>
        <v>0</v>
      </c>
      <c r="D42" s="506">
        <f t="shared" si="5"/>
        <v>0</v>
      </c>
      <c r="E42" s="506">
        <f t="shared" si="6"/>
        <v>0</v>
      </c>
      <c r="F42" s="149">
        <f t="shared" si="7"/>
        <v>0</v>
      </c>
      <c r="G42" s="473">
        <f t="shared" si="8"/>
        <v>0</v>
      </c>
      <c r="H42" s="204">
        <f t="shared" si="1"/>
        <v>0</v>
      </c>
      <c r="I42" s="474">
        <f>IF(H42=0,0,IF($I$21="O",H42-J42,H42-(SUM($J$25:J42))))</f>
        <v>0</v>
      </c>
      <c r="J42" s="204">
        <f t="shared" si="2"/>
        <v>0</v>
      </c>
      <c r="K42" s="204">
        <f t="shared" si="9"/>
        <v>0</v>
      </c>
    </row>
    <row r="43" spans="1:12">
      <c r="A43" s="202">
        <f t="shared" si="4"/>
        <v>45839</v>
      </c>
      <c r="B43" s="203">
        <f t="shared" si="0"/>
        <v>0</v>
      </c>
      <c r="C43" s="506">
        <f>IF(DG!$A$127=4,10,IF(DG!$A$127=5,7,IF(DG!$A$127=6,4,IF(DG!$A$127=7,1,0))))</f>
        <v>0</v>
      </c>
      <c r="D43" s="506">
        <f t="shared" si="5"/>
        <v>0</v>
      </c>
      <c r="E43" s="506">
        <f t="shared" si="6"/>
        <v>0</v>
      </c>
      <c r="F43" s="149">
        <f t="shared" si="7"/>
        <v>0</v>
      </c>
      <c r="G43" s="473">
        <f t="shared" si="8"/>
        <v>0</v>
      </c>
      <c r="H43" s="204">
        <f t="shared" si="1"/>
        <v>0</v>
      </c>
      <c r="I43" s="474">
        <f>IF(H43=0,0,IF($I$21="O",H43-J43,H43-(SUM($J$25:J43))))</f>
        <v>0</v>
      </c>
      <c r="J43" s="204">
        <f t="shared" si="2"/>
        <v>0</v>
      </c>
      <c r="K43" s="204">
        <f t="shared" si="9"/>
        <v>0</v>
      </c>
    </row>
    <row r="44" spans="1:12">
      <c r="A44" s="202">
        <f t="shared" si="4"/>
        <v>45870</v>
      </c>
      <c r="B44" s="203">
        <f t="shared" si="0"/>
        <v>0</v>
      </c>
      <c r="C44" s="506">
        <f>IF(DG!$A$127=4,11,IF(DG!$A$127=5,8,IF(DG!$A$127=6,5,IF(DG!$A$127=7,2,0))))</f>
        <v>0</v>
      </c>
      <c r="D44" s="506">
        <f t="shared" si="5"/>
        <v>0</v>
      </c>
      <c r="E44" s="506">
        <f t="shared" si="6"/>
        <v>0</v>
      </c>
      <c r="F44" s="149">
        <f t="shared" si="7"/>
        <v>0</v>
      </c>
      <c r="G44" s="473">
        <f t="shared" si="8"/>
        <v>0</v>
      </c>
      <c r="H44" s="204">
        <f t="shared" si="1"/>
        <v>0</v>
      </c>
      <c r="I44" s="474">
        <f>IF(H44=0,0,IF($I$21="O",H44-J44,H44-(SUM($J$25:J44))))</f>
        <v>0</v>
      </c>
      <c r="J44" s="204">
        <f t="shared" si="2"/>
        <v>0</v>
      </c>
      <c r="K44" s="204">
        <f t="shared" si="9"/>
        <v>0</v>
      </c>
    </row>
    <row r="45" spans="1:12">
      <c r="A45" s="202">
        <f t="shared" si="4"/>
        <v>45901</v>
      </c>
      <c r="B45" s="203">
        <f t="shared" si="0"/>
        <v>0</v>
      </c>
      <c r="C45" s="506">
        <f>IF(DG!$A$127=4,12,IF(DG!$A$127=5,9,IF(DG!$A$127=6,6,IF(DG!$A$127=7,3,0))))</f>
        <v>0</v>
      </c>
      <c r="D45" s="506">
        <f t="shared" si="5"/>
        <v>0</v>
      </c>
      <c r="E45" s="506">
        <f t="shared" si="6"/>
        <v>0</v>
      </c>
      <c r="F45" s="149">
        <f t="shared" si="7"/>
        <v>0</v>
      </c>
      <c r="G45" s="473">
        <f t="shared" si="8"/>
        <v>0</v>
      </c>
      <c r="H45" s="204">
        <f t="shared" si="1"/>
        <v>0</v>
      </c>
      <c r="I45" s="474">
        <f>IF(H45=0,0,IF($I$21="O",H45-J45,H45-(SUM($J$25:J45))))</f>
        <v>0</v>
      </c>
      <c r="J45" s="204">
        <f t="shared" si="2"/>
        <v>0</v>
      </c>
      <c r="K45" s="204">
        <f t="shared" si="9"/>
        <v>0</v>
      </c>
    </row>
    <row r="46" spans="1:12">
      <c r="A46" s="202">
        <f t="shared" si="4"/>
        <v>45931</v>
      </c>
      <c r="B46" s="203">
        <f t="shared" si="0"/>
        <v>0</v>
      </c>
      <c r="C46" s="506">
        <f>IF(DG!$A$127=5,10,IF(DG!$A$127=6,7,IF(DG!$A$127=7,4,IF(DG!$A$127=8,1,0))))</f>
        <v>0</v>
      </c>
      <c r="D46" s="506">
        <f t="shared" si="5"/>
        <v>0</v>
      </c>
      <c r="E46" s="506">
        <f t="shared" si="6"/>
        <v>0</v>
      </c>
      <c r="F46" s="149">
        <f t="shared" si="7"/>
        <v>0</v>
      </c>
      <c r="G46" s="473">
        <f t="shared" si="8"/>
        <v>0</v>
      </c>
      <c r="H46" s="204">
        <f t="shared" si="1"/>
        <v>0</v>
      </c>
      <c r="I46" s="474">
        <f>IF(H46=0,0,IF($I$21="O",H46-J46,H46-(SUM($J$25:J46))))</f>
        <v>0</v>
      </c>
      <c r="J46" s="204">
        <f t="shared" si="2"/>
        <v>0</v>
      </c>
      <c r="K46" s="204">
        <f t="shared" si="9"/>
        <v>0</v>
      </c>
    </row>
    <row r="47" spans="1:12">
      <c r="A47" s="202">
        <f t="shared" si="4"/>
        <v>45962</v>
      </c>
      <c r="B47" s="203">
        <f t="shared" si="0"/>
        <v>0</v>
      </c>
      <c r="C47" s="506">
        <f>IF(DG!$A$127=5,11,IF(DG!$A$127=6,8,IF(DG!$A$127=7,5,IF(DG!$A$127=8,2,0))))</f>
        <v>0</v>
      </c>
      <c r="D47" s="506">
        <f t="shared" si="5"/>
        <v>0</v>
      </c>
      <c r="E47" s="506">
        <f t="shared" si="6"/>
        <v>0</v>
      </c>
      <c r="F47" s="149">
        <f t="shared" si="7"/>
        <v>0</v>
      </c>
      <c r="G47" s="473">
        <f t="shared" si="8"/>
        <v>0</v>
      </c>
      <c r="H47" s="204">
        <f t="shared" si="1"/>
        <v>0</v>
      </c>
      <c r="I47" s="474">
        <f>IF(H47=0,0,IF($I$21="O",H47-J47,H47-(SUM($J$25:J47))))</f>
        <v>0</v>
      </c>
      <c r="J47" s="204">
        <f t="shared" si="2"/>
        <v>0</v>
      </c>
      <c r="K47" s="204">
        <f t="shared" si="9"/>
        <v>0</v>
      </c>
    </row>
    <row r="48" spans="1:12">
      <c r="A48" s="202">
        <f t="shared" si="4"/>
        <v>45992</v>
      </c>
      <c r="B48" s="203">
        <f t="shared" si="0"/>
        <v>0</v>
      </c>
      <c r="C48" s="506">
        <f>IF(DG!$A$127=5,12,IF(DG!$A$127=6,9,IF(DG!$A$127=7,6,IF(DG!$A$127=8,3,0))))</f>
        <v>0</v>
      </c>
      <c r="D48" s="506">
        <f t="shared" si="5"/>
        <v>0</v>
      </c>
      <c r="E48" s="506">
        <f t="shared" si="6"/>
        <v>0</v>
      </c>
      <c r="F48" s="149">
        <f t="shared" si="7"/>
        <v>0</v>
      </c>
      <c r="G48" s="473">
        <f t="shared" si="8"/>
        <v>0</v>
      </c>
      <c r="H48" s="204">
        <f t="shared" si="1"/>
        <v>0</v>
      </c>
      <c r="I48" s="474">
        <f>IF(H48=0,0,IF($I$21="O",H48-J48,H48-(SUM($J$25:J48))))</f>
        <v>0</v>
      </c>
      <c r="J48" s="204">
        <f t="shared" si="2"/>
        <v>0</v>
      </c>
      <c r="K48" s="204">
        <f t="shared" si="9"/>
        <v>0</v>
      </c>
      <c r="L48" s="510"/>
    </row>
    <row r="49" spans="1:12">
      <c r="A49" s="202">
        <f t="shared" si="4"/>
        <v>46023</v>
      </c>
      <c r="B49" s="203">
        <f t="shared" si="0"/>
        <v>0</v>
      </c>
      <c r="C49" s="506">
        <f>IF(DG!$A$127=9,1,IF(DG!$A$127=6,10,IF(DG!$A$127=7,7,IF(DG!$A$127=8,4,0))))</f>
        <v>0</v>
      </c>
      <c r="D49" s="506">
        <f t="shared" si="5"/>
        <v>0</v>
      </c>
      <c r="E49" s="506">
        <f t="shared" si="6"/>
        <v>0</v>
      </c>
      <c r="F49" s="149">
        <f t="shared" si="7"/>
        <v>0</v>
      </c>
      <c r="G49" s="473">
        <f t="shared" si="8"/>
        <v>0</v>
      </c>
      <c r="H49" s="204">
        <f t="shared" si="1"/>
        <v>0</v>
      </c>
      <c r="I49" s="474">
        <f>IF(H49=0,0,IF($I$21="O",H49-J49,H49-(SUM($J$25:J49))))</f>
        <v>0</v>
      </c>
      <c r="J49" s="204">
        <f t="shared" si="2"/>
        <v>0</v>
      </c>
      <c r="K49" s="204">
        <f t="shared" si="9"/>
        <v>0</v>
      </c>
    </row>
    <row r="50" spans="1:12">
      <c r="A50" s="202">
        <f t="shared" si="4"/>
        <v>46054</v>
      </c>
      <c r="B50" s="203">
        <f t="shared" si="0"/>
        <v>0</v>
      </c>
      <c r="C50" s="506">
        <f>IF(DG!$A$127=9,2,IF(DG!$A$127=6,11,IF(DG!$A$127=7,8,IF(DG!$A$127=8,5,0))))</f>
        <v>0</v>
      </c>
      <c r="D50" s="506">
        <f t="shared" si="5"/>
        <v>0</v>
      </c>
      <c r="E50" s="506">
        <f t="shared" si="6"/>
        <v>0</v>
      </c>
      <c r="F50" s="149">
        <f t="shared" si="7"/>
        <v>0</v>
      </c>
      <c r="G50" s="473">
        <f t="shared" si="8"/>
        <v>0</v>
      </c>
      <c r="H50" s="204">
        <f t="shared" si="1"/>
        <v>0</v>
      </c>
      <c r="I50" s="474">
        <f>IF(H50=0,0,IF($I$21="O",H50-J50,H50-(SUM($J$25:J50))))</f>
        <v>0</v>
      </c>
      <c r="J50" s="204">
        <f t="shared" si="2"/>
        <v>0</v>
      </c>
      <c r="K50" s="204">
        <f t="shared" si="9"/>
        <v>0</v>
      </c>
    </row>
    <row r="51" spans="1:12">
      <c r="A51" s="202">
        <f t="shared" si="4"/>
        <v>46082</v>
      </c>
      <c r="B51" s="203">
        <f t="shared" si="0"/>
        <v>0</v>
      </c>
      <c r="C51" s="506">
        <f>IF(DG!$A$127=9,3,IF(DG!$A$127=6,12,IF(DG!$A$127=7,9,IF(DG!$A$127=8,6,0))))</f>
        <v>0</v>
      </c>
      <c r="D51" s="506">
        <f t="shared" si="5"/>
        <v>0</v>
      </c>
      <c r="E51" s="506">
        <f t="shared" si="6"/>
        <v>0</v>
      </c>
      <c r="F51" s="149">
        <f t="shared" si="7"/>
        <v>0</v>
      </c>
      <c r="G51" s="473">
        <f t="shared" si="8"/>
        <v>0</v>
      </c>
      <c r="H51" s="204">
        <f t="shared" si="1"/>
        <v>0</v>
      </c>
      <c r="I51" s="474">
        <f>IF(H51=0,0,IF($I$21="O",H51-J51,H51-(SUM($J$25:J51))))</f>
        <v>0</v>
      </c>
      <c r="J51" s="204">
        <f t="shared" si="2"/>
        <v>0</v>
      </c>
      <c r="K51" s="204">
        <f t="shared" si="9"/>
        <v>0</v>
      </c>
    </row>
    <row r="52" spans="1:12">
      <c r="A52" s="202">
        <f t="shared" si="4"/>
        <v>46113</v>
      </c>
      <c r="B52" s="203">
        <f t="shared" si="0"/>
        <v>0</v>
      </c>
      <c r="C52" s="506">
        <f>IF(DG!$A$127=9,4,IF(DG!$A$127=10,1,IF(DG!$A$127=7,10,IF(DG!$A$127=8,7,0))))</f>
        <v>0</v>
      </c>
      <c r="D52" s="506">
        <f t="shared" si="5"/>
        <v>0</v>
      </c>
      <c r="E52" s="506">
        <f t="shared" si="6"/>
        <v>0</v>
      </c>
      <c r="F52" s="149">
        <f t="shared" si="7"/>
        <v>0</v>
      </c>
      <c r="G52" s="473">
        <f t="shared" si="8"/>
        <v>0</v>
      </c>
      <c r="H52" s="204">
        <f t="shared" si="1"/>
        <v>0</v>
      </c>
      <c r="I52" s="474">
        <f>IF(H52=0,0,IF($I$21="O",H52-J52,H52-(SUM($J$25:J52))))</f>
        <v>0</v>
      </c>
      <c r="J52" s="204">
        <f t="shared" si="2"/>
        <v>0</v>
      </c>
      <c r="K52" s="204">
        <f t="shared" si="9"/>
        <v>0</v>
      </c>
    </row>
    <row r="53" spans="1:12">
      <c r="A53" s="202">
        <f t="shared" si="4"/>
        <v>46143</v>
      </c>
      <c r="B53" s="203">
        <f t="shared" si="0"/>
        <v>0</v>
      </c>
      <c r="C53" s="506">
        <f>IF(DG!$A$127=9,5,IF(DG!$A$127=10,2,IF(DG!$A$127=7,11,IF(DG!$A$127=8,8,0))))</f>
        <v>0</v>
      </c>
      <c r="D53" s="506">
        <f t="shared" si="5"/>
        <v>0</v>
      </c>
      <c r="E53" s="506">
        <f t="shared" si="6"/>
        <v>0</v>
      </c>
      <c r="F53" s="149">
        <f t="shared" si="7"/>
        <v>0</v>
      </c>
      <c r="G53" s="473">
        <f t="shared" si="8"/>
        <v>0</v>
      </c>
      <c r="H53" s="204">
        <f t="shared" si="1"/>
        <v>0</v>
      </c>
      <c r="I53" s="474">
        <f>IF(H53=0,0,IF($I$21="O",H53-J53,H53-(SUM($J$25:J53))))</f>
        <v>0</v>
      </c>
      <c r="J53" s="204">
        <f t="shared" si="2"/>
        <v>0</v>
      </c>
      <c r="K53" s="204">
        <f t="shared" si="9"/>
        <v>0</v>
      </c>
    </row>
    <row r="54" spans="1:12">
      <c r="A54" s="202">
        <f t="shared" si="4"/>
        <v>46174</v>
      </c>
      <c r="B54" s="203">
        <f t="shared" si="0"/>
        <v>0</v>
      </c>
      <c r="C54" s="506">
        <f>IF(DG!$A$127=9,6,IF(DG!$A$127=10,3,IF(DG!$A$127=7,12,IF(DG!$A$127=8,9,0))))</f>
        <v>0</v>
      </c>
      <c r="D54" s="506">
        <f t="shared" si="5"/>
        <v>0</v>
      </c>
      <c r="E54" s="506">
        <f t="shared" si="6"/>
        <v>0</v>
      </c>
      <c r="F54" s="149">
        <f t="shared" si="7"/>
        <v>0</v>
      </c>
      <c r="G54" s="473">
        <f t="shared" si="8"/>
        <v>0</v>
      </c>
      <c r="H54" s="204">
        <f t="shared" si="1"/>
        <v>0</v>
      </c>
      <c r="I54" s="474">
        <f>IF(H54=0,0,IF($I$21="O",H54-J54,H54-(SUM($J$25:J54))))</f>
        <v>0</v>
      </c>
      <c r="J54" s="204">
        <f t="shared" si="2"/>
        <v>0</v>
      </c>
      <c r="K54" s="204">
        <f t="shared" si="9"/>
        <v>0</v>
      </c>
    </row>
    <row r="55" spans="1:12">
      <c r="A55" s="202">
        <f t="shared" si="4"/>
        <v>46204</v>
      </c>
      <c r="B55" s="203">
        <f t="shared" si="0"/>
        <v>0</v>
      </c>
      <c r="C55" s="506">
        <f>IF(DG!$A$127=9,7,IF(DG!$A$127=10,4,IF(DG!$A$127=11,1,IF(DG!$A$127=8,10,0))))</f>
        <v>0</v>
      </c>
      <c r="D55" s="506">
        <f t="shared" si="5"/>
        <v>0</v>
      </c>
      <c r="E55" s="506">
        <f t="shared" si="6"/>
        <v>0</v>
      </c>
      <c r="F55" s="149">
        <f t="shared" si="7"/>
        <v>0</v>
      </c>
      <c r="G55" s="473">
        <f t="shared" si="8"/>
        <v>0</v>
      </c>
      <c r="H55" s="204">
        <f t="shared" si="1"/>
        <v>0</v>
      </c>
      <c r="I55" s="474">
        <f>IF(H55=0,0,IF($I$21="O",H55-J55,H55-(SUM($J$25:J55))))</f>
        <v>0</v>
      </c>
      <c r="J55" s="204">
        <f t="shared" si="2"/>
        <v>0</v>
      </c>
      <c r="K55" s="204">
        <f t="shared" si="9"/>
        <v>0</v>
      </c>
    </row>
    <row r="56" spans="1:12">
      <c r="A56" s="202">
        <f t="shared" si="4"/>
        <v>46235</v>
      </c>
      <c r="B56" s="203">
        <f t="shared" si="0"/>
        <v>0</v>
      </c>
      <c r="C56" s="506">
        <f>IF(DG!$A$127=9,8,IF(DG!$A$127=10,5,IF(DG!$A$127=11,2,IF(DG!$A$127=8,11,0))))</f>
        <v>0</v>
      </c>
      <c r="D56" s="506">
        <f t="shared" si="5"/>
        <v>0</v>
      </c>
      <c r="E56" s="506">
        <f t="shared" si="6"/>
        <v>0</v>
      </c>
      <c r="F56" s="149">
        <f t="shared" si="7"/>
        <v>0</v>
      </c>
      <c r="G56" s="473">
        <f t="shared" si="8"/>
        <v>0</v>
      </c>
      <c r="H56" s="204">
        <f t="shared" si="1"/>
        <v>0</v>
      </c>
      <c r="I56" s="474">
        <f>IF(H56=0,0,IF($I$21="O",H56-J56,H56-(SUM($J$25:J56))))</f>
        <v>0</v>
      </c>
      <c r="J56" s="204">
        <f t="shared" si="2"/>
        <v>0</v>
      </c>
      <c r="K56" s="204">
        <f t="shared" si="9"/>
        <v>0</v>
      </c>
    </row>
    <row r="57" spans="1:12">
      <c r="A57" s="202">
        <f t="shared" si="4"/>
        <v>46266</v>
      </c>
      <c r="B57" s="203">
        <f t="shared" si="0"/>
        <v>0</v>
      </c>
      <c r="C57" s="506">
        <f>IF(DG!$A$127=9,9,IF(DG!$A$127=10,6,IF(DG!$A$127=11,3,IF(DG!$A$127=8,12,0))))</f>
        <v>0</v>
      </c>
      <c r="D57" s="506">
        <f t="shared" si="5"/>
        <v>0</v>
      </c>
      <c r="E57" s="506">
        <f t="shared" si="6"/>
        <v>0</v>
      </c>
      <c r="F57" s="149">
        <f t="shared" si="7"/>
        <v>0</v>
      </c>
      <c r="G57" s="473">
        <f t="shared" si="8"/>
        <v>0</v>
      </c>
      <c r="H57" s="204">
        <f t="shared" si="1"/>
        <v>0</v>
      </c>
      <c r="I57" s="474">
        <f>IF(H57=0,0,IF($I$21="O",H57-J57,H57-(SUM($J$25:J57))))</f>
        <v>0</v>
      </c>
      <c r="J57" s="204">
        <f t="shared" si="2"/>
        <v>0</v>
      </c>
      <c r="K57" s="204">
        <f t="shared" si="9"/>
        <v>0</v>
      </c>
    </row>
    <row r="58" spans="1:12">
      <c r="A58" s="202">
        <f t="shared" si="4"/>
        <v>46296</v>
      </c>
      <c r="B58" s="203">
        <f t="shared" si="0"/>
        <v>0</v>
      </c>
      <c r="C58" s="506">
        <f>IF(DG!$A$127=9,10,IF(DG!$A$127=10,7,IF(DG!$A$127=11,4,IF(DG!$A$127=12,1,0))))</f>
        <v>0</v>
      </c>
      <c r="D58" s="506">
        <f t="shared" si="5"/>
        <v>0</v>
      </c>
      <c r="E58" s="506">
        <f t="shared" si="6"/>
        <v>0</v>
      </c>
      <c r="F58" s="149">
        <f t="shared" si="7"/>
        <v>0</v>
      </c>
      <c r="G58" s="473">
        <f t="shared" si="8"/>
        <v>0</v>
      </c>
      <c r="H58" s="204">
        <f t="shared" si="1"/>
        <v>0</v>
      </c>
      <c r="I58" s="474">
        <f>IF(H58=0,0,IF($I$21="O",H58-J58,H58-(SUM($J$25:J58))))</f>
        <v>0</v>
      </c>
      <c r="J58" s="204">
        <f t="shared" si="2"/>
        <v>0</v>
      </c>
      <c r="K58" s="204">
        <f t="shared" si="9"/>
        <v>0</v>
      </c>
    </row>
    <row r="59" spans="1:12">
      <c r="A59" s="202">
        <f t="shared" si="4"/>
        <v>46327</v>
      </c>
      <c r="B59" s="203">
        <f t="shared" si="0"/>
        <v>0</v>
      </c>
      <c r="C59" s="506">
        <f>IF(DG!$A$127=9,11,IF(DG!$A$127=10,8,IF(DG!$A$127=11,5,IF(DG!$A$127=12,2,0))))</f>
        <v>0</v>
      </c>
      <c r="D59" s="506">
        <f t="shared" si="5"/>
        <v>0</v>
      </c>
      <c r="E59" s="506">
        <f t="shared" si="6"/>
        <v>0</v>
      </c>
      <c r="F59" s="149">
        <f t="shared" si="7"/>
        <v>0</v>
      </c>
      <c r="G59" s="473">
        <f t="shared" si="8"/>
        <v>0</v>
      </c>
      <c r="H59" s="204">
        <f t="shared" si="1"/>
        <v>0</v>
      </c>
      <c r="I59" s="474">
        <f>IF(H59=0,0,IF($I$21="O",H59-J59,H59-(SUM($J$25:J59))))</f>
        <v>0</v>
      </c>
      <c r="J59" s="204">
        <f t="shared" si="2"/>
        <v>0</v>
      </c>
      <c r="K59" s="204">
        <f t="shared" si="9"/>
        <v>0</v>
      </c>
    </row>
    <row r="60" spans="1:12">
      <c r="A60" s="202">
        <f t="shared" si="4"/>
        <v>46357</v>
      </c>
      <c r="B60" s="203">
        <f t="shared" si="0"/>
        <v>0</v>
      </c>
      <c r="C60" s="506">
        <f>IF(DG!$A$127=9,12,IF(DG!$A$127=10,9,IF(DG!$A$127=11,6,IF(DG!$A$127=12,3,0))))</f>
        <v>0</v>
      </c>
      <c r="D60" s="506">
        <f t="shared" si="5"/>
        <v>0</v>
      </c>
      <c r="E60" s="506">
        <f t="shared" si="6"/>
        <v>0</v>
      </c>
      <c r="F60" s="149">
        <f t="shared" si="7"/>
        <v>0</v>
      </c>
      <c r="G60" s="473">
        <f t="shared" si="8"/>
        <v>0</v>
      </c>
      <c r="H60" s="204">
        <f t="shared" si="1"/>
        <v>0</v>
      </c>
      <c r="I60" s="474">
        <f>IF(H60=0,0,IF($I$21="O",H60-J60,H60-(SUM($J$25:J60))))</f>
        <v>0</v>
      </c>
      <c r="J60" s="204">
        <f t="shared" si="2"/>
        <v>0</v>
      </c>
      <c r="K60" s="204">
        <f t="shared" si="9"/>
        <v>0</v>
      </c>
      <c r="L60" s="510"/>
    </row>
    <row r="61" spans="1:12">
      <c r="A61" s="202">
        <f t="shared" si="4"/>
        <v>46388</v>
      </c>
      <c r="B61" s="203">
        <f t="shared" si="0"/>
        <v>0</v>
      </c>
      <c r="C61" s="506">
        <f>IF(DG!$A$127=13,1,IF(DG!$A$127=10,10,IF(DG!$A$127=11,7,IF(DG!$A$127=12,4,0))))</f>
        <v>0</v>
      </c>
      <c r="D61" s="506">
        <f t="shared" si="5"/>
        <v>0</v>
      </c>
      <c r="E61" s="506">
        <f t="shared" si="6"/>
        <v>0</v>
      </c>
      <c r="F61" s="149">
        <f t="shared" si="7"/>
        <v>0</v>
      </c>
      <c r="G61" s="473">
        <f t="shared" si="8"/>
        <v>0</v>
      </c>
      <c r="H61" s="204">
        <f t="shared" si="1"/>
        <v>0</v>
      </c>
      <c r="I61" s="474">
        <f>IF(H61=0,0,IF($I$21="O",H61-J61,H61-(SUM($J$25:J61))))</f>
        <v>0</v>
      </c>
      <c r="J61" s="204">
        <f t="shared" si="2"/>
        <v>0</v>
      </c>
      <c r="K61" s="204">
        <f t="shared" si="9"/>
        <v>0</v>
      </c>
    </row>
    <row r="62" spans="1:12">
      <c r="A62" s="202">
        <f t="shared" si="4"/>
        <v>46419</v>
      </c>
      <c r="B62" s="203">
        <f t="shared" si="0"/>
        <v>0</v>
      </c>
      <c r="C62" s="506">
        <f>IF(DG!$A$127=13,2,IF(DG!$A$127=10,11,IF(DG!$A$127=11,8,IF(DG!$A$127=12,5,0))))</f>
        <v>0</v>
      </c>
      <c r="D62" s="506">
        <f t="shared" si="5"/>
        <v>0</v>
      </c>
      <c r="E62" s="506">
        <f t="shared" si="6"/>
        <v>0</v>
      </c>
      <c r="F62" s="149">
        <f t="shared" si="7"/>
        <v>0</v>
      </c>
      <c r="G62" s="473">
        <f t="shared" si="8"/>
        <v>0</v>
      </c>
      <c r="H62" s="204">
        <f t="shared" si="1"/>
        <v>0</v>
      </c>
      <c r="I62" s="474">
        <f>IF(H62=0,0,IF($I$21="O",H62-J62,H62-(SUM($J$25:J62))))</f>
        <v>0</v>
      </c>
      <c r="J62" s="204">
        <f t="shared" si="2"/>
        <v>0</v>
      </c>
      <c r="K62" s="204">
        <f t="shared" si="9"/>
        <v>0</v>
      </c>
    </row>
    <row r="63" spans="1:12">
      <c r="A63" s="202">
        <f t="shared" si="4"/>
        <v>46447</v>
      </c>
      <c r="B63" s="203">
        <f t="shared" si="0"/>
        <v>0</v>
      </c>
      <c r="C63" s="506">
        <f>IF(DG!$A$127=13,3,IF(DG!$A$127=10,12,IF(DG!$A$127=11,9,IF(DG!$A$127=12,6,0))))</f>
        <v>0</v>
      </c>
      <c r="D63" s="506">
        <f t="shared" si="5"/>
        <v>0</v>
      </c>
      <c r="E63" s="506">
        <f t="shared" si="6"/>
        <v>0</v>
      </c>
      <c r="F63" s="149">
        <f t="shared" si="7"/>
        <v>0</v>
      </c>
      <c r="G63" s="473">
        <f t="shared" si="8"/>
        <v>0</v>
      </c>
      <c r="H63" s="204">
        <f t="shared" si="1"/>
        <v>0</v>
      </c>
      <c r="I63" s="474">
        <f>IF(H63=0,0,IF($I$21="O",H63-J63,H63-(SUM($J$25:J63))))</f>
        <v>0</v>
      </c>
      <c r="J63" s="204">
        <f t="shared" si="2"/>
        <v>0</v>
      </c>
      <c r="K63" s="204">
        <f t="shared" si="9"/>
        <v>0</v>
      </c>
    </row>
    <row r="64" spans="1:12">
      <c r="A64" s="202">
        <f t="shared" si="4"/>
        <v>46478</v>
      </c>
      <c r="B64" s="203">
        <f t="shared" si="0"/>
        <v>0</v>
      </c>
      <c r="C64" s="506">
        <f>IF(DG!$A$127=13,4,IF(DG!$A$127=14,1,IF(DG!$A$127=11,10,IF(DG!$A$127=12,7,0))))</f>
        <v>0</v>
      </c>
      <c r="D64" s="506">
        <f t="shared" si="5"/>
        <v>0</v>
      </c>
      <c r="E64" s="506">
        <f t="shared" si="6"/>
        <v>0</v>
      </c>
      <c r="F64" s="149">
        <f t="shared" si="7"/>
        <v>0</v>
      </c>
      <c r="G64" s="473">
        <f t="shared" si="8"/>
        <v>0</v>
      </c>
      <c r="H64" s="204">
        <f t="shared" si="1"/>
        <v>0</v>
      </c>
      <c r="I64" s="474">
        <f>IF(H64=0,0,IF($I$21="O",H64-J64,H64-(SUM($J$25:J64))))</f>
        <v>0</v>
      </c>
      <c r="J64" s="204">
        <f t="shared" si="2"/>
        <v>0</v>
      </c>
      <c r="K64" s="204">
        <f t="shared" si="9"/>
        <v>0</v>
      </c>
    </row>
    <row r="65" spans="1:12">
      <c r="A65" s="202">
        <f t="shared" si="4"/>
        <v>46508</v>
      </c>
      <c r="B65" s="203">
        <f t="shared" si="0"/>
        <v>0</v>
      </c>
      <c r="C65" s="506">
        <f>IF(DG!$A$127=13,5,IF(DG!$A$127=14,2,IF(DG!$A$127=11,11,IF(DG!$A$127=12,8,0))))</f>
        <v>0</v>
      </c>
      <c r="D65" s="506">
        <f t="shared" si="5"/>
        <v>0</v>
      </c>
      <c r="E65" s="506">
        <f t="shared" si="6"/>
        <v>0</v>
      </c>
      <c r="F65" s="149">
        <f t="shared" si="7"/>
        <v>0</v>
      </c>
      <c r="G65" s="473">
        <f t="shared" si="8"/>
        <v>0</v>
      </c>
      <c r="H65" s="204">
        <f t="shared" si="1"/>
        <v>0</v>
      </c>
      <c r="I65" s="474">
        <f>IF(H65=0,0,IF($I$21="O",H65-J65,H65-(SUM($J$25:J65))))</f>
        <v>0</v>
      </c>
      <c r="J65" s="204">
        <f t="shared" si="2"/>
        <v>0</v>
      </c>
      <c r="K65" s="204">
        <f t="shared" si="9"/>
        <v>0</v>
      </c>
    </row>
    <row r="66" spans="1:12">
      <c r="A66" s="202">
        <f t="shared" si="4"/>
        <v>46539</v>
      </c>
      <c r="B66" s="203">
        <f t="shared" si="0"/>
        <v>0</v>
      </c>
      <c r="C66" s="506">
        <f>IF(DG!$A$127=13,6,IF(DG!$A$127=14,3,IF(DG!$A$127=11,12,IF(DG!$A$127=12,9,0))))</f>
        <v>0</v>
      </c>
      <c r="D66" s="506">
        <f t="shared" si="5"/>
        <v>0</v>
      </c>
      <c r="E66" s="506">
        <f t="shared" si="6"/>
        <v>0</v>
      </c>
      <c r="F66" s="149">
        <f t="shared" si="7"/>
        <v>0</v>
      </c>
      <c r="G66" s="473">
        <f t="shared" si="8"/>
        <v>0</v>
      </c>
      <c r="H66" s="204">
        <f t="shared" si="1"/>
        <v>0</v>
      </c>
      <c r="I66" s="474">
        <f>IF(H66=0,0,IF($I$21="O",H66-J66,H66-(SUM($J$25:J66))))</f>
        <v>0</v>
      </c>
      <c r="J66" s="204">
        <f t="shared" si="2"/>
        <v>0</v>
      </c>
      <c r="K66" s="204">
        <f t="shared" si="9"/>
        <v>0</v>
      </c>
    </row>
    <row r="67" spans="1:12">
      <c r="A67" s="202">
        <f t="shared" si="4"/>
        <v>46569</v>
      </c>
      <c r="B67" s="203">
        <f t="shared" si="0"/>
        <v>0</v>
      </c>
      <c r="C67" s="506">
        <f>IF(DG!$A$127=13,7,IF(DG!$A$127=14,4,IF(DG!$A$127=15,1,IF(DG!$A$127=12,10,0))))</f>
        <v>0</v>
      </c>
      <c r="D67" s="506">
        <f t="shared" si="5"/>
        <v>0</v>
      </c>
      <c r="E67" s="506">
        <f t="shared" si="6"/>
        <v>0</v>
      </c>
      <c r="F67" s="149">
        <f t="shared" si="7"/>
        <v>0</v>
      </c>
      <c r="G67" s="473">
        <f t="shared" si="8"/>
        <v>0</v>
      </c>
      <c r="H67" s="204">
        <f t="shared" si="1"/>
        <v>0</v>
      </c>
      <c r="I67" s="474">
        <f>IF(H67=0,0,IF($I$21="O",H67-J67,H67-(SUM($J$25:J67))))</f>
        <v>0</v>
      </c>
      <c r="J67" s="204">
        <f t="shared" si="2"/>
        <v>0</v>
      </c>
      <c r="K67" s="204">
        <f t="shared" si="9"/>
        <v>0</v>
      </c>
    </row>
    <row r="68" spans="1:12">
      <c r="A68" s="202">
        <f t="shared" si="4"/>
        <v>46600</v>
      </c>
      <c r="B68" s="203">
        <f t="shared" si="0"/>
        <v>0</v>
      </c>
      <c r="C68" s="506">
        <f>IF(DG!$A$127=13,8,IF(DG!$A$127=14,5,IF(DG!$A$127=15,2,IF(DG!$A$127=12,11,0))))</f>
        <v>0</v>
      </c>
      <c r="D68" s="506">
        <f t="shared" si="5"/>
        <v>0</v>
      </c>
      <c r="E68" s="506">
        <f t="shared" si="6"/>
        <v>0</v>
      </c>
      <c r="F68" s="149">
        <f t="shared" si="7"/>
        <v>0</v>
      </c>
      <c r="G68" s="473">
        <f t="shared" si="8"/>
        <v>0</v>
      </c>
      <c r="H68" s="204">
        <f t="shared" si="1"/>
        <v>0</v>
      </c>
      <c r="I68" s="474">
        <f>IF(H68=0,0,IF($I$21="O",H68-J68,H68-(SUM($J$25:J68))))</f>
        <v>0</v>
      </c>
      <c r="J68" s="204">
        <f t="shared" si="2"/>
        <v>0</v>
      </c>
      <c r="K68" s="204">
        <f t="shared" si="9"/>
        <v>0</v>
      </c>
    </row>
    <row r="69" spans="1:12">
      <c r="A69" s="202">
        <f t="shared" si="4"/>
        <v>46631</v>
      </c>
      <c r="B69" s="203">
        <f t="shared" si="0"/>
        <v>0</v>
      </c>
      <c r="C69" s="506">
        <f>IF(DG!$A$127=13,9,IF(DG!$A$127=14,6,IF(DG!$A$127=15,3,IF(DG!$A$127=12,12,0))))</f>
        <v>0</v>
      </c>
      <c r="D69" s="506">
        <f t="shared" si="5"/>
        <v>0</v>
      </c>
      <c r="E69" s="506">
        <f t="shared" si="6"/>
        <v>0</v>
      </c>
      <c r="F69" s="149">
        <f t="shared" si="7"/>
        <v>0</v>
      </c>
      <c r="G69" s="473">
        <f t="shared" si="8"/>
        <v>0</v>
      </c>
      <c r="H69" s="204">
        <f t="shared" si="1"/>
        <v>0</v>
      </c>
      <c r="I69" s="474">
        <f>IF(H69=0,0,IF($I$21="O",H69-J69,H69-(SUM($J$25:J69))))</f>
        <v>0</v>
      </c>
      <c r="J69" s="204">
        <f t="shared" si="2"/>
        <v>0</v>
      </c>
      <c r="K69" s="204">
        <f t="shared" si="9"/>
        <v>0</v>
      </c>
    </row>
    <row r="70" spans="1:12">
      <c r="A70" s="202">
        <f t="shared" si="4"/>
        <v>46661</v>
      </c>
      <c r="B70" s="203">
        <f t="shared" si="0"/>
        <v>0</v>
      </c>
      <c r="C70" s="506">
        <f>IF(DG!$A$127=13,10,IF(DG!$A$127=14,7,IF(DG!$A$127=15,4,IF(DG!$A$127=16,1,0))))</f>
        <v>0</v>
      </c>
      <c r="D70" s="506">
        <f t="shared" si="5"/>
        <v>0</v>
      </c>
      <c r="E70" s="506">
        <f t="shared" si="6"/>
        <v>0</v>
      </c>
      <c r="F70" s="149">
        <f t="shared" si="7"/>
        <v>0</v>
      </c>
      <c r="G70" s="473">
        <f t="shared" si="8"/>
        <v>0</v>
      </c>
      <c r="H70" s="204">
        <f t="shared" si="1"/>
        <v>0</v>
      </c>
      <c r="I70" s="474">
        <f>IF(H70=0,0,IF($I$21="O",H70-J70,H70-(SUM($J$25:J70))))</f>
        <v>0</v>
      </c>
      <c r="J70" s="204">
        <f t="shared" si="2"/>
        <v>0</v>
      </c>
      <c r="K70" s="204">
        <f t="shared" si="9"/>
        <v>0</v>
      </c>
    </row>
    <row r="71" spans="1:12">
      <c r="A71" s="202">
        <f t="shared" si="4"/>
        <v>46692</v>
      </c>
      <c r="B71" s="203">
        <f t="shared" si="0"/>
        <v>0</v>
      </c>
      <c r="C71" s="506">
        <f>IF(DG!$A$127=13,11,IF(DG!$A$127=14,8,IF(DG!$A$127=15,5,IF(DG!$A$127=16,2,0))))</f>
        <v>0</v>
      </c>
      <c r="D71" s="506">
        <f t="shared" si="5"/>
        <v>0</v>
      </c>
      <c r="E71" s="506">
        <f t="shared" si="6"/>
        <v>0</v>
      </c>
      <c r="F71" s="149">
        <f t="shared" si="7"/>
        <v>0</v>
      </c>
      <c r="G71" s="473">
        <f t="shared" si="8"/>
        <v>0</v>
      </c>
      <c r="H71" s="204">
        <f t="shared" si="1"/>
        <v>0</v>
      </c>
      <c r="I71" s="474">
        <f>IF(H71=0,0,IF($I$21="O",H71-J71,H71-(SUM($J$25:J71))))</f>
        <v>0</v>
      </c>
      <c r="J71" s="204">
        <f t="shared" si="2"/>
        <v>0</v>
      </c>
      <c r="K71" s="204">
        <f t="shared" si="9"/>
        <v>0</v>
      </c>
    </row>
    <row r="72" spans="1:12">
      <c r="A72" s="202">
        <f t="shared" si="4"/>
        <v>46722</v>
      </c>
      <c r="B72" s="203">
        <f t="shared" si="0"/>
        <v>0</v>
      </c>
      <c r="C72" s="506">
        <f>IF(DG!$A$127=13,12,IF(DG!$A$127=14,9,IF(DG!$A$127=15,6,IF(DG!$A$127=16,3,0))))</f>
        <v>0</v>
      </c>
      <c r="D72" s="506">
        <f t="shared" si="5"/>
        <v>0</v>
      </c>
      <c r="E72" s="506">
        <f t="shared" si="6"/>
        <v>0</v>
      </c>
      <c r="F72" s="149">
        <f t="shared" si="7"/>
        <v>0</v>
      </c>
      <c r="G72" s="473">
        <f t="shared" si="8"/>
        <v>0</v>
      </c>
      <c r="H72" s="204">
        <f t="shared" si="1"/>
        <v>0</v>
      </c>
      <c r="I72" s="474">
        <f>IF(H72=0,0,IF($I$21="O",H72-J72,H72-(SUM($J$25:J72))))</f>
        <v>0</v>
      </c>
      <c r="J72" s="204">
        <f t="shared" si="2"/>
        <v>0</v>
      </c>
      <c r="K72" s="204">
        <f t="shared" si="9"/>
        <v>0</v>
      </c>
      <c r="L72" s="510"/>
    </row>
    <row r="73" spans="1:12">
      <c r="I73" s="205">
        <f>SUM(I49:I60)</f>
        <v>0</v>
      </c>
      <c r="J73" s="205">
        <f>SUM(J49:J60)</f>
        <v>0</v>
      </c>
    </row>
    <row r="74" spans="1:12">
      <c r="D74" s="43">
        <f>SUM(D25:D73)</f>
        <v>0</v>
      </c>
      <c r="I74" s="205">
        <f>SUM(I61:I72)</f>
        <v>0</v>
      </c>
      <c r="J74" s="205"/>
      <c r="K74" s="204"/>
    </row>
  </sheetData>
  <sheetProtection password="E242" sheet="1" objects="1" scenarios="1"/>
  <customSheetViews>
    <customSheetView guid="{30D0538C-360A-4CDF-8D89-584CED1967CC}" showGridLines="0" outlineSymbols="0" fitToPage="1" hiddenColumns="1">
      <selection activeCell="H11" sqref="H11"/>
      <pageMargins left="0.94" right="0.36" top="0.68" bottom="0.53" header="0.4921259845" footer="0.4921259845"/>
      <pageSetup scale="79" orientation="portrait"/>
      <headerFooter alignWithMargins="0"/>
    </customSheetView>
    <customSheetView guid="{4F3169C3-3348-49DE-A6DC-8AA4D2A9D7A1}" showGridLines="0" outlineSymbols="0" fitToPage="1" hiddenColumns="1">
      <selection activeCell="H11" sqref="H11"/>
      <pageMargins left="0.94" right="0.36" top="0.68" bottom="0.53" header="0.4921259845" footer="0.4921259845"/>
      <pageSetup scale="79" orientation="portrait"/>
      <headerFooter alignWithMargins="0"/>
    </customSheetView>
  </customSheetViews>
  <mergeCells count="2">
    <mergeCell ref="H13:K13"/>
    <mergeCell ref="I11:J11"/>
  </mergeCells>
  <phoneticPr fontId="0" type="noConversion"/>
  <pageMargins left="0.94" right="0.36" top="0.68" bottom="0.53" header="0.4921259845" footer="0.492125984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62" r:id="rId4" name="Drop Down 30">
              <controlPr defaultSize="0" autoFill="0" autoLine="0" autoPict="0">
                <anchor moveWithCells="1">
                  <from>
                    <xdr:col>10</xdr:col>
                    <xdr:colOff>139700</xdr:colOff>
                    <xdr:row>15</xdr:row>
                    <xdr:rowOff>63500</xdr:rowOff>
                  </from>
                  <to>
                    <xdr:col>10</xdr:col>
                    <xdr:colOff>1206500</xdr:colOff>
                    <xdr:row>17</xdr:row>
                    <xdr:rowOff>38100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Feuil17">
    <pageSetUpPr fitToPage="1"/>
  </sheetPr>
  <dimension ref="A8:S80"/>
  <sheetViews>
    <sheetView showGridLines="0" showOutlineSymbols="0" zoomScale="120" zoomScaleNormal="120" workbookViewId="0">
      <selection activeCell="P8" sqref="P8"/>
    </sheetView>
  </sheetViews>
  <sheetFormatPr baseColWidth="10" defaultColWidth="0" defaultRowHeight="13"/>
  <cols>
    <col min="1" max="1" width="18.6328125" style="43" customWidth="1"/>
    <col min="2" max="2" width="18.6328125" style="43" hidden="1" customWidth="1"/>
    <col min="3" max="3" width="6.453125" style="43" hidden="1" customWidth="1"/>
    <col min="4" max="4" width="6" style="43" hidden="1" customWidth="1"/>
    <col min="5" max="5" width="6.453125" style="43" hidden="1" customWidth="1"/>
    <col min="6" max="9" width="8.45312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customWidth="1"/>
    <col min="16" max="16" width="12.81640625" style="43" customWidth="1"/>
    <col min="17" max="17" width="11.36328125" style="43" customWidth="1"/>
    <col min="18" max="18" width="12.81640625" style="43" customWidth="1"/>
    <col min="19" max="19" width="11.453125" style="43" hidden="1" customWidth="1"/>
    <col min="20" max="16384" width="0" style="43" hidden="1"/>
  </cols>
  <sheetData>
    <row r="8" spans="1:17" ht="25">
      <c r="A8" s="194" t="str">
        <f>RG!D17</f>
        <v>Jhon Wesly inc.</v>
      </c>
    </row>
    <row r="10" spans="1:17" s="58" customFormat="1" ht="15" customHeight="1">
      <c r="A10" s="195" t="s">
        <v>97</v>
      </c>
      <c r="B10" s="196"/>
      <c r="C10" s="196"/>
      <c r="D10" s="196"/>
      <c r="E10" s="196"/>
      <c r="F10" s="196"/>
      <c r="G10" s="196"/>
      <c r="H10" s="196"/>
      <c r="I10" s="196"/>
      <c r="J10" s="196"/>
      <c r="K10" s="196"/>
      <c r="L10" s="196"/>
      <c r="M10" s="196"/>
    </row>
    <row r="11" spans="1:17" s="58" customFormat="1" ht="15" customHeight="1">
      <c r="A11" s="195"/>
      <c r="B11" s="196"/>
      <c r="C11" s="196"/>
      <c r="D11" s="196"/>
      <c r="E11" s="196"/>
      <c r="F11" s="196"/>
      <c r="G11" s="196"/>
      <c r="H11" s="196"/>
      <c r="I11" s="196"/>
      <c r="J11" s="196"/>
      <c r="K11" s="196"/>
      <c r="L11" s="196"/>
      <c r="M11" s="196"/>
    </row>
    <row r="12" spans="1:17" ht="15" customHeight="1" thickBot="1">
      <c r="A12" s="197"/>
      <c r="B12" s="197"/>
      <c r="C12" s="197"/>
      <c r="D12" s="197"/>
      <c r="E12" s="197"/>
      <c r="F12" s="197"/>
      <c r="G12" s="197"/>
      <c r="H12" s="197"/>
      <c r="I12" s="197"/>
      <c r="J12" s="197"/>
      <c r="K12" s="197"/>
      <c r="L12" s="197"/>
      <c r="M12" s="197"/>
    </row>
    <row r="13" spans="1:17" ht="13.5" thickBot="1">
      <c r="A13" s="43" t="s">
        <v>288</v>
      </c>
      <c r="M13" s="1226" t="s">
        <v>102</v>
      </c>
      <c r="N13" s="1227"/>
      <c r="O13" s="1227"/>
      <c r="P13" s="1228"/>
      <c r="Q13" s="508"/>
    </row>
    <row r="14" spans="1:17" ht="13.5" thickBot="1"/>
    <row r="15" spans="1:17" ht="13.5" thickBot="1">
      <c r="A15" s="43" t="s">
        <v>593</v>
      </c>
      <c r="M15" s="1226" t="s">
        <v>302</v>
      </c>
      <c r="N15" s="1227"/>
      <c r="O15" s="1227"/>
      <c r="P15" s="1228"/>
      <c r="Q15" s="508"/>
    </row>
    <row r="16" spans="1:17"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customHeight="1"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25" customHeight="1"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25" customHeight="1" thickTop="1" thickBot="1">
      <c r="A26" s="202">
        <f>EDATE(A25,1)</f>
        <v>45292</v>
      </c>
      <c r="B26" s="65">
        <f>IF(OR(J$26=0,DG!$A$128&gt;1),0,B25+1)</f>
        <v>0</v>
      </c>
      <c r="C26" s="65">
        <f t="shared" ref="C26:C49" si="0">IF(F26-$E$77&gt;0,F26-$E$77,0)</f>
        <v>0</v>
      </c>
      <c r="D26" s="65">
        <v>1</v>
      </c>
      <c r="E26" s="65">
        <f>B26</f>
        <v>0</v>
      </c>
      <c r="F26" s="65">
        <f>IF(OR(L$26=0,DG!$A$249&gt;1),0,F25+1)</f>
        <v>0</v>
      </c>
      <c r="G26" s="65">
        <f t="shared" ref="G26:G73" si="1">IF(E26=0,0,IF(D26-E26-F26&gt;=0,1,0))</f>
        <v>0</v>
      </c>
      <c r="H26" s="65">
        <f t="shared" ref="H26:H35" si="2">IF(I26&gt;=0,0,H25+1)</f>
        <v>0</v>
      </c>
      <c r="I26" s="65">
        <f t="shared" ref="I26:I73" si="3">IF(OR(G26=1,C26=0),0,IF(K26-C26&lt;$G$77,1,-1))</f>
        <v>0</v>
      </c>
      <c r="J26" s="203">
        <f>IF(DG!$A$128&lt;=1,$M$17,0)</f>
        <v>0</v>
      </c>
      <c r="K26" s="65">
        <f>M21</f>
        <v>0</v>
      </c>
      <c r="L26" s="473">
        <f>IF($M$17&gt;0,$M$19+0.0000001,0)</f>
        <v>0</v>
      </c>
      <c r="M26" s="204">
        <f t="shared" ref="M26:M45" si="4">IF(H26=0,0,IF(N26=0,O26,-PMT(L26/12,K26-$G$77,J26)))</f>
        <v>0</v>
      </c>
      <c r="N26" s="505">
        <f>IF(OR(H26-K26&gt;0,I26&gt;=0),0,MROUND(-PPMT(L26/12,H26,K26-G269,J26),1)+R26)</f>
        <v>0</v>
      </c>
      <c r="O26" s="204">
        <f>IF(DG!$A$129&gt;1,0,IF(J26-J25&gt;0,MROUND((L26/12*Q25),1),MROUND(L26/12*P25,1)))</f>
        <v>0</v>
      </c>
      <c r="P26" s="204">
        <f>IF(OR(G26+H26=0,J26-N26&lt;1),0,IF(P25&gt;1,P25-N26,J27-N26))</f>
        <v>0</v>
      </c>
      <c r="Q26" s="204">
        <f t="shared" ref="Q26:Q69" si="5">IF(AND(P26=0,P27&gt;0),J27,P26)</f>
        <v>0</v>
      </c>
      <c r="R26" s="476">
        <v>0</v>
      </c>
    </row>
    <row r="27" spans="1:18" ht="14.25" customHeight="1" thickTop="1" thickBot="1">
      <c r="A27" s="202">
        <f t="shared" ref="A27:A69" si="6">EDATE(A26,1)</f>
        <v>45323</v>
      </c>
      <c r="B27" s="65">
        <f>IF(OR(J$27=0,DG!$A$128&gt;1),0,B26+1)</f>
        <v>0</v>
      </c>
      <c r="C27" s="65">
        <f t="shared" si="0"/>
        <v>0</v>
      </c>
      <c r="D27" s="65">
        <f>D26+1</f>
        <v>2</v>
      </c>
      <c r="E27" s="65">
        <f t="shared" ref="E27:E73" si="7">B27</f>
        <v>0</v>
      </c>
      <c r="F27" s="65">
        <f>IF(OR(L$27=0,DG!$A$249&gt;1),0,F26+1)</f>
        <v>0</v>
      </c>
      <c r="G27" s="65">
        <f t="shared" si="1"/>
        <v>0</v>
      </c>
      <c r="H27" s="65">
        <f t="shared" si="2"/>
        <v>0</v>
      </c>
      <c r="I27" s="65">
        <f t="shared" si="3"/>
        <v>0</v>
      </c>
      <c r="J27" s="203">
        <f>IF(DG!$A$128&lt;=1,$M$17,0)</f>
        <v>0</v>
      </c>
      <c r="K27" s="65">
        <f t="shared" ref="K27:K73" si="8">K26</f>
        <v>0</v>
      </c>
      <c r="L27" s="473">
        <f t="shared" ref="L27:L73" si="9">IF($M$17&gt;0,$M$19+0.0000001,0)</f>
        <v>0</v>
      </c>
      <c r="M27" s="204">
        <f t="shared" si="4"/>
        <v>0</v>
      </c>
      <c r="N27" s="505">
        <f t="shared" ref="N27:N69" si="10">IF(OR(H27-K27&gt;0,I27&gt;=0),0,MROUND(-PPMT(L27/12,H27,K27-G270,J27),1)+R27)</f>
        <v>0</v>
      </c>
      <c r="O27" s="204">
        <f>IF(DG!$A$129&gt;1,0,IF(J27-J26&gt;0,MROUND((L27/12*Q26),1),MROUND(L27/12*P26,1)))</f>
        <v>0</v>
      </c>
      <c r="P27" s="204">
        <f t="shared" ref="P27:P69" si="11">IF(OR(G27+H27=0,J27-N27&lt;1),0,IF(P26&gt;1,P26-N27,J28-N27))</f>
        <v>0</v>
      </c>
      <c r="Q27" s="204">
        <f t="shared" si="5"/>
        <v>0</v>
      </c>
      <c r="R27" s="476">
        <v>0</v>
      </c>
    </row>
    <row r="28" spans="1:18" ht="14.25" customHeight="1" thickTop="1" thickBot="1">
      <c r="A28" s="202">
        <f t="shared" si="6"/>
        <v>45352</v>
      </c>
      <c r="B28" s="65">
        <f>IF(OR(J$28=0,DG!$A$128&gt;1),0,B27+1)</f>
        <v>0</v>
      </c>
      <c r="C28" s="65">
        <f t="shared" si="0"/>
        <v>0</v>
      </c>
      <c r="D28" s="65">
        <f t="shared" ref="D28:D73" si="12">D27+1</f>
        <v>3</v>
      </c>
      <c r="E28" s="65">
        <f t="shared" si="7"/>
        <v>0</v>
      </c>
      <c r="F28" s="65">
        <f>IF(OR(L$28=0,DG!$A$249&gt;1),0,F27+1)</f>
        <v>0</v>
      </c>
      <c r="G28" s="65">
        <f t="shared" si="1"/>
        <v>0</v>
      </c>
      <c r="H28" s="65">
        <f t="shared" si="2"/>
        <v>0</v>
      </c>
      <c r="I28" s="65">
        <f t="shared" si="3"/>
        <v>0</v>
      </c>
      <c r="J28" s="203">
        <f>IF(DG!$A$128&lt;=1,$M$17,0)</f>
        <v>0</v>
      </c>
      <c r="K28" s="65">
        <f t="shared" si="8"/>
        <v>0</v>
      </c>
      <c r="L28" s="473">
        <f t="shared" si="9"/>
        <v>0</v>
      </c>
      <c r="M28" s="204">
        <f t="shared" si="4"/>
        <v>0</v>
      </c>
      <c r="N28" s="505">
        <f t="shared" si="10"/>
        <v>0</v>
      </c>
      <c r="O28" s="204">
        <f>IF(DG!$A$129&gt;1,0,IF(J28-J27&gt;0,MROUND((L28/12*Q27),1),MROUND(L28/12*P27,1)))</f>
        <v>0</v>
      </c>
      <c r="P28" s="204">
        <f t="shared" si="11"/>
        <v>0</v>
      </c>
      <c r="Q28" s="204">
        <f t="shared" si="5"/>
        <v>0</v>
      </c>
      <c r="R28" s="476">
        <v>0</v>
      </c>
    </row>
    <row r="29" spans="1:18" ht="14.25" customHeight="1" thickTop="1" thickBot="1">
      <c r="A29" s="202">
        <f t="shared" si="6"/>
        <v>45383</v>
      </c>
      <c r="B29" s="65">
        <f>IF(OR(J$29=0,DG!$A$128&gt;2),0,B28+1)</f>
        <v>0</v>
      </c>
      <c r="C29" s="65">
        <f t="shared" si="0"/>
        <v>0</v>
      </c>
      <c r="D29" s="65">
        <f t="shared" si="12"/>
        <v>4</v>
      </c>
      <c r="E29" s="65">
        <f t="shared" si="7"/>
        <v>0</v>
      </c>
      <c r="F29" s="65">
        <f>IF(OR(L$29=0,DG!$A$249&gt;2),0,F28+1)</f>
        <v>0</v>
      </c>
      <c r="G29" s="65">
        <f t="shared" si="1"/>
        <v>0</v>
      </c>
      <c r="H29" s="65">
        <f t="shared" si="2"/>
        <v>0</v>
      </c>
      <c r="I29" s="65">
        <f t="shared" si="3"/>
        <v>0</v>
      </c>
      <c r="J29" s="203">
        <f>IF(DG!$A$128&lt;=2,$M$17,0)</f>
        <v>0</v>
      </c>
      <c r="K29" s="65">
        <f t="shared" si="8"/>
        <v>0</v>
      </c>
      <c r="L29" s="473">
        <f t="shared" si="9"/>
        <v>0</v>
      </c>
      <c r="M29" s="204">
        <f t="shared" si="4"/>
        <v>0</v>
      </c>
      <c r="N29" s="505">
        <f t="shared" si="10"/>
        <v>0</v>
      </c>
      <c r="O29" s="204">
        <f>IF(DG!$A$129&gt;2,0,IF(J29-J28&gt;0,MROUND((L29/12*Q28),1),MROUND(L29/12*P28,1)))</f>
        <v>0</v>
      </c>
      <c r="P29" s="204">
        <f t="shared" si="11"/>
        <v>0</v>
      </c>
      <c r="Q29" s="204">
        <f t="shared" si="5"/>
        <v>0</v>
      </c>
      <c r="R29" s="476">
        <v>0</v>
      </c>
    </row>
    <row r="30" spans="1:18" ht="14.25" customHeight="1" thickTop="1" thickBot="1">
      <c r="A30" s="202">
        <f t="shared" si="6"/>
        <v>45413</v>
      </c>
      <c r="B30" s="65">
        <f>IF(OR(J$30=0,DG!$A$128&gt;2),0,B29+1)</f>
        <v>0</v>
      </c>
      <c r="C30" s="65">
        <f t="shared" si="0"/>
        <v>0</v>
      </c>
      <c r="D30" s="65">
        <f t="shared" si="12"/>
        <v>5</v>
      </c>
      <c r="E30" s="65">
        <f t="shared" si="7"/>
        <v>0</v>
      </c>
      <c r="F30" s="65">
        <f>IF(OR(L$30=0,DG!$A$249&gt;2),0,F29+1)</f>
        <v>0</v>
      </c>
      <c r="G30" s="65">
        <f t="shared" si="1"/>
        <v>0</v>
      </c>
      <c r="H30" s="65">
        <f t="shared" si="2"/>
        <v>0</v>
      </c>
      <c r="I30" s="65">
        <f t="shared" si="3"/>
        <v>0</v>
      </c>
      <c r="J30" s="203">
        <f>IF(DG!$A$128&lt;=2,$M$17,0)</f>
        <v>0</v>
      </c>
      <c r="K30" s="65">
        <f t="shared" si="8"/>
        <v>0</v>
      </c>
      <c r="L30" s="473">
        <f t="shared" si="9"/>
        <v>0</v>
      </c>
      <c r="M30" s="204">
        <f t="shared" si="4"/>
        <v>0</v>
      </c>
      <c r="N30" s="505">
        <f t="shared" si="10"/>
        <v>0</v>
      </c>
      <c r="O30" s="204">
        <f>IF(DG!$A$129&gt;2,0,IF(J30-J29&gt;0,MROUND((L30/12*Q29),1),MROUND(L30/12*P29,1)))</f>
        <v>0</v>
      </c>
      <c r="P30" s="204">
        <f t="shared" si="11"/>
        <v>0</v>
      </c>
      <c r="Q30" s="204">
        <f t="shared" si="5"/>
        <v>0</v>
      </c>
      <c r="R30" s="476">
        <v>0</v>
      </c>
    </row>
    <row r="31" spans="1:18" ht="14.25" customHeight="1" thickTop="1" thickBot="1">
      <c r="A31" s="202">
        <f t="shared" si="6"/>
        <v>45444</v>
      </c>
      <c r="B31" s="65">
        <f>IF(OR(J$31=0,DG!$A$128&gt;2),0,B30+1)</f>
        <v>0</v>
      </c>
      <c r="C31" s="65">
        <f t="shared" si="0"/>
        <v>0</v>
      </c>
      <c r="D31" s="65">
        <f t="shared" si="12"/>
        <v>6</v>
      </c>
      <c r="E31" s="65">
        <f t="shared" si="7"/>
        <v>0</v>
      </c>
      <c r="F31" s="65">
        <f>IF(OR(L$31=0,DG!$A$249&gt;2),0,F30+1)</f>
        <v>0</v>
      </c>
      <c r="G31" s="65">
        <f t="shared" si="1"/>
        <v>0</v>
      </c>
      <c r="H31" s="65">
        <f t="shared" si="2"/>
        <v>0</v>
      </c>
      <c r="I31" s="65">
        <f t="shared" si="3"/>
        <v>0</v>
      </c>
      <c r="J31" s="203">
        <f>IF(DG!$A$128&lt;=2,$M$17,0)</f>
        <v>0</v>
      </c>
      <c r="K31" s="65">
        <f t="shared" si="8"/>
        <v>0</v>
      </c>
      <c r="L31" s="473">
        <f t="shared" si="9"/>
        <v>0</v>
      </c>
      <c r="M31" s="204">
        <f t="shared" si="4"/>
        <v>0</v>
      </c>
      <c r="N31" s="505">
        <f t="shared" si="10"/>
        <v>0</v>
      </c>
      <c r="O31" s="204">
        <f>IF(DG!$A$129&gt;2,0,IF(J31-J30&gt;0,MROUND((L31/12*Q30),1),MROUND(L31/12*P30,1)))</f>
        <v>0</v>
      </c>
      <c r="P31" s="204">
        <f t="shared" si="11"/>
        <v>0</v>
      </c>
      <c r="Q31" s="204">
        <f t="shared" si="5"/>
        <v>0</v>
      </c>
      <c r="R31" s="476">
        <v>0</v>
      </c>
    </row>
    <row r="32" spans="1:18" ht="14.25" customHeight="1" thickTop="1" thickBot="1">
      <c r="A32" s="202">
        <f t="shared" si="6"/>
        <v>45474</v>
      </c>
      <c r="B32" s="65">
        <f>IF(OR(J$32=0,DG!$A$128&gt;3),0,B31+1)</f>
        <v>0</v>
      </c>
      <c r="C32" s="65">
        <f t="shared" si="0"/>
        <v>0</v>
      </c>
      <c r="D32" s="65">
        <f t="shared" si="12"/>
        <v>7</v>
      </c>
      <c r="E32" s="65">
        <f t="shared" si="7"/>
        <v>0</v>
      </c>
      <c r="F32" s="65">
        <f>IF(OR(L$32=0,DG!$A$249&gt;3),0,F31+1)</f>
        <v>0</v>
      </c>
      <c r="G32" s="65">
        <f t="shared" si="1"/>
        <v>0</v>
      </c>
      <c r="H32" s="65">
        <f t="shared" si="2"/>
        <v>0</v>
      </c>
      <c r="I32" s="65">
        <f t="shared" si="3"/>
        <v>0</v>
      </c>
      <c r="J32" s="203">
        <f>IF(DG!$A$128&lt;=3,$M$17,0)</f>
        <v>0</v>
      </c>
      <c r="K32" s="65">
        <f t="shared" si="8"/>
        <v>0</v>
      </c>
      <c r="L32" s="473">
        <f t="shared" si="9"/>
        <v>0</v>
      </c>
      <c r="M32" s="204">
        <f t="shared" si="4"/>
        <v>0</v>
      </c>
      <c r="N32" s="505">
        <f t="shared" si="10"/>
        <v>0</v>
      </c>
      <c r="O32" s="204">
        <f>IF(DG!$A$129&gt;3,0,IF(J32-J31&gt;0,MROUND((L32/12*Q31),1),MROUND(L32/12*P31,1)))</f>
        <v>0</v>
      </c>
      <c r="P32" s="204">
        <f t="shared" si="11"/>
        <v>0</v>
      </c>
      <c r="Q32" s="204">
        <f t="shared" si="5"/>
        <v>0</v>
      </c>
      <c r="R32" s="476">
        <v>0</v>
      </c>
    </row>
    <row r="33" spans="1:19" ht="14.25" customHeight="1" thickTop="1" thickBot="1">
      <c r="A33" s="202">
        <f t="shared" si="6"/>
        <v>45505</v>
      </c>
      <c r="B33" s="65">
        <f>IF(OR(J$33=0,DG!$A$128&gt;3),0,B32+1)</f>
        <v>0</v>
      </c>
      <c r="C33" s="65">
        <f t="shared" si="0"/>
        <v>0</v>
      </c>
      <c r="D33" s="65">
        <f t="shared" si="12"/>
        <v>8</v>
      </c>
      <c r="E33" s="65">
        <f t="shared" si="7"/>
        <v>0</v>
      </c>
      <c r="F33" s="65">
        <f>IF(OR(L$33=0,DG!$A$249&gt;3),0,F32+1)</f>
        <v>0</v>
      </c>
      <c r="G33" s="65">
        <f t="shared" si="1"/>
        <v>0</v>
      </c>
      <c r="H33" s="65">
        <f t="shared" si="2"/>
        <v>0</v>
      </c>
      <c r="I33" s="65">
        <f t="shared" si="3"/>
        <v>0</v>
      </c>
      <c r="J33" s="203">
        <f>IF(DG!$A$128&lt;=3,$M$17,0)</f>
        <v>0</v>
      </c>
      <c r="K33" s="65">
        <f t="shared" si="8"/>
        <v>0</v>
      </c>
      <c r="L33" s="473">
        <f t="shared" si="9"/>
        <v>0</v>
      </c>
      <c r="M33" s="204">
        <f t="shared" si="4"/>
        <v>0</v>
      </c>
      <c r="N33" s="505">
        <f t="shared" si="10"/>
        <v>0</v>
      </c>
      <c r="O33" s="204">
        <f>IF(DG!$A$129&gt;3,0,IF(J33-J32&gt;0,MROUND((L33/12*Q32),1),MROUND(L33/12*P32,1)))</f>
        <v>0</v>
      </c>
      <c r="P33" s="204">
        <f t="shared" si="11"/>
        <v>0</v>
      </c>
      <c r="Q33" s="204">
        <f t="shared" si="5"/>
        <v>0</v>
      </c>
      <c r="R33" s="476">
        <v>0</v>
      </c>
    </row>
    <row r="34" spans="1:19" ht="14.25" customHeight="1" thickTop="1" thickBot="1">
      <c r="A34" s="202">
        <f t="shared" si="6"/>
        <v>45536</v>
      </c>
      <c r="B34" s="65">
        <f>IF(OR(J$34=0,DG!$A$128&gt;3),0,B33+1)</f>
        <v>0</v>
      </c>
      <c r="C34" s="65">
        <f t="shared" si="0"/>
        <v>0</v>
      </c>
      <c r="D34" s="65">
        <f t="shared" si="12"/>
        <v>9</v>
      </c>
      <c r="E34" s="65">
        <f t="shared" si="7"/>
        <v>0</v>
      </c>
      <c r="F34" s="65">
        <f>IF(OR(L$34=0,DG!$A$249&gt;3),0,F33+1)</f>
        <v>0</v>
      </c>
      <c r="G34" s="65">
        <f t="shared" si="1"/>
        <v>0</v>
      </c>
      <c r="H34" s="65">
        <f t="shared" si="2"/>
        <v>0</v>
      </c>
      <c r="I34" s="65">
        <f t="shared" si="3"/>
        <v>0</v>
      </c>
      <c r="J34" s="203">
        <f>IF(DG!$A$128&lt;=3,$M$17,0)</f>
        <v>0</v>
      </c>
      <c r="K34" s="65">
        <f t="shared" si="8"/>
        <v>0</v>
      </c>
      <c r="L34" s="473">
        <f t="shared" si="9"/>
        <v>0</v>
      </c>
      <c r="M34" s="204">
        <f t="shared" si="4"/>
        <v>0</v>
      </c>
      <c r="N34" s="505">
        <f t="shared" si="10"/>
        <v>0</v>
      </c>
      <c r="O34" s="204">
        <f>IF(DG!$A$129&gt;3,0,IF(J34-J33&gt;0,MROUND((L34/12*Q33),1),MROUND(L34/12*P33,1)))</f>
        <v>0</v>
      </c>
      <c r="P34" s="204">
        <f t="shared" si="11"/>
        <v>0</v>
      </c>
      <c r="Q34" s="204">
        <f t="shared" si="5"/>
        <v>0</v>
      </c>
      <c r="R34" s="476">
        <v>0</v>
      </c>
    </row>
    <row r="35" spans="1:19" ht="14.25" customHeight="1" thickTop="1" thickBot="1">
      <c r="A35" s="202">
        <f t="shared" si="6"/>
        <v>45566</v>
      </c>
      <c r="B35" s="65">
        <f>IF(OR(J$35=0,DG!$A$128&gt;4),0,B34+1)</f>
        <v>0</v>
      </c>
      <c r="C35" s="65">
        <f t="shared" si="0"/>
        <v>0</v>
      </c>
      <c r="D35" s="65">
        <f t="shared" si="12"/>
        <v>10</v>
      </c>
      <c r="E35" s="65">
        <f t="shared" si="7"/>
        <v>0</v>
      </c>
      <c r="F35" s="65">
        <f>IF(OR(L$35=0,DG!$A$249&gt;4),0,F34+1)</f>
        <v>0</v>
      </c>
      <c r="G35" s="65">
        <f t="shared" si="1"/>
        <v>0</v>
      </c>
      <c r="H35" s="65">
        <f t="shared" si="2"/>
        <v>0</v>
      </c>
      <c r="I35" s="65">
        <f t="shared" si="3"/>
        <v>0</v>
      </c>
      <c r="J35" s="203">
        <f>IF(DG!$A$128&lt;=4,$M$17,0)</f>
        <v>0</v>
      </c>
      <c r="K35" s="65">
        <f t="shared" si="8"/>
        <v>0</v>
      </c>
      <c r="L35" s="473">
        <f t="shared" si="9"/>
        <v>0</v>
      </c>
      <c r="M35" s="204">
        <f t="shared" si="4"/>
        <v>0</v>
      </c>
      <c r="N35" s="505">
        <f t="shared" si="10"/>
        <v>0</v>
      </c>
      <c r="O35" s="204">
        <f>IF(DG!$A$129&gt;4,0,IF(J35-J34&gt;0,MROUND((L35/12*Q34),1),MROUND(L35/12*P34,1)))</f>
        <v>0</v>
      </c>
      <c r="P35" s="204">
        <f t="shared" si="11"/>
        <v>0</v>
      </c>
      <c r="Q35" s="204">
        <f t="shared" si="5"/>
        <v>0</v>
      </c>
      <c r="R35" s="476">
        <v>0</v>
      </c>
    </row>
    <row r="36" spans="1:19" ht="14.25" customHeight="1" thickTop="1" thickBot="1">
      <c r="A36" s="202">
        <f t="shared" si="6"/>
        <v>45597</v>
      </c>
      <c r="B36" s="65">
        <f>IF(OR(J$36=0,DG!$A$128&gt;4),0,B35+1)</f>
        <v>0</v>
      </c>
      <c r="C36" s="65">
        <f t="shared" si="0"/>
        <v>0</v>
      </c>
      <c r="D36" s="65">
        <f t="shared" si="12"/>
        <v>11</v>
      </c>
      <c r="E36" s="65">
        <f t="shared" si="7"/>
        <v>0</v>
      </c>
      <c r="F36" s="65">
        <f>IF(OR(L$36=0,DG!$A$249&gt;4),0,F35+1)</f>
        <v>0</v>
      </c>
      <c r="G36" s="65">
        <f t="shared" si="1"/>
        <v>0</v>
      </c>
      <c r="H36" s="65">
        <f t="shared" ref="H36:H73" si="13">IF(I36&gt;=0,0,H35+1)</f>
        <v>0</v>
      </c>
      <c r="I36" s="65">
        <f t="shared" si="3"/>
        <v>0</v>
      </c>
      <c r="J36" s="203">
        <f>IF(DG!$A$128&lt;=4,$M$17,0)</f>
        <v>0</v>
      </c>
      <c r="K36" s="65">
        <f t="shared" si="8"/>
        <v>0</v>
      </c>
      <c r="L36" s="473">
        <f t="shared" si="9"/>
        <v>0</v>
      </c>
      <c r="M36" s="204">
        <f t="shared" si="4"/>
        <v>0</v>
      </c>
      <c r="N36" s="505">
        <f t="shared" si="10"/>
        <v>0</v>
      </c>
      <c r="O36" s="204">
        <f>IF(DG!$A$129&gt;4,0,IF(J36-J35&gt;0,MROUND((L36/12*Q35),1),MROUND(L36/12*P35,1)))</f>
        <v>0</v>
      </c>
      <c r="P36" s="204">
        <f t="shared" si="11"/>
        <v>0</v>
      </c>
      <c r="Q36" s="204">
        <f t="shared" si="5"/>
        <v>0</v>
      </c>
      <c r="R36" s="476">
        <v>0</v>
      </c>
    </row>
    <row r="37" spans="1:19" ht="14.25" customHeight="1" thickTop="1" thickBot="1">
      <c r="A37" s="202">
        <f t="shared" si="6"/>
        <v>45627</v>
      </c>
      <c r="B37" s="65">
        <f>IF(OR(J$37=0,DG!$A$128&gt;4),0,B36+1)</f>
        <v>0</v>
      </c>
      <c r="C37" s="65">
        <f t="shared" si="0"/>
        <v>0</v>
      </c>
      <c r="D37" s="65">
        <f t="shared" si="12"/>
        <v>12</v>
      </c>
      <c r="E37" s="65">
        <f t="shared" si="7"/>
        <v>0</v>
      </c>
      <c r="F37" s="65">
        <f>IF(OR(L$37=0,DG!$A$249&gt;4),0,F36+1)</f>
        <v>0</v>
      </c>
      <c r="G37" s="65">
        <f t="shared" si="1"/>
        <v>0</v>
      </c>
      <c r="H37" s="65">
        <f t="shared" si="13"/>
        <v>0</v>
      </c>
      <c r="I37" s="65">
        <f t="shared" si="3"/>
        <v>0</v>
      </c>
      <c r="J37" s="203">
        <f>IF(DG!$A$128&lt;=4,$M$17,0)</f>
        <v>0</v>
      </c>
      <c r="K37" s="65">
        <f t="shared" si="8"/>
        <v>0</v>
      </c>
      <c r="L37" s="473">
        <f t="shared" si="9"/>
        <v>0</v>
      </c>
      <c r="M37" s="204">
        <f t="shared" si="4"/>
        <v>0</v>
      </c>
      <c r="N37" s="505">
        <f t="shared" si="10"/>
        <v>0</v>
      </c>
      <c r="O37" s="204">
        <f>IF(DG!$A$129&gt;4,0,IF(J37-J36&gt;0,MROUND((L37/12*Q36),1),MROUND(L37/12*P36,1)))</f>
        <v>0</v>
      </c>
      <c r="P37" s="204">
        <f t="shared" si="11"/>
        <v>0</v>
      </c>
      <c r="Q37" s="204">
        <f t="shared" si="5"/>
        <v>0</v>
      </c>
      <c r="R37" s="476">
        <v>0</v>
      </c>
      <c r="S37" s="511">
        <f>SUM(N26:N37)</f>
        <v>0</v>
      </c>
    </row>
    <row r="38" spans="1:19" ht="14.25" customHeight="1" thickTop="1" thickBot="1">
      <c r="A38" s="202">
        <f t="shared" si="6"/>
        <v>45658</v>
      </c>
      <c r="B38" s="65">
        <f>IF(OR(J$38=0,DG!$A$128&gt;5),0,B37+1)</f>
        <v>0</v>
      </c>
      <c r="C38" s="65">
        <f t="shared" si="0"/>
        <v>0</v>
      </c>
      <c r="D38" s="65">
        <f t="shared" si="12"/>
        <v>13</v>
      </c>
      <c r="E38" s="65">
        <f t="shared" si="7"/>
        <v>0</v>
      </c>
      <c r="F38" s="65">
        <f>IF(OR(L$38=0,DG!$A$249&gt;5),0,F37+1)</f>
        <v>0</v>
      </c>
      <c r="G38" s="65">
        <f t="shared" si="1"/>
        <v>0</v>
      </c>
      <c r="H38" s="65">
        <f t="shared" si="13"/>
        <v>0</v>
      </c>
      <c r="I38" s="65">
        <f t="shared" si="3"/>
        <v>0</v>
      </c>
      <c r="J38" s="203">
        <f>IF(DG!$A$128&lt;=5,$M$17,0)</f>
        <v>0</v>
      </c>
      <c r="K38" s="65">
        <f t="shared" si="8"/>
        <v>0</v>
      </c>
      <c r="L38" s="473">
        <f t="shared" si="9"/>
        <v>0</v>
      </c>
      <c r="M38" s="204">
        <f t="shared" si="4"/>
        <v>0</v>
      </c>
      <c r="N38" s="505">
        <f t="shared" si="10"/>
        <v>0</v>
      </c>
      <c r="O38" s="204">
        <f>IF(DG!$A$129&gt;5,0,IF(J38-J37&gt;0,MROUND((L38/12*Q37),1),MROUND(L38/12*P37,1)))</f>
        <v>0</v>
      </c>
      <c r="P38" s="204">
        <f t="shared" si="11"/>
        <v>0</v>
      </c>
      <c r="Q38" s="204">
        <f t="shared" si="5"/>
        <v>0</v>
      </c>
      <c r="R38" s="476">
        <v>0</v>
      </c>
    </row>
    <row r="39" spans="1:19" ht="14.25" customHeight="1" thickTop="1" thickBot="1">
      <c r="A39" s="202">
        <f t="shared" si="6"/>
        <v>45689</v>
      </c>
      <c r="B39" s="65">
        <f>IF(OR(J$39=0,DG!$A$128&gt;5),0,B38+1)</f>
        <v>0</v>
      </c>
      <c r="C39" s="65">
        <f t="shared" si="0"/>
        <v>0</v>
      </c>
      <c r="D39" s="65">
        <f t="shared" si="12"/>
        <v>14</v>
      </c>
      <c r="E39" s="65">
        <f t="shared" si="7"/>
        <v>0</v>
      </c>
      <c r="F39" s="65">
        <f>IF(OR(L$39=0,DG!$A$249&gt;5),0,F38+1)</f>
        <v>0</v>
      </c>
      <c r="G39" s="65">
        <f t="shared" si="1"/>
        <v>0</v>
      </c>
      <c r="H39" s="65">
        <f t="shared" si="13"/>
        <v>0</v>
      </c>
      <c r="I39" s="65">
        <f t="shared" si="3"/>
        <v>0</v>
      </c>
      <c r="J39" s="203">
        <f>IF(DG!$A$128&lt;=5,$M$17,0)</f>
        <v>0</v>
      </c>
      <c r="K39" s="65">
        <f t="shared" si="8"/>
        <v>0</v>
      </c>
      <c r="L39" s="473">
        <f t="shared" si="9"/>
        <v>0</v>
      </c>
      <c r="M39" s="204">
        <f t="shared" si="4"/>
        <v>0</v>
      </c>
      <c r="N39" s="505">
        <f t="shared" si="10"/>
        <v>0</v>
      </c>
      <c r="O39" s="204">
        <f>IF(DG!$A$129&gt;5,0,IF(J39-J38&gt;0,MROUND((L39/12*Q38),1),MROUND(L39/12*P38,1)))</f>
        <v>0</v>
      </c>
      <c r="P39" s="204">
        <f t="shared" si="11"/>
        <v>0</v>
      </c>
      <c r="Q39" s="204">
        <f t="shared" si="5"/>
        <v>0</v>
      </c>
      <c r="R39" s="476">
        <v>0</v>
      </c>
    </row>
    <row r="40" spans="1:19" ht="14.25" customHeight="1" thickTop="1" thickBot="1">
      <c r="A40" s="202">
        <f t="shared" si="6"/>
        <v>45717</v>
      </c>
      <c r="B40" s="65">
        <f>IF(OR(J$40=0,DG!$A$128&gt;5),0,B39+1)</f>
        <v>0</v>
      </c>
      <c r="C40" s="65">
        <f t="shared" si="0"/>
        <v>0</v>
      </c>
      <c r="D40" s="65">
        <f t="shared" si="12"/>
        <v>15</v>
      </c>
      <c r="E40" s="65">
        <f t="shared" si="7"/>
        <v>0</v>
      </c>
      <c r="F40" s="65">
        <f>IF(OR(L$40=0,DG!$A$249&gt;5),0,F39+1)</f>
        <v>0</v>
      </c>
      <c r="G40" s="65">
        <f t="shared" si="1"/>
        <v>0</v>
      </c>
      <c r="H40" s="65">
        <f t="shared" si="13"/>
        <v>0</v>
      </c>
      <c r="I40" s="65">
        <f t="shared" si="3"/>
        <v>0</v>
      </c>
      <c r="J40" s="203">
        <f>IF(DG!$A$128&lt;=5,$M$17,0)</f>
        <v>0</v>
      </c>
      <c r="K40" s="65">
        <f t="shared" si="8"/>
        <v>0</v>
      </c>
      <c r="L40" s="473">
        <f t="shared" si="9"/>
        <v>0</v>
      </c>
      <c r="M40" s="204">
        <f t="shared" si="4"/>
        <v>0</v>
      </c>
      <c r="N40" s="505">
        <f t="shared" si="10"/>
        <v>0</v>
      </c>
      <c r="O40" s="204">
        <f>IF(DG!$A$129&gt;5,0,IF(J40-J39&gt;0,MROUND((L40/12*Q39),1),MROUND(L40/12*P39,1)))</f>
        <v>0</v>
      </c>
      <c r="P40" s="204">
        <f t="shared" si="11"/>
        <v>0</v>
      </c>
      <c r="Q40" s="204">
        <f t="shared" si="5"/>
        <v>0</v>
      </c>
      <c r="R40" s="476">
        <v>0</v>
      </c>
    </row>
    <row r="41" spans="1:19" ht="14.25" customHeight="1" thickTop="1" thickBot="1">
      <c r="A41" s="202">
        <f t="shared" si="6"/>
        <v>45748</v>
      </c>
      <c r="B41" s="65">
        <f>IF(OR(J$41=0,DG!$A$128&gt;6),0,B40+1)</f>
        <v>0</v>
      </c>
      <c r="C41" s="65">
        <f t="shared" si="0"/>
        <v>0</v>
      </c>
      <c r="D41" s="65">
        <f t="shared" si="12"/>
        <v>16</v>
      </c>
      <c r="E41" s="65">
        <f t="shared" si="7"/>
        <v>0</v>
      </c>
      <c r="F41" s="65">
        <f>IF(OR(L$41=0,DG!$A$249&gt;6),0,F40+1)</f>
        <v>0</v>
      </c>
      <c r="G41" s="65">
        <f t="shared" si="1"/>
        <v>0</v>
      </c>
      <c r="H41" s="65">
        <f t="shared" si="13"/>
        <v>0</v>
      </c>
      <c r="I41" s="65">
        <f t="shared" si="3"/>
        <v>0</v>
      </c>
      <c r="J41" s="203">
        <f>IF(DG!$A$128&lt;=6,$M$17,0)</f>
        <v>0</v>
      </c>
      <c r="K41" s="65">
        <f t="shared" si="8"/>
        <v>0</v>
      </c>
      <c r="L41" s="473">
        <f t="shared" si="9"/>
        <v>0</v>
      </c>
      <c r="M41" s="204">
        <f t="shared" si="4"/>
        <v>0</v>
      </c>
      <c r="N41" s="505">
        <f t="shared" si="10"/>
        <v>0</v>
      </c>
      <c r="O41" s="204">
        <f>IF(DG!$A$129&gt;6,0,IF(J41-J40&gt;0,MROUND((L41/12*Q40),1),MROUND(L41/12*P40,1)))</f>
        <v>0</v>
      </c>
      <c r="P41" s="204">
        <f t="shared" si="11"/>
        <v>0</v>
      </c>
      <c r="Q41" s="204">
        <f t="shared" si="5"/>
        <v>0</v>
      </c>
      <c r="R41" s="476">
        <v>0</v>
      </c>
    </row>
    <row r="42" spans="1:19" ht="14.25" customHeight="1" thickTop="1" thickBot="1">
      <c r="A42" s="202">
        <f t="shared" si="6"/>
        <v>45778</v>
      </c>
      <c r="B42" s="65">
        <f>IF(OR(J$42=0,DG!$A$128&gt;6),0,B41+1)</f>
        <v>0</v>
      </c>
      <c r="C42" s="65">
        <f t="shared" si="0"/>
        <v>0</v>
      </c>
      <c r="D42" s="65">
        <f t="shared" si="12"/>
        <v>17</v>
      </c>
      <c r="E42" s="65">
        <f t="shared" si="7"/>
        <v>0</v>
      </c>
      <c r="F42" s="65">
        <f>IF(OR(L$42=0,DG!$A$249&gt;6),0,F41+1)</f>
        <v>0</v>
      </c>
      <c r="G42" s="65">
        <f t="shared" si="1"/>
        <v>0</v>
      </c>
      <c r="H42" s="65">
        <f t="shared" si="13"/>
        <v>0</v>
      </c>
      <c r="I42" s="65">
        <f t="shared" si="3"/>
        <v>0</v>
      </c>
      <c r="J42" s="203">
        <f>IF(DG!$A$128&lt;=6,$M$17,0)</f>
        <v>0</v>
      </c>
      <c r="K42" s="65">
        <f t="shared" si="8"/>
        <v>0</v>
      </c>
      <c r="L42" s="473">
        <f t="shared" si="9"/>
        <v>0</v>
      </c>
      <c r="M42" s="204">
        <f t="shared" si="4"/>
        <v>0</v>
      </c>
      <c r="N42" s="505">
        <f t="shared" si="10"/>
        <v>0</v>
      </c>
      <c r="O42" s="204">
        <f>IF(DG!$A$129&gt;6,0,IF(J42-J41&gt;0,MROUND((L42/12*Q41),1),MROUND(L42/12*P41,1)))</f>
        <v>0</v>
      </c>
      <c r="P42" s="204">
        <f t="shared" si="11"/>
        <v>0</v>
      </c>
      <c r="Q42" s="204">
        <f t="shared" si="5"/>
        <v>0</v>
      </c>
      <c r="R42" s="476">
        <v>0</v>
      </c>
    </row>
    <row r="43" spans="1:19" ht="14.25" customHeight="1" thickTop="1" thickBot="1">
      <c r="A43" s="202">
        <f t="shared" si="6"/>
        <v>45809</v>
      </c>
      <c r="B43" s="65">
        <f>IF(OR(J$43=0,DG!$A$128&gt;6),0,B42+1)</f>
        <v>0</v>
      </c>
      <c r="C43" s="65">
        <f t="shared" si="0"/>
        <v>0</v>
      </c>
      <c r="D43" s="65">
        <f t="shared" si="12"/>
        <v>18</v>
      </c>
      <c r="E43" s="65">
        <f t="shared" si="7"/>
        <v>0</v>
      </c>
      <c r="F43" s="65">
        <f>IF(OR(L$43=0,DG!$A$249&gt;6),0,F42+1)</f>
        <v>0</v>
      </c>
      <c r="G43" s="65">
        <f t="shared" si="1"/>
        <v>0</v>
      </c>
      <c r="H43" s="65">
        <f t="shared" si="13"/>
        <v>0</v>
      </c>
      <c r="I43" s="65">
        <f t="shared" si="3"/>
        <v>0</v>
      </c>
      <c r="J43" s="203">
        <f>IF(DG!$A$128&lt;=6,$M$17,0)</f>
        <v>0</v>
      </c>
      <c r="K43" s="65">
        <f t="shared" si="8"/>
        <v>0</v>
      </c>
      <c r="L43" s="473">
        <f t="shared" si="9"/>
        <v>0</v>
      </c>
      <c r="M43" s="204">
        <f t="shared" si="4"/>
        <v>0</v>
      </c>
      <c r="N43" s="505">
        <f t="shared" si="10"/>
        <v>0</v>
      </c>
      <c r="O43" s="204">
        <f>IF(DG!$A$129&gt;6,0,IF(J43-J42&gt;0,MROUND((L43/12*Q42),1),MROUND(L43/12*P42,1)))</f>
        <v>0</v>
      </c>
      <c r="P43" s="204">
        <f t="shared" si="11"/>
        <v>0</v>
      </c>
      <c r="Q43" s="204">
        <f t="shared" si="5"/>
        <v>0</v>
      </c>
      <c r="R43" s="476">
        <v>0</v>
      </c>
    </row>
    <row r="44" spans="1:19" ht="14.25" customHeight="1" thickTop="1" thickBot="1">
      <c r="A44" s="202">
        <f t="shared" si="6"/>
        <v>45839</v>
      </c>
      <c r="B44" s="65">
        <f>IF(OR(J$44=0,DG!$A$128&gt;7),0,B43+1)</f>
        <v>0</v>
      </c>
      <c r="C44" s="65">
        <f t="shared" si="0"/>
        <v>0</v>
      </c>
      <c r="D44" s="65">
        <f t="shared" si="12"/>
        <v>19</v>
      </c>
      <c r="E44" s="65">
        <f t="shared" si="7"/>
        <v>0</v>
      </c>
      <c r="F44" s="65">
        <f>IF(OR(L$44=0,DG!$A$249&gt;7),0,F43+1)</f>
        <v>0</v>
      </c>
      <c r="G44" s="65">
        <f t="shared" si="1"/>
        <v>0</v>
      </c>
      <c r="H44" s="65">
        <f t="shared" si="13"/>
        <v>0</v>
      </c>
      <c r="I44" s="65">
        <f t="shared" si="3"/>
        <v>0</v>
      </c>
      <c r="J44" s="203">
        <f>IF(DG!$A$128&lt;=7,$M$17,0)</f>
        <v>0</v>
      </c>
      <c r="K44" s="65">
        <f t="shared" si="8"/>
        <v>0</v>
      </c>
      <c r="L44" s="473">
        <f t="shared" si="9"/>
        <v>0</v>
      </c>
      <c r="M44" s="204">
        <f t="shared" si="4"/>
        <v>0</v>
      </c>
      <c r="N44" s="505">
        <f t="shared" si="10"/>
        <v>0</v>
      </c>
      <c r="O44" s="204">
        <f>IF(DG!$A$129&gt;7,0,IF(J44-J43&gt;0,MROUND((L44/12*Q43),1),MROUND(L44/12*P43,1)))</f>
        <v>0</v>
      </c>
      <c r="P44" s="204">
        <f t="shared" si="11"/>
        <v>0</v>
      </c>
      <c r="Q44" s="204">
        <f t="shared" si="5"/>
        <v>0</v>
      </c>
      <c r="R44" s="476">
        <v>0</v>
      </c>
    </row>
    <row r="45" spans="1:19" ht="14.25" customHeight="1" thickTop="1" thickBot="1">
      <c r="A45" s="202">
        <f t="shared" si="6"/>
        <v>45870</v>
      </c>
      <c r="B45" s="65">
        <f>IF(OR(J$45=0,DG!$A$128&gt;7),0,B44+1)</f>
        <v>0</v>
      </c>
      <c r="C45" s="65">
        <f t="shared" si="0"/>
        <v>0</v>
      </c>
      <c r="D45" s="65">
        <f t="shared" si="12"/>
        <v>20</v>
      </c>
      <c r="E45" s="65">
        <f t="shared" si="7"/>
        <v>0</v>
      </c>
      <c r="F45" s="65">
        <f>IF(OR(L$45=0,DG!$A$249&gt;7),0,F44+1)</f>
        <v>0</v>
      </c>
      <c r="G45" s="65">
        <f t="shared" si="1"/>
        <v>0</v>
      </c>
      <c r="H45" s="65">
        <f t="shared" si="13"/>
        <v>0</v>
      </c>
      <c r="I45" s="65">
        <f t="shared" si="3"/>
        <v>0</v>
      </c>
      <c r="J45" s="203">
        <f>IF(DG!$A$128&lt;=7,$M$17,0)</f>
        <v>0</v>
      </c>
      <c r="K45" s="65">
        <f t="shared" si="8"/>
        <v>0</v>
      </c>
      <c r="L45" s="473">
        <f t="shared" si="9"/>
        <v>0</v>
      </c>
      <c r="M45" s="204">
        <f t="shared" si="4"/>
        <v>0</v>
      </c>
      <c r="N45" s="505">
        <f t="shared" si="10"/>
        <v>0</v>
      </c>
      <c r="O45" s="204">
        <f>IF(DG!$A$129&gt;7,0,IF(J45-J44&gt;0,MROUND((L45/12*Q44),1),MROUND(L45/12*P44,1)))</f>
        <v>0</v>
      </c>
      <c r="P45" s="204">
        <f t="shared" si="11"/>
        <v>0</v>
      </c>
      <c r="Q45" s="204">
        <f t="shared" si="5"/>
        <v>0</v>
      </c>
      <c r="R45" s="476">
        <v>0</v>
      </c>
    </row>
    <row r="46" spans="1:19" ht="14.25" customHeight="1" thickTop="1" thickBot="1">
      <c r="A46" s="202">
        <f t="shared" si="6"/>
        <v>45901</v>
      </c>
      <c r="B46" s="65">
        <f>IF(OR(J$46=0,DG!$A$128&gt;7),0,B45+1)</f>
        <v>0</v>
      </c>
      <c r="C46" s="65">
        <f t="shared" si="0"/>
        <v>0</v>
      </c>
      <c r="D46" s="65">
        <f t="shared" si="12"/>
        <v>21</v>
      </c>
      <c r="E46" s="65">
        <f t="shared" si="7"/>
        <v>0</v>
      </c>
      <c r="F46" s="65">
        <f>IF(OR(L$46=0,DG!$A$249&gt;7),0,F45+1)</f>
        <v>0</v>
      </c>
      <c r="G46" s="65">
        <f t="shared" si="1"/>
        <v>0</v>
      </c>
      <c r="H46" s="65">
        <f t="shared" si="13"/>
        <v>0</v>
      </c>
      <c r="I46" s="65">
        <f t="shared" si="3"/>
        <v>0</v>
      </c>
      <c r="J46" s="203">
        <f>IF(DG!$A$128&lt;=7,$M$17,0)</f>
        <v>0</v>
      </c>
      <c r="K46" s="65">
        <f t="shared" si="8"/>
        <v>0</v>
      </c>
      <c r="L46" s="473">
        <f t="shared" si="9"/>
        <v>0</v>
      </c>
      <c r="M46" s="204">
        <f>IF(H46=0,0,IF(N46=0,O46,-PMT(L46/12,K46-$G$77,J46)))</f>
        <v>0</v>
      </c>
      <c r="N46" s="505">
        <f t="shared" si="10"/>
        <v>0</v>
      </c>
      <c r="O46" s="204">
        <f>IF(DG!$A$129&gt;7,0,IF(J46-J45&gt;0,MROUND((L46/12*Q45),1),MROUND(L46/12*P45,1)))</f>
        <v>0</v>
      </c>
      <c r="P46" s="204">
        <f t="shared" si="11"/>
        <v>0</v>
      </c>
      <c r="Q46" s="204">
        <f t="shared" si="5"/>
        <v>0</v>
      </c>
      <c r="R46" s="476">
        <v>0</v>
      </c>
    </row>
    <row r="47" spans="1:19" ht="14.25" customHeight="1" thickTop="1" thickBot="1">
      <c r="A47" s="202">
        <f t="shared" si="6"/>
        <v>45931</v>
      </c>
      <c r="B47" s="65">
        <f>IF(OR(J$47=0,DG!$A$128&gt;8),0,B46+1)</f>
        <v>0</v>
      </c>
      <c r="C47" s="65">
        <f t="shared" si="0"/>
        <v>0</v>
      </c>
      <c r="D47" s="65">
        <f t="shared" si="12"/>
        <v>22</v>
      </c>
      <c r="E47" s="65">
        <f t="shared" si="7"/>
        <v>0</v>
      </c>
      <c r="F47" s="65">
        <f>IF(OR(L$47=0,DG!$A$249&gt;8),0,F46+1)</f>
        <v>0</v>
      </c>
      <c r="G47" s="65">
        <f t="shared" si="1"/>
        <v>0</v>
      </c>
      <c r="H47" s="65">
        <f t="shared" si="13"/>
        <v>0</v>
      </c>
      <c r="I47" s="65">
        <f t="shared" si="3"/>
        <v>0</v>
      </c>
      <c r="J47" s="203">
        <f>IF(DG!$A$128&lt;=8,$M$17,0)</f>
        <v>0</v>
      </c>
      <c r="K47" s="65">
        <f t="shared" si="8"/>
        <v>0</v>
      </c>
      <c r="L47" s="473">
        <f t="shared" si="9"/>
        <v>0</v>
      </c>
      <c r="M47" s="204">
        <f t="shared" ref="M47:M73" si="14">IF(H47=0,0,IF(N47=0,O47,-PMT(L47/12,K47-$G$77,J47)))</f>
        <v>0</v>
      </c>
      <c r="N47" s="505">
        <f t="shared" si="10"/>
        <v>0</v>
      </c>
      <c r="O47" s="204">
        <f>IF(DG!$A$129&gt;8,0,IF(J47-J46&gt;0,MROUND((L47/12*Q46),1),MROUND(L47/12*P46,1)))</f>
        <v>0</v>
      </c>
      <c r="P47" s="204">
        <f t="shared" si="11"/>
        <v>0</v>
      </c>
      <c r="Q47" s="204">
        <f t="shared" si="5"/>
        <v>0</v>
      </c>
      <c r="R47" s="476">
        <v>0</v>
      </c>
    </row>
    <row r="48" spans="1:19" ht="14.25" customHeight="1" thickTop="1" thickBot="1">
      <c r="A48" s="202">
        <f t="shared" si="6"/>
        <v>45962</v>
      </c>
      <c r="B48" s="65">
        <f>IF(OR(J$48=0,DG!$A$128&gt;8),0,B47+1)</f>
        <v>0</v>
      </c>
      <c r="C48" s="65">
        <f t="shared" si="0"/>
        <v>0</v>
      </c>
      <c r="D48" s="65">
        <f t="shared" si="12"/>
        <v>23</v>
      </c>
      <c r="E48" s="65">
        <f t="shared" si="7"/>
        <v>0</v>
      </c>
      <c r="F48" s="65">
        <f>IF(OR(L$48=0,DG!$A$249&gt;8),0,F47+1)</f>
        <v>0</v>
      </c>
      <c r="G48" s="65">
        <f t="shared" si="1"/>
        <v>0</v>
      </c>
      <c r="H48" s="65">
        <f t="shared" si="13"/>
        <v>0</v>
      </c>
      <c r="I48" s="65">
        <f t="shared" si="3"/>
        <v>0</v>
      </c>
      <c r="J48" s="203">
        <f>IF(DG!$A$128&lt;=8,$M$17,0)</f>
        <v>0</v>
      </c>
      <c r="K48" s="65">
        <f t="shared" si="8"/>
        <v>0</v>
      </c>
      <c r="L48" s="473">
        <f t="shared" si="9"/>
        <v>0</v>
      </c>
      <c r="M48" s="204">
        <f t="shared" si="14"/>
        <v>0</v>
      </c>
      <c r="N48" s="505">
        <f t="shared" si="10"/>
        <v>0</v>
      </c>
      <c r="O48" s="204">
        <f>IF(DG!$A$129&gt;8,0,IF(J48-J47&gt;0,MROUND((L48/12*Q47),1),MROUND(L48/12*P47,1)))</f>
        <v>0</v>
      </c>
      <c r="P48" s="204">
        <f t="shared" si="11"/>
        <v>0</v>
      </c>
      <c r="Q48" s="204">
        <f t="shared" si="5"/>
        <v>0</v>
      </c>
      <c r="R48" s="476">
        <v>0</v>
      </c>
    </row>
    <row r="49" spans="1:19" ht="14.25" customHeight="1" thickTop="1" thickBot="1">
      <c r="A49" s="202">
        <f t="shared" si="6"/>
        <v>45992</v>
      </c>
      <c r="B49" s="65">
        <f>IF(OR(J$49=0,DG!$A$128&gt;8),0,B48+1)</f>
        <v>0</v>
      </c>
      <c r="C49" s="65">
        <f t="shared" si="0"/>
        <v>0</v>
      </c>
      <c r="D49" s="65">
        <f t="shared" si="12"/>
        <v>24</v>
      </c>
      <c r="E49" s="65">
        <f t="shared" si="7"/>
        <v>0</v>
      </c>
      <c r="F49" s="65">
        <f>IF(OR(L$49=0,DG!$A$249&gt;8),0,F48+1)</f>
        <v>0</v>
      </c>
      <c r="G49" s="65">
        <f t="shared" si="1"/>
        <v>0</v>
      </c>
      <c r="H49" s="65">
        <f t="shared" si="13"/>
        <v>0</v>
      </c>
      <c r="I49" s="65">
        <f t="shared" si="3"/>
        <v>0</v>
      </c>
      <c r="J49" s="203">
        <f>IF(DG!$A$128&lt;=8,$M$17,0)</f>
        <v>0</v>
      </c>
      <c r="K49" s="65">
        <f t="shared" si="8"/>
        <v>0</v>
      </c>
      <c r="L49" s="473">
        <f t="shared" si="9"/>
        <v>0</v>
      </c>
      <c r="M49" s="204">
        <f t="shared" si="14"/>
        <v>0</v>
      </c>
      <c r="N49" s="505">
        <f t="shared" si="10"/>
        <v>0</v>
      </c>
      <c r="O49" s="204">
        <f>IF(DG!$A$129&gt;8,0,IF(J49-J48&gt;0,MROUND((L49/12*Q48),1),MROUND(L49/12*P48,1)))</f>
        <v>0</v>
      </c>
      <c r="P49" s="204">
        <f t="shared" si="11"/>
        <v>0</v>
      </c>
      <c r="Q49" s="204">
        <f t="shared" si="5"/>
        <v>0</v>
      </c>
      <c r="R49" s="476">
        <v>0</v>
      </c>
      <c r="S49" s="511">
        <f>SUM(N38:N49)</f>
        <v>0</v>
      </c>
    </row>
    <row r="50" spans="1:19" ht="14.25" customHeight="1" thickTop="1" thickBot="1">
      <c r="A50" s="202">
        <f t="shared" si="6"/>
        <v>46023</v>
      </c>
      <c r="B50" s="65">
        <f>IF(OR(J$50=0,DG!$A$128&gt;9),0,B49+1)</f>
        <v>0</v>
      </c>
      <c r="C50" s="65">
        <f>IF(F50-$E$269&gt;0,F50-$E$269,0)</f>
        <v>0</v>
      </c>
      <c r="D50" s="65">
        <f t="shared" si="12"/>
        <v>25</v>
      </c>
      <c r="E50" s="65">
        <f t="shared" si="7"/>
        <v>0</v>
      </c>
      <c r="F50" s="65">
        <f>IF(OR(L$50=0,DG!$A$251&gt;9),0,F49+1)</f>
        <v>0</v>
      </c>
      <c r="G50" s="65">
        <f t="shared" si="1"/>
        <v>0</v>
      </c>
      <c r="H50" s="65">
        <f t="shared" si="13"/>
        <v>0</v>
      </c>
      <c r="I50" s="65">
        <f t="shared" si="3"/>
        <v>0</v>
      </c>
      <c r="J50" s="203">
        <f>IF(DG!$A$128&lt;=9,$M$17,0)</f>
        <v>0</v>
      </c>
      <c r="K50" s="65">
        <f t="shared" si="8"/>
        <v>0</v>
      </c>
      <c r="L50" s="473">
        <f t="shared" si="9"/>
        <v>0</v>
      </c>
      <c r="M50" s="204">
        <f t="shared" si="14"/>
        <v>0</v>
      </c>
      <c r="N50" s="505">
        <f t="shared" si="10"/>
        <v>0</v>
      </c>
      <c r="O50" s="204">
        <f>IF(DG!$A$129&gt;9,0,IF(J50-J49&gt;0,MROUND((L50/12*Q49),1),MROUND(L50/12*P49,1)))</f>
        <v>0</v>
      </c>
      <c r="P50" s="204">
        <f t="shared" si="11"/>
        <v>0</v>
      </c>
      <c r="Q50" s="204">
        <f t="shared" si="5"/>
        <v>0</v>
      </c>
      <c r="R50" s="476">
        <v>0</v>
      </c>
    </row>
    <row r="51" spans="1:19" ht="14.25" customHeight="1" thickTop="1" thickBot="1">
      <c r="A51" s="202">
        <f t="shared" si="6"/>
        <v>46054</v>
      </c>
      <c r="B51" s="65">
        <f>IF(OR(J$50=0,DG!$A$128&gt;10),0,B50+1)</f>
        <v>0</v>
      </c>
      <c r="C51" s="65">
        <f t="shared" ref="C51:C73" si="15">IF(F51-$E$269&gt;0,F51-$E$269,0)</f>
        <v>0</v>
      </c>
      <c r="D51" s="65">
        <f t="shared" si="12"/>
        <v>26</v>
      </c>
      <c r="E51" s="65">
        <f t="shared" si="7"/>
        <v>0</v>
      </c>
      <c r="F51" s="65">
        <f>IF(OR(L$51=0,DG!$A$251&gt;9),0,F50+1)</f>
        <v>0</v>
      </c>
      <c r="G51" s="65">
        <f t="shared" si="1"/>
        <v>0</v>
      </c>
      <c r="H51" s="65">
        <f t="shared" si="13"/>
        <v>0</v>
      </c>
      <c r="I51" s="65">
        <f t="shared" si="3"/>
        <v>0</v>
      </c>
      <c r="J51" s="203">
        <f>IF(DG!$A$128&lt;=10,$M$17,0)</f>
        <v>0</v>
      </c>
      <c r="K51" s="65">
        <f t="shared" si="8"/>
        <v>0</v>
      </c>
      <c r="L51" s="473">
        <f t="shared" si="9"/>
        <v>0</v>
      </c>
      <c r="M51" s="204">
        <f t="shared" si="14"/>
        <v>0</v>
      </c>
      <c r="N51" s="505">
        <f t="shared" si="10"/>
        <v>0</v>
      </c>
      <c r="O51" s="204">
        <f>IF(DG!$A$129&gt;9,0,IF(J51-J50&gt;0,MROUND((L51/12*Q50),1),MROUND(L51/12*P50,1)))</f>
        <v>0</v>
      </c>
      <c r="P51" s="204">
        <f t="shared" si="11"/>
        <v>0</v>
      </c>
      <c r="Q51" s="204">
        <f t="shared" si="5"/>
        <v>0</v>
      </c>
      <c r="R51" s="476">
        <v>0</v>
      </c>
    </row>
    <row r="52" spans="1:19" ht="14.25" customHeight="1" thickTop="1" thickBot="1">
      <c r="A52" s="202">
        <f t="shared" si="6"/>
        <v>46082</v>
      </c>
      <c r="B52" s="65">
        <f t="shared" ref="B52:B61" si="16">IF(J$51=0,0,B51+1)</f>
        <v>0</v>
      </c>
      <c r="C52" s="65">
        <f t="shared" si="15"/>
        <v>0</v>
      </c>
      <c r="D52" s="65">
        <f t="shared" si="12"/>
        <v>27</v>
      </c>
      <c r="E52" s="65">
        <f t="shared" si="7"/>
        <v>0</v>
      </c>
      <c r="F52" s="65">
        <f>IF(OR(L$52=0,DG!$A$251&gt;9),0,F51+1)</f>
        <v>0</v>
      </c>
      <c r="G52" s="65">
        <f t="shared" si="1"/>
        <v>0</v>
      </c>
      <c r="H52" s="65">
        <f t="shared" si="13"/>
        <v>0</v>
      </c>
      <c r="I52" s="65">
        <f t="shared" si="3"/>
        <v>0</v>
      </c>
      <c r="J52" s="203">
        <f>IF(DG!$A$128&lt;=10,$M$17,0)</f>
        <v>0</v>
      </c>
      <c r="K52" s="65">
        <f t="shared" si="8"/>
        <v>0</v>
      </c>
      <c r="L52" s="473">
        <f t="shared" si="9"/>
        <v>0</v>
      </c>
      <c r="M52" s="204">
        <f t="shared" si="14"/>
        <v>0</v>
      </c>
      <c r="N52" s="505">
        <f t="shared" si="10"/>
        <v>0</v>
      </c>
      <c r="O52" s="204">
        <f>IF(DG!$A$129&gt;9,0,IF(J52-J51&gt;0,MROUND((L52/12*Q51),1),MROUND(L52/12*P51,1)))</f>
        <v>0</v>
      </c>
      <c r="P52" s="204">
        <f t="shared" si="11"/>
        <v>0</v>
      </c>
      <c r="Q52" s="204">
        <f t="shared" si="5"/>
        <v>0</v>
      </c>
      <c r="R52" s="476">
        <v>0</v>
      </c>
    </row>
    <row r="53" spans="1:19" ht="14.25" customHeight="1" thickTop="1" thickBot="1">
      <c r="A53" s="202">
        <f t="shared" si="6"/>
        <v>46113</v>
      </c>
      <c r="B53" s="65">
        <f t="shared" si="16"/>
        <v>0</v>
      </c>
      <c r="C53" s="65">
        <f t="shared" si="15"/>
        <v>0</v>
      </c>
      <c r="D53" s="65">
        <f t="shared" si="12"/>
        <v>28</v>
      </c>
      <c r="E53" s="65">
        <f t="shared" si="7"/>
        <v>0</v>
      </c>
      <c r="F53" s="65">
        <f>IF(OR(L$53=0,DG!$A$251&gt;10),0,F52+1)</f>
        <v>0</v>
      </c>
      <c r="G53" s="65">
        <f t="shared" si="1"/>
        <v>0</v>
      </c>
      <c r="H53" s="65">
        <f t="shared" si="13"/>
        <v>0</v>
      </c>
      <c r="I53" s="65">
        <f t="shared" si="3"/>
        <v>0</v>
      </c>
      <c r="J53" s="203">
        <f>IF(DG!$A$128&lt;=10,$M$17,0)</f>
        <v>0</v>
      </c>
      <c r="K53" s="65">
        <f t="shared" si="8"/>
        <v>0</v>
      </c>
      <c r="L53" s="473">
        <f t="shared" si="9"/>
        <v>0</v>
      </c>
      <c r="M53" s="204">
        <f t="shared" si="14"/>
        <v>0</v>
      </c>
      <c r="N53" s="505">
        <f t="shared" si="10"/>
        <v>0</v>
      </c>
      <c r="O53" s="204">
        <f>IF(DG!$A$129&gt;10,0,IF(J53-J52&gt;0,MROUND((L53/12*Q52),1),MROUND(L53/12*P52,1)))</f>
        <v>0</v>
      </c>
      <c r="P53" s="204">
        <f t="shared" si="11"/>
        <v>0</v>
      </c>
      <c r="Q53" s="204">
        <f t="shared" si="5"/>
        <v>0</v>
      </c>
      <c r="R53" s="476">
        <v>0</v>
      </c>
    </row>
    <row r="54" spans="1:19" ht="14.25" customHeight="1" thickTop="1" thickBot="1">
      <c r="A54" s="202">
        <f t="shared" si="6"/>
        <v>46143</v>
      </c>
      <c r="B54" s="65">
        <f t="shared" si="16"/>
        <v>0</v>
      </c>
      <c r="C54" s="65">
        <f t="shared" si="15"/>
        <v>0</v>
      </c>
      <c r="D54" s="65">
        <f t="shared" si="12"/>
        <v>29</v>
      </c>
      <c r="E54" s="65">
        <f t="shared" si="7"/>
        <v>0</v>
      </c>
      <c r="F54" s="65">
        <f>IF(OR(L$54=0,DG!$A$251&gt;10),0,F53+1)</f>
        <v>0</v>
      </c>
      <c r="G54" s="65">
        <f t="shared" si="1"/>
        <v>0</v>
      </c>
      <c r="H54" s="65">
        <f t="shared" si="13"/>
        <v>0</v>
      </c>
      <c r="I54" s="65">
        <f t="shared" si="3"/>
        <v>0</v>
      </c>
      <c r="J54" s="203">
        <f>IF(DG!$A$128&lt;=10,$M$17,0)</f>
        <v>0</v>
      </c>
      <c r="K54" s="65">
        <f t="shared" si="8"/>
        <v>0</v>
      </c>
      <c r="L54" s="473">
        <f t="shared" si="9"/>
        <v>0</v>
      </c>
      <c r="M54" s="204">
        <f t="shared" si="14"/>
        <v>0</v>
      </c>
      <c r="N54" s="505">
        <f t="shared" si="10"/>
        <v>0</v>
      </c>
      <c r="O54" s="204">
        <f>IF(DG!$A$129&gt;10,0,IF(J54-J53&gt;0,MROUND((L54/12*Q53),1),MROUND(L54/12*P53,1)))</f>
        <v>0</v>
      </c>
      <c r="P54" s="204">
        <f t="shared" si="11"/>
        <v>0</v>
      </c>
      <c r="Q54" s="204">
        <f t="shared" si="5"/>
        <v>0</v>
      </c>
      <c r="R54" s="476">
        <v>0</v>
      </c>
    </row>
    <row r="55" spans="1:19" ht="14.25" customHeight="1" thickTop="1" thickBot="1">
      <c r="A55" s="202">
        <f t="shared" si="6"/>
        <v>46174</v>
      </c>
      <c r="B55" s="65">
        <f t="shared" si="16"/>
        <v>0</v>
      </c>
      <c r="C55" s="65">
        <f t="shared" si="15"/>
        <v>0</v>
      </c>
      <c r="D55" s="65">
        <f t="shared" si="12"/>
        <v>30</v>
      </c>
      <c r="E55" s="65">
        <f t="shared" si="7"/>
        <v>0</v>
      </c>
      <c r="F55" s="65">
        <f>IF(OR(L$55=0,DG!$A$251&gt;10),0,F54+1)</f>
        <v>0</v>
      </c>
      <c r="G55" s="65">
        <f t="shared" si="1"/>
        <v>0</v>
      </c>
      <c r="H55" s="65">
        <f t="shared" si="13"/>
        <v>0</v>
      </c>
      <c r="I55" s="65">
        <f t="shared" si="3"/>
        <v>0</v>
      </c>
      <c r="J55" s="203">
        <f>IF(DG!$A$128&lt;=10,$M$17,0)</f>
        <v>0</v>
      </c>
      <c r="K55" s="65">
        <f t="shared" si="8"/>
        <v>0</v>
      </c>
      <c r="L55" s="473">
        <f t="shared" si="9"/>
        <v>0</v>
      </c>
      <c r="M55" s="204">
        <f t="shared" si="14"/>
        <v>0</v>
      </c>
      <c r="N55" s="505">
        <f t="shared" si="10"/>
        <v>0</v>
      </c>
      <c r="O55" s="204">
        <f>IF(DG!$A$129&gt;10,0,IF(J55-J54&gt;0,MROUND((L55/12*Q54),1),MROUND(L55/12*P54,1)))</f>
        <v>0</v>
      </c>
      <c r="P55" s="204">
        <f t="shared" si="11"/>
        <v>0</v>
      </c>
      <c r="Q55" s="204">
        <f t="shared" si="5"/>
        <v>0</v>
      </c>
      <c r="R55" s="476">
        <v>0</v>
      </c>
    </row>
    <row r="56" spans="1:19" ht="14.25" customHeight="1" thickTop="1" thickBot="1">
      <c r="A56" s="202">
        <f t="shared" si="6"/>
        <v>46204</v>
      </c>
      <c r="B56" s="65">
        <f t="shared" si="16"/>
        <v>0</v>
      </c>
      <c r="C56" s="65">
        <f t="shared" si="15"/>
        <v>0</v>
      </c>
      <c r="D56" s="65">
        <f t="shared" si="12"/>
        <v>31</v>
      </c>
      <c r="E56" s="65">
        <f t="shared" si="7"/>
        <v>0</v>
      </c>
      <c r="F56" s="65">
        <f>IF(OR(L$56=0,DG!$A$251&gt;11),0,F55+1)</f>
        <v>0</v>
      </c>
      <c r="G56" s="65">
        <f t="shared" si="1"/>
        <v>0</v>
      </c>
      <c r="H56" s="65">
        <f t="shared" si="13"/>
        <v>0</v>
      </c>
      <c r="I56" s="65">
        <f t="shared" si="3"/>
        <v>0</v>
      </c>
      <c r="J56" s="203">
        <f>IF(DG!$A$128&lt;=10,$M$17,0)</f>
        <v>0</v>
      </c>
      <c r="K56" s="65">
        <f t="shared" si="8"/>
        <v>0</v>
      </c>
      <c r="L56" s="473">
        <f t="shared" si="9"/>
        <v>0</v>
      </c>
      <c r="M56" s="204">
        <f t="shared" si="14"/>
        <v>0</v>
      </c>
      <c r="N56" s="505">
        <f t="shared" si="10"/>
        <v>0</v>
      </c>
      <c r="O56" s="204">
        <f>IF(DG!$A$129&gt;10,0,IF(J56-J55&gt;0,MROUND((L56/12*Q55),1),MROUND(L56/12*P55,1)))</f>
        <v>0</v>
      </c>
      <c r="P56" s="204">
        <f t="shared" si="11"/>
        <v>0</v>
      </c>
      <c r="Q56" s="204">
        <f t="shared" si="5"/>
        <v>0</v>
      </c>
      <c r="R56" s="476">
        <v>0</v>
      </c>
    </row>
    <row r="57" spans="1:19" ht="14.25" customHeight="1" thickTop="1" thickBot="1">
      <c r="A57" s="202">
        <f t="shared" si="6"/>
        <v>46235</v>
      </c>
      <c r="B57" s="65">
        <f t="shared" si="16"/>
        <v>0</v>
      </c>
      <c r="C57" s="65">
        <f t="shared" si="15"/>
        <v>0</v>
      </c>
      <c r="D57" s="65">
        <f t="shared" si="12"/>
        <v>32</v>
      </c>
      <c r="E57" s="65">
        <f t="shared" si="7"/>
        <v>0</v>
      </c>
      <c r="F57" s="65">
        <f>IF(OR(L$57=0,DG!$A$251&gt;11),0,F56+1)</f>
        <v>0</v>
      </c>
      <c r="G57" s="65">
        <f t="shared" si="1"/>
        <v>0</v>
      </c>
      <c r="H57" s="65">
        <f t="shared" si="13"/>
        <v>0</v>
      </c>
      <c r="I57" s="65">
        <f t="shared" si="3"/>
        <v>0</v>
      </c>
      <c r="J57" s="203">
        <f>IF(DG!$A$128&lt;=10,$M$17,0)</f>
        <v>0</v>
      </c>
      <c r="K57" s="65">
        <f t="shared" si="8"/>
        <v>0</v>
      </c>
      <c r="L57" s="473">
        <f t="shared" si="9"/>
        <v>0</v>
      </c>
      <c r="M57" s="204">
        <f t="shared" si="14"/>
        <v>0</v>
      </c>
      <c r="N57" s="505">
        <f t="shared" si="10"/>
        <v>0</v>
      </c>
      <c r="O57" s="204">
        <f>IF(DG!$A$129&gt;10,0,IF(J57-J56&gt;0,MROUND((L57/12*Q56),1),MROUND(L57/12*P56,1)))</f>
        <v>0</v>
      </c>
      <c r="P57" s="204">
        <f t="shared" si="11"/>
        <v>0</v>
      </c>
      <c r="Q57" s="204">
        <f t="shared" si="5"/>
        <v>0</v>
      </c>
      <c r="R57" s="476">
        <v>0</v>
      </c>
    </row>
    <row r="58" spans="1:19" ht="14.25" customHeight="1" thickTop="1" thickBot="1">
      <c r="A58" s="202">
        <f t="shared" si="6"/>
        <v>46266</v>
      </c>
      <c r="B58" s="65">
        <f t="shared" si="16"/>
        <v>0</v>
      </c>
      <c r="C58" s="65">
        <f t="shared" si="15"/>
        <v>0</v>
      </c>
      <c r="D58" s="65">
        <f t="shared" si="12"/>
        <v>33</v>
      </c>
      <c r="E58" s="65">
        <f t="shared" si="7"/>
        <v>0</v>
      </c>
      <c r="F58" s="65">
        <f>IF(OR(L$58=0,DG!$A$251&gt;11),0,F57+1)</f>
        <v>0</v>
      </c>
      <c r="G58" s="65">
        <f t="shared" si="1"/>
        <v>0</v>
      </c>
      <c r="H58" s="65">
        <f t="shared" si="13"/>
        <v>0</v>
      </c>
      <c r="I58" s="65">
        <f t="shared" si="3"/>
        <v>0</v>
      </c>
      <c r="J58" s="203">
        <f>IF(DG!$A$128&lt;=10,$M$17,0)</f>
        <v>0</v>
      </c>
      <c r="K58" s="65">
        <f t="shared" si="8"/>
        <v>0</v>
      </c>
      <c r="L58" s="473">
        <f t="shared" si="9"/>
        <v>0</v>
      </c>
      <c r="M58" s="204">
        <f t="shared" si="14"/>
        <v>0</v>
      </c>
      <c r="N58" s="505">
        <f t="shared" si="10"/>
        <v>0</v>
      </c>
      <c r="O58" s="204">
        <f>IF(DG!$A$129&gt;10,0,IF(J58-J57&gt;0,MROUND((L58/12*Q57),1),MROUND(L58/12*P57,1)))</f>
        <v>0</v>
      </c>
      <c r="P58" s="204">
        <f t="shared" si="11"/>
        <v>0</v>
      </c>
      <c r="Q58" s="204">
        <f t="shared" si="5"/>
        <v>0</v>
      </c>
      <c r="R58" s="476">
        <v>0</v>
      </c>
    </row>
    <row r="59" spans="1:19" ht="14.25" customHeight="1" thickTop="1" thickBot="1">
      <c r="A59" s="202">
        <f t="shared" si="6"/>
        <v>46296</v>
      </c>
      <c r="B59" s="65">
        <f t="shared" si="16"/>
        <v>0</v>
      </c>
      <c r="C59" s="65">
        <f t="shared" si="15"/>
        <v>0</v>
      </c>
      <c r="D59" s="65">
        <f t="shared" si="12"/>
        <v>34</v>
      </c>
      <c r="E59" s="65">
        <f t="shared" si="7"/>
        <v>0</v>
      </c>
      <c r="F59" s="65">
        <f>IF(OR(L$59=0,DG!$A$251&gt;12),0,F58+1)</f>
        <v>0</v>
      </c>
      <c r="G59" s="65">
        <f t="shared" si="1"/>
        <v>0</v>
      </c>
      <c r="H59" s="65">
        <f t="shared" si="13"/>
        <v>0</v>
      </c>
      <c r="I59" s="65">
        <f t="shared" si="3"/>
        <v>0</v>
      </c>
      <c r="J59" s="203">
        <f>IF(DG!$A$128&lt;=10,$M$17,0)</f>
        <v>0</v>
      </c>
      <c r="K59" s="65">
        <f t="shared" si="8"/>
        <v>0</v>
      </c>
      <c r="L59" s="473">
        <f t="shared" si="9"/>
        <v>0</v>
      </c>
      <c r="M59" s="204">
        <f t="shared" si="14"/>
        <v>0</v>
      </c>
      <c r="N59" s="505">
        <f t="shared" si="10"/>
        <v>0</v>
      </c>
      <c r="O59" s="204">
        <f>IF(DG!$A$129&gt;10,0,IF(J59-J58&gt;0,MROUND((L59/12*Q58),1),MROUND(L59/12*P58,1)))</f>
        <v>0</v>
      </c>
      <c r="P59" s="204">
        <f t="shared" si="11"/>
        <v>0</v>
      </c>
      <c r="Q59" s="204">
        <f t="shared" si="5"/>
        <v>0</v>
      </c>
      <c r="R59" s="476">
        <v>0</v>
      </c>
    </row>
    <row r="60" spans="1:19" ht="14.25" customHeight="1" thickTop="1" thickBot="1">
      <c r="A60" s="202">
        <f t="shared" si="6"/>
        <v>46327</v>
      </c>
      <c r="B60" s="65">
        <f t="shared" si="16"/>
        <v>0</v>
      </c>
      <c r="C60" s="65">
        <f t="shared" si="15"/>
        <v>0</v>
      </c>
      <c r="D60" s="65">
        <f t="shared" si="12"/>
        <v>35</v>
      </c>
      <c r="E60" s="65">
        <f t="shared" si="7"/>
        <v>0</v>
      </c>
      <c r="F60" s="65">
        <f>IF(OR(L$60=0,DG!$A$251&gt;12),0,F59+1)</f>
        <v>0</v>
      </c>
      <c r="G60" s="65">
        <f t="shared" si="1"/>
        <v>0</v>
      </c>
      <c r="H60" s="65">
        <f t="shared" si="13"/>
        <v>0</v>
      </c>
      <c r="I60" s="65">
        <f t="shared" si="3"/>
        <v>0</v>
      </c>
      <c r="J60" s="203">
        <f>IF(DG!$A$128&lt;=10,$M$17,0)</f>
        <v>0</v>
      </c>
      <c r="K60" s="65">
        <f t="shared" si="8"/>
        <v>0</v>
      </c>
      <c r="L60" s="473">
        <f t="shared" si="9"/>
        <v>0</v>
      </c>
      <c r="M60" s="204">
        <f t="shared" si="14"/>
        <v>0</v>
      </c>
      <c r="N60" s="505">
        <f t="shared" si="10"/>
        <v>0</v>
      </c>
      <c r="O60" s="204">
        <f>IF(DG!$A$129&gt;10,0,IF(J60-J59&gt;0,MROUND((L60/12*Q59),1),MROUND(L60/12*P59,1)))</f>
        <v>0</v>
      </c>
      <c r="P60" s="204">
        <f t="shared" si="11"/>
        <v>0</v>
      </c>
      <c r="Q60" s="204">
        <f t="shared" si="5"/>
        <v>0</v>
      </c>
      <c r="R60" s="476">
        <v>0</v>
      </c>
    </row>
    <row r="61" spans="1:19" ht="14.25" customHeight="1" thickTop="1" thickBot="1">
      <c r="A61" s="202">
        <f t="shared" si="6"/>
        <v>46357</v>
      </c>
      <c r="B61" s="65">
        <f t="shared" si="16"/>
        <v>0</v>
      </c>
      <c r="C61" s="65">
        <f t="shared" si="15"/>
        <v>0</v>
      </c>
      <c r="D61" s="65">
        <f t="shared" si="12"/>
        <v>36</v>
      </c>
      <c r="E61" s="65">
        <f t="shared" si="7"/>
        <v>0</v>
      </c>
      <c r="F61" s="65">
        <f>IF(OR(L$61=0,DG!$A$251&gt;12),0,F60+1)</f>
        <v>0</v>
      </c>
      <c r="G61" s="65">
        <f t="shared" si="1"/>
        <v>0</v>
      </c>
      <c r="H61" s="65">
        <f t="shared" si="13"/>
        <v>0</v>
      </c>
      <c r="I61" s="65">
        <f t="shared" si="3"/>
        <v>0</v>
      </c>
      <c r="J61" s="203">
        <f>IF(DG!$A$128&lt;=10,$M$17,0)</f>
        <v>0</v>
      </c>
      <c r="K61" s="65">
        <f t="shared" si="8"/>
        <v>0</v>
      </c>
      <c r="L61" s="473">
        <f t="shared" si="9"/>
        <v>0</v>
      </c>
      <c r="M61" s="204">
        <f t="shared" si="14"/>
        <v>0</v>
      </c>
      <c r="N61" s="505">
        <f t="shared" si="10"/>
        <v>0</v>
      </c>
      <c r="O61" s="204">
        <f>IF(DG!$A$129&gt;10,0,IF(J61-J60&gt;0,MROUND((L61/12*Q60),1),MROUND(L61/12*P60,1)))</f>
        <v>0</v>
      </c>
      <c r="P61" s="204">
        <f t="shared" si="11"/>
        <v>0</v>
      </c>
      <c r="Q61" s="204">
        <f t="shared" si="5"/>
        <v>0</v>
      </c>
      <c r="R61" s="476">
        <v>0</v>
      </c>
      <c r="S61" s="511">
        <f>SUM(N50:N61)</f>
        <v>0</v>
      </c>
    </row>
    <row r="62" spans="1:19" ht="14.25" customHeight="1" thickTop="1" thickBot="1">
      <c r="A62" s="202">
        <f t="shared" si="6"/>
        <v>46388</v>
      </c>
      <c r="B62" s="65">
        <f>IF(OR(J$62=0,DG!$A$128&gt;11),0,B61+1)</f>
        <v>0</v>
      </c>
      <c r="C62" s="65">
        <f t="shared" si="15"/>
        <v>0</v>
      </c>
      <c r="D62" s="65">
        <f t="shared" si="12"/>
        <v>37</v>
      </c>
      <c r="E62" s="65">
        <f t="shared" si="7"/>
        <v>0</v>
      </c>
      <c r="F62" s="65">
        <f>IF(OR(L$62=0,DG!$A$251&gt;13),0,F61+1)</f>
        <v>0</v>
      </c>
      <c r="G62" s="65">
        <f t="shared" si="1"/>
        <v>0</v>
      </c>
      <c r="H62" s="65">
        <f t="shared" si="13"/>
        <v>0</v>
      </c>
      <c r="I62" s="65">
        <f t="shared" si="3"/>
        <v>0</v>
      </c>
      <c r="J62" s="203">
        <f>IF(DG!$A$128&lt;=11,$M$17,0)</f>
        <v>0</v>
      </c>
      <c r="K62" s="65">
        <f t="shared" si="8"/>
        <v>0</v>
      </c>
      <c r="L62" s="473">
        <f t="shared" si="9"/>
        <v>0</v>
      </c>
      <c r="M62" s="204">
        <f t="shared" si="14"/>
        <v>0</v>
      </c>
      <c r="N62" s="505">
        <f t="shared" si="10"/>
        <v>0</v>
      </c>
      <c r="O62" s="204">
        <f>IF(DG!$A$129&gt;10,0,IF(J62-J61&gt;0,MROUND((L62/12*Q61),1),MROUND(L62/12*P61,1)))</f>
        <v>0</v>
      </c>
      <c r="P62" s="204">
        <f t="shared" si="11"/>
        <v>0</v>
      </c>
      <c r="Q62" s="204">
        <f t="shared" si="5"/>
        <v>0</v>
      </c>
      <c r="R62" s="476">
        <v>0</v>
      </c>
    </row>
    <row r="63" spans="1:19" ht="14.25" customHeight="1" thickTop="1" thickBot="1">
      <c r="A63" s="202">
        <f t="shared" si="6"/>
        <v>46419</v>
      </c>
      <c r="B63" s="65">
        <f>IF(J$63=0,0,B62+1)</f>
        <v>0</v>
      </c>
      <c r="C63" s="65">
        <f t="shared" si="15"/>
        <v>0</v>
      </c>
      <c r="D63" s="65">
        <f t="shared" si="12"/>
        <v>38</v>
      </c>
      <c r="E63" s="65">
        <f t="shared" si="7"/>
        <v>0</v>
      </c>
      <c r="F63" s="65">
        <f>IF(OR(L$63=0,DG!$A$251&gt;13),0,F62+1)</f>
        <v>0</v>
      </c>
      <c r="G63" s="65">
        <f t="shared" si="1"/>
        <v>0</v>
      </c>
      <c r="H63" s="65">
        <f t="shared" si="13"/>
        <v>0</v>
      </c>
      <c r="I63" s="65">
        <f t="shared" si="3"/>
        <v>0</v>
      </c>
      <c r="J63" s="203">
        <f>IF(DG!$A$128&lt;=11,$M$17,0)</f>
        <v>0</v>
      </c>
      <c r="K63" s="65">
        <f t="shared" si="8"/>
        <v>0</v>
      </c>
      <c r="L63" s="473">
        <f t="shared" si="9"/>
        <v>0</v>
      </c>
      <c r="M63" s="204">
        <f t="shared" si="14"/>
        <v>0</v>
      </c>
      <c r="N63" s="505">
        <f t="shared" si="10"/>
        <v>0</v>
      </c>
      <c r="O63" s="204">
        <f>IF(DG!$A$129&gt;10,0,IF(J63-J62&gt;0,MROUND((L63/12*Q62),1),MROUND(L63/12*P62,1)))</f>
        <v>0</v>
      </c>
      <c r="P63" s="204">
        <f t="shared" si="11"/>
        <v>0</v>
      </c>
      <c r="Q63" s="204">
        <f t="shared" si="5"/>
        <v>0</v>
      </c>
      <c r="R63" s="476">
        <v>0</v>
      </c>
    </row>
    <row r="64" spans="1:19" ht="14.25" customHeight="1" thickTop="1" thickBot="1">
      <c r="A64" s="202">
        <f t="shared" si="6"/>
        <v>46447</v>
      </c>
      <c r="B64" s="65">
        <f t="shared" ref="B64:B73" si="17">IF(J$63=0,0,B63+1)</f>
        <v>0</v>
      </c>
      <c r="C64" s="65">
        <f t="shared" si="15"/>
        <v>0</v>
      </c>
      <c r="D64" s="65">
        <f t="shared" si="12"/>
        <v>39</v>
      </c>
      <c r="E64" s="65">
        <f t="shared" si="7"/>
        <v>0</v>
      </c>
      <c r="F64" s="65">
        <f>IF(OR(L$64=0,DG!$A$251&gt;13),0,F63+1)</f>
        <v>0</v>
      </c>
      <c r="G64" s="65">
        <f t="shared" si="1"/>
        <v>0</v>
      </c>
      <c r="H64" s="65">
        <f t="shared" si="13"/>
        <v>0</v>
      </c>
      <c r="I64" s="65">
        <f t="shared" si="3"/>
        <v>0</v>
      </c>
      <c r="J64" s="203">
        <f>IF(DG!$A$128&lt;=11,$M$17,0)</f>
        <v>0</v>
      </c>
      <c r="K64" s="65">
        <f t="shared" si="8"/>
        <v>0</v>
      </c>
      <c r="L64" s="473">
        <f t="shared" si="9"/>
        <v>0</v>
      </c>
      <c r="M64" s="204">
        <f t="shared" si="14"/>
        <v>0</v>
      </c>
      <c r="N64" s="505">
        <f t="shared" si="10"/>
        <v>0</v>
      </c>
      <c r="O64" s="204">
        <f>IF(DG!$A$129&gt;10,0,IF(J64-J63&gt;0,MROUND((L64/12*Q63),1),MROUND(L64/12*P63,1)))</f>
        <v>0</v>
      </c>
      <c r="P64" s="204">
        <f t="shared" si="11"/>
        <v>0</v>
      </c>
      <c r="Q64" s="204">
        <f t="shared" si="5"/>
        <v>0</v>
      </c>
      <c r="R64" s="476">
        <v>0</v>
      </c>
    </row>
    <row r="65" spans="1:19" ht="14.25" customHeight="1" thickTop="1" thickBot="1">
      <c r="A65" s="202">
        <f t="shared" si="6"/>
        <v>46478</v>
      </c>
      <c r="B65" s="65">
        <f t="shared" si="17"/>
        <v>0</v>
      </c>
      <c r="C65" s="65">
        <f t="shared" si="15"/>
        <v>0</v>
      </c>
      <c r="D65" s="65">
        <f t="shared" si="12"/>
        <v>40</v>
      </c>
      <c r="E65" s="65">
        <f t="shared" si="7"/>
        <v>0</v>
      </c>
      <c r="F65" s="65">
        <f>IF(OR(L$65=0,DG!$A$251&gt;14),0,F64+1)</f>
        <v>0</v>
      </c>
      <c r="G65" s="65">
        <f t="shared" si="1"/>
        <v>0</v>
      </c>
      <c r="H65" s="65">
        <f t="shared" si="13"/>
        <v>0</v>
      </c>
      <c r="I65" s="65">
        <f t="shared" si="3"/>
        <v>0</v>
      </c>
      <c r="J65" s="203">
        <f>IF(DG!$A$128&lt;=11,$M$17,0)</f>
        <v>0</v>
      </c>
      <c r="K65" s="65">
        <f t="shared" si="8"/>
        <v>0</v>
      </c>
      <c r="L65" s="473">
        <f t="shared" si="9"/>
        <v>0</v>
      </c>
      <c r="M65" s="204">
        <f t="shared" si="14"/>
        <v>0</v>
      </c>
      <c r="N65" s="505">
        <f t="shared" si="10"/>
        <v>0</v>
      </c>
      <c r="O65" s="204">
        <f>IF(DG!$A$129&gt;11,0,IF(J65-J64&gt;0,MROUND((L65/12*Q64),1),MROUND(L65/12*P64,1)))</f>
        <v>0</v>
      </c>
      <c r="P65" s="204">
        <f t="shared" si="11"/>
        <v>0</v>
      </c>
      <c r="Q65" s="204">
        <f t="shared" si="5"/>
        <v>0</v>
      </c>
      <c r="R65" s="476">
        <v>0</v>
      </c>
    </row>
    <row r="66" spans="1:19" ht="14.25" customHeight="1" thickTop="1" thickBot="1">
      <c r="A66" s="202">
        <f t="shared" si="6"/>
        <v>46508</v>
      </c>
      <c r="B66" s="65">
        <f t="shared" si="17"/>
        <v>0</v>
      </c>
      <c r="C66" s="65">
        <f t="shared" si="15"/>
        <v>0</v>
      </c>
      <c r="D66" s="65">
        <f t="shared" si="12"/>
        <v>41</v>
      </c>
      <c r="E66" s="65">
        <f t="shared" si="7"/>
        <v>0</v>
      </c>
      <c r="F66" s="65">
        <f>IF(OR(L$66=0,DG!$A$251&gt;14),0,F65+1)</f>
        <v>0</v>
      </c>
      <c r="G66" s="65">
        <f t="shared" si="1"/>
        <v>0</v>
      </c>
      <c r="H66" s="65">
        <f t="shared" si="13"/>
        <v>0</v>
      </c>
      <c r="I66" s="65">
        <f t="shared" si="3"/>
        <v>0</v>
      </c>
      <c r="J66" s="203">
        <f>IF(DG!$A$128&lt;=11,$M$17,0)</f>
        <v>0</v>
      </c>
      <c r="K66" s="65">
        <f t="shared" si="8"/>
        <v>0</v>
      </c>
      <c r="L66" s="473">
        <f t="shared" si="9"/>
        <v>0</v>
      </c>
      <c r="M66" s="204">
        <f t="shared" si="14"/>
        <v>0</v>
      </c>
      <c r="N66" s="505">
        <f t="shared" si="10"/>
        <v>0</v>
      </c>
      <c r="O66" s="204">
        <f>IF(DG!$A$129&gt;11,0,IF(J66-J65&gt;0,MROUND((L66/12*Q65),1),MROUND(L66/12*P65,1)))</f>
        <v>0</v>
      </c>
      <c r="P66" s="204">
        <f t="shared" si="11"/>
        <v>0</v>
      </c>
      <c r="Q66" s="204">
        <f t="shared" si="5"/>
        <v>0</v>
      </c>
      <c r="R66" s="476">
        <v>0</v>
      </c>
    </row>
    <row r="67" spans="1:19" ht="14.25" customHeight="1" thickTop="1" thickBot="1">
      <c r="A67" s="202">
        <f t="shared" si="6"/>
        <v>46539</v>
      </c>
      <c r="B67" s="65">
        <f t="shared" si="17"/>
        <v>0</v>
      </c>
      <c r="C67" s="65">
        <f t="shared" si="15"/>
        <v>0</v>
      </c>
      <c r="D67" s="65">
        <f t="shared" si="12"/>
        <v>42</v>
      </c>
      <c r="E67" s="65">
        <f t="shared" si="7"/>
        <v>0</v>
      </c>
      <c r="F67" s="65">
        <f>IF(OR(L$67=0,DG!$A$251&gt;14),0,F66+1)</f>
        <v>0</v>
      </c>
      <c r="G67" s="65">
        <f t="shared" si="1"/>
        <v>0</v>
      </c>
      <c r="H67" s="65">
        <f t="shared" si="13"/>
        <v>0</v>
      </c>
      <c r="I67" s="65">
        <f t="shared" si="3"/>
        <v>0</v>
      </c>
      <c r="J67" s="203">
        <f>IF(DG!$A$128&lt;=11,$M$17,0)</f>
        <v>0</v>
      </c>
      <c r="K67" s="65">
        <f t="shared" si="8"/>
        <v>0</v>
      </c>
      <c r="L67" s="473">
        <f t="shared" si="9"/>
        <v>0</v>
      </c>
      <c r="M67" s="204">
        <f t="shared" si="14"/>
        <v>0</v>
      </c>
      <c r="N67" s="505">
        <f t="shared" si="10"/>
        <v>0</v>
      </c>
      <c r="O67" s="204">
        <f>IF(DG!$A$129&gt;11,0,IF(J67-J66&gt;0,MROUND((L67/12*Q66),1),MROUND(L67/12*P66,1)))</f>
        <v>0</v>
      </c>
      <c r="P67" s="204">
        <f t="shared" si="11"/>
        <v>0</v>
      </c>
      <c r="Q67" s="204">
        <f t="shared" si="5"/>
        <v>0</v>
      </c>
      <c r="R67" s="476">
        <v>0</v>
      </c>
    </row>
    <row r="68" spans="1:19" ht="14.25" customHeight="1" thickTop="1" thickBot="1">
      <c r="A68" s="202">
        <f t="shared" si="6"/>
        <v>46569</v>
      </c>
      <c r="B68" s="65">
        <f t="shared" si="17"/>
        <v>0</v>
      </c>
      <c r="C68" s="65">
        <f t="shared" si="15"/>
        <v>0</v>
      </c>
      <c r="D68" s="65">
        <f t="shared" si="12"/>
        <v>43</v>
      </c>
      <c r="E68" s="65">
        <f t="shared" si="7"/>
        <v>0</v>
      </c>
      <c r="F68" s="65">
        <f>IF(OR(L$68=0,DG!$A$251&gt;15),0,F67+1)</f>
        <v>0</v>
      </c>
      <c r="G68" s="65">
        <f t="shared" si="1"/>
        <v>0</v>
      </c>
      <c r="H68" s="65">
        <f t="shared" si="13"/>
        <v>0</v>
      </c>
      <c r="I68" s="65">
        <f t="shared" si="3"/>
        <v>0</v>
      </c>
      <c r="J68" s="203">
        <f>IF(DG!$A$128&lt;=11,$M$17,0)</f>
        <v>0</v>
      </c>
      <c r="K68" s="65">
        <f t="shared" si="8"/>
        <v>0</v>
      </c>
      <c r="L68" s="473">
        <f t="shared" si="9"/>
        <v>0</v>
      </c>
      <c r="M68" s="204">
        <f t="shared" si="14"/>
        <v>0</v>
      </c>
      <c r="N68" s="505">
        <f t="shared" si="10"/>
        <v>0</v>
      </c>
      <c r="O68" s="204">
        <f>IF(DG!$A$129&gt;11,0,IF(J68-J67&gt;0,MROUND((L68/12*Q67),1),MROUND(L68/12*P67,1)))</f>
        <v>0</v>
      </c>
      <c r="P68" s="204">
        <f t="shared" si="11"/>
        <v>0</v>
      </c>
      <c r="Q68" s="204">
        <f t="shared" si="5"/>
        <v>0</v>
      </c>
      <c r="R68" s="476">
        <v>0</v>
      </c>
    </row>
    <row r="69" spans="1:19" ht="14.25" customHeight="1" thickTop="1" thickBot="1">
      <c r="A69" s="202">
        <f t="shared" si="6"/>
        <v>46600</v>
      </c>
      <c r="B69" s="65">
        <f t="shared" si="17"/>
        <v>0</v>
      </c>
      <c r="C69" s="65">
        <f t="shared" si="15"/>
        <v>0</v>
      </c>
      <c r="D69" s="65">
        <f t="shared" si="12"/>
        <v>44</v>
      </c>
      <c r="E69" s="65">
        <f t="shared" si="7"/>
        <v>0</v>
      </c>
      <c r="F69" s="65">
        <f>IF(OR(L$69=0,DG!$A$251&gt;15),0,F68+1)</f>
        <v>0</v>
      </c>
      <c r="G69" s="65">
        <f t="shared" si="1"/>
        <v>0</v>
      </c>
      <c r="H69" s="65">
        <f t="shared" si="13"/>
        <v>0</v>
      </c>
      <c r="I69" s="65">
        <f t="shared" si="3"/>
        <v>0</v>
      </c>
      <c r="J69" s="203">
        <f>IF(DG!$A$128&lt;=11,$M$17,0)</f>
        <v>0</v>
      </c>
      <c r="K69" s="65">
        <f t="shared" si="8"/>
        <v>0</v>
      </c>
      <c r="L69" s="473">
        <f t="shared" si="9"/>
        <v>0</v>
      </c>
      <c r="M69" s="204">
        <f t="shared" si="14"/>
        <v>0</v>
      </c>
      <c r="N69" s="505">
        <f t="shared" si="10"/>
        <v>0</v>
      </c>
      <c r="O69" s="204">
        <f>IF(DG!$A$129&gt;11,0,IF(J69-J68&gt;0,MROUND((L69/12*Q68),1),MROUND(L69/12*P68,1)))</f>
        <v>0</v>
      </c>
      <c r="P69" s="204">
        <f t="shared" si="11"/>
        <v>0</v>
      </c>
      <c r="Q69" s="204">
        <f t="shared" si="5"/>
        <v>0</v>
      </c>
      <c r="R69" s="476">
        <v>0</v>
      </c>
    </row>
    <row r="70" spans="1:19" ht="14.25" hidden="1" customHeight="1" thickTop="1" thickBot="1">
      <c r="A70" s="202">
        <f t="shared" ref="A70:A73" si="18">A69+31</f>
        <v>46631</v>
      </c>
      <c r="B70" s="65">
        <f t="shared" si="17"/>
        <v>0</v>
      </c>
      <c r="C70" s="65">
        <f t="shared" si="15"/>
        <v>0</v>
      </c>
      <c r="D70" s="65">
        <f t="shared" si="12"/>
        <v>45</v>
      </c>
      <c r="E70" s="65">
        <f t="shared" si="7"/>
        <v>0</v>
      </c>
      <c r="F70" s="65">
        <f>IF(OR(L$70=0,DG!$A$251&gt;15),0,F69+1)</f>
        <v>0</v>
      </c>
      <c r="G70" s="65">
        <f t="shared" si="1"/>
        <v>0</v>
      </c>
      <c r="H70" s="65">
        <f t="shared" si="13"/>
        <v>0</v>
      </c>
      <c r="I70" s="65">
        <f t="shared" si="3"/>
        <v>0</v>
      </c>
      <c r="J70" s="203">
        <f>IF(DG!$A$128&lt;=11,$M$17,0)</f>
        <v>0</v>
      </c>
      <c r="K70" s="65">
        <f t="shared" si="8"/>
        <v>0</v>
      </c>
      <c r="L70" s="473">
        <f t="shared" si="9"/>
        <v>0</v>
      </c>
      <c r="M70" s="204">
        <f t="shared" si="14"/>
        <v>0</v>
      </c>
      <c r="N70" s="505">
        <f t="shared" ref="N70:N75" si="19">IF(OR(H70-K70&gt;0,I70&gt;=0),0,-PPMT(L70/12,H70,K70-$G$77,J70))+R70</f>
        <v>0</v>
      </c>
      <c r="O70" s="204">
        <f>IF(DG!$A$128&gt;15,0,IF(J70-J69&gt;0,L70/12*Q69,L70/12*P69))</f>
        <v>0</v>
      </c>
      <c r="P70" s="204">
        <f t="shared" ref="P70:P73" si="20">IF(OR(G70+H70=0,J70-N70&lt;1),0,IF(P69&gt;1,P69-N70,J71-N70))</f>
        <v>0</v>
      </c>
      <c r="Q70" s="204">
        <f t="shared" ref="Q70:Q73" si="21">IF(AND(P70=0,P71&gt;0),J71,P70)</f>
        <v>0</v>
      </c>
      <c r="R70" s="476">
        <v>0</v>
      </c>
    </row>
    <row r="71" spans="1:19" ht="14.25" hidden="1" customHeight="1" thickTop="1" thickBot="1">
      <c r="A71" s="202">
        <f t="shared" si="18"/>
        <v>46662</v>
      </c>
      <c r="B71" s="65">
        <f t="shared" si="17"/>
        <v>0</v>
      </c>
      <c r="C71" s="65">
        <f t="shared" si="15"/>
        <v>0</v>
      </c>
      <c r="D71" s="65">
        <f t="shared" si="12"/>
        <v>46</v>
      </c>
      <c r="E71" s="65">
        <f t="shared" si="7"/>
        <v>0</v>
      </c>
      <c r="F71" s="65">
        <f>IF(OR(L$71=0,DG!$A$251&gt;16),0,F70+1)</f>
        <v>0</v>
      </c>
      <c r="G71" s="65">
        <f t="shared" si="1"/>
        <v>0</v>
      </c>
      <c r="H71" s="65">
        <f t="shared" si="13"/>
        <v>0</v>
      </c>
      <c r="I71" s="65">
        <f t="shared" si="3"/>
        <v>0</v>
      </c>
      <c r="J71" s="203">
        <f>IF(DG!$A$128&lt;=11,$M$17,0)</f>
        <v>0</v>
      </c>
      <c r="K71" s="65">
        <f t="shared" si="8"/>
        <v>0</v>
      </c>
      <c r="L71" s="473">
        <f t="shared" si="9"/>
        <v>0</v>
      </c>
      <c r="M71" s="204">
        <f t="shared" si="14"/>
        <v>0</v>
      </c>
      <c r="N71" s="505">
        <f t="shared" si="19"/>
        <v>0</v>
      </c>
      <c r="O71" s="204">
        <f>IF(DG!$A$128&gt;16,0,IF(J71-J70&gt;0,L71/12*Q70,L71/12*P70))</f>
        <v>0</v>
      </c>
      <c r="P71" s="204">
        <f t="shared" si="20"/>
        <v>0</v>
      </c>
      <c r="Q71" s="204">
        <f t="shared" si="21"/>
        <v>0</v>
      </c>
      <c r="R71" s="476">
        <v>0</v>
      </c>
    </row>
    <row r="72" spans="1:19" ht="14.25" hidden="1" customHeight="1" thickTop="1" thickBot="1">
      <c r="A72" s="202">
        <f t="shared" si="18"/>
        <v>46693</v>
      </c>
      <c r="B72" s="65">
        <f t="shared" si="17"/>
        <v>0</v>
      </c>
      <c r="C72" s="65">
        <f t="shared" si="15"/>
        <v>0</v>
      </c>
      <c r="D72" s="65">
        <f t="shared" si="12"/>
        <v>47</v>
      </c>
      <c r="E72" s="65">
        <f t="shared" si="7"/>
        <v>0</v>
      </c>
      <c r="F72" s="65">
        <f>IF(OR(L$72=0,DG!$A$251&gt;16),0,F71+1)</f>
        <v>0</v>
      </c>
      <c r="G72" s="65">
        <f t="shared" si="1"/>
        <v>0</v>
      </c>
      <c r="H72" s="65">
        <f t="shared" si="13"/>
        <v>0</v>
      </c>
      <c r="I72" s="65">
        <f t="shared" si="3"/>
        <v>0</v>
      </c>
      <c r="J72" s="203">
        <f>IF(DG!$A$128&lt;=11,$M$17,0)</f>
        <v>0</v>
      </c>
      <c r="K72" s="65">
        <f t="shared" si="8"/>
        <v>0</v>
      </c>
      <c r="L72" s="473">
        <f t="shared" si="9"/>
        <v>0</v>
      </c>
      <c r="M72" s="204">
        <f t="shared" si="14"/>
        <v>0</v>
      </c>
      <c r="N72" s="505">
        <f t="shared" si="19"/>
        <v>0</v>
      </c>
      <c r="O72" s="204">
        <f>IF(DG!$A$128&gt;16,0,IF(J72-J71&gt;0,L72/12*Q71,L72/12*P71))</f>
        <v>0</v>
      </c>
      <c r="P72" s="204">
        <f t="shared" si="20"/>
        <v>0</v>
      </c>
      <c r="Q72" s="204">
        <f t="shared" si="21"/>
        <v>0</v>
      </c>
      <c r="R72" s="476">
        <v>0</v>
      </c>
    </row>
    <row r="73" spans="1:19" ht="14.25" hidden="1" customHeight="1" thickTop="1" thickBot="1">
      <c r="A73" s="202">
        <f t="shared" si="18"/>
        <v>46724</v>
      </c>
      <c r="B73" s="65">
        <f t="shared" si="17"/>
        <v>0</v>
      </c>
      <c r="C73" s="65">
        <f t="shared" si="15"/>
        <v>0</v>
      </c>
      <c r="D73" s="65">
        <f t="shared" si="12"/>
        <v>48</v>
      </c>
      <c r="E73" s="65">
        <f t="shared" si="7"/>
        <v>0</v>
      </c>
      <c r="F73" s="65">
        <f>IF(OR(L$73=0,DG!$A$251&gt;16),0,F72+1)</f>
        <v>0</v>
      </c>
      <c r="G73" s="65">
        <f t="shared" si="1"/>
        <v>0</v>
      </c>
      <c r="H73" s="65">
        <f t="shared" si="13"/>
        <v>0</v>
      </c>
      <c r="I73" s="65">
        <f t="shared" si="3"/>
        <v>0</v>
      </c>
      <c r="J73" s="203">
        <f>IF(DG!$A$128&lt;=11,$M$17,0)</f>
        <v>0</v>
      </c>
      <c r="K73" s="65">
        <f t="shared" si="8"/>
        <v>0</v>
      </c>
      <c r="L73" s="473">
        <f t="shared" si="9"/>
        <v>0</v>
      </c>
      <c r="M73" s="204">
        <f t="shared" si="14"/>
        <v>0</v>
      </c>
      <c r="N73" s="505">
        <f t="shared" si="19"/>
        <v>0</v>
      </c>
      <c r="O73" s="204">
        <f>IF(DG!$A$128&gt;16,0,IF(J73-J72&gt;0,L73/12*Q72,L73/12*P72))</f>
        <v>0</v>
      </c>
      <c r="P73" s="204">
        <f t="shared" si="20"/>
        <v>0</v>
      </c>
      <c r="Q73" s="204">
        <f t="shared" si="21"/>
        <v>0</v>
      </c>
      <c r="R73" s="476">
        <v>0</v>
      </c>
      <c r="S73" s="511">
        <f>SUM(N62:N73)</f>
        <v>0</v>
      </c>
    </row>
    <row r="74" spans="1:19" ht="13.5" hidden="1" customHeight="1" thickTop="1">
      <c r="H74" s="65">
        <f>IF(B74&gt;0,1,0)</f>
        <v>0</v>
      </c>
      <c r="I74" s="65">
        <f>SUM(E74:H74)</f>
        <v>0</v>
      </c>
      <c r="M74" s="205"/>
      <c r="N74" s="505">
        <f t="shared" si="19"/>
        <v>0</v>
      </c>
      <c r="O74" s="205">
        <f>SUM(O50:O61)</f>
        <v>0</v>
      </c>
    </row>
    <row r="75" spans="1:19" ht="12.75" hidden="1" customHeight="1">
      <c r="H75" s="65">
        <f>IF(B75&gt;0,1,0)</f>
        <v>0</v>
      </c>
      <c r="I75" s="65">
        <f>SUM(E75:H75)</f>
        <v>0</v>
      </c>
      <c r="M75" s="205"/>
      <c r="N75" s="505">
        <f t="shared" si="19"/>
        <v>0</v>
      </c>
      <c r="O75" s="205">
        <f>SUM(O62:O73)</f>
        <v>0</v>
      </c>
    </row>
    <row r="76" spans="1:19" ht="12.75" hidden="1" customHeight="1"/>
    <row r="77" spans="1:19" ht="12.75" hidden="1" customHeight="1">
      <c r="E77" s="43">
        <f>D73-E73</f>
        <v>48</v>
      </c>
      <c r="G77" s="43">
        <f>SUM(G26:G73)</f>
        <v>0</v>
      </c>
    </row>
    <row r="78" spans="1:19" ht="12.75" hidden="1" customHeight="1"/>
    <row r="79" spans="1:19" ht="12.75" hidden="1" customHeight="1"/>
    <row r="80" spans="1:19" ht="13.5" thickTop="1"/>
  </sheetData>
  <sheetProtection password="E242" sheet="1" objects="1" scenarios="1"/>
  <customSheetViews>
    <customSheetView guid="{30D0538C-360A-4CDF-8D89-584CED1967CC}" showGridLines="0" outlineSymbols="0" fitToPage="1" hiddenColumns="1">
      <selection activeCell="R5" sqref="R5"/>
      <pageMargins left="1.05" right="0.27" top="0.7" bottom="0.62" header="0.7" footer="0.53"/>
      <pageSetup fitToHeight="2" orientation="portrait"/>
      <headerFooter alignWithMargins="0"/>
    </customSheetView>
    <customSheetView guid="{4F3169C3-3348-49DE-A6DC-8AA4D2A9D7A1}" showGridLines="0" outlineSymbols="0" fitToPage="1" hiddenColumns="1">
      <selection activeCell="R5" sqref="R5"/>
      <pageMargins left="1.05" right="0.27" top="0.7" bottom="0.62" header="0.7" footer="0.53"/>
      <pageSetup fitToHeight="2" orientation="portrait"/>
      <headerFooter alignWithMargins="0"/>
    </customSheetView>
  </customSheetViews>
  <mergeCells count="4">
    <mergeCell ref="M15:P15"/>
    <mergeCell ref="M13:P13"/>
    <mergeCell ref="N17:O17"/>
    <mergeCell ref="N19:O19"/>
  </mergeCells>
  <phoneticPr fontId="0" type="noConversion"/>
  <pageMargins left="1.05" right="0.27" top="0.7" bottom="0.62" header="0.7" footer="0.53"/>
  <pageSetup scale="83"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73" r:id="rId4" name="Drop Down 17">
              <controlPr defaultSize="0" autoFill="0" autoLine="0" autoPict="0">
                <anchor moveWithCells="1">
                  <from>
                    <xdr:col>15</xdr:col>
                    <xdr:colOff>0</xdr:colOff>
                    <xdr:row>15</xdr:row>
                    <xdr:rowOff>63500</xdr:rowOff>
                  </from>
                  <to>
                    <xdr:col>16</xdr:col>
                    <xdr:colOff>38100</xdr:colOff>
                    <xdr:row>17</xdr:row>
                    <xdr:rowOff>38100</xdr:rowOff>
                  </to>
                </anchor>
              </controlPr>
            </control>
          </mc:Choice>
        </mc:AlternateContent>
        <mc:AlternateContent xmlns:mc="http://schemas.openxmlformats.org/markup-compatibility/2006">
          <mc:Choice Requires="x14">
            <control shapeId="19476" r:id="rId5" name="Drop Down 20">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Feuil18">
    <pageSetUpPr fitToPage="1"/>
  </sheetPr>
  <dimension ref="A8:S90"/>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8" width="4.453125" style="43" hidden="1" customWidth="1"/>
    <col min="9" max="9" width="4.3632812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customWidth="1"/>
    <col min="16" max="18" width="12.81640625" style="43" customWidth="1"/>
    <col min="19" max="19" width="11.453125" style="43" hidden="1" customWidth="1"/>
    <col min="20" max="16384" width="0" style="43" hidden="1"/>
  </cols>
  <sheetData>
    <row r="8" spans="1:17" ht="25">
      <c r="A8" s="194" t="str">
        <f>RG!D17</f>
        <v>Jhon Wesly inc.</v>
      </c>
    </row>
    <row r="10" spans="1:17" s="58" customFormat="1" ht="15" customHeight="1">
      <c r="A10" s="195" t="s">
        <v>97</v>
      </c>
      <c r="B10" s="196"/>
      <c r="C10" s="196"/>
      <c r="D10" s="196"/>
      <c r="E10" s="196"/>
      <c r="F10" s="196"/>
      <c r="G10" s="196"/>
      <c r="H10" s="196"/>
      <c r="I10" s="196"/>
      <c r="J10" s="196"/>
      <c r="K10" s="196"/>
      <c r="L10" s="196"/>
      <c r="M10" s="196"/>
    </row>
    <row r="11" spans="1:17" s="58" customFormat="1" ht="15" customHeight="1">
      <c r="A11" s="195"/>
      <c r="B11" s="196"/>
      <c r="C11" s="196"/>
      <c r="D11" s="196"/>
      <c r="E11" s="196"/>
      <c r="F11" s="196"/>
      <c r="G11" s="196"/>
      <c r="H11" s="196"/>
      <c r="I11" s="196"/>
      <c r="J11" s="196"/>
      <c r="K11" s="196"/>
      <c r="L11" s="196"/>
      <c r="M11" s="196"/>
    </row>
    <row r="12" spans="1:17" ht="15" customHeight="1" thickBot="1">
      <c r="A12" s="197"/>
      <c r="B12" s="197"/>
      <c r="C12" s="197"/>
      <c r="D12" s="197"/>
      <c r="E12" s="197"/>
      <c r="F12" s="197"/>
      <c r="G12" s="197"/>
      <c r="H12" s="197"/>
      <c r="I12" s="197"/>
      <c r="J12" s="197"/>
      <c r="K12" s="197"/>
      <c r="L12" s="197"/>
      <c r="M12" s="197"/>
    </row>
    <row r="13" spans="1:17" ht="13.5" thickBot="1">
      <c r="A13" s="43" t="s">
        <v>288</v>
      </c>
      <c r="M13" s="1226" t="s">
        <v>106</v>
      </c>
      <c r="N13" s="1227"/>
      <c r="O13" s="1227"/>
      <c r="P13" s="1228"/>
      <c r="Q13" s="508"/>
    </row>
    <row r="14" spans="1:17" ht="13.5" thickBot="1"/>
    <row r="15" spans="1:17" ht="13.5" thickBot="1">
      <c r="A15" s="43" t="s">
        <v>593</v>
      </c>
      <c r="M15" s="1226" t="s">
        <v>302</v>
      </c>
      <c r="N15" s="1227"/>
      <c r="O15" s="1227"/>
      <c r="P15" s="1228"/>
      <c r="Q15" s="508"/>
    </row>
    <row r="16" spans="1:17"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IF(OR(J$26=0,DG!$A$129&gt;1),0,B25+1)</f>
        <v>0</v>
      </c>
      <c r="C26" s="65">
        <f t="shared" ref="C26:C49" si="0">IF(F26-$E$77&gt;0,F26-$E$77,0)</f>
        <v>0</v>
      </c>
      <c r="D26" s="65">
        <v>1</v>
      </c>
      <c r="E26" s="65">
        <f>B26</f>
        <v>0</v>
      </c>
      <c r="F26" s="65">
        <f>IF(OR(L$26=0,DG!$A$250&gt;1),0,F25+1)</f>
        <v>0</v>
      </c>
      <c r="G26" s="65">
        <f t="shared" ref="G26:G73" si="1">IF(E26=0,0,IF(D26-E26-F26&gt;=0,1,0))</f>
        <v>0</v>
      </c>
      <c r="H26" s="65">
        <f t="shared" ref="H26:H73" si="2">IF(I26&gt;=0,0,H25+1)</f>
        <v>0</v>
      </c>
      <c r="I26" s="65">
        <f t="shared" ref="I26:I73" si="3">IF(OR(G26=1,C26=0),0,IF(K26-C26&lt;$G$77,1,-1))</f>
        <v>0</v>
      </c>
      <c r="J26" s="203">
        <f>IF(DG!$A$129&lt;=1,$M$17,0)</f>
        <v>0</v>
      </c>
      <c r="K26" s="65">
        <f>M21</f>
        <v>0</v>
      </c>
      <c r="L26" s="473">
        <f>IF($M$17&gt;0,$M$19+0.0000001,0)</f>
        <v>0</v>
      </c>
      <c r="M26" s="204">
        <f t="shared" ref="M26:M45" si="4">IF(H26=0,0,IF(N26=0,O26,-PMT(L26/12,K26-$G$77,J26)))</f>
        <v>0</v>
      </c>
      <c r="N26" s="505">
        <f>IF(OR(H26-K26&gt;0,I26&gt;=0),0,MROUND(-PPMT(L26/12,H26,K26-G269,J26),1)+R26)</f>
        <v>0</v>
      </c>
      <c r="O26" s="204">
        <f>IF(DG!$A$131&gt;1,0,IF(J26-J25&gt;0,MROUND((L26/12*Q25),1),MROUND(L26/12*P25,1)))</f>
        <v>0</v>
      </c>
      <c r="P26" s="204">
        <f>IF(OR(G26+H26=0,P25-M26&lt;1),0,IF(P25&gt;1,P25-N26,J27-N26))</f>
        <v>0</v>
      </c>
      <c r="Q26" s="204">
        <f t="shared" ref="Q26:Q73" si="5">IF(AND(P26=0,P27&gt;0),J27,P26)</f>
        <v>0</v>
      </c>
      <c r="R26" s="476">
        <v>0</v>
      </c>
    </row>
    <row r="27" spans="1:18" ht="14" thickTop="1" thickBot="1">
      <c r="A27" s="202">
        <f t="shared" ref="A27:A69" si="6">EDATE(A26,1)</f>
        <v>45323</v>
      </c>
      <c r="B27" s="65">
        <f>IF(OR(J$27=0,DG!$A$129&gt;1),0,B26+1)</f>
        <v>0</v>
      </c>
      <c r="C27" s="65">
        <f t="shared" si="0"/>
        <v>0</v>
      </c>
      <c r="D27" s="65">
        <f>D26+1</f>
        <v>2</v>
      </c>
      <c r="E27" s="65">
        <f t="shared" ref="E27:E73" si="7">B27</f>
        <v>0</v>
      </c>
      <c r="F27" s="65">
        <f>IF(OR(L$27=0,DG!$A$250&gt;1),0,F26+1)</f>
        <v>0</v>
      </c>
      <c r="G27" s="65">
        <f t="shared" si="1"/>
        <v>0</v>
      </c>
      <c r="H27" s="65">
        <f t="shared" si="2"/>
        <v>0</v>
      </c>
      <c r="I27" s="65">
        <f t="shared" si="3"/>
        <v>0</v>
      </c>
      <c r="J27" s="203">
        <f>IF(DG!$A$129&lt;=1,$M$17,0)</f>
        <v>0</v>
      </c>
      <c r="K27" s="65">
        <f t="shared" ref="K27:K73" si="8">K26</f>
        <v>0</v>
      </c>
      <c r="L27" s="473">
        <f t="shared" ref="L27:L73" si="9">IF($M$17&gt;0,$M$19+0.0000001,0)</f>
        <v>0</v>
      </c>
      <c r="M27" s="204">
        <f t="shared" si="4"/>
        <v>0</v>
      </c>
      <c r="N27" s="505">
        <f t="shared" ref="N27:N69" si="10">IF(OR(H27-K27&gt;0,I27&gt;=0),0,MROUND(-PPMT(L27/12,H27,K27-G270,J27),1)+R27)</f>
        <v>0</v>
      </c>
      <c r="O27" s="204">
        <f>IF(DG!$A$131&gt;1,0,IF(J27-J26&gt;0,MROUND((L27/12*Q26),1),MROUND(L27/12*P26,1)))</f>
        <v>0</v>
      </c>
      <c r="P27" s="204">
        <f t="shared" ref="P27:P69" si="11">IF(OR(G27+H27=0,P26-M27&lt;1),0,IF(P26&gt;1,P26-N27,J28-N27))</f>
        <v>0</v>
      </c>
      <c r="Q27" s="204">
        <f t="shared" si="5"/>
        <v>0</v>
      </c>
      <c r="R27" s="476">
        <v>0</v>
      </c>
    </row>
    <row r="28" spans="1:18" ht="14" thickTop="1" thickBot="1">
      <c r="A28" s="202">
        <f t="shared" si="6"/>
        <v>45352</v>
      </c>
      <c r="B28" s="65">
        <f>IF(OR(J$28=0,DG!$A$129&gt;1),0,B27+1)</f>
        <v>0</v>
      </c>
      <c r="C28" s="65">
        <f t="shared" si="0"/>
        <v>0</v>
      </c>
      <c r="D28" s="65">
        <f t="shared" ref="D28:D73" si="12">D27+1</f>
        <v>3</v>
      </c>
      <c r="E28" s="65">
        <f t="shared" si="7"/>
        <v>0</v>
      </c>
      <c r="F28" s="65">
        <f>IF(OR(L$28=0,DG!$A$250&gt;1),0,F27+1)</f>
        <v>0</v>
      </c>
      <c r="G28" s="65">
        <f t="shared" si="1"/>
        <v>0</v>
      </c>
      <c r="H28" s="65">
        <f t="shared" si="2"/>
        <v>0</v>
      </c>
      <c r="I28" s="65">
        <f t="shared" si="3"/>
        <v>0</v>
      </c>
      <c r="J28" s="203">
        <f>IF(DG!$A$129&lt;=1,$M$17,0)</f>
        <v>0</v>
      </c>
      <c r="K28" s="65">
        <f t="shared" si="8"/>
        <v>0</v>
      </c>
      <c r="L28" s="473">
        <f t="shared" si="9"/>
        <v>0</v>
      </c>
      <c r="M28" s="204">
        <f t="shared" si="4"/>
        <v>0</v>
      </c>
      <c r="N28" s="505">
        <f t="shared" si="10"/>
        <v>0</v>
      </c>
      <c r="O28" s="204">
        <f>IF(DG!$A$131&gt;1,0,IF(J28-J27&gt;0,MROUND((L28/12*Q27),1),MROUND(L28/12*P27,1)))</f>
        <v>0</v>
      </c>
      <c r="P28" s="204">
        <f t="shared" si="11"/>
        <v>0</v>
      </c>
      <c r="Q28" s="204">
        <f t="shared" si="5"/>
        <v>0</v>
      </c>
      <c r="R28" s="476">
        <v>0</v>
      </c>
    </row>
    <row r="29" spans="1:18" ht="14" thickTop="1" thickBot="1">
      <c r="A29" s="202">
        <f t="shared" si="6"/>
        <v>45383</v>
      </c>
      <c r="B29" s="65">
        <f>IF(OR(J$29=0,DG!$A$129&gt;2),0,B28+1)</f>
        <v>0</v>
      </c>
      <c r="C29" s="65">
        <f t="shared" si="0"/>
        <v>0</v>
      </c>
      <c r="D29" s="65">
        <f t="shared" si="12"/>
        <v>4</v>
      </c>
      <c r="E29" s="65">
        <f t="shared" si="7"/>
        <v>0</v>
      </c>
      <c r="F29" s="65">
        <f>IF(OR(L$29=0,DG!$A$250&gt;2),0,F28+1)</f>
        <v>0</v>
      </c>
      <c r="G29" s="65">
        <f t="shared" si="1"/>
        <v>0</v>
      </c>
      <c r="H29" s="65">
        <f t="shared" si="2"/>
        <v>0</v>
      </c>
      <c r="I29" s="65">
        <f t="shared" si="3"/>
        <v>0</v>
      </c>
      <c r="J29" s="203">
        <f>IF(DG!$A$129&lt;=2,$M$17,0)</f>
        <v>0</v>
      </c>
      <c r="K29" s="65">
        <f t="shared" si="8"/>
        <v>0</v>
      </c>
      <c r="L29" s="473">
        <f t="shared" si="9"/>
        <v>0</v>
      </c>
      <c r="M29" s="204">
        <f t="shared" si="4"/>
        <v>0</v>
      </c>
      <c r="N29" s="505">
        <f t="shared" si="10"/>
        <v>0</v>
      </c>
      <c r="O29" s="204">
        <f>IF(DG!$A$131&gt;1,0,IF(J29-J28&gt;0,MROUND((L29/12*Q28),1),MROUND(L29/12*P28,1)))</f>
        <v>0</v>
      </c>
      <c r="P29" s="204">
        <f t="shared" si="11"/>
        <v>0</v>
      </c>
      <c r="Q29" s="204">
        <f t="shared" si="5"/>
        <v>0</v>
      </c>
      <c r="R29" s="476">
        <v>0</v>
      </c>
    </row>
    <row r="30" spans="1:18" ht="14" thickTop="1" thickBot="1">
      <c r="A30" s="202">
        <f t="shared" si="6"/>
        <v>45413</v>
      </c>
      <c r="B30" s="65">
        <f>IF(OR(J$30=0,DG!$A$129&gt;2),0,B29+1)</f>
        <v>0</v>
      </c>
      <c r="C30" s="65">
        <f t="shared" si="0"/>
        <v>0</v>
      </c>
      <c r="D30" s="65">
        <f t="shared" si="12"/>
        <v>5</v>
      </c>
      <c r="E30" s="65">
        <f t="shared" si="7"/>
        <v>0</v>
      </c>
      <c r="F30" s="65">
        <f>IF(OR(L$30=0,DG!$A$250&gt;2),0,F29+1)</f>
        <v>0</v>
      </c>
      <c r="G30" s="65">
        <f t="shared" si="1"/>
        <v>0</v>
      </c>
      <c r="H30" s="65">
        <f t="shared" si="2"/>
        <v>0</v>
      </c>
      <c r="I30" s="65">
        <f t="shared" si="3"/>
        <v>0</v>
      </c>
      <c r="J30" s="203">
        <f>IF(DG!$A$129&lt;=2,$M$17,0)</f>
        <v>0</v>
      </c>
      <c r="K30" s="65">
        <f t="shared" si="8"/>
        <v>0</v>
      </c>
      <c r="L30" s="473">
        <f t="shared" si="9"/>
        <v>0</v>
      </c>
      <c r="M30" s="204">
        <f t="shared" si="4"/>
        <v>0</v>
      </c>
      <c r="N30" s="505">
        <f t="shared" si="10"/>
        <v>0</v>
      </c>
      <c r="O30" s="204">
        <f>IF(DG!$A$131&gt;1,0,IF(J30-J29&gt;0,MROUND((L30/12*Q29),1),MROUND(L30/12*P29,1)))</f>
        <v>0</v>
      </c>
      <c r="P30" s="204">
        <f t="shared" si="11"/>
        <v>0</v>
      </c>
      <c r="Q30" s="204">
        <f t="shared" si="5"/>
        <v>0</v>
      </c>
      <c r="R30" s="476">
        <v>0</v>
      </c>
    </row>
    <row r="31" spans="1:18" ht="14" thickTop="1" thickBot="1">
      <c r="A31" s="202">
        <f t="shared" si="6"/>
        <v>45444</v>
      </c>
      <c r="B31" s="65">
        <f>IF(OR(J$31=0,DG!$A$129&gt;2),0,B30+1)</f>
        <v>0</v>
      </c>
      <c r="C31" s="65">
        <f t="shared" si="0"/>
        <v>0</v>
      </c>
      <c r="D31" s="65">
        <f t="shared" si="12"/>
        <v>6</v>
      </c>
      <c r="E31" s="65">
        <f t="shared" si="7"/>
        <v>0</v>
      </c>
      <c r="F31" s="65">
        <f>IF(OR(L$31=0,DG!$A$250&gt;2),0,F30+1)</f>
        <v>0</v>
      </c>
      <c r="G31" s="65">
        <f t="shared" si="1"/>
        <v>0</v>
      </c>
      <c r="H31" s="65">
        <f t="shared" si="2"/>
        <v>0</v>
      </c>
      <c r="I31" s="65">
        <f t="shared" si="3"/>
        <v>0</v>
      </c>
      <c r="J31" s="203">
        <f>IF(DG!$A$129&lt;=2,$M$17,0)</f>
        <v>0</v>
      </c>
      <c r="K31" s="65">
        <f t="shared" si="8"/>
        <v>0</v>
      </c>
      <c r="L31" s="473">
        <f t="shared" si="9"/>
        <v>0</v>
      </c>
      <c r="M31" s="204">
        <f t="shared" si="4"/>
        <v>0</v>
      </c>
      <c r="N31" s="505">
        <f t="shared" si="10"/>
        <v>0</v>
      </c>
      <c r="O31" s="204">
        <f>IF(DG!$A$131&gt;1,0,IF(J31-J30&gt;0,MROUND((L31/12*Q30),1),MROUND(L31/12*P30,1)))</f>
        <v>0</v>
      </c>
      <c r="P31" s="204">
        <f t="shared" si="11"/>
        <v>0</v>
      </c>
      <c r="Q31" s="204">
        <f t="shared" si="5"/>
        <v>0</v>
      </c>
      <c r="R31" s="476">
        <v>0</v>
      </c>
    </row>
    <row r="32" spans="1:18" ht="14" thickTop="1" thickBot="1">
      <c r="A32" s="202">
        <f t="shared" si="6"/>
        <v>45474</v>
      </c>
      <c r="B32" s="65">
        <f>IF(OR(J$32=0,DG!$A$129&gt;3),0,B31+1)</f>
        <v>0</v>
      </c>
      <c r="C32" s="65">
        <f t="shared" si="0"/>
        <v>0</v>
      </c>
      <c r="D32" s="65">
        <f t="shared" si="12"/>
        <v>7</v>
      </c>
      <c r="E32" s="65">
        <f t="shared" si="7"/>
        <v>0</v>
      </c>
      <c r="F32" s="65">
        <f>IF(OR(L$32=0,DG!$A$250&gt;3),0,F31+1)</f>
        <v>0</v>
      </c>
      <c r="G32" s="65">
        <f t="shared" si="1"/>
        <v>0</v>
      </c>
      <c r="H32" s="65">
        <f t="shared" si="2"/>
        <v>0</v>
      </c>
      <c r="I32" s="65">
        <f t="shared" si="3"/>
        <v>0</v>
      </c>
      <c r="J32" s="203">
        <f>IF(DG!$A$129&lt;=3,$M$17,0)</f>
        <v>0</v>
      </c>
      <c r="K32" s="65">
        <f t="shared" si="8"/>
        <v>0</v>
      </c>
      <c r="L32" s="473">
        <f t="shared" si="9"/>
        <v>0</v>
      </c>
      <c r="M32" s="204">
        <f t="shared" si="4"/>
        <v>0</v>
      </c>
      <c r="N32" s="505">
        <f t="shared" si="10"/>
        <v>0</v>
      </c>
      <c r="O32" s="204">
        <f>IF(DG!$A$131&gt;1,0,IF(J32-J31&gt;0,MROUND((L32/12*Q31),1),MROUND(L32/12*P31,1)))</f>
        <v>0</v>
      </c>
      <c r="P32" s="204">
        <f t="shared" si="11"/>
        <v>0</v>
      </c>
      <c r="Q32" s="204">
        <f t="shared" si="5"/>
        <v>0</v>
      </c>
      <c r="R32" s="476">
        <v>0</v>
      </c>
    </row>
    <row r="33" spans="1:19" ht="14" thickTop="1" thickBot="1">
      <c r="A33" s="202">
        <f t="shared" si="6"/>
        <v>45505</v>
      </c>
      <c r="B33" s="65">
        <f>IF(OR(J$33=0,DG!$A$129&gt;3),0,B32+1)</f>
        <v>0</v>
      </c>
      <c r="C33" s="65">
        <f t="shared" si="0"/>
        <v>0</v>
      </c>
      <c r="D33" s="65">
        <f t="shared" si="12"/>
        <v>8</v>
      </c>
      <c r="E33" s="65">
        <f t="shared" si="7"/>
        <v>0</v>
      </c>
      <c r="F33" s="65">
        <f>IF(OR(L$33=0,DG!$A$250&gt;3),0,F32+1)</f>
        <v>0</v>
      </c>
      <c r="G33" s="65">
        <f t="shared" si="1"/>
        <v>0</v>
      </c>
      <c r="H33" s="65">
        <f t="shared" si="2"/>
        <v>0</v>
      </c>
      <c r="I33" s="65">
        <f t="shared" si="3"/>
        <v>0</v>
      </c>
      <c r="J33" s="203">
        <f>IF(DG!$A$129&lt;=3,$M$17,0)</f>
        <v>0</v>
      </c>
      <c r="K33" s="65">
        <f t="shared" si="8"/>
        <v>0</v>
      </c>
      <c r="L33" s="473">
        <f t="shared" si="9"/>
        <v>0</v>
      </c>
      <c r="M33" s="204">
        <f t="shared" si="4"/>
        <v>0</v>
      </c>
      <c r="N33" s="505">
        <f t="shared" si="10"/>
        <v>0</v>
      </c>
      <c r="O33" s="204">
        <f>IF(DG!$A$131&gt;1,0,IF(J33-J32&gt;0,MROUND((L33/12*Q32),1),MROUND(L33/12*P32,1)))</f>
        <v>0</v>
      </c>
      <c r="P33" s="204">
        <f t="shared" si="11"/>
        <v>0</v>
      </c>
      <c r="Q33" s="204">
        <f t="shared" si="5"/>
        <v>0</v>
      </c>
      <c r="R33" s="476">
        <v>0</v>
      </c>
    </row>
    <row r="34" spans="1:19" ht="14" thickTop="1" thickBot="1">
      <c r="A34" s="202">
        <f t="shared" si="6"/>
        <v>45536</v>
      </c>
      <c r="B34" s="65">
        <f>IF(OR(J$34=0,DG!$A$129&gt;3),0,B33+1)</f>
        <v>0</v>
      </c>
      <c r="C34" s="65">
        <f t="shared" si="0"/>
        <v>0</v>
      </c>
      <c r="D34" s="65">
        <f t="shared" si="12"/>
        <v>9</v>
      </c>
      <c r="E34" s="65">
        <f t="shared" si="7"/>
        <v>0</v>
      </c>
      <c r="F34" s="65">
        <f>IF(OR(L$34=0,DG!$A$250&gt;3),0,F33+1)</f>
        <v>0</v>
      </c>
      <c r="G34" s="65">
        <f t="shared" si="1"/>
        <v>0</v>
      </c>
      <c r="H34" s="65">
        <f t="shared" si="2"/>
        <v>0</v>
      </c>
      <c r="I34" s="65">
        <f t="shared" si="3"/>
        <v>0</v>
      </c>
      <c r="J34" s="203">
        <f>IF(DG!$A$129&lt;=3,$M$17,0)</f>
        <v>0</v>
      </c>
      <c r="K34" s="65">
        <f t="shared" si="8"/>
        <v>0</v>
      </c>
      <c r="L34" s="473">
        <f t="shared" si="9"/>
        <v>0</v>
      </c>
      <c r="M34" s="204">
        <f t="shared" si="4"/>
        <v>0</v>
      </c>
      <c r="N34" s="505">
        <f t="shared" si="10"/>
        <v>0</v>
      </c>
      <c r="O34" s="204">
        <f>IF(DG!$A$131&gt;1,0,IF(J34-J33&gt;0,MROUND((L34/12*Q33),1),MROUND(L34/12*P33,1)))</f>
        <v>0</v>
      </c>
      <c r="P34" s="204">
        <f t="shared" si="11"/>
        <v>0</v>
      </c>
      <c r="Q34" s="204">
        <f t="shared" si="5"/>
        <v>0</v>
      </c>
      <c r="R34" s="476">
        <v>0</v>
      </c>
    </row>
    <row r="35" spans="1:19" ht="14" thickTop="1" thickBot="1">
      <c r="A35" s="202">
        <f t="shared" si="6"/>
        <v>45566</v>
      </c>
      <c r="B35" s="65">
        <f>IF(OR(J$35=0,DG!$A$129&gt;4),0,B34+1)</f>
        <v>0</v>
      </c>
      <c r="C35" s="65">
        <f t="shared" si="0"/>
        <v>0</v>
      </c>
      <c r="D35" s="65">
        <f t="shared" si="12"/>
        <v>10</v>
      </c>
      <c r="E35" s="65">
        <f t="shared" si="7"/>
        <v>0</v>
      </c>
      <c r="F35" s="65">
        <f>IF(OR(L$35=0,DG!$A$250&gt;4),0,F34+1)</f>
        <v>0</v>
      </c>
      <c r="G35" s="65">
        <f t="shared" si="1"/>
        <v>0</v>
      </c>
      <c r="H35" s="65">
        <f t="shared" si="2"/>
        <v>0</v>
      </c>
      <c r="I35" s="65">
        <f t="shared" si="3"/>
        <v>0</v>
      </c>
      <c r="J35" s="203">
        <f>IF(DG!$A$129&lt;=4,$M$17,0)</f>
        <v>0</v>
      </c>
      <c r="K35" s="65">
        <f t="shared" si="8"/>
        <v>0</v>
      </c>
      <c r="L35" s="473">
        <f t="shared" si="9"/>
        <v>0</v>
      </c>
      <c r="M35" s="204">
        <f t="shared" si="4"/>
        <v>0</v>
      </c>
      <c r="N35" s="505">
        <f t="shared" si="10"/>
        <v>0</v>
      </c>
      <c r="O35" s="204">
        <f>IF(DG!$A$131&gt;1,0,IF(J35-J34&gt;0,MROUND((L35/12*Q34),1),MROUND(L35/12*P34,1)))</f>
        <v>0</v>
      </c>
      <c r="P35" s="204">
        <f t="shared" si="11"/>
        <v>0</v>
      </c>
      <c r="Q35" s="204">
        <f t="shared" si="5"/>
        <v>0</v>
      </c>
      <c r="R35" s="476">
        <v>0</v>
      </c>
    </row>
    <row r="36" spans="1:19" ht="14" thickTop="1" thickBot="1">
      <c r="A36" s="202">
        <f t="shared" si="6"/>
        <v>45597</v>
      </c>
      <c r="B36" s="65">
        <f>IF(OR(J$36=0,DG!$A$129&gt;4),0,B35+1)</f>
        <v>0</v>
      </c>
      <c r="C36" s="65">
        <f t="shared" si="0"/>
        <v>0</v>
      </c>
      <c r="D36" s="65">
        <f t="shared" si="12"/>
        <v>11</v>
      </c>
      <c r="E36" s="65">
        <f t="shared" si="7"/>
        <v>0</v>
      </c>
      <c r="F36" s="65">
        <f>IF(OR(L$36=0,DG!$A$250&gt;4),0,F35+1)</f>
        <v>0</v>
      </c>
      <c r="G36" s="65">
        <f t="shared" si="1"/>
        <v>0</v>
      </c>
      <c r="H36" s="65">
        <f t="shared" si="2"/>
        <v>0</v>
      </c>
      <c r="I36" s="65">
        <f t="shared" si="3"/>
        <v>0</v>
      </c>
      <c r="J36" s="203">
        <f>IF(DG!$A$129&lt;=4,$M$17,0)</f>
        <v>0</v>
      </c>
      <c r="K36" s="65">
        <f t="shared" si="8"/>
        <v>0</v>
      </c>
      <c r="L36" s="473">
        <f t="shared" si="9"/>
        <v>0</v>
      </c>
      <c r="M36" s="204">
        <f t="shared" si="4"/>
        <v>0</v>
      </c>
      <c r="N36" s="505">
        <f t="shared" si="10"/>
        <v>0</v>
      </c>
      <c r="O36" s="204">
        <f>IF(DG!$A$131&gt;1,0,IF(J36-J35&gt;0,MROUND((L36/12*Q35),1),MROUND(L36/12*P35,1)))</f>
        <v>0</v>
      </c>
      <c r="P36" s="204">
        <f t="shared" si="11"/>
        <v>0</v>
      </c>
      <c r="Q36" s="204">
        <f t="shared" si="5"/>
        <v>0</v>
      </c>
      <c r="R36" s="476">
        <v>0</v>
      </c>
    </row>
    <row r="37" spans="1:19" ht="14" thickTop="1" thickBot="1">
      <c r="A37" s="202">
        <f t="shared" si="6"/>
        <v>45627</v>
      </c>
      <c r="B37" s="65">
        <f>IF(OR(J$37=0,DG!$A$129&gt;4),0,B36+1)</f>
        <v>0</v>
      </c>
      <c r="C37" s="65">
        <f t="shared" si="0"/>
        <v>0</v>
      </c>
      <c r="D37" s="65">
        <f t="shared" si="12"/>
        <v>12</v>
      </c>
      <c r="E37" s="65">
        <f t="shared" si="7"/>
        <v>0</v>
      </c>
      <c r="F37" s="65">
        <f>IF(OR(L$37=0,DG!$A$250&gt;4),0,F36+1)</f>
        <v>0</v>
      </c>
      <c r="G37" s="65">
        <f t="shared" si="1"/>
        <v>0</v>
      </c>
      <c r="H37" s="65">
        <f t="shared" si="2"/>
        <v>0</v>
      </c>
      <c r="I37" s="65">
        <f t="shared" si="3"/>
        <v>0</v>
      </c>
      <c r="J37" s="203">
        <f>IF(DG!$A$129&lt;=4,$M$17,0)</f>
        <v>0</v>
      </c>
      <c r="K37" s="65">
        <f t="shared" si="8"/>
        <v>0</v>
      </c>
      <c r="L37" s="473">
        <f t="shared" si="9"/>
        <v>0</v>
      </c>
      <c r="M37" s="204">
        <f t="shared" si="4"/>
        <v>0</v>
      </c>
      <c r="N37" s="505">
        <f t="shared" si="10"/>
        <v>0</v>
      </c>
      <c r="O37" s="204">
        <f>IF(DG!$A$131&gt;1,0,IF(J37-J36&gt;0,MROUND((L37/12*Q36),1),MROUND(L37/12*P36,1)))</f>
        <v>0</v>
      </c>
      <c r="P37" s="204">
        <f t="shared" si="11"/>
        <v>0</v>
      </c>
      <c r="Q37" s="204">
        <f t="shared" si="5"/>
        <v>0</v>
      </c>
      <c r="R37" s="476">
        <v>0</v>
      </c>
      <c r="S37" s="511">
        <f>SUM(N26:N37)</f>
        <v>0</v>
      </c>
    </row>
    <row r="38" spans="1:19" ht="14" thickTop="1" thickBot="1">
      <c r="A38" s="202">
        <f t="shared" si="6"/>
        <v>45658</v>
      </c>
      <c r="B38" s="65">
        <f>IF(OR(J$38=0,DG!$A$129&gt;5),0,B37+1)</f>
        <v>0</v>
      </c>
      <c r="C38" s="65">
        <f t="shared" si="0"/>
        <v>0</v>
      </c>
      <c r="D38" s="65">
        <f t="shared" si="12"/>
        <v>13</v>
      </c>
      <c r="E38" s="65">
        <f t="shared" si="7"/>
        <v>0</v>
      </c>
      <c r="F38" s="65">
        <f>IF(OR(L$38=0,DG!$A$250&gt;5),0,F37+1)</f>
        <v>0</v>
      </c>
      <c r="G38" s="65">
        <f t="shared" si="1"/>
        <v>0</v>
      </c>
      <c r="H38" s="65">
        <f t="shared" si="2"/>
        <v>0</v>
      </c>
      <c r="I38" s="65">
        <f t="shared" si="3"/>
        <v>0</v>
      </c>
      <c r="J38" s="203">
        <f>IF(DG!$A$129&lt;=5,$M$17,0)</f>
        <v>0</v>
      </c>
      <c r="K38" s="65">
        <f t="shared" si="8"/>
        <v>0</v>
      </c>
      <c r="L38" s="473">
        <f t="shared" si="9"/>
        <v>0</v>
      </c>
      <c r="M38" s="204">
        <f t="shared" si="4"/>
        <v>0</v>
      </c>
      <c r="N38" s="505">
        <f t="shared" si="10"/>
        <v>0</v>
      </c>
      <c r="O38" s="204">
        <f>IF(DG!$A$131&gt;1,0,IF(J38-J37&gt;0,MROUND((L38/12*Q37),1),MROUND(L38/12*P37,1)))</f>
        <v>0</v>
      </c>
      <c r="P38" s="204">
        <f t="shared" si="11"/>
        <v>0</v>
      </c>
      <c r="Q38" s="204">
        <f t="shared" si="5"/>
        <v>0</v>
      </c>
      <c r="R38" s="476">
        <v>0</v>
      </c>
    </row>
    <row r="39" spans="1:19" ht="14" thickTop="1" thickBot="1">
      <c r="A39" s="202">
        <f t="shared" si="6"/>
        <v>45689</v>
      </c>
      <c r="B39" s="65">
        <f>IF(OR(J$39=0,DG!$A$129&gt;5),0,B38+1)</f>
        <v>0</v>
      </c>
      <c r="C39" s="65">
        <f t="shared" si="0"/>
        <v>0</v>
      </c>
      <c r="D39" s="65">
        <f t="shared" si="12"/>
        <v>14</v>
      </c>
      <c r="E39" s="65">
        <f t="shared" si="7"/>
        <v>0</v>
      </c>
      <c r="F39" s="65">
        <f>IF(OR(L$39=0,DG!$A$250&gt;5),0,F38+1)</f>
        <v>0</v>
      </c>
      <c r="G39" s="65">
        <f t="shared" si="1"/>
        <v>0</v>
      </c>
      <c r="H39" s="65">
        <f t="shared" si="2"/>
        <v>0</v>
      </c>
      <c r="I39" s="65">
        <f t="shared" si="3"/>
        <v>0</v>
      </c>
      <c r="J39" s="203">
        <f>IF(DG!$A$129&lt;=5,$M$17,0)</f>
        <v>0</v>
      </c>
      <c r="K39" s="65">
        <f t="shared" si="8"/>
        <v>0</v>
      </c>
      <c r="L39" s="473">
        <f t="shared" si="9"/>
        <v>0</v>
      </c>
      <c r="M39" s="204">
        <f t="shared" si="4"/>
        <v>0</v>
      </c>
      <c r="N39" s="505">
        <f t="shared" si="10"/>
        <v>0</v>
      </c>
      <c r="O39" s="204">
        <f>IF(DG!$A$131&gt;1,0,IF(J39-J38&gt;0,MROUND((L39/12*Q38),1),MROUND(L39/12*P38,1)))</f>
        <v>0</v>
      </c>
      <c r="P39" s="204">
        <f t="shared" si="11"/>
        <v>0</v>
      </c>
      <c r="Q39" s="204">
        <f t="shared" si="5"/>
        <v>0</v>
      </c>
      <c r="R39" s="476">
        <v>0</v>
      </c>
    </row>
    <row r="40" spans="1:19" ht="14" thickTop="1" thickBot="1">
      <c r="A40" s="202">
        <f t="shared" si="6"/>
        <v>45717</v>
      </c>
      <c r="B40" s="65">
        <f>IF(OR(J$40=0,DG!$A$129&gt;5),0,B39+1)</f>
        <v>0</v>
      </c>
      <c r="C40" s="65">
        <f t="shared" si="0"/>
        <v>0</v>
      </c>
      <c r="D40" s="65">
        <f t="shared" si="12"/>
        <v>15</v>
      </c>
      <c r="E40" s="65">
        <f t="shared" si="7"/>
        <v>0</v>
      </c>
      <c r="F40" s="65">
        <f>IF(OR(L$40=0,DG!$A$250&gt;5),0,F39+1)</f>
        <v>0</v>
      </c>
      <c r="G40" s="65">
        <f t="shared" si="1"/>
        <v>0</v>
      </c>
      <c r="H40" s="65">
        <f t="shared" si="2"/>
        <v>0</v>
      </c>
      <c r="I40" s="65">
        <f t="shared" si="3"/>
        <v>0</v>
      </c>
      <c r="J40" s="203">
        <f>IF(DG!$A$129&lt;=5,$M$17,0)</f>
        <v>0</v>
      </c>
      <c r="K40" s="65">
        <f t="shared" si="8"/>
        <v>0</v>
      </c>
      <c r="L40" s="473">
        <f t="shared" si="9"/>
        <v>0</v>
      </c>
      <c r="M40" s="204">
        <f t="shared" si="4"/>
        <v>0</v>
      </c>
      <c r="N40" s="505">
        <f t="shared" si="10"/>
        <v>0</v>
      </c>
      <c r="O40" s="204">
        <f>IF(DG!$A$131&gt;1,0,IF(J40-J39&gt;0,MROUND((L40/12*Q39),1),MROUND(L40/12*P39,1)))</f>
        <v>0</v>
      </c>
      <c r="P40" s="204">
        <f t="shared" si="11"/>
        <v>0</v>
      </c>
      <c r="Q40" s="204">
        <f t="shared" si="5"/>
        <v>0</v>
      </c>
      <c r="R40" s="476">
        <v>0</v>
      </c>
    </row>
    <row r="41" spans="1:19" ht="14" thickTop="1" thickBot="1">
      <c r="A41" s="202">
        <f t="shared" si="6"/>
        <v>45748</v>
      </c>
      <c r="B41" s="65">
        <f>IF(OR(J$41=0,DG!$A$129&gt;6),0,B40+1)</f>
        <v>0</v>
      </c>
      <c r="C41" s="65">
        <f t="shared" si="0"/>
        <v>0</v>
      </c>
      <c r="D41" s="65">
        <f t="shared" si="12"/>
        <v>16</v>
      </c>
      <c r="E41" s="65">
        <f t="shared" si="7"/>
        <v>0</v>
      </c>
      <c r="F41" s="65">
        <f>IF(OR(L$41=0,DG!$A$250&gt;6),0,F40+1)</f>
        <v>0</v>
      </c>
      <c r="G41" s="65">
        <f t="shared" si="1"/>
        <v>0</v>
      </c>
      <c r="H41" s="65">
        <f t="shared" si="2"/>
        <v>0</v>
      </c>
      <c r="I41" s="65">
        <f t="shared" si="3"/>
        <v>0</v>
      </c>
      <c r="J41" s="203">
        <f>IF(DG!$A$129&lt;=6,$M$17,0)</f>
        <v>0</v>
      </c>
      <c r="K41" s="65">
        <f t="shared" si="8"/>
        <v>0</v>
      </c>
      <c r="L41" s="473">
        <f t="shared" si="9"/>
        <v>0</v>
      </c>
      <c r="M41" s="204">
        <f t="shared" si="4"/>
        <v>0</v>
      </c>
      <c r="N41" s="505">
        <f t="shared" si="10"/>
        <v>0</v>
      </c>
      <c r="O41" s="204">
        <f>IF(DG!$A$131&gt;1,0,IF(J41-J40&gt;0,MROUND((L41/12*Q40),1),MROUND(L41/12*P40,1)))</f>
        <v>0</v>
      </c>
      <c r="P41" s="204">
        <f t="shared" si="11"/>
        <v>0</v>
      </c>
      <c r="Q41" s="204">
        <f t="shared" si="5"/>
        <v>0</v>
      </c>
      <c r="R41" s="476">
        <v>0</v>
      </c>
    </row>
    <row r="42" spans="1:19" ht="14" thickTop="1" thickBot="1">
      <c r="A42" s="202">
        <f t="shared" si="6"/>
        <v>45778</v>
      </c>
      <c r="B42" s="65">
        <f>IF(OR(J$42=0,DG!$A$129&gt;6),0,B41+1)</f>
        <v>0</v>
      </c>
      <c r="C42" s="65">
        <f t="shared" si="0"/>
        <v>0</v>
      </c>
      <c r="D42" s="65">
        <f t="shared" si="12"/>
        <v>17</v>
      </c>
      <c r="E42" s="65">
        <f t="shared" si="7"/>
        <v>0</v>
      </c>
      <c r="F42" s="65">
        <f>IF(OR(L$42=0,DG!$A$250&gt;6),0,F41+1)</f>
        <v>0</v>
      </c>
      <c r="G42" s="65">
        <f t="shared" si="1"/>
        <v>0</v>
      </c>
      <c r="H42" s="65">
        <f t="shared" si="2"/>
        <v>0</v>
      </c>
      <c r="I42" s="65">
        <f t="shared" si="3"/>
        <v>0</v>
      </c>
      <c r="J42" s="203">
        <f>IF(DG!$A$129&lt;=6,$M$17,0)</f>
        <v>0</v>
      </c>
      <c r="K42" s="65">
        <f t="shared" si="8"/>
        <v>0</v>
      </c>
      <c r="L42" s="473">
        <f t="shared" si="9"/>
        <v>0</v>
      </c>
      <c r="M42" s="204">
        <f t="shared" si="4"/>
        <v>0</v>
      </c>
      <c r="N42" s="505">
        <f t="shared" si="10"/>
        <v>0</v>
      </c>
      <c r="O42" s="204">
        <f>IF(DG!$A$131&gt;1,0,IF(J42-J41&gt;0,MROUND((L42/12*Q41),1),MROUND(L42/12*P41,1)))</f>
        <v>0</v>
      </c>
      <c r="P42" s="204">
        <f t="shared" si="11"/>
        <v>0</v>
      </c>
      <c r="Q42" s="204">
        <f t="shared" si="5"/>
        <v>0</v>
      </c>
      <c r="R42" s="476">
        <v>0</v>
      </c>
    </row>
    <row r="43" spans="1:19" ht="14" thickTop="1" thickBot="1">
      <c r="A43" s="202">
        <f t="shared" si="6"/>
        <v>45809</v>
      </c>
      <c r="B43" s="65">
        <f>IF(OR(J$43=0,DG!$A$129&gt;6),0,B42+1)</f>
        <v>0</v>
      </c>
      <c r="C43" s="65">
        <f t="shared" si="0"/>
        <v>0</v>
      </c>
      <c r="D43" s="65">
        <f t="shared" si="12"/>
        <v>18</v>
      </c>
      <c r="E43" s="65">
        <f t="shared" si="7"/>
        <v>0</v>
      </c>
      <c r="F43" s="65">
        <f>IF(OR(L$43=0,DG!$A$250&gt;6),0,F42+1)</f>
        <v>0</v>
      </c>
      <c r="G43" s="65">
        <f t="shared" si="1"/>
        <v>0</v>
      </c>
      <c r="H43" s="65">
        <f t="shared" si="2"/>
        <v>0</v>
      </c>
      <c r="I43" s="65">
        <f t="shared" si="3"/>
        <v>0</v>
      </c>
      <c r="J43" s="203">
        <f>IF(DG!$A$129&lt;=6,$M$17,0)</f>
        <v>0</v>
      </c>
      <c r="K43" s="65">
        <f t="shared" si="8"/>
        <v>0</v>
      </c>
      <c r="L43" s="473">
        <f t="shared" si="9"/>
        <v>0</v>
      </c>
      <c r="M43" s="204">
        <f t="shared" si="4"/>
        <v>0</v>
      </c>
      <c r="N43" s="505">
        <f t="shared" si="10"/>
        <v>0</v>
      </c>
      <c r="O43" s="204">
        <f>IF(DG!$A$131&gt;1,0,IF(J43-J42&gt;0,MROUND((L43/12*Q42),1),MROUND(L43/12*P42,1)))</f>
        <v>0</v>
      </c>
      <c r="P43" s="204">
        <f t="shared" si="11"/>
        <v>0</v>
      </c>
      <c r="Q43" s="204">
        <f t="shared" si="5"/>
        <v>0</v>
      </c>
      <c r="R43" s="476">
        <v>0</v>
      </c>
    </row>
    <row r="44" spans="1:19" ht="14" thickTop="1" thickBot="1">
      <c r="A44" s="202">
        <f t="shared" si="6"/>
        <v>45839</v>
      </c>
      <c r="B44" s="65">
        <f>IF(OR(J$44=0,DG!$A$129&gt;7),0,B43+1)</f>
        <v>0</v>
      </c>
      <c r="C44" s="65">
        <f t="shared" si="0"/>
        <v>0</v>
      </c>
      <c r="D44" s="65">
        <f t="shared" si="12"/>
        <v>19</v>
      </c>
      <c r="E44" s="65">
        <f t="shared" si="7"/>
        <v>0</v>
      </c>
      <c r="F44" s="65">
        <f>IF(OR(L$44=0,DG!$A$250&gt;7),0,F43+1)</f>
        <v>0</v>
      </c>
      <c r="G44" s="65">
        <f t="shared" si="1"/>
        <v>0</v>
      </c>
      <c r="H44" s="65">
        <f t="shared" si="2"/>
        <v>0</v>
      </c>
      <c r="I44" s="65">
        <f t="shared" si="3"/>
        <v>0</v>
      </c>
      <c r="J44" s="203">
        <f>IF(DG!$A$129&lt;=7,$M$17,0)</f>
        <v>0</v>
      </c>
      <c r="K44" s="65">
        <f t="shared" si="8"/>
        <v>0</v>
      </c>
      <c r="L44" s="473">
        <f t="shared" si="9"/>
        <v>0</v>
      </c>
      <c r="M44" s="204">
        <f t="shared" si="4"/>
        <v>0</v>
      </c>
      <c r="N44" s="505">
        <f t="shared" si="10"/>
        <v>0</v>
      </c>
      <c r="O44" s="204">
        <f>IF(DG!$A$131&gt;1,0,IF(J44-J43&gt;0,MROUND((L44/12*Q43),1),MROUND(L44/12*P43,1)))</f>
        <v>0</v>
      </c>
      <c r="P44" s="204">
        <f t="shared" si="11"/>
        <v>0</v>
      </c>
      <c r="Q44" s="204">
        <f t="shared" si="5"/>
        <v>0</v>
      </c>
      <c r="R44" s="476">
        <v>0</v>
      </c>
    </row>
    <row r="45" spans="1:19" ht="14" thickTop="1" thickBot="1">
      <c r="A45" s="202">
        <f t="shared" si="6"/>
        <v>45870</v>
      </c>
      <c r="B45" s="65">
        <f>IF(OR(J$45=0,DG!$A$129&gt;7),0,B44+1)</f>
        <v>0</v>
      </c>
      <c r="C45" s="65">
        <f t="shared" si="0"/>
        <v>0</v>
      </c>
      <c r="D45" s="65">
        <f t="shared" si="12"/>
        <v>20</v>
      </c>
      <c r="E45" s="65">
        <f t="shared" si="7"/>
        <v>0</v>
      </c>
      <c r="F45" s="65">
        <f>IF(OR(L$45=0,DG!$A$250&gt;7),0,F44+1)</f>
        <v>0</v>
      </c>
      <c r="G45" s="65">
        <f t="shared" si="1"/>
        <v>0</v>
      </c>
      <c r="H45" s="65">
        <f t="shared" si="2"/>
        <v>0</v>
      </c>
      <c r="I45" s="65">
        <f t="shared" si="3"/>
        <v>0</v>
      </c>
      <c r="J45" s="203">
        <f>IF(DG!$A$129&lt;=7,$M$17,0)</f>
        <v>0</v>
      </c>
      <c r="K45" s="65">
        <f t="shared" si="8"/>
        <v>0</v>
      </c>
      <c r="L45" s="473">
        <f t="shared" si="9"/>
        <v>0</v>
      </c>
      <c r="M45" s="204">
        <f t="shared" si="4"/>
        <v>0</v>
      </c>
      <c r="N45" s="505">
        <f t="shared" si="10"/>
        <v>0</v>
      </c>
      <c r="O45" s="204">
        <f>IF(DG!$A$131&gt;1,0,IF(J45-J44&gt;0,MROUND((L45/12*Q44),1),MROUND(L45/12*P44,1)))</f>
        <v>0</v>
      </c>
      <c r="P45" s="204">
        <f t="shared" si="11"/>
        <v>0</v>
      </c>
      <c r="Q45" s="204">
        <f t="shared" si="5"/>
        <v>0</v>
      </c>
      <c r="R45" s="476">
        <v>0</v>
      </c>
    </row>
    <row r="46" spans="1:19" ht="14" thickTop="1" thickBot="1">
      <c r="A46" s="202">
        <f t="shared" si="6"/>
        <v>45901</v>
      </c>
      <c r="B46" s="65">
        <f>IF(OR(J$46=0,DG!$A$129&gt;7),0,B45+1)</f>
        <v>0</v>
      </c>
      <c r="C46" s="65">
        <f t="shared" si="0"/>
        <v>0</v>
      </c>
      <c r="D46" s="65">
        <f t="shared" si="12"/>
        <v>21</v>
      </c>
      <c r="E46" s="65">
        <f t="shared" si="7"/>
        <v>0</v>
      </c>
      <c r="F46" s="65">
        <f>IF(OR(L$46=0,DG!$A$250&gt;7),0,F45+1)</f>
        <v>0</v>
      </c>
      <c r="G46" s="65">
        <f t="shared" si="1"/>
        <v>0</v>
      </c>
      <c r="H46" s="65">
        <f t="shared" si="2"/>
        <v>0</v>
      </c>
      <c r="I46" s="65">
        <f t="shared" si="3"/>
        <v>0</v>
      </c>
      <c r="J46" s="203">
        <f>IF(DG!$A$129&lt;=7,$M$17,0)</f>
        <v>0</v>
      </c>
      <c r="K46" s="65">
        <f t="shared" si="8"/>
        <v>0</v>
      </c>
      <c r="L46" s="473">
        <f t="shared" si="9"/>
        <v>0</v>
      </c>
      <c r="M46" s="204">
        <f>IF(H46=0,0,IF(N46=0,O46,-PMT(L46/12,K46-$G$77,J46)))</f>
        <v>0</v>
      </c>
      <c r="N46" s="505">
        <f t="shared" si="10"/>
        <v>0</v>
      </c>
      <c r="O46" s="204">
        <f>IF(DG!$A$131&gt;1,0,IF(J46-J45&gt;0,MROUND((L46/12*Q45),1),MROUND(L46/12*P45,1)))</f>
        <v>0</v>
      </c>
      <c r="P46" s="204">
        <f t="shared" si="11"/>
        <v>0</v>
      </c>
      <c r="Q46" s="204">
        <f t="shared" si="5"/>
        <v>0</v>
      </c>
      <c r="R46" s="476">
        <v>0</v>
      </c>
    </row>
    <row r="47" spans="1:19" ht="14" thickTop="1" thickBot="1">
      <c r="A47" s="202">
        <f t="shared" si="6"/>
        <v>45931</v>
      </c>
      <c r="B47" s="65">
        <f>IF(OR(J$47=0,DG!$A$129&gt;8),0,B46+1)</f>
        <v>0</v>
      </c>
      <c r="C47" s="65">
        <f t="shared" si="0"/>
        <v>0</v>
      </c>
      <c r="D47" s="65">
        <f t="shared" si="12"/>
        <v>22</v>
      </c>
      <c r="E47" s="65">
        <f t="shared" si="7"/>
        <v>0</v>
      </c>
      <c r="F47" s="65">
        <f>IF(OR(L$47=0,DG!$A$250&gt;8),0,F46+1)</f>
        <v>0</v>
      </c>
      <c r="G47" s="65">
        <f t="shared" si="1"/>
        <v>0</v>
      </c>
      <c r="H47" s="65">
        <f t="shared" si="2"/>
        <v>0</v>
      </c>
      <c r="I47" s="65">
        <f t="shared" si="3"/>
        <v>0</v>
      </c>
      <c r="J47" s="203">
        <f>IF(DG!$A$129&lt;=8,$M$17,0)</f>
        <v>0</v>
      </c>
      <c r="K47" s="65">
        <f t="shared" si="8"/>
        <v>0</v>
      </c>
      <c r="L47" s="473">
        <f t="shared" si="9"/>
        <v>0</v>
      </c>
      <c r="M47" s="204">
        <f t="shared" ref="M47:M73" si="13">IF(H47=0,0,IF(N47=0,O47,-PMT(L47/12,K47-$G$77,J47)))</f>
        <v>0</v>
      </c>
      <c r="N47" s="505">
        <f t="shared" si="10"/>
        <v>0</v>
      </c>
      <c r="O47" s="204">
        <f>IF(DG!$A$131&gt;1,0,IF(J47-J46&gt;0,MROUND((L47/12*Q46),1),MROUND(L47/12*P46,1)))</f>
        <v>0</v>
      </c>
      <c r="P47" s="204">
        <f t="shared" si="11"/>
        <v>0</v>
      </c>
      <c r="Q47" s="204">
        <f t="shared" si="5"/>
        <v>0</v>
      </c>
      <c r="R47" s="476">
        <v>0</v>
      </c>
    </row>
    <row r="48" spans="1:19" ht="14" thickTop="1" thickBot="1">
      <c r="A48" s="202">
        <f t="shared" si="6"/>
        <v>45962</v>
      </c>
      <c r="B48" s="65">
        <f>IF(OR(J$48=0,DG!$A$129&gt;8),0,B47+1)</f>
        <v>0</v>
      </c>
      <c r="C48" s="65">
        <f t="shared" si="0"/>
        <v>0</v>
      </c>
      <c r="D48" s="65">
        <f t="shared" si="12"/>
        <v>23</v>
      </c>
      <c r="E48" s="65">
        <f t="shared" si="7"/>
        <v>0</v>
      </c>
      <c r="F48" s="65">
        <f>IF(OR(L$48=0,DG!$A$250&gt;8),0,F47+1)</f>
        <v>0</v>
      </c>
      <c r="G48" s="65">
        <f t="shared" si="1"/>
        <v>0</v>
      </c>
      <c r="H48" s="65">
        <f t="shared" si="2"/>
        <v>0</v>
      </c>
      <c r="I48" s="65">
        <f t="shared" si="3"/>
        <v>0</v>
      </c>
      <c r="J48" s="203">
        <f>IF(DG!$A$129&lt;=8,$M$17,0)</f>
        <v>0</v>
      </c>
      <c r="K48" s="65">
        <f t="shared" si="8"/>
        <v>0</v>
      </c>
      <c r="L48" s="473">
        <f t="shared" si="9"/>
        <v>0</v>
      </c>
      <c r="M48" s="204">
        <f t="shared" si="13"/>
        <v>0</v>
      </c>
      <c r="N48" s="505">
        <f t="shared" si="10"/>
        <v>0</v>
      </c>
      <c r="O48" s="204">
        <f>IF(DG!$A$131&gt;1,0,IF(J48-J47&gt;0,MROUND((L48/12*Q47),1),MROUND(L48/12*P47,1)))</f>
        <v>0</v>
      </c>
      <c r="P48" s="204">
        <f t="shared" si="11"/>
        <v>0</v>
      </c>
      <c r="Q48" s="204">
        <f t="shared" si="5"/>
        <v>0</v>
      </c>
      <c r="R48" s="476">
        <v>0</v>
      </c>
    </row>
    <row r="49" spans="1:19" ht="14" thickTop="1" thickBot="1">
      <c r="A49" s="202">
        <f t="shared" si="6"/>
        <v>45992</v>
      </c>
      <c r="B49" s="65">
        <f>IF(OR(J$49=0,DG!$A$129&gt;8),0,B48+1)</f>
        <v>0</v>
      </c>
      <c r="C49" s="65">
        <f t="shared" si="0"/>
        <v>0</v>
      </c>
      <c r="D49" s="65">
        <f t="shared" si="12"/>
        <v>24</v>
      </c>
      <c r="E49" s="65">
        <f t="shared" si="7"/>
        <v>0</v>
      </c>
      <c r="F49" s="65">
        <f>IF(OR(L$49=0,DG!$A$250&gt;8),0,F48+1)</f>
        <v>0</v>
      </c>
      <c r="G49" s="65">
        <f t="shared" si="1"/>
        <v>0</v>
      </c>
      <c r="H49" s="65">
        <f t="shared" si="2"/>
        <v>0</v>
      </c>
      <c r="I49" s="65">
        <f t="shared" si="3"/>
        <v>0</v>
      </c>
      <c r="J49" s="203">
        <f>IF(DG!$A$129&lt;=8,$M$17,0)</f>
        <v>0</v>
      </c>
      <c r="K49" s="65">
        <f t="shared" si="8"/>
        <v>0</v>
      </c>
      <c r="L49" s="473">
        <f t="shared" si="9"/>
        <v>0</v>
      </c>
      <c r="M49" s="204">
        <f t="shared" si="13"/>
        <v>0</v>
      </c>
      <c r="N49" s="505">
        <f t="shared" si="10"/>
        <v>0</v>
      </c>
      <c r="O49" s="204">
        <f>IF(DG!$A$131&gt;1,0,IF(J49-J48&gt;0,MROUND((L49/12*Q48),1),MROUND(L49/12*P48,1)))</f>
        <v>0</v>
      </c>
      <c r="P49" s="204">
        <f t="shared" si="11"/>
        <v>0</v>
      </c>
      <c r="Q49" s="204">
        <f t="shared" si="5"/>
        <v>0</v>
      </c>
      <c r="R49" s="476">
        <v>0</v>
      </c>
      <c r="S49" s="511">
        <f>SUM(N38:N49)</f>
        <v>0</v>
      </c>
    </row>
    <row r="50" spans="1:19" ht="14" thickTop="1" thickBot="1">
      <c r="A50" s="202">
        <f t="shared" si="6"/>
        <v>46023</v>
      </c>
      <c r="B50" s="65">
        <f>IF(OR(J$50=0,DG!$A$129&gt;9),0,B49+1)</f>
        <v>0</v>
      </c>
      <c r="C50" s="65">
        <f>IF(F50-$E$269&gt;0,F50-$E$269,0)</f>
        <v>0</v>
      </c>
      <c r="D50" s="65">
        <f t="shared" si="12"/>
        <v>25</v>
      </c>
      <c r="E50" s="65">
        <f t="shared" si="7"/>
        <v>0</v>
      </c>
      <c r="F50" s="65">
        <f>IF(OR(L$50=0,DG!$A$251&gt;9),0,F49+1)</f>
        <v>0</v>
      </c>
      <c r="G50" s="65">
        <f t="shared" si="1"/>
        <v>0</v>
      </c>
      <c r="H50" s="65">
        <f t="shared" si="2"/>
        <v>0</v>
      </c>
      <c r="I50" s="65">
        <f t="shared" si="3"/>
        <v>0</v>
      </c>
      <c r="J50" s="203">
        <f>IF(DG!$A$129&lt;=9,$M$17,0)</f>
        <v>0</v>
      </c>
      <c r="K50" s="65">
        <f t="shared" si="8"/>
        <v>0</v>
      </c>
      <c r="L50" s="473">
        <f t="shared" si="9"/>
        <v>0</v>
      </c>
      <c r="M50" s="204">
        <f t="shared" si="13"/>
        <v>0</v>
      </c>
      <c r="N50" s="505">
        <f t="shared" si="10"/>
        <v>0</v>
      </c>
      <c r="O50" s="204">
        <f>IF(DG!$A$131&gt;1,0,IF(J50-J49&gt;0,MROUND((L50/12*Q49),1),MROUND(L50/12*P49,1)))</f>
        <v>0</v>
      </c>
      <c r="P50" s="204">
        <f t="shared" si="11"/>
        <v>0</v>
      </c>
      <c r="Q50" s="204">
        <f t="shared" si="5"/>
        <v>0</v>
      </c>
      <c r="R50" s="476">
        <v>0</v>
      </c>
    </row>
    <row r="51" spans="1:19" ht="14" thickTop="1" thickBot="1">
      <c r="A51" s="202">
        <f t="shared" si="6"/>
        <v>46054</v>
      </c>
      <c r="B51" s="65">
        <f>IF(OR(J$50=0,DG!$A$129&gt;10),0,B50+1)</f>
        <v>0</v>
      </c>
      <c r="C51" s="65">
        <f t="shared" ref="C51:C73" si="14">IF(F51-$E$269&gt;0,F51-$E$269,0)</f>
        <v>0</v>
      </c>
      <c r="D51" s="65">
        <f t="shared" si="12"/>
        <v>26</v>
      </c>
      <c r="E51" s="65">
        <f t="shared" si="7"/>
        <v>0</v>
      </c>
      <c r="F51" s="65">
        <f>IF(OR(L$51=0,DG!$A$251&gt;9),0,F50+1)</f>
        <v>0</v>
      </c>
      <c r="G51" s="65">
        <f t="shared" si="1"/>
        <v>0</v>
      </c>
      <c r="H51" s="65">
        <f t="shared" si="2"/>
        <v>0</v>
      </c>
      <c r="I51" s="65">
        <f t="shared" si="3"/>
        <v>0</v>
      </c>
      <c r="J51" s="203">
        <f>IF(DG!$A$129&lt;=10,$M$17,0)</f>
        <v>0</v>
      </c>
      <c r="K51" s="65">
        <f t="shared" si="8"/>
        <v>0</v>
      </c>
      <c r="L51" s="473">
        <f t="shared" si="9"/>
        <v>0</v>
      </c>
      <c r="M51" s="204">
        <f t="shared" si="13"/>
        <v>0</v>
      </c>
      <c r="N51" s="505">
        <f t="shared" si="10"/>
        <v>0</v>
      </c>
      <c r="O51" s="204">
        <f>IF(DG!$A$131&gt;1,0,IF(J51-J50&gt;0,MROUND((L51/12*Q50),1),MROUND(L51/12*P50,1)))</f>
        <v>0</v>
      </c>
      <c r="P51" s="204">
        <f t="shared" si="11"/>
        <v>0</v>
      </c>
      <c r="Q51" s="204">
        <f t="shared" si="5"/>
        <v>0</v>
      </c>
      <c r="R51" s="476">
        <v>0</v>
      </c>
    </row>
    <row r="52" spans="1:19" ht="14" thickTop="1" thickBot="1">
      <c r="A52" s="202">
        <f t="shared" si="6"/>
        <v>46082</v>
      </c>
      <c r="B52" s="65">
        <f t="shared" ref="B52:B61" si="15">IF(J$51=0,0,B51+1)</f>
        <v>0</v>
      </c>
      <c r="C52" s="65">
        <f t="shared" si="14"/>
        <v>0</v>
      </c>
      <c r="D52" s="65">
        <f t="shared" si="12"/>
        <v>27</v>
      </c>
      <c r="E52" s="65">
        <f t="shared" si="7"/>
        <v>0</v>
      </c>
      <c r="F52" s="65">
        <f>IF(OR(L$52=0,DG!$A$251&gt;9),0,F51+1)</f>
        <v>0</v>
      </c>
      <c r="G52" s="65">
        <f t="shared" si="1"/>
        <v>0</v>
      </c>
      <c r="H52" s="65">
        <f t="shared" si="2"/>
        <v>0</v>
      </c>
      <c r="I52" s="65">
        <f t="shared" si="3"/>
        <v>0</v>
      </c>
      <c r="J52" s="203">
        <f>IF(DG!$A$129&lt;=10,$M$17,0)</f>
        <v>0</v>
      </c>
      <c r="K52" s="65">
        <f t="shared" si="8"/>
        <v>0</v>
      </c>
      <c r="L52" s="473">
        <f t="shared" si="9"/>
        <v>0</v>
      </c>
      <c r="M52" s="204">
        <f t="shared" si="13"/>
        <v>0</v>
      </c>
      <c r="N52" s="505">
        <f t="shared" si="10"/>
        <v>0</v>
      </c>
      <c r="O52" s="204">
        <f>IF(DG!$A$131&gt;1,0,IF(J52-J51&gt;0,MROUND((L52/12*Q51),1),MROUND(L52/12*P51,1)))</f>
        <v>0</v>
      </c>
      <c r="P52" s="204">
        <f t="shared" si="11"/>
        <v>0</v>
      </c>
      <c r="Q52" s="204">
        <f t="shared" si="5"/>
        <v>0</v>
      </c>
      <c r="R52" s="476">
        <v>0</v>
      </c>
    </row>
    <row r="53" spans="1:19" ht="14" thickTop="1" thickBot="1">
      <c r="A53" s="202">
        <f t="shared" si="6"/>
        <v>46113</v>
      </c>
      <c r="B53" s="65">
        <f t="shared" si="15"/>
        <v>0</v>
      </c>
      <c r="C53" s="65">
        <f t="shared" si="14"/>
        <v>0</v>
      </c>
      <c r="D53" s="65">
        <f t="shared" si="12"/>
        <v>28</v>
      </c>
      <c r="E53" s="65">
        <f t="shared" si="7"/>
        <v>0</v>
      </c>
      <c r="F53" s="65">
        <f>IF(OR(L$53=0,DG!$A$251&gt;10),0,F52+1)</f>
        <v>0</v>
      </c>
      <c r="G53" s="65">
        <f t="shared" si="1"/>
        <v>0</v>
      </c>
      <c r="H53" s="65">
        <f t="shared" si="2"/>
        <v>0</v>
      </c>
      <c r="I53" s="65">
        <f t="shared" si="3"/>
        <v>0</v>
      </c>
      <c r="J53" s="203">
        <f>IF(DG!$A$129&lt;=10,$M$17,0)</f>
        <v>0</v>
      </c>
      <c r="K53" s="65">
        <f t="shared" si="8"/>
        <v>0</v>
      </c>
      <c r="L53" s="473">
        <f t="shared" si="9"/>
        <v>0</v>
      </c>
      <c r="M53" s="204">
        <f t="shared" si="13"/>
        <v>0</v>
      </c>
      <c r="N53" s="505">
        <f t="shared" si="10"/>
        <v>0</v>
      </c>
      <c r="O53" s="204">
        <f>IF(DG!$A$131&gt;1,0,IF(J53-J52&gt;0,MROUND((L53/12*Q52),1),MROUND(L53/12*P52,1)))</f>
        <v>0</v>
      </c>
      <c r="P53" s="204">
        <f t="shared" si="11"/>
        <v>0</v>
      </c>
      <c r="Q53" s="204">
        <f t="shared" si="5"/>
        <v>0</v>
      </c>
      <c r="R53" s="476">
        <v>0</v>
      </c>
    </row>
    <row r="54" spans="1:19" ht="14" thickTop="1" thickBot="1">
      <c r="A54" s="202">
        <f t="shared" si="6"/>
        <v>46143</v>
      </c>
      <c r="B54" s="65">
        <f t="shared" si="15"/>
        <v>0</v>
      </c>
      <c r="C54" s="65">
        <f t="shared" si="14"/>
        <v>0</v>
      </c>
      <c r="D54" s="65">
        <f t="shared" si="12"/>
        <v>29</v>
      </c>
      <c r="E54" s="65">
        <f t="shared" si="7"/>
        <v>0</v>
      </c>
      <c r="F54" s="65">
        <f>IF(OR(L$54=0,DG!$A$251&gt;10),0,F53+1)</f>
        <v>0</v>
      </c>
      <c r="G54" s="65">
        <f t="shared" si="1"/>
        <v>0</v>
      </c>
      <c r="H54" s="65">
        <f t="shared" si="2"/>
        <v>0</v>
      </c>
      <c r="I54" s="65">
        <f t="shared" si="3"/>
        <v>0</v>
      </c>
      <c r="J54" s="203">
        <f>IF(DG!$A$129&lt;=10,$M$17,0)</f>
        <v>0</v>
      </c>
      <c r="K54" s="65">
        <f t="shared" si="8"/>
        <v>0</v>
      </c>
      <c r="L54" s="473">
        <f t="shared" si="9"/>
        <v>0</v>
      </c>
      <c r="M54" s="204">
        <f t="shared" si="13"/>
        <v>0</v>
      </c>
      <c r="N54" s="505">
        <f t="shared" si="10"/>
        <v>0</v>
      </c>
      <c r="O54" s="204">
        <f>IF(DG!$A$131&gt;1,0,IF(J54-J53&gt;0,MROUND((L54/12*Q53),1),MROUND(L54/12*P53,1)))</f>
        <v>0</v>
      </c>
      <c r="P54" s="204">
        <f t="shared" si="11"/>
        <v>0</v>
      </c>
      <c r="Q54" s="204">
        <f t="shared" si="5"/>
        <v>0</v>
      </c>
      <c r="R54" s="476">
        <v>0</v>
      </c>
    </row>
    <row r="55" spans="1:19" ht="14" thickTop="1" thickBot="1">
      <c r="A55" s="202">
        <f t="shared" si="6"/>
        <v>46174</v>
      </c>
      <c r="B55" s="65">
        <f t="shared" si="15"/>
        <v>0</v>
      </c>
      <c r="C55" s="65">
        <f t="shared" si="14"/>
        <v>0</v>
      </c>
      <c r="D55" s="65">
        <f t="shared" si="12"/>
        <v>30</v>
      </c>
      <c r="E55" s="65">
        <f t="shared" si="7"/>
        <v>0</v>
      </c>
      <c r="F55" s="65">
        <f>IF(OR(L$55=0,DG!$A$251&gt;10),0,F54+1)</f>
        <v>0</v>
      </c>
      <c r="G55" s="65">
        <f t="shared" si="1"/>
        <v>0</v>
      </c>
      <c r="H55" s="65">
        <f t="shared" si="2"/>
        <v>0</v>
      </c>
      <c r="I55" s="65">
        <f t="shared" si="3"/>
        <v>0</v>
      </c>
      <c r="J55" s="203">
        <f>IF(DG!$A$129&lt;=10,$M$17,0)</f>
        <v>0</v>
      </c>
      <c r="K55" s="65">
        <f t="shared" si="8"/>
        <v>0</v>
      </c>
      <c r="L55" s="473">
        <f t="shared" si="9"/>
        <v>0</v>
      </c>
      <c r="M55" s="204">
        <f t="shared" si="13"/>
        <v>0</v>
      </c>
      <c r="N55" s="505">
        <f t="shared" si="10"/>
        <v>0</v>
      </c>
      <c r="O55" s="204">
        <f>IF(DG!$A$131&gt;1,0,IF(J55-J54&gt;0,MROUND((L55/12*Q54),1),MROUND(L55/12*P54,1)))</f>
        <v>0</v>
      </c>
      <c r="P55" s="204">
        <f t="shared" si="11"/>
        <v>0</v>
      </c>
      <c r="Q55" s="204">
        <f t="shared" si="5"/>
        <v>0</v>
      </c>
      <c r="R55" s="476">
        <v>0</v>
      </c>
    </row>
    <row r="56" spans="1:19" ht="14" thickTop="1" thickBot="1">
      <c r="A56" s="202">
        <f t="shared" si="6"/>
        <v>46204</v>
      </c>
      <c r="B56" s="65">
        <f t="shared" si="15"/>
        <v>0</v>
      </c>
      <c r="C56" s="65">
        <f t="shared" si="14"/>
        <v>0</v>
      </c>
      <c r="D56" s="65">
        <f t="shared" si="12"/>
        <v>31</v>
      </c>
      <c r="E56" s="65">
        <f t="shared" si="7"/>
        <v>0</v>
      </c>
      <c r="F56" s="65">
        <f>IF(OR(L$56=0,DG!$A$251&gt;11),0,F55+1)</f>
        <v>0</v>
      </c>
      <c r="G56" s="65">
        <f t="shared" si="1"/>
        <v>0</v>
      </c>
      <c r="H56" s="65">
        <f t="shared" si="2"/>
        <v>0</v>
      </c>
      <c r="I56" s="65">
        <f t="shared" si="3"/>
        <v>0</v>
      </c>
      <c r="J56" s="203">
        <f>IF(DG!$A$129&lt;=10,$M$17,0)</f>
        <v>0</v>
      </c>
      <c r="K56" s="65">
        <f t="shared" si="8"/>
        <v>0</v>
      </c>
      <c r="L56" s="473">
        <f t="shared" si="9"/>
        <v>0</v>
      </c>
      <c r="M56" s="204">
        <f t="shared" si="13"/>
        <v>0</v>
      </c>
      <c r="N56" s="505">
        <f t="shared" si="10"/>
        <v>0</v>
      </c>
      <c r="O56" s="204">
        <f>IF(DG!$A$131&gt;1,0,IF(J56-J55&gt;0,MROUND((L56/12*Q55),1),MROUND(L56/12*P55,1)))</f>
        <v>0</v>
      </c>
      <c r="P56" s="204">
        <f t="shared" si="11"/>
        <v>0</v>
      </c>
      <c r="Q56" s="204">
        <f t="shared" si="5"/>
        <v>0</v>
      </c>
      <c r="R56" s="476">
        <v>0</v>
      </c>
    </row>
    <row r="57" spans="1:19" ht="14" thickTop="1" thickBot="1">
      <c r="A57" s="202">
        <f t="shared" si="6"/>
        <v>46235</v>
      </c>
      <c r="B57" s="65">
        <f t="shared" si="15"/>
        <v>0</v>
      </c>
      <c r="C57" s="65">
        <f t="shared" si="14"/>
        <v>0</v>
      </c>
      <c r="D57" s="65">
        <f t="shared" si="12"/>
        <v>32</v>
      </c>
      <c r="E57" s="65">
        <f t="shared" si="7"/>
        <v>0</v>
      </c>
      <c r="F57" s="65">
        <f>IF(OR(L$57=0,DG!$A$251&gt;11),0,F56+1)</f>
        <v>0</v>
      </c>
      <c r="G57" s="65">
        <f t="shared" si="1"/>
        <v>0</v>
      </c>
      <c r="H57" s="65">
        <f t="shared" si="2"/>
        <v>0</v>
      </c>
      <c r="I57" s="65">
        <f t="shared" si="3"/>
        <v>0</v>
      </c>
      <c r="J57" s="203">
        <f>IF(DG!$A$129&lt;=10,$M$17,0)</f>
        <v>0</v>
      </c>
      <c r="K57" s="65">
        <f t="shared" si="8"/>
        <v>0</v>
      </c>
      <c r="L57" s="473">
        <f t="shared" si="9"/>
        <v>0</v>
      </c>
      <c r="M57" s="204">
        <f t="shared" si="13"/>
        <v>0</v>
      </c>
      <c r="N57" s="505">
        <f t="shared" si="10"/>
        <v>0</v>
      </c>
      <c r="O57" s="204">
        <f>IF(DG!$A$131&gt;1,0,IF(J57-J56&gt;0,MROUND((L57/12*Q56),1),MROUND(L57/12*P56,1)))</f>
        <v>0</v>
      </c>
      <c r="P57" s="204">
        <f t="shared" si="11"/>
        <v>0</v>
      </c>
      <c r="Q57" s="204">
        <f t="shared" si="5"/>
        <v>0</v>
      </c>
      <c r="R57" s="476">
        <v>0</v>
      </c>
    </row>
    <row r="58" spans="1:19" ht="14" thickTop="1" thickBot="1">
      <c r="A58" s="202">
        <f t="shared" si="6"/>
        <v>46266</v>
      </c>
      <c r="B58" s="65">
        <f t="shared" si="15"/>
        <v>0</v>
      </c>
      <c r="C58" s="65">
        <f t="shared" si="14"/>
        <v>0</v>
      </c>
      <c r="D58" s="65">
        <f t="shared" si="12"/>
        <v>33</v>
      </c>
      <c r="E58" s="65">
        <f t="shared" si="7"/>
        <v>0</v>
      </c>
      <c r="F58" s="65">
        <f>IF(OR(L$58=0,DG!$A$251&gt;11),0,F57+1)</f>
        <v>0</v>
      </c>
      <c r="G58" s="65">
        <f t="shared" si="1"/>
        <v>0</v>
      </c>
      <c r="H58" s="65">
        <f t="shared" si="2"/>
        <v>0</v>
      </c>
      <c r="I58" s="65">
        <f t="shared" si="3"/>
        <v>0</v>
      </c>
      <c r="J58" s="203">
        <f>IF(DG!$A$129&lt;=10,$M$17,0)</f>
        <v>0</v>
      </c>
      <c r="K58" s="65">
        <f t="shared" si="8"/>
        <v>0</v>
      </c>
      <c r="L58" s="473">
        <f t="shared" si="9"/>
        <v>0</v>
      </c>
      <c r="M58" s="204">
        <f t="shared" si="13"/>
        <v>0</v>
      </c>
      <c r="N58" s="505">
        <f t="shared" si="10"/>
        <v>0</v>
      </c>
      <c r="O58" s="204">
        <f>IF(DG!$A$131&gt;1,0,IF(J58-J57&gt;0,MROUND((L58/12*Q57),1),MROUND(L58/12*P57,1)))</f>
        <v>0</v>
      </c>
      <c r="P58" s="204">
        <f t="shared" si="11"/>
        <v>0</v>
      </c>
      <c r="Q58" s="204">
        <f t="shared" si="5"/>
        <v>0</v>
      </c>
      <c r="R58" s="476">
        <v>0</v>
      </c>
    </row>
    <row r="59" spans="1:19" ht="14" thickTop="1" thickBot="1">
      <c r="A59" s="202">
        <f t="shared" si="6"/>
        <v>46296</v>
      </c>
      <c r="B59" s="65">
        <f t="shared" si="15"/>
        <v>0</v>
      </c>
      <c r="C59" s="65">
        <f t="shared" si="14"/>
        <v>0</v>
      </c>
      <c r="D59" s="65">
        <f t="shared" si="12"/>
        <v>34</v>
      </c>
      <c r="E59" s="65">
        <f t="shared" si="7"/>
        <v>0</v>
      </c>
      <c r="F59" s="65">
        <f>IF(OR(L$59=0,DG!$A$251&gt;12),0,F58+1)</f>
        <v>0</v>
      </c>
      <c r="G59" s="65">
        <f t="shared" si="1"/>
        <v>0</v>
      </c>
      <c r="H59" s="65">
        <f t="shared" si="2"/>
        <v>0</v>
      </c>
      <c r="I59" s="65">
        <f t="shared" si="3"/>
        <v>0</v>
      </c>
      <c r="J59" s="203">
        <f>IF(DG!$A$129&lt;=10,$M$17,0)</f>
        <v>0</v>
      </c>
      <c r="K59" s="65">
        <f t="shared" si="8"/>
        <v>0</v>
      </c>
      <c r="L59" s="473">
        <f t="shared" si="9"/>
        <v>0</v>
      </c>
      <c r="M59" s="204">
        <f t="shared" si="13"/>
        <v>0</v>
      </c>
      <c r="N59" s="505">
        <f t="shared" si="10"/>
        <v>0</v>
      </c>
      <c r="O59" s="204">
        <f>IF(DG!$A$131&gt;1,0,IF(J59-J58&gt;0,MROUND((L59/12*Q58),1),MROUND(L59/12*P58,1)))</f>
        <v>0</v>
      </c>
      <c r="P59" s="204">
        <f t="shared" si="11"/>
        <v>0</v>
      </c>
      <c r="Q59" s="204">
        <f t="shared" si="5"/>
        <v>0</v>
      </c>
      <c r="R59" s="476">
        <v>0</v>
      </c>
    </row>
    <row r="60" spans="1:19" ht="14" thickTop="1" thickBot="1">
      <c r="A60" s="202">
        <f t="shared" si="6"/>
        <v>46327</v>
      </c>
      <c r="B60" s="65">
        <f t="shared" si="15"/>
        <v>0</v>
      </c>
      <c r="C60" s="65">
        <f t="shared" si="14"/>
        <v>0</v>
      </c>
      <c r="D60" s="65">
        <f t="shared" si="12"/>
        <v>35</v>
      </c>
      <c r="E60" s="65">
        <f t="shared" si="7"/>
        <v>0</v>
      </c>
      <c r="F60" s="65">
        <f>IF(OR(L$60=0,DG!$A$251&gt;12),0,F59+1)</f>
        <v>0</v>
      </c>
      <c r="G60" s="65">
        <f t="shared" si="1"/>
        <v>0</v>
      </c>
      <c r="H60" s="65">
        <f t="shared" si="2"/>
        <v>0</v>
      </c>
      <c r="I60" s="65">
        <f t="shared" si="3"/>
        <v>0</v>
      </c>
      <c r="J60" s="203">
        <f>IF(DG!$A$129&lt;=10,$M$17,0)</f>
        <v>0</v>
      </c>
      <c r="K60" s="65">
        <f t="shared" si="8"/>
        <v>0</v>
      </c>
      <c r="L60" s="473">
        <f t="shared" si="9"/>
        <v>0</v>
      </c>
      <c r="M60" s="204">
        <f t="shared" si="13"/>
        <v>0</v>
      </c>
      <c r="N60" s="505">
        <f t="shared" si="10"/>
        <v>0</v>
      </c>
      <c r="O60" s="204">
        <f>IF(DG!$A$131&gt;1,0,IF(J60-J59&gt;0,MROUND((L60/12*Q59),1),MROUND(L60/12*P59,1)))</f>
        <v>0</v>
      </c>
      <c r="P60" s="204">
        <f t="shared" si="11"/>
        <v>0</v>
      </c>
      <c r="Q60" s="204">
        <f t="shared" si="5"/>
        <v>0</v>
      </c>
      <c r="R60" s="476">
        <v>0</v>
      </c>
    </row>
    <row r="61" spans="1:19" ht="14" thickTop="1" thickBot="1">
      <c r="A61" s="202">
        <f t="shared" si="6"/>
        <v>46357</v>
      </c>
      <c r="B61" s="65">
        <f t="shared" si="15"/>
        <v>0</v>
      </c>
      <c r="C61" s="65">
        <f t="shared" si="14"/>
        <v>0</v>
      </c>
      <c r="D61" s="65">
        <f t="shared" si="12"/>
        <v>36</v>
      </c>
      <c r="E61" s="65">
        <f t="shared" si="7"/>
        <v>0</v>
      </c>
      <c r="F61" s="65">
        <f>IF(OR(L$61=0,DG!$A$251&gt;12),0,F60+1)</f>
        <v>0</v>
      </c>
      <c r="G61" s="65">
        <f t="shared" si="1"/>
        <v>0</v>
      </c>
      <c r="H61" s="65">
        <f t="shared" si="2"/>
        <v>0</v>
      </c>
      <c r="I61" s="65">
        <f t="shared" si="3"/>
        <v>0</v>
      </c>
      <c r="J61" s="203">
        <f>IF(DG!$A$129&lt;=10,$M$17,0)</f>
        <v>0</v>
      </c>
      <c r="K61" s="65">
        <f t="shared" si="8"/>
        <v>0</v>
      </c>
      <c r="L61" s="473">
        <f t="shared" si="9"/>
        <v>0</v>
      </c>
      <c r="M61" s="204">
        <f t="shared" si="13"/>
        <v>0</v>
      </c>
      <c r="N61" s="505">
        <f t="shared" si="10"/>
        <v>0</v>
      </c>
      <c r="O61" s="204">
        <f>IF(DG!$A$131&gt;1,0,IF(J61-J60&gt;0,MROUND((L61/12*Q60),1),MROUND(L61/12*P60,1)))</f>
        <v>0</v>
      </c>
      <c r="P61" s="204">
        <f t="shared" si="11"/>
        <v>0</v>
      </c>
      <c r="Q61" s="204">
        <f t="shared" si="5"/>
        <v>0</v>
      </c>
      <c r="R61" s="476">
        <v>0</v>
      </c>
      <c r="S61" s="511">
        <f>SUM(N50:N61)</f>
        <v>0</v>
      </c>
    </row>
    <row r="62" spans="1:19" ht="14" thickTop="1" thickBot="1">
      <c r="A62" s="202">
        <f t="shared" si="6"/>
        <v>46388</v>
      </c>
      <c r="B62" s="65">
        <f>IF(OR(J$62=0,DG!$A$129&gt;11),0,B61+1)</f>
        <v>0</v>
      </c>
      <c r="C62" s="65">
        <f t="shared" si="14"/>
        <v>0</v>
      </c>
      <c r="D62" s="65">
        <f t="shared" si="12"/>
        <v>37</v>
      </c>
      <c r="E62" s="65">
        <f t="shared" si="7"/>
        <v>0</v>
      </c>
      <c r="F62" s="65">
        <f>IF(OR(L$62=0,DG!$A$251&gt;13),0,F61+1)</f>
        <v>0</v>
      </c>
      <c r="G62" s="65">
        <f t="shared" si="1"/>
        <v>0</v>
      </c>
      <c r="H62" s="65">
        <f t="shared" si="2"/>
        <v>0</v>
      </c>
      <c r="I62" s="65">
        <f t="shared" si="3"/>
        <v>0</v>
      </c>
      <c r="J62" s="203">
        <f>IF(DG!$A$129&lt;=11,$M$17,0)</f>
        <v>0</v>
      </c>
      <c r="K62" s="65">
        <f t="shared" si="8"/>
        <v>0</v>
      </c>
      <c r="L62" s="473">
        <f t="shared" si="9"/>
        <v>0</v>
      </c>
      <c r="M62" s="204">
        <f t="shared" si="13"/>
        <v>0</v>
      </c>
      <c r="N62" s="505">
        <f t="shared" si="10"/>
        <v>0</v>
      </c>
      <c r="O62" s="204">
        <f>IF(DG!$A$131&gt;1,0,IF(J62-J61&gt;0,MROUND((L62/12*Q61),1),MROUND(L62/12*P61,1)))</f>
        <v>0</v>
      </c>
      <c r="P62" s="204">
        <f t="shared" si="11"/>
        <v>0</v>
      </c>
      <c r="Q62" s="204">
        <f t="shared" si="5"/>
        <v>0</v>
      </c>
      <c r="R62" s="476">
        <v>0</v>
      </c>
    </row>
    <row r="63" spans="1:19" ht="14" thickTop="1" thickBot="1">
      <c r="A63" s="202">
        <f t="shared" si="6"/>
        <v>46419</v>
      </c>
      <c r="B63" s="65">
        <f>IF(J$63=0,0,B62+1)</f>
        <v>0</v>
      </c>
      <c r="C63" s="65">
        <f t="shared" si="14"/>
        <v>0</v>
      </c>
      <c r="D63" s="65">
        <f t="shared" si="12"/>
        <v>38</v>
      </c>
      <c r="E63" s="65">
        <f t="shared" si="7"/>
        <v>0</v>
      </c>
      <c r="F63" s="65">
        <f>IF(OR(L$63=0,DG!$A$251&gt;13),0,F62+1)</f>
        <v>0</v>
      </c>
      <c r="G63" s="65">
        <f t="shared" si="1"/>
        <v>0</v>
      </c>
      <c r="H63" s="65">
        <f t="shared" si="2"/>
        <v>0</v>
      </c>
      <c r="I63" s="65">
        <f t="shared" si="3"/>
        <v>0</v>
      </c>
      <c r="J63" s="203">
        <f>IF(DG!$A$129&lt;=11,$M$17,0)</f>
        <v>0</v>
      </c>
      <c r="K63" s="65">
        <f t="shared" si="8"/>
        <v>0</v>
      </c>
      <c r="L63" s="473">
        <f t="shared" si="9"/>
        <v>0</v>
      </c>
      <c r="M63" s="204">
        <f t="shared" si="13"/>
        <v>0</v>
      </c>
      <c r="N63" s="505">
        <f t="shared" si="10"/>
        <v>0</v>
      </c>
      <c r="O63" s="204">
        <f>IF(DG!$A$131&gt;1,0,IF(J63-J62&gt;0,MROUND((L63/12*Q62),1),MROUND(L63/12*P62,1)))</f>
        <v>0</v>
      </c>
      <c r="P63" s="204">
        <f t="shared" si="11"/>
        <v>0</v>
      </c>
      <c r="Q63" s="204">
        <f t="shared" si="5"/>
        <v>0</v>
      </c>
      <c r="R63" s="476">
        <v>0</v>
      </c>
    </row>
    <row r="64" spans="1:19" ht="14" thickTop="1" thickBot="1">
      <c r="A64" s="202">
        <f t="shared" si="6"/>
        <v>46447</v>
      </c>
      <c r="B64" s="65">
        <f t="shared" ref="B64:B73" si="16">IF(J$63=0,0,B63+1)</f>
        <v>0</v>
      </c>
      <c r="C64" s="65">
        <f t="shared" si="14"/>
        <v>0</v>
      </c>
      <c r="D64" s="65">
        <f t="shared" si="12"/>
        <v>39</v>
      </c>
      <c r="E64" s="65">
        <f t="shared" si="7"/>
        <v>0</v>
      </c>
      <c r="F64" s="65">
        <f>IF(OR(L$64=0,DG!$A$251&gt;13),0,F63+1)</f>
        <v>0</v>
      </c>
      <c r="G64" s="65">
        <f t="shared" si="1"/>
        <v>0</v>
      </c>
      <c r="H64" s="65">
        <f t="shared" si="2"/>
        <v>0</v>
      </c>
      <c r="I64" s="65">
        <f t="shared" si="3"/>
        <v>0</v>
      </c>
      <c r="J64" s="203">
        <f>IF(DG!$A$129&lt;=11,$M$17,0)</f>
        <v>0</v>
      </c>
      <c r="K64" s="65">
        <f t="shared" si="8"/>
        <v>0</v>
      </c>
      <c r="L64" s="473">
        <f t="shared" si="9"/>
        <v>0</v>
      </c>
      <c r="M64" s="204">
        <f t="shared" si="13"/>
        <v>0</v>
      </c>
      <c r="N64" s="505">
        <f t="shared" si="10"/>
        <v>0</v>
      </c>
      <c r="O64" s="204">
        <f>IF(DG!$A$131&gt;1,0,IF(J64-J63&gt;0,MROUND((L64/12*Q63),1),MROUND(L64/12*P63,1)))</f>
        <v>0</v>
      </c>
      <c r="P64" s="204">
        <f t="shared" si="11"/>
        <v>0</v>
      </c>
      <c r="Q64" s="204">
        <f t="shared" si="5"/>
        <v>0</v>
      </c>
      <c r="R64" s="476">
        <v>0</v>
      </c>
    </row>
    <row r="65" spans="1:19" ht="14" thickTop="1" thickBot="1">
      <c r="A65" s="202">
        <f t="shared" si="6"/>
        <v>46478</v>
      </c>
      <c r="B65" s="65">
        <f t="shared" si="16"/>
        <v>0</v>
      </c>
      <c r="C65" s="65">
        <f t="shared" si="14"/>
        <v>0</v>
      </c>
      <c r="D65" s="65">
        <f t="shared" si="12"/>
        <v>40</v>
      </c>
      <c r="E65" s="65">
        <f t="shared" si="7"/>
        <v>0</v>
      </c>
      <c r="F65" s="65">
        <f>IF(OR(L$65=0,DG!$A$251&gt;14),0,F64+1)</f>
        <v>0</v>
      </c>
      <c r="G65" s="65">
        <f t="shared" si="1"/>
        <v>0</v>
      </c>
      <c r="H65" s="65">
        <f t="shared" si="2"/>
        <v>0</v>
      </c>
      <c r="I65" s="65">
        <f t="shared" si="3"/>
        <v>0</v>
      </c>
      <c r="J65" s="203">
        <f>IF(DG!$A$129&lt;=11,$M$17,0)</f>
        <v>0</v>
      </c>
      <c r="K65" s="65">
        <f t="shared" si="8"/>
        <v>0</v>
      </c>
      <c r="L65" s="473">
        <f t="shared" si="9"/>
        <v>0</v>
      </c>
      <c r="M65" s="204">
        <f t="shared" si="13"/>
        <v>0</v>
      </c>
      <c r="N65" s="505">
        <f t="shared" si="10"/>
        <v>0</v>
      </c>
      <c r="O65" s="204">
        <f>IF(DG!$A$131&gt;1,0,IF(J65-J64&gt;0,MROUND((L65/12*Q64),1),MROUND(L65/12*P64,1)))</f>
        <v>0</v>
      </c>
      <c r="P65" s="204">
        <f t="shared" si="11"/>
        <v>0</v>
      </c>
      <c r="Q65" s="204">
        <f t="shared" si="5"/>
        <v>0</v>
      </c>
      <c r="R65" s="476">
        <v>0</v>
      </c>
    </row>
    <row r="66" spans="1:19" ht="14" thickTop="1" thickBot="1">
      <c r="A66" s="202">
        <f t="shared" si="6"/>
        <v>46508</v>
      </c>
      <c r="B66" s="65">
        <f t="shared" si="16"/>
        <v>0</v>
      </c>
      <c r="C66" s="65">
        <f t="shared" si="14"/>
        <v>0</v>
      </c>
      <c r="D66" s="65">
        <f t="shared" si="12"/>
        <v>41</v>
      </c>
      <c r="E66" s="65">
        <f t="shared" si="7"/>
        <v>0</v>
      </c>
      <c r="F66" s="65">
        <f>IF(OR(L$66=0,DG!$A$251&gt;14),0,F65+1)</f>
        <v>0</v>
      </c>
      <c r="G66" s="65">
        <f t="shared" si="1"/>
        <v>0</v>
      </c>
      <c r="H66" s="65">
        <f t="shared" si="2"/>
        <v>0</v>
      </c>
      <c r="I66" s="65">
        <f t="shared" si="3"/>
        <v>0</v>
      </c>
      <c r="J66" s="203">
        <f>IF(DG!$A$129&lt;=11,$M$17,0)</f>
        <v>0</v>
      </c>
      <c r="K66" s="65">
        <f t="shared" si="8"/>
        <v>0</v>
      </c>
      <c r="L66" s="473">
        <f t="shared" si="9"/>
        <v>0</v>
      </c>
      <c r="M66" s="204">
        <f t="shared" si="13"/>
        <v>0</v>
      </c>
      <c r="N66" s="505">
        <f t="shared" si="10"/>
        <v>0</v>
      </c>
      <c r="O66" s="204">
        <f>IF(DG!$A$131&gt;1,0,IF(J66-J65&gt;0,MROUND((L66/12*Q65),1),MROUND(L66/12*P65,1)))</f>
        <v>0</v>
      </c>
      <c r="P66" s="204">
        <f t="shared" si="11"/>
        <v>0</v>
      </c>
      <c r="Q66" s="204">
        <f t="shared" si="5"/>
        <v>0</v>
      </c>
      <c r="R66" s="476">
        <v>0</v>
      </c>
    </row>
    <row r="67" spans="1:19" ht="14" thickTop="1" thickBot="1">
      <c r="A67" s="202">
        <f t="shared" si="6"/>
        <v>46539</v>
      </c>
      <c r="B67" s="65">
        <f t="shared" si="16"/>
        <v>0</v>
      </c>
      <c r="C67" s="65">
        <f t="shared" si="14"/>
        <v>0</v>
      </c>
      <c r="D67" s="65">
        <f t="shared" si="12"/>
        <v>42</v>
      </c>
      <c r="E67" s="65">
        <f t="shared" si="7"/>
        <v>0</v>
      </c>
      <c r="F67" s="65">
        <f>IF(OR(L$67=0,DG!$A$251&gt;14),0,F66+1)</f>
        <v>0</v>
      </c>
      <c r="G67" s="65">
        <f t="shared" si="1"/>
        <v>0</v>
      </c>
      <c r="H67" s="65">
        <f t="shared" si="2"/>
        <v>0</v>
      </c>
      <c r="I67" s="65">
        <f t="shared" si="3"/>
        <v>0</v>
      </c>
      <c r="J67" s="203">
        <f>IF(DG!$A$129&lt;=11,$M$17,0)</f>
        <v>0</v>
      </c>
      <c r="K67" s="65">
        <f t="shared" si="8"/>
        <v>0</v>
      </c>
      <c r="L67" s="473">
        <f t="shared" si="9"/>
        <v>0</v>
      </c>
      <c r="M67" s="204">
        <f t="shared" si="13"/>
        <v>0</v>
      </c>
      <c r="N67" s="505">
        <f t="shared" si="10"/>
        <v>0</v>
      </c>
      <c r="O67" s="204">
        <f>IF(DG!$A$131&gt;1,0,IF(J67-J66&gt;0,MROUND((L67/12*Q66),1),MROUND(L67/12*P66,1)))</f>
        <v>0</v>
      </c>
      <c r="P67" s="204">
        <f t="shared" si="11"/>
        <v>0</v>
      </c>
      <c r="Q67" s="204">
        <f t="shared" si="5"/>
        <v>0</v>
      </c>
      <c r="R67" s="476">
        <v>0</v>
      </c>
    </row>
    <row r="68" spans="1:19" ht="14" thickTop="1" thickBot="1">
      <c r="A68" s="202">
        <f t="shared" si="6"/>
        <v>46569</v>
      </c>
      <c r="B68" s="65">
        <f t="shared" si="16"/>
        <v>0</v>
      </c>
      <c r="C68" s="65">
        <f t="shared" si="14"/>
        <v>0</v>
      </c>
      <c r="D68" s="65">
        <f t="shared" si="12"/>
        <v>43</v>
      </c>
      <c r="E68" s="65">
        <f t="shared" si="7"/>
        <v>0</v>
      </c>
      <c r="F68" s="65">
        <f>IF(OR(L$68=0,DG!$A$251&gt;15),0,F67+1)</f>
        <v>0</v>
      </c>
      <c r="G68" s="65">
        <f t="shared" si="1"/>
        <v>0</v>
      </c>
      <c r="H68" s="65">
        <f t="shared" si="2"/>
        <v>0</v>
      </c>
      <c r="I68" s="65">
        <f t="shared" si="3"/>
        <v>0</v>
      </c>
      <c r="J68" s="203">
        <f>IF(DG!$A$129&lt;=11,$M$17,0)</f>
        <v>0</v>
      </c>
      <c r="K68" s="65">
        <f t="shared" si="8"/>
        <v>0</v>
      </c>
      <c r="L68" s="473">
        <f t="shared" si="9"/>
        <v>0</v>
      </c>
      <c r="M68" s="204">
        <f t="shared" si="13"/>
        <v>0</v>
      </c>
      <c r="N68" s="505">
        <f t="shared" si="10"/>
        <v>0</v>
      </c>
      <c r="O68" s="204">
        <f>IF(DG!$A$131&gt;1,0,IF(J68-J67&gt;0,MROUND((L68/12*Q67),1),MROUND(L68/12*P67,1)))</f>
        <v>0</v>
      </c>
      <c r="P68" s="204">
        <f t="shared" si="11"/>
        <v>0</v>
      </c>
      <c r="Q68" s="204">
        <f t="shared" si="5"/>
        <v>0</v>
      </c>
      <c r="R68" s="476">
        <v>0</v>
      </c>
    </row>
    <row r="69" spans="1:19" ht="14" thickTop="1" thickBot="1">
      <c r="A69" s="202">
        <f t="shared" si="6"/>
        <v>46600</v>
      </c>
      <c r="B69" s="65">
        <f t="shared" si="16"/>
        <v>0</v>
      </c>
      <c r="C69" s="65">
        <f t="shared" si="14"/>
        <v>0</v>
      </c>
      <c r="D69" s="65">
        <f t="shared" si="12"/>
        <v>44</v>
      </c>
      <c r="E69" s="65">
        <f t="shared" si="7"/>
        <v>0</v>
      </c>
      <c r="F69" s="65">
        <f>IF(OR(L$69=0,DG!$A$251&gt;15),0,F68+1)</f>
        <v>0</v>
      </c>
      <c r="G69" s="65">
        <f t="shared" si="1"/>
        <v>0</v>
      </c>
      <c r="H69" s="65">
        <f t="shared" si="2"/>
        <v>0</v>
      </c>
      <c r="I69" s="65">
        <f t="shared" si="3"/>
        <v>0</v>
      </c>
      <c r="J69" s="203">
        <f>IF(DG!$A$129&lt;=11,$M$17,0)</f>
        <v>0</v>
      </c>
      <c r="K69" s="65">
        <f t="shared" si="8"/>
        <v>0</v>
      </c>
      <c r="L69" s="473">
        <f t="shared" si="9"/>
        <v>0</v>
      </c>
      <c r="M69" s="204">
        <f t="shared" si="13"/>
        <v>0</v>
      </c>
      <c r="N69" s="505">
        <f t="shared" si="10"/>
        <v>0</v>
      </c>
      <c r="O69" s="204">
        <f>IF(DG!$A$131&gt;1,0,IF(J69-J68&gt;0,MROUND((L69/12*Q68),1),MROUND(L69/12*P68,1)))</f>
        <v>0</v>
      </c>
      <c r="P69" s="204">
        <f t="shared" si="11"/>
        <v>0</v>
      </c>
      <c r="Q69" s="204">
        <f t="shared" si="5"/>
        <v>0</v>
      </c>
      <c r="R69" s="476">
        <v>0</v>
      </c>
    </row>
    <row r="70" spans="1:19" ht="14" hidden="1" thickTop="1" thickBot="1">
      <c r="A70" s="202">
        <f t="shared" ref="A70:A73" si="17">A69+31</f>
        <v>46631</v>
      </c>
      <c r="B70" s="65">
        <f t="shared" si="16"/>
        <v>0</v>
      </c>
      <c r="C70" s="65">
        <f t="shared" si="14"/>
        <v>0</v>
      </c>
      <c r="D70" s="65">
        <f t="shared" si="12"/>
        <v>45</v>
      </c>
      <c r="E70" s="65">
        <f t="shared" si="7"/>
        <v>0</v>
      </c>
      <c r="F70" s="65">
        <f>IF(OR(L$70=0,DG!$A$251&gt;15),0,F69+1)</f>
        <v>0</v>
      </c>
      <c r="G70" s="65">
        <f t="shared" si="1"/>
        <v>0</v>
      </c>
      <c r="H70" s="65">
        <f t="shared" si="2"/>
        <v>0</v>
      </c>
      <c r="I70" s="65">
        <f t="shared" si="3"/>
        <v>0</v>
      </c>
      <c r="J70" s="203">
        <f>IF(DG!$A$129&lt;=11,$M$17,0)</f>
        <v>0</v>
      </c>
      <c r="K70" s="65">
        <f t="shared" si="8"/>
        <v>0</v>
      </c>
      <c r="L70" s="473">
        <f t="shared" si="9"/>
        <v>0</v>
      </c>
      <c r="M70" s="204">
        <f t="shared" si="13"/>
        <v>0</v>
      </c>
      <c r="N70" s="505">
        <f t="shared" ref="N70:N75" si="18">IF(OR(H70-K70&gt;0,I70&gt;=0),0,-PPMT(L70/12,H70,K70-$G$77,J70))+R70</f>
        <v>0</v>
      </c>
      <c r="O70" s="204">
        <f>IF(DG!$A$129&gt;15,0,IF(J70-J69&gt;0,L70/12*Q69,L70/12*P69))</f>
        <v>0</v>
      </c>
      <c r="P70" s="204">
        <f t="shared" ref="P70:P73" si="19">IF(OR(G70+H70=0,J70-N70&lt;1),0,IF(P69&gt;1,P69-N70,J71-N70))</f>
        <v>0</v>
      </c>
      <c r="Q70" s="204">
        <f t="shared" si="5"/>
        <v>0</v>
      </c>
      <c r="R70" s="476">
        <v>0</v>
      </c>
    </row>
    <row r="71" spans="1:19" ht="14" hidden="1" thickTop="1" thickBot="1">
      <c r="A71" s="202">
        <f t="shared" si="17"/>
        <v>46662</v>
      </c>
      <c r="B71" s="65">
        <f t="shared" si="16"/>
        <v>0</v>
      </c>
      <c r="C71" s="65">
        <f t="shared" si="14"/>
        <v>0</v>
      </c>
      <c r="D71" s="65">
        <f t="shared" si="12"/>
        <v>46</v>
      </c>
      <c r="E71" s="65">
        <f t="shared" si="7"/>
        <v>0</v>
      </c>
      <c r="F71" s="65">
        <f>IF(OR(L$71=0,DG!$A$251&gt;16),0,F70+1)</f>
        <v>0</v>
      </c>
      <c r="G71" s="65">
        <f t="shared" si="1"/>
        <v>0</v>
      </c>
      <c r="H71" s="65">
        <f t="shared" si="2"/>
        <v>0</v>
      </c>
      <c r="I71" s="65">
        <f t="shared" si="3"/>
        <v>0</v>
      </c>
      <c r="J71" s="203">
        <f>IF(DG!$A$129&lt;=11,$M$17,0)</f>
        <v>0</v>
      </c>
      <c r="K71" s="65">
        <f t="shared" si="8"/>
        <v>0</v>
      </c>
      <c r="L71" s="473">
        <f t="shared" si="9"/>
        <v>0</v>
      </c>
      <c r="M71" s="204">
        <f t="shared" si="13"/>
        <v>0</v>
      </c>
      <c r="N71" s="505">
        <f t="shared" si="18"/>
        <v>0</v>
      </c>
      <c r="O71" s="204">
        <f>IF(DG!$A$129&gt;16,0,IF(J71-J70&gt;0,L71/12*Q70,L71/12*P70))</f>
        <v>0</v>
      </c>
      <c r="P71" s="204">
        <f t="shared" si="19"/>
        <v>0</v>
      </c>
      <c r="Q71" s="204">
        <f t="shared" si="5"/>
        <v>0</v>
      </c>
      <c r="R71" s="476">
        <v>0</v>
      </c>
    </row>
    <row r="72" spans="1:19" ht="14" hidden="1" thickTop="1" thickBot="1">
      <c r="A72" s="202">
        <f t="shared" si="17"/>
        <v>46693</v>
      </c>
      <c r="B72" s="65">
        <f t="shared" si="16"/>
        <v>0</v>
      </c>
      <c r="C72" s="65">
        <f t="shared" si="14"/>
        <v>0</v>
      </c>
      <c r="D72" s="65">
        <f t="shared" si="12"/>
        <v>47</v>
      </c>
      <c r="E72" s="65">
        <f t="shared" si="7"/>
        <v>0</v>
      </c>
      <c r="F72" s="65">
        <f>IF(OR(L$72=0,DG!$A$251&gt;16),0,F71+1)</f>
        <v>0</v>
      </c>
      <c r="G72" s="65">
        <f t="shared" si="1"/>
        <v>0</v>
      </c>
      <c r="H72" s="65">
        <f t="shared" si="2"/>
        <v>0</v>
      </c>
      <c r="I72" s="65">
        <f t="shared" si="3"/>
        <v>0</v>
      </c>
      <c r="J72" s="203">
        <f>IF(DG!$A$129&lt;=11,$M$17,0)</f>
        <v>0</v>
      </c>
      <c r="K72" s="65">
        <f t="shared" si="8"/>
        <v>0</v>
      </c>
      <c r="L72" s="473">
        <f t="shared" si="9"/>
        <v>0</v>
      </c>
      <c r="M72" s="204">
        <f t="shared" si="13"/>
        <v>0</v>
      </c>
      <c r="N72" s="505">
        <f t="shared" si="18"/>
        <v>0</v>
      </c>
      <c r="O72" s="204">
        <f>IF(DG!$A$129&gt;16,0,IF(J72-J71&gt;0,L72/12*Q71,L72/12*P71))</f>
        <v>0</v>
      </c>
      <c r="P72" s="204">
        <f t="shared" si="19"/>
        <v>0</v>
      </c>
      <c r="Q72" s="204">
        <f t="shared" si="5"/>
        <v>0</v>
      </c>
      <c r="R72" s="476">
        <v>0</v>
      </c>
    </row>
    <row r="73" spans="1:19" ht="14" hidden="1" thickTop="1" thickBot="1">
      <c r="A73" s="202">
        <f t="shared" si="17"/>
        <v>46724</v>
      </c>
      <c r="B73" s="65">
        <f t="shared" si="16"/>
        <v>0</v>
      </c>
      <c r="C73" s="65">
        <f t="shared" si="14"/>
        <v>0</v>
      </c>
      <c r="D73" s="65">
        <f t="shared" si="12"/>
        <v>48</v>
      </c>
      <c r="E73" s="65">
        <f t="shared" si="7"/>
        <v>0</v>
      </c>
      <c r="F73" s="65">
        <f>IF(OR(L$73=0,DG!$A$251&gt;16),0,F72+1)</f>
        <v>0</v>
      </c>
      <c r="G73" s="65">
        <f t="shared" si="1"/>
        <v>0</v>
      </c>
      <c r="H73" s="65">
        <f t="shared" si="2"/>
        <v>0</v>
      </c>
      <c r="I73" s="65">
        <f t="shared" si="3"/>
        <v>0</v>
      </c>
      <c r="J73" s="203">
        <f>IF(DG!$A$129&lt;=11,$M$17,0)</f>
        <v>0</v>
      </c>
      <c r="K73" s="65">
        <f t="shared" si="8"/>
        <v>0</v>
      </c>
      <c r="L73" s="473">
        <f t="shared" si="9"/>
        <v>0</v>
      </c>
      <c r="M73" s="204">
        <f t="shared" si="13"/>
        <v>0</v>
      </c>
      <c r="N73" s="505">
        <f t="shared" si="18"/>
        <v>0</v>
      </c>
      <c r="O73" s="204">
        <f>IF(DG!$A$129&gt;16,0,IF(J73-J72&gt;0,L73/12*Q72,L73/12*P72))</f>
        <v>0</v>
      </c>
      <c r="P73" s="204">
        <f t="shared" si="19"/>
        <v>0</v>
      </c>
      <c r="Q73" s="204">
        <f t="shared" si="5"/>
        <v>0</v>
      </c>
      <c r="R73" s="476">
        <v>0</v>
      </c>
      <c r="S73" s="511">
        <f>SUM(N62:N73)</f>
        <v>0</v>
      </c>
    </row>
    <row r="74" spans="1:19" ht="13.5" hidden="1" thickTop="1">
      <c r="H74" s="65">
        <f>IF(B74&gt;0,1,0)</f>
        <v>0</v>
      </c>
      <c r="I74" s="65">
        <f>SUM(E74:H74)</f>
        <v>0</v>
      </c>
      <c r="M74" s="205"/>
      <c r="N74" s="505">
        <f t="shared" si="18"/>
        <v>0</v>
      </c>
      <c r="O74" s="205">
        <f>SUM(O50:O61)</f>
        <v>0</v>
      </c>
    </row>
    <row r="75" spans="1:19" hidden="1">
      <c r="H75" s="65">
        <f>IF(B75&gt;0,1,0)</f>
        <v>0</v>
      </c>
      <c r="I75" s="65">
        <f>SUM(E75:H75)</f>
        <v>0</v>
      </c>
      <c r="M75" s="205"/>
      <c r="N75" s="505">
        <f t="shared" si="18"/>
        <v>0</v>
      </c>
      <c r="O75" s="205">
        <f>SUM(O62:O73)</f>
        <v>0</v>
      </c>
    </row>
    <row r="76" spans="1:19" hidden="1"/>
    <row r="77" spans="1:19" hidden="1">
      <c r="E77" s="43">
        <f>D73-E73</f>
        <v>48</v>
      </c>
      <c r="G77" s="43">
        <f>SUM(G26:G73)</f>
        <v>0</v>
      </c>
    </row>
    <row r="78" spans="1:19" hidden="1"/>
    <row r="79" spans="1:19" hidden="1"/>
    <row r="80" spans="1:19" hidden="1"/>
    <row r="81" hidden="1"/>
    <row r="82" hidden="1"/>
    <row r="83" hidden="1"/>
    <row r="84" hidden="1"/>
    <row r="85" hidden="1"/>
    <row r="86" hidden="1"/>
    <row r="87" hidden="1"/>
    <row r="88" hidden="1"/>
    <row r="89" hidden="1"/>
    <row r="90" ht="13.5" thickTop="1"/>
  </sheetData>
  <sheetProtection password="E242" sheet="1" objects="1" scenarios="1"/>
  <customSheetViews>
    <customSheetView guid="{30D0538C-360A-4CDF-8D89-584CED1967CC}"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 guid="{4F3169C3-3348-49DE-A6DC-8AA4D2A9D7A1}"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s>
  <mergeCells count="4">
    <mergeCell ref="M15:P15"/>
    <mergeCell ref="M13:P13"/>
    <mergeCell ref="N17:O17"/>
    <mergeCell ref="N19:O19"/>
  </mergeCells>
  <phoneticPr fontId="0" type="noConversion"/>
  <pageMargins left="1.29" right="0.78740157499999996" top="0.984251969" bottom="0.984251969" header="0.4921259845" footer="0.4921259845"/>
  <pageSetup scale="74"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0" r:id="rId4" name="Drop Down 20">
              <controlPr defaultSize="0" autoFill="0" autoLine="0" autoPict="0">
                <anchor moveWithCells="1">
                  <from>
                    <xdr:col>15</xdr:col>
                    <xdr:colOff>0</xdr:colOff>
                    <xdr:row>15</xdr:row>
                    <xdr:rowOff>63500</xdr:rowOff>
                  </from>
                  <to>
                    <xdr:col>16</xdr:col>
                    <xdr:colOff>38100</xdr:colOff>
                    <xdr:row>17</xdr:row>
                    <xdr:rowOff>38100</xdr:rowOff>
                  </to>
                </anchor>
              </controlPr>
            </control>
          </mc:Choice>
        </mc:AlternateContent>
        <mc:AlternateContent xmlns:mc="http://schemas.openxmlformats.org/markup-compatibility/2006">
          <mc:Choice Requires="x14">
            <control shapeId="20503" r:id="rId5" name="Drop Down 23">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19">
    <pageSetUpPr fitToPage="1"/>
  </sheetPr>
  <dimension ref="A8:S270"/>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4.3632812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127</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805">
        <f>IF(DG!$A$130&lt;=1,$M$17,0)</f>
        <v>0</v>
      </c>
      <c r="K25" s="65"/>
      <c r="L25" s="65"/>
      <c r="M25" s="69"/>
      <c r="N25" s="65"/>
      <c r="O25" s="65"/>
      <c r="P25" s="507">
        <f>IF(J26&gt;0,J26,0)</f>
        <v>0</v>
      </c>
      <c r="Q25" s="509">
        <f>P26</f>
        <v>0</v>
      </c>
    </row>
    <row r="26" spans="1:18" ht="14" thickTop="1" thickBot="1">
      <c r="A26" s="202">
        <f>EDATE(A25,1)</f>
        <v>45292</v>
      </c>
      <c r="B26" s="65">
        <f>IF(OR(J$26=0,DG!$A$130&gt;1),0,B25+1)</f>
        <v>0</v>
      </c>
      <c r="C26" s="65">
        <f t="shared" ref="C26:C49" si="0">IF(F26-$E$269&gt;0,F26-$E$269,0)</f>
        <v>0</v>
      </c>
      <c r="D26" s="65">
        <v>1</v>
      </c>
      <c r="E26" s="65">
        <f>B26</f>
        <v>0</v>
      </c>
      <c r="F26" s="65">
        <f>IF(OR(L$26=0,DG!$A$251&gt;1),0,F25+1)</f>
        <v>0</v>
      </c>
      <c r="G26" s="65">
        <f t="shared" ref="G26:G73" si="1">IF(E26=0,0,IF(D26-E26-F26&gt;=0,1,0))</f>
        <v>0</v>
      </c>
      <c r="H26" s="65">
        <f t="shared" ref="H26:H73" si="2">IF(I26&gt;=0,0,H25+1)</f>
        <v>0</v>
      </c>
      <c r="I26" s="65">
        <f t="shared" ref="I26:I63" si="3">IF(OR(G26=1,C26=0),0,IF(K26-C26&lt;$G$269,1,-1))</f>
        <v>0</v>
      </c>
      <c r="J26" s="203">
        <f>IF(DG!$A$130&lt;=1,$M$17,0)</f>
        <v>0</v>
      </c>
      <c r="K26" s="65">
        <f>M21</f>
        <v>0</v>
      </c>
      <c r="L26" s="473">
        <f>IF($M$17&gt;0,$M$19+0.0000001,0)</f>
        <v>0</v>
      </c>
      <c r="M26" s="204">
        <f>IF(H26=0,0,IF($R$13=1,N26+O26,IF(N26=0,O26,-PMT(L26/12,K26-$G$269,J26))))</f>
        <v>0</v>
      </c>
      <c r="N26" s="505">
        <f>IF(OR(H26-K26&gt;0,I26&gt;=0),0,MROUND(-PPMT(L26/12,H26,K26-G269,J26),1)+R26)</f>
        <v>0</v>
      </c>
      <c r="O26" s="204">
        <f>IF(DG!$A$130&gt;1,0,IF(J26-J25&gt;0,MROUND((L26/12*Q25),1),MROUND(L26/12*P25,1)))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IF(OR(J$27=0,DG!$A$130&gt;1),0,B26+1)</f>
        <v>0</v>
      </c>
      <c r="C27" s="65">
        <f t="shared" si="0"/>
        <v>0</v>
      </c>
      <c r="D27" s="65">
        <f>D26+1</f>
        <v>2</v>
      </c>
      <c r="E27" s="65">
        <f t="shared" ref="E27:E73" si="6">B27</f>
        <v>0</v>
      </c>
      <c r="F27" s="65">
        <f>IF(OR(L$27=0,DG!$A$251&gt;1),0,F26+1)</f>
        <v>0</v>
      </c>
      <c r="G27" s="65">
        <f t="shared" si="1"/>
        <v>0</v>
      </c>
      <c r="H27" s="65">
        <f t="shared" si="2"/>
        <v>0</v>
      </c>
      <c r="I27" s="65">
        <f t="shared" si="3"/>
        <v>0</v>
      </c>
      <c r="J27" s="203">
        <f>IF(DG!$A$130&lt;=1,$M$17,0)</f>
        <v>0</v>
      </c>
      <c r="K27" s="65">
        <f t="shared" ref="K27:K73"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IF(DG!$A$130&gt;1,0,IF(J27-J26&gt;0,MROUND((L27/12*Q26),1),MROUND(L27/12*P26,1)))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IF(OR(J$28=0,DG!$A$130&gt;1),0,B27+1)</f>
        <v>0</v>
      </c>
      <c r="C28" s="65">
        <f t="shared" si="0"/>
        <v>0</v>
      </c>
      <c r="D28" s="65">
        <f t="shared" ref="D28:D73" si="12">D27+1</f>
        <v>3</v>
      </c>
      <c r="E28" s="65">
        <f t="shared" si="6"/>
        <v>0</v>
      </c>
      <c r="F28" s="65">
        <f>IF(OR(L$28=0,DG!$A$251&gt;1),0,F27+1)</f>
        <v>0</v>
      </c>
      <c r="G28" s="65">
        <f t="shared" si="1"/>
        <v>0</v>
      </c>
      <c r="H28" s="65">
        <f t="shared" si="2"/>
        <v>0</v>
      </c>
      <c r="I28" s="65">
        <f t="shared" si="3"/>
        <v>0</v>
      </c>
      <c r="J28" s="203">
        <f>IF(DG!$A$130&lt;=1,$M$17,0)</f>
        <v>0</v>
      </c>
      <c r="K28" s="65">
        <f t="shared" si="7"/>
        <v>0</v>
      </c>
      <c r="L28" s="473">
        <f t="shared" si="8"/>
        <v>0</v>
      </c>
      <c r="M28" s="204">
        <f t="shared" si="9"/>
        <v>0</v>
      </c>
      <c r="N28" s="505">
        <f t="shared" si="10"/>
        <v>0</v>
      </c>
      <c r="O28" s="204">
        <f>IF(DG!$A$130&gt;1,0,IF(J28-J27&gt;0,MROUND((L28/12*Q27),1),MROUND(L28/12*P27,1)))</f>
        <v>0</v>
      </c>
      <c r="P28" s="204">
        <f t="shared" si="11"/>
        <v>0</v>
      </c>
      <c r="Q28" s="204">
        <f t="shared" si="4"/>
        <v>0</v>
      </c>
      <c r="R28" s="748">
        <v>0</v>
      </c>
    </row>
    <row r="29" spans="1:18" ht="14" thickTop="1" thickBot="1">
      <c r="A29" s="202">
        <f t="shared" si="5"/>
        <v>45383</v>
      </c>
      <c r="B29" s="65">
        <f>IF(OR(J$29=0,DG!$A$130&gt;2),0,B28+1)</f>
        <v>0</v>
      </c>
      <c r="C29" s="65">
        <f t="shared" si="0"/>
        <v>0</v>
      </c>
      <c r="D29" s="65">
        <f t="shared" si="12"/>
        <v>4</v>
      </c>
      <c r="E29" s="65">
        <f t="shared" si="6"/>
        <v>0</v>
      </c>
      <c r="F29" s="65">
        <f>IF(OR(L$29=0,DG!$A$251&gt;2),0,F28+1)</f>
        <v>0</v>
      </c>
      <c r="G29" s="65">
        <f t="shared" si="1"/>
        <v>0</v>
      </c>
      <c r="H29" s="65">
        <f t="shared" si="2"/>
        <v>0</v>
      </c>
      <c r="I29" s="65">
        <f t="shared" si="3"/>
        <v>0</v>
      </c>
      <c r="J29" s="203">
        <f>IF(DG!$A$130&lt;=2,$M$17,0)</f>
        <v>0</v>
      </c>
      <c r="K29" s="65">
        <f t="shared" si="7"/>
        <v>0</v>
      </c>
      <c r="L29" s="473">
        <f t="shared" si="8"/>
        <v>0</v>
      </c>
      <c r="M29" s="204">
        <f t="shared" si="9"/>
        <v>0</v>
      </c>
      <c r="N29" s="505">
        <f t="shared" si="10"/>
        <v>0</v>
      </c>
      <c r="O29" s="204">
        <f>IF(DG!$A$130&gt;2,0,IF(J29-J28&gt;0,MROUND((L29/12*Q28),1),MROUND(L29/12*P28,1)))</f>
        <v>0</v>
      </c>
      <c r="P29" s="204">
        <f t="shared" si="11"/>
        <v>0</v>
      </c>
      <c r="Q29" s="204">
        <f t="shared" si="4"/>
        <v>0</v>
      </c>
      <c r="R29" s="748">
        <v>0</v>
      </c>
    </row>
    <row r="30" spans="1:18" ht="14" thickTop="1" thickBot="1">
      <c r="A30" s="202">
        <f t="shared" si="5"/>
        <v>45413</v>
      </c>
      <c r="B30" s="65">
        <f>IF(OR(J$30=0,DG!$A$130&gt;2),0,B29+1)</f>
        <v>0</v>
      </c>
      <c r="C30" s="65">
        <f t="shared" si="0"/>
        <v>0</v>
      </c>
      <c r="D30" s="65">
        <f t="shared" si="12"/>
        <v>5</v>
      </c>
      <c r="E30" s="65">
        <f t="shared" si="6"/>
        <v>0</v>
      </c>
      <c r="F30" s="65">
        <f>IF(OR(L$30=0,DG!$A$251&gt;2),0,F29+1)</f>
        <v>0</v>
      </c>
      <c r="G30" s="65">
        <f t="shared" si="1"/>
        <v>0</v>
      </c>
      <c r="H30" s="65">
        <f t="shared" si="2"/>
        <v>0</v>
      </c>
      <c r="I30" s="65">
        <f t="shared" si="3"/>
        <v>0</v>
      </c>
      <c r="J30" s="203">
        <f>IF(DG!$A$130&lt;=2,$M$17,0)</f>
        <v>0</v>
      </c>
      <c r="K30" s="65">
        <f t="shared" si="7"/>
        <v>0</v>
      </c>
      <c r="L30" s="473">
        <f t="shared" si="8"/>
        <v>0</v>
      </c>
      <c r="M30" s="204">
        <f t="shared" si="9"/>
        <v>0</v>
      </c>
      <c r="N30" s="505">
        <f t="shared" si="10"/>
        <v>0</v>
      </c>
      <c r="O30" s="204">
        <f>IF(DG!$A$130&gt;2,0,IF(J30-J29&gt;0,MROUND((L30/12*Q29),1),MROUND(L30/12*P29,1)))</f>
        <v>0</v>
      </c>
      <c r="P30" s="204">
        <f t="shared" si="11"/>
        <v>0</v>
      </c>
      <c r="Q30" s="204">
        <f t="shared" si="4"/>
        <v>0</v>
      </c>
      <c r="R30" s="748">
        <v>0</v>
      </c>
    </row>
    <row r="31" spans="1:18" ht="14" thickTop="1" thickBot="1">
      <c r="A31" s="202">
        <f t="shared" si="5"/>
        <v>45444</v>
      </c>
      <c r="B31" s="65">
        <f>IF(OR(J$31=0,DG!$A$130&gt;2),0,B30+1)</f>
        <v>0</v>
      </c>
      <c r="C31" s="65">
        <f t="shared" si="0"/>
        <v>0</v>
      </c>
      <c r="D31" s="65">
        <f t="shared" si="12"/>
        <v>6</v>
      </c>
      <c r="E31" s="65">
        <f t="shared" si="6"/>
        <v>0</v>
      </c>
      <c r="F31" s="65">
        <f>IF(OR(L$31=0,DG!$A$251&gt;2),0,F30+1)</f>
        <v>0</v>
      </c>
      <c r="G31" s="65">
        <f t="shared" si="1"/>
        <v>0</v>
      </c>
      <c r="H31" s="65">
        <f t="shared" si="2"/>
        <v>0</v>
      </c>
      <c r="I31" s="65">
        <f t="shared" si="3"/>
        <v>0</v>
      </c>
      <c r="J31" s="203">
        <f>IF(DG!$A$130&lt;=2,$M$17,0)</f>
        <v>0</v>
      </c>
      <c r="K31" s="65">
        <f t="shared" si="7"/>
        <v>0</v>
      </c>
      <c r="L31" s="473">
        <f t="shared" si="8"/>
        <v>0</v>
      </c>
      <c r="M31" s="204">
        <f t="shared" si="9"/>
        <v>0</v>
      </c>
      <c r="N31" s="505">
        <f t="shared" si="10"/>
        <v>0</v>
      </c>
      <c r="O31" s="204">
        <f>IF(DG!$A$130&gt;2,0,IF(J31-J30&gt;0,MROUND((L31/12*Q30),1),MROUND(L31/12*P30,1)))</f>
        <v>0</v>
      </c>
      <c r="P31" s="204">
        <f t="shared" si="11"/>
        <v>0</v>
      </c>
      <c r="Q31" s="204">
        <f t="shared" si="4"/>
        <v>0</v>
      </c>
      <c r="R31" s="748">
        <v>0</v>
      </c>
    </row>
    <row r="32" spans="1:18" ht="14" thickTop="1" thickBot="1">
      <c r="A32" s="202">
        <f t="shared" si="5"/>
        <v>45474</v>
      </c>
      <c r="B32" s="65">
        <f>IF(OR(J$32=0,DG!$A$130&gt;3),0,B31+1)</f>
        <v>0</v>
      </c>
      <c r="C32" s="65">
        <f t="shared" si="0"/>
        <v>0</v>
      </c>
      <c r="D32" s="65">
        <f t="shared" si="12"/>
        <v>7</v>
      </c>
      <c r="E32" s="65">
        <f t="shared" si="6"/>
        <v>0</v>
      </c>
      <c r="F32" s="65">
        <f>IF(OR(L$32=0,DG!$A$251&gt;3),0,F31+1)</f>
        <v>0</v>
      </c>
      <c r="G32" s="65">
        <f t="shared" si="1"/>
        <v>0</v>
      </c>
      <c r="H32" s="65">
        <f t="shared" si="2"/>
        <v>0</v>
      </c>
      <c r="I32" s="65">
        <f t="shared" si="3"/>
        <v>0</v>
      </c>
      <c r="J32" s="203">
        <f>IF(DG!$A$130&lt;=3,$M$17,0)</f>
        <v>0</v>
      </c>
      <c r="K32" s="65">
        <f t="shared" si="7"/>
        <v>0</v>
      </c>
      <c r="L32" s="473">
        <f t="shared" si="8"/>
        <v>0</v>
      </c>
      <c r="M32" s="204">
        <f t="shared" si="9"/>
        <v>0</v>
      </c>
      <c r="N32" s="505">
        <f t="shared" si="10"/>
        <v>0</v>
      </c>
      <c r="O32" s="204">
        <f>IF(DG!$A$130&gt;3,0,IF(J32-J31&gt;0,MROUND((L32/12*Q31),1),MROUND(L32/12*P31,1)))</f>
        <v>0</v>
      </c>
      <c r="P32" s="204">
        <f t="shared" si="11"/>
        <v>0</v>
      </c>
      <c r="Q32" s="204">
        <f t="shared" si="4"/>
        <v>0</v>
      </c>
      <c r="R32" s="748">
        <v>0</v>
      </c>
    </row>
    <row r="33" spans="1:19" ht="14" thickTop="1" thickBot="1">
      <c r="A33" s="202">
        <f t="shared" si="5"/>
        <v>45505</v>
      </c>
      <c r="B33" s="65">
        <f>IF(OR(J$33=0,DG!$A$130&gt;3),0,B32+1)</f>
        <v>0</v>
      </c>
      <c r="C33" s="65">
        <f t="shared" si="0"/>
        <v>0</v>
      </c>
      <c r="D33" s="65">
        <f t="shared" si="12"/>
        <v>8</v>
      </c>
      <c r="E33" s="65">
        <f t="shared" si="6"/>
        <v>0</v>
      </c>
      <c r="F33" s="65">
        <f>IF(OR(L$33=0,DG!$A$251&gt;3),0,F32+1)</f>
        <v>0</v>
      </c>
      <c r="G33" s="65">
        <f t="shared" si="1"/>
        <v>0</v>
      </c>
      <c r="H33" s="65">
        <f t="shared" si="2"/>
        <v>0</v>
      </c>
      <c r="I33" s="65">
        <f t="shared" si="3"/>
        <v>0</v>
      </c>
      <c r="J33" s="203">
        <f>IF(DG!$A$130&lt;=3,$M$17,0)</f>
        <v>0</v>
      </c>
      <c r="K33" s="65">
        <f t="shared" si="7"/>
        <v>0</v>
      </c>
      <c r="L33" s="473">
        <f t="shared" si="8"/>
        <v>0</v>
      </c>
      <c r="M33" s="204">
        <f t="shared" si="9"/>
        <v>0</v>
      </c>
      <c r="N33" s="505">
        <f t="shared" si="10"/>
        <v>0</v>
      </c>
      <c r="O33" s="204">
        <f>IF(DG!$A$130&gt;3,0,IF(J33-J32&gt;0,MROUND((L33/12*Q32),1),MROUND(L33/12*P32,1)))</f>
        <v>0</v>
      </c>
      <c r="P33" s="204">
        <f t="shared" si="11"/>
        <v>0</v>
      </c>
      <c r="Q33" s="204">
        <f t="shared" si="4"/>
        <v>0</v>
      </c>
      <c r="R33" s="748">
        <v>0</v>
      </c>
    </row>
    <row r="34" spans="1:19" ht="14" thickTop="1" thickBot="1">
      <c r="A34" s="202">
        <f t="shared" si="5"/>
        <v>45536</v>
      </c>
      <c r="B34" s="65">
        <f>IF(OR(J$34=0,DG!$A$130&gt;3),0,B33+1)</f>
        <v>0</v>
      </c>
      <c r="C34" s="65">
        <f t="shared" si="0"/>
        <v>0</v>
      </c>
      <c r="D34" s="65">
        <f t="shared" si="12"/>
        <v>9</v>
      </c>
      <c r="E34" s="65">
        <f t="shared" si="6"/>
        <v>0</v>
      </c>
      <c r="F34" s="65">
        <f>IF(OR(L$34=0,DG!$A$251&gt;3),0,F33+1)</f>
        <v>0</v>
      </c>
      <c r="G34" s="65">
        <f t="shared" si="1"/>
        <v>0</v>
      </c>
      <c r="H34" s="65">
        <f t="shared" si="2"/>
        <v>0</v>
      </c>
      <c r="I34" s="65">
        <f t="shared" si="3"/>
        <v>0</v>
      </c>
      <c r="J34" s="203">
        <f>IF(DG!$A$130&lt;=3,$M$17,0)</f>
        <v>0</v>
      </c>
      <c r="K34" s="65">
        <f t="shared" si="7"/>
        <v>0</v>
      </c>
      <c r="L34" s="473">
        <f t="shared" si="8"/>
        <v>0</v>
      </c>
      <c r="M34" s="204">
        <f t="shared" si="9"/>
        <v>0</v>
      </c>
      <c r="N34" s="505">
        <f t="shared" si="10"/>
        <v>0</v>
      </c>
      <c r="O34" s="204">
        <f>IF(DG!$A$130&gt;3,0,IF(J34-J33&gt;0,MROUND((L34/12*Q33),1),MROUND(L34/12*P33,1)))</f>
        <v>0</v>
      </c>
      <c r="P34" s="204">
        <f t="shared" si="11"/>
        <v>0</v>
      </c>
      <c r="Q34" s="204">
        <f t="shared" si="4"/>
        <v>0</v>
      </c>
      <c r="R34" s="748">
        <v>0</v>
      </c>
    </row>
    <row r="35" spans="1:19" ht="14" thickTop="1" thickBot="1">
      <c r="A35" s="202">
        <f t="shared" si="5"/>
        <v>45566</v>
      </c>
      <c r="B35" s="65">
        <f>IF(OR(J$35=0,DG!$A$130&gt;4),0,B34+1)</f>
        <v>0</v>
      </c>
      <c r="C35" s="65">
        <f t="shared" si="0"/>
        <v>0</v>
      </c>
      <c r="D35" s="65">
        <f t="shared" si="12"/>
        <v>10</v>
      </c>
      <c r="E35" s="65">
        <f t="shared" si="6"/>
        <v>0</v>
      </c>
      <c r="F35" s="65">
        <f>IF(OR(L$35=0,DG!$A$251&gt;4),0,F34+1)</f>
        <v>0</v>
      </c>
      <c r="G35" s="65">
        <f t="shared" si="1"/>
        <v>0</v>
      </c>
      <c r="H35" s="65">
        <f t="shared" si="2"/>
        <v>0</v>
      </c>
      <c r="I35" s="65">
        <f t="shared" si="3"/>
        <v>0</v>
      </c>
      <c r="J35" s="203">
        <f>IF(DG!$A$130&lt;=4,$M$17,0)</f>
        <v>0</v>
      </c>
      <c r="K35" s="65">
        <f t="shared" si="7"/>
        <v>0</v>
      </c>
      <c r="L35" s="473">
        <f t="shared" si="8"/>
        <v>0</v>
      </c>
      <c r="M35" s="204">
        <f t="shared" si="9"/>
        <v>0</v>
      </c>
      <c r="N35" s="505">
        <f t="shared" si="10"/>
        <v>0</v>
      </c>
      <c r="O35" s="204">
        <f>IF(DG!$A$130&gt;4,0,IF(J35-J34&gt;0,MROUND((L35/12*Q34),1),MROUND(L35/12*P34,1)))</f>
        <v>0</v>
      </c>
      <c r="P35" s="204">
        <f t="shared" si="11"/>
        <v>0</v>
      </c>
      <c r="Q35" s="204">
        <f t="shared" si="4"/>
        <v>0</v>
      </c>
      <c r="R35" s="748">
        <v>0</v>
      </c>
    </row>
    <row r="36" spans="1:19" ht="14" thickTop="1" thickBot="1">
      <c r="A36" s="202">
        <f t="shared" si="5"/>
        <v>45597</v>
      </c>
      <c r="B36" s="65">
        <f>IF(OR(J$36=0,DG!$A$130&gt;4),0,B35+1)</f>
        <v>0</v>
      </c>
      <c r="C36" s="65">
        <f t="shared" si="0"/>
        <v>0</v>
      </c>
      <c r="D36" s="65">
        <f t="shared" si="12"/>
        <v>11</v>
      </c>
      <c r="E36" s="65">
        <f t="shared" si="6"/>
        <v>0</v>
      </c>
      <c r="F36" s="65">
        <f>IF(OR(L$36=0,DG!$A$251&gt;4),0,F35+1)</f>
        <v>0</v>
      </c>
      <c r="G36" s="65">
        <f t="shared" si="1"/>
        <v>0</v>
      </c>
      <c r="H36" s="65">
        <f t="shared" si="2"/>
        <v>0</v>
      </c>
      <c r="I36" s="65">
        <f t="shared" si="3"/>
        <v>0</v>
      </c>
      <c r="J36" s="203">
        <f>IF(DG!$A$130&lt;=4,$M$17,0)</f>
        <v>0</v>
      </c>
      <c r="K36" s="65">
        <f t="shared" si="7"/>
        <v>0</v>
      </c>
      <c r="L36" s="473">
        <f t="shared" si="8"/>
        <v>0</v>
      </c>
      <c r="M36" s="204">
        <f t="shared" si="9"/>
        <v>0</v>
      </c>
      <c r="N36" s="505">
        <f t="shared" si="10"/>
        <v>0</v>
      </c>
      <c r="O36" s="204">
        <f>IF(DG!$A$130&gt;4,0,IF(J36-J35&gt;0,MROUND((L36/12*Q35),1),MROUND(L36/12*P35,1)))</f>
        <v>0</v>
      </c>
      <c r="P36" s="204">
        <f t="shared" si="11"/>
        <v>0</v>
      </c>
      <c r="Q36" s="204">
        <f t="shared" si="4"/>
        <v>0</v>
      </c>
      <c r="R36" s="748">
        <v>0</v>
      </c>
    </row>
    <row r="37" spans="1:19" ht="14" thickTop="1" thickBot="1">
      <c r="A37" s="202">
        <f t="shared" si="5"/>
        <v>45627</v>
      </c>
      <c r="B37" s="65">
        <f>IF(OR(J$37=0,DG!$A$130&gt;4),0,B36+1)</f>
        <v>0</v>
      </c>
      <c r="C37" s="65">
        <f t="shared" si="0"/>
        <v>0</v>
      </c>
      <c r="D37" s="65">
        <f t="shared" si="12"/>
        <v>12</v>
      </c>
      <c r="E37" s="65">
        <f t="shared" si="6"/>
        <v>0</v>
      </c>
      <c r="F37" s="65">
        <f>IF(OR(L$37=0,DG!$A$251&gt;4),0,F36+1)</f>
        <v>0</v>
      </c>
      <c r="G37" s="65">
        <f t="shared" si="1"/>
        <v>0</v>
      </c>
      <c r="H37" s="65">
        <f t="shared" si="2"/>
        <v>0</v>
      </c>
      <c r="I37" s="65">
        <f t="shared" si="3"/>
        <v>0</v>
      </c>
      <c r="J37" s="203">
        <f>IF(DG!$A$130&lt;=4,$M$17,0)</f>
        <v>0</v>
      </c>
      <c r="K37" s="65">
        <f t="shared" si="7"/>
        <v>0</v>
      </c>
      <c r="L37" s="473">
        <f t="shared" si="8"/>
        <v>0</v>
      </c>
      <c r="M37" s="204">
        <f t="shared" si="9"/>
        <v>0</v>
      </c>
      <c r="N37" s="505">
        <f t="shared" si="10"/>
        <v>0</v>
      </c>
      <c r="O37" s="204">
        <f>IF(DG!$A$130&gt;4,0,IF(J37-J36&gt;0,MROUND((L37/12*Q36),1),MROUND(L37/12*P36,1)))</f>
        <v>0</v>
      </c>
      <c r="P37" s="204">
        <f t="shared" si="11"/>
        <v>0</v>
      </c>
      <c r="Q37" s="204">
        <f t="shared" si="4"/>
        <v>0</v>
      </c>
      <c r="R37" s="748">
        <v>0</v>
      </c>
      <c r="S37" s="511">
        <f>SUM(N26:N37)</f>
        <v>0</v>
      </c>
    </row>
    <row r="38" spans="1:19" ht="14" thickTop="1" thickBot="1">
      <c r="A38" s="202">
        <f t="shared" si="5"/>
        <v>45658</v>
      </c>
      <c r="B38" s="65">
        <f>IF(OR(J$38=0,DG!$A$130&gt;5),0,B37+1)</f>
        <v>0</v>
      </c>
      <c r="C38" s="65">
        <f t="shared" si="0"/>
        <v>0</v>
      </c>
      <c r="D38" s="65">
        <f t="shared" si="12"/>
        <v>13</v>
      </c>
      <c r="E38" s="65">
        <f t="shared" si="6"/>
        <v>0</v>
      </c>
      <c r="F38" s="65">
        <f>IF(OR(L$38=0,DG!$A$251&gt;5),0,F37+1)</f>
        <v>0</v>
      </c>
      <c r="G38" s="65">
        <f t="shared" si="1"/>
        <v>0</v>
      </c>
      <c r="H38" s="65">
        <f t="shared" si="2"/>
        <v>0</v>
      </c>
      <c r="I38" s="65">
        <f t="shared" si="3"/>
        <v>0</v>
      </c>
      <c r="J38" s="203">
        <f>IF(DG!$A$130&lt;=5,$M$17,0)</f>
        <v>0</v>
      </c>
      <c r="K38" s="65">
        <f t="shared" si="7"/>
        <v>0</v>
      </c>
      <c r="L38" s="473">
        <f t="shared" si="8"/>
        <v>0</v>
      </c>
      <c r="M38" s="204">
        <f t="shared" si="9"/>
        <v>0</v>
      </c>
      <c r="N38" s="505">
        <f t="shared" si="10"/>
        <v>0</v>
      </c>
      <c r="O38" s="204">
        <f>IF(DG!$A$130&gt;5,0,IF(J38-J37&gt;0,MROUND((L38/12*Q37),1),MROUND(L38/12*P37,1)))</f>
        <v>0</v>
      </c>
      <c r="P38" s="204">
        <f t="shared" si="11"/>
        <v>0</v>
      </c>
      <c r="Q38" s="204">
        <f t="shared" si="4"/>
        <v>0</v>
      </c>
      <c r="R38" s="748">
        <v>0</v>
      </c>
    </row>
    <row r="39" spans="1:19" ht="14" thickTop="1" thickBot="1">
      <c r="A39" s="202">
        <f t="shared" si="5"/>
        <v>45689</v>
      </c>
      <c r="B39" s="65">
        <f>IF(OR(J$39=0,DG!$A$130&gt;5),0,B38+1)</f>
        <v>0</v>
      </c>
      <c r="C39" s="65">
        <f t="shared" si="0"/>
        <v>0</v>
      </c>
      <c r="D39" s="65">
        <f t="shared" si="12"/>
        <v>14</v>
      </c>
      <c r="E39" s="65">
        <f t="shared" si="6"/>
        <v>0</v>
      </c>
      <c r="F39" s="65">
        <f>IF(OR(L$39=0,DG!$A$251&gt;5),0,F38+1)</f>
        <v>0</v>
      </c>
      <c r="G39" s="65">
        <f t="shared" si="1"/>
        <v>0</v>
      </c>
      <c r="H39" s="65">
        <f t="shared" si="2"/>
        <v>0</v>
      </c>
      <c r="I39" s="65">
        <f t="shared" si="3"/>
        <v>0</v>
      </c>
      <c r="J39" s="203">
        <f>IF(DG!$A$130&lt;=5,$M$17,0)</f>
        <v>0</v>
      </c>
      <c r="K39" s="65">
        <f t="shared" si="7"/>
        <v>0</v>
      </c>
      <c r="L39" s="473">
        <f t="shared" si="8"/>
        <v>0</v>
      </c>
      <c r="M39" s="204">
        <f t="shared" si="9"/>
        <v>0</v>
      </c>
      <c r="N39" s="505">
        <f t="shared" si="10"/>
        <v>0</v>
      </c>
      <c r="O39" s="204">
        <f>IF(DG!$A$130&gt;5,0,IF(J39-J38&gt;0,MROUND((L39/12*Q38),1),MROUND(L39/12*P38,1)))</f>
        <v>0</v>
      </c>
      <c r="P39" s="204">
        <f t="shared" si="11"/>
        <v>0</v>
      </c>
      <c r="Q39" s="204">
        <f t="shared" si="4"/>
        <v>0</v>
      </c>
      <c r="R39" s="748">
        <v>0</v>
      </c>
    </row>
    <row r="40" spans="1:19" ht="14" thickTop="1" thickBot="1">
      <c r="A40" s="202">
        <f t="shared" si="5"/>
        <v>45717</v>
      </c>
      <c r="B40" s="65">
        <f>IF(OR(J$40=0,DG!$A$130&gt;5),0,B39+1)</f>
        <v>0</v>
      </c>
      <c r="C40" s="65">
        <f t="shared" si="0"/>
        <v>0</v>
      </c>
      <c r="D40" s="65">
        <f t="shared" si="12"/>
        <v>15</v>
      </c>
      <c r="E40" s="65">
        <f t="shared" si="6"/>
        <v>0</v>
      </c>
      <c r="F40" s="65">
        <f>IF(OR(L$40=0,DG!$A$251&gt;5),0,F39+1)</f>
        <v>0</v>
      </c>
      <c r="G40" s="65">
        <f t="shared" si="1"/>
        <v>0</v>
      </c>
      <c r="H40" s="65">
        <f t="shared" si="2"/>
        <v>0</v>
      </c>
      <c r="I40" s="65">
        <f t="shared" si="3"/>
        <v>0</v>
      </c>
      <c r="J40" s="203">
        <f>IF(DG!$A$130&lt;=5,$M$17,0)</f>
        <v>0</v>
      </c>
      <c r="K40" s="65">
        <f t="shared" si="7"/>
        <v>0</v>
      </c>
      <c r="L40" s="473">
        <f t="shared" si="8"/>
        <v>0</v>
      </c>
      <c r="M40" s="204">
        <f t="shared" si="9"/>
        <v>0</v>
      </c>
      <c r="N40" s="505">
        <f t="shared" si="10"/>
        <v>0</v>
      </c>
      <c r="O40" s="204">
        <f>IF(DG!$A$130&gt;5,0,IF(J40-J39&gt;0,MROUND((L40/12*Q39),1),MROUND(L40/12*P39,1)))</f>
        <v>0</v>
      </c>
      <c r="P40" s="204">
        <f t="shared" si="11"/>
        <v>0</v>
      </c>
      <c r="Q40" s="204">
        <f t="shared" si="4"/>
        <v>0</v>
      </c>
      <c r="R40" s="748">
        <v>0</v>
      </c>
    </row>
    <row r="41" spans="1:19" ht="14" thickTop="1" thickBot="1">
      <c r="A41" s="202">
        <f t="shared" si="5"/>
        <v>45748</v>
      </c>
      <c r="B41" s="65">
        <f>IF(OR(J$41=0,DG!$A$130&gt;6),0,B40+1)</f>
        <v>0</v>
      </c>
      <c r="C41" s="65">
        <f t="shared" si="0"/>
        <v>0</v>
      </c>
      <c r="D41" s="65">
        <f t="shared" si="12"/>
        <v>16</v>
      </c>
      <c r="E41" s="65">
        <f t="shared" si="6"/>
        <v>0</v>
      </c>
      <c r="F41" s="65">
        <f>IF(OR(L$41=0,DG!$A$251&gt;6),0,F40+1)</f>
        <v>0</v>
      </c>
      <c r="G41" s="65">
        <f t="shared" si="1"/>
        <v>0</v>
      </c>
      <c r="H41" s="65">
        <f t="shared" si="2"/>
        <v>0</v>
      </c>
      <c r="I41" s="65">
        <f t="shared" si="3"/>
        <v>0</v>
      </c>
      <c r="J41" s="203">
        <f>IF(DG!$A$130&lt;=6,$M$17,0)</f>
        <v>0</v>
      </c>
      <c r="K41" s="65">
        <f t="shared" si="7"/>
        <v>0</v>
      </c>
      <c r="L41" s="473">
        <f t="shared" si="8"/>
        <v>0</v>
      </c>
      <c r="M41" s="204">
        <f t="shared" si="9"/>
        <v>0</v>
      </c>
      <c r="N41" s="505">
        <f t="shared" si="10"/>
        <v>0</v>
      </c>
      <c r="O41" s="204">
        <f>IF(DG!$A$130&gt;6,0,IF(J41-J40&gt;0,MROUND((L41/12*Q40),1),MROUND(L41/12*P40,1)))</f>
        <v>0</v>
      </c>
      <c r="P41" s="204">
        <f t="shared" si="11"/>
        <v>0</v>
      </c>
      <c r="Q41" s="204">
        <f t="shared" si="4"/>
        <v>0</v>
      </c>
      <c r="R41" s="748">
        <v>0</v>
      </c>
    </row>
    <row r="42" spans="1:19" ht="14" thickTop="1" thickBot="1">
      <c r="A42" s="202">
        <f t="shared" si="5"/>
        <v>45778</v>
      </c>
      <c r="B42" s="65">
        <f>IF(OR(J$42=0,DG!$A$130&gt;6),0,B41+1)</f>
        <v>0</v>
      </c>
      <c r="C42" s="65">
        <f t="shared" si="0"/>
        <v>0</v>
      </c>
      <c r="D42" s="65">
        <f t="shared" si="12"/>
        <v>17</v>
      </c>
      <c r="E42" s="65">
        <f t="shared" si="6"/>
        <v>0</v>
      </c>
      <c r="F42" s="65">
        <f>IF(OR(L$42=0,DG!$A$251&gt;6),0,F41+1)</f>
        <v>0</v>
      </c>
      <c r="G42" s="65">
        <f t="shared" si="1"/>
        <v>0</v>
      </c>
      <c r="H42" s="65">
        <f t="shared" si="2"/>
        <v>0</v>
      </c>
      <c r="I42" s="65">
        <f t="shared" si="3"/>
        <v>0</v>
      </c>
      <c r="J42" s="203">
        <f>IF(DG!$A$130&lt;=6,$M$17,0)</f>
        <v>0</v>
      </c>
      <c r="K42" s="65">
        <f t="shared" si="7"/>
        <v>0</v>
      </c>
      <c r="L42" s="473">
        <f t="shared" si="8"/>
        <v>0</v>
      </c>
      <c r="M42" s="204">
        <f t="shared" si="9"/>
        <v>0</v>
      </c>
      <c r="N42" s="505">
        <f t="shared" si="10"/>
        <v>0</v>
      </c>
      <c r="O42" s="204">
        <f>IF(DG!$A$130&gt;6,0,IF(J42-J41&gt;0,MROUND((L42/12*Q41),1),MROUND(L42/12*P41,1)))</f>
        <v>0</v>
      </c>
      <c r="P42" s="204">
        <f t="shared" si="11"/>
        <v>0</v>
      </c>
      <c r="Q42" s="204">
        <f t="shared" si="4"/>
        <v>0</v>
      </c>
      <c r="R42" s="748">
        <v>0</v>
      </c>
    </row>
    <row r="43" spans="1:19" ht="14" thickTop="1" thickBot="1">
      <c r="A43" s="202">
        <f t="shared" si="5"/>
        <v>45809</v>
      </c>
      <c r="B43" s="65">
        <f>IF(OR(J$43=0,DG!$A$130&gt;6),0,B42+1)</f>
        <v>0</v>
      </c>
      <c r="C43" s="65">
        <f t="shared" si="0"/>
        <v>0</v>
      </c>
      <c r="D43" s="65">
        <f t="shared" si="12"/>
        <v>18</v>
      </c>
      <c r="E43" s="65">
        <f t="shared" si="6"/>
        <v>0</v>
      </c>
      <c r="F43" s="65">
        <f>IF(OR(L$43=0,DG!$A$251&gt;6),0,F42+1)</f>
        <v>0</v>
      </c>
      <c r="G43" s="65">
        <f t="shared" si="1"/>
        <v>0</v>
      </c>
      <c r="H43" s="65">
        <f t="shared" si="2"/>
        <v>0</v>
      </c>
      <c r="I43" s="65">
        <f t="shared" si="3"/>
        <v>0</v>
      </c>
      <c r="J43" s="203">
        <f>IF(DG!$A$130&lt;=6,$M$17,0)</f>
        <v>0</v>
      </c>
      <c r="K43" s="65">
        <f t="shared" si="7"/>
        <v>0</v>
      </c>
      <c r="L43" s="473">
        <f t="shared" si="8"/>
        <v>0</v>
      </c>
      <c r="M43" s="204">
        <f t="shared" si="9"/>
        <v>0</v>
      </c>
      <c r="N43" s="505">
        <f t="shared" si="10"/>
        <v>0</v>
      </c>
      <c r="O43" s="204">
        <f>IF(DG!$A$130&gt;6,0,IF(J43-J42&gt;0,MROUND((L43/12*Q42),1),MROUND(L43/12*P42,1)))</f>
        <v>0</v>
      </c>
      <c r="P43" s="204">
        <f t="shared" si="11"/>
        <v>0</v>
      </c>
      <c r="Q43" s="204">
        <f t="shared" si="4"/>
        <v>0</v>
      </c>
      <c r="R43" s="748">
        <v>0</v>
      </c>
    </row>
    <row r="44" spans="1:19" ht="14" thickTop="1" thickBot="1">
      <c r="A44" s="202">
        <f t="shared" si="5"/>
        <v>45839</v>
      </c>
      <c r="B44" s="65">
        <f>IF(OR(J$44=0,DG!$A$130&gt;7),0,B43+1)</f>
        <v>0</v>
      </c>
      <c r="C44" s="65">
        <f t="shared" si="0"/>
        <v>0</v>
      </c>
      <c r="D44" s="65">
        <f t="shared" si="12"/>
        <v>19</v>
      </c>
      <c r="E44" s="65">
        <f t="shared" si="6"/>
        <v>0</v>
      </c>
      <c r="F44" s="65">
        <f>IF(OR(L$44=0,DG!$A$251&gt;7),0,F43+1)</f>
        <v>0</v>
      </c>
      <c r="G44" s="65">
        <f t="shared" si="1"/>
        <v>0</v>
      </c>
      <c r="H44" s="65">
        <f t="shared" si="2"/>
        <v>0</v>
      </c>
      <c r="I44" s="65">
        <f t="shared" si="3"/>
        <v>0</v>
      </c>
      <c r="J44" s="203">
        <f>IF(DG!$A$130&lt;=7,$M$17,0)</f>
        <v>0</v>
      </c>
      <c r="K44" s="65">
        <f t="shared" si="7"/>
        <v>0</v>
      </c>
      <c r="L44" s="473">
        <f t="shared" si="8"/>
        <v>0</v>
      </c>
      <c r="M44" s="204">
        <f t="shared" si="9"/>
        <v>0</v>
      </c>
      <c r="N44" s="505">
        <f t="shared" si="10"/>
        <v>0</v>
      </c>
      <c r="O44" s="204">
        <f>IF(DG!$A$130&gt;7,0,IF(J44-J43&gt;0,MROUND((L44/12*Q43),1),MROUND(L44/12*P43,1)))</f>
        <v>0</v>
      </c>
      <c r="P44" s="204">
        <f t="shared" si="11"/>
        <v>0</v>
      </c>
      <c r="Q44" s="204">
        <f t="shared" si="4"/>
        <v>0</v>
      </c>
      <c r="R44" s="748">
        <v>0</v>
      </c>
    </row>
    <row r="45" spans="1:19" ht="14" thickTop="1" thickBot="1">
      <c r="A45" s="202">
        <f t="shared" si="5"/>
        <v>45870</v>
      </c>
      <c r="B45" s="65">
        <f>IF(OR(J$45=0,DG!$A$130&gt;7),0,B44+1)</f>
        <v>0</v>
      </c>
      <c r="C45" s="65">
        <f t="shared" si="0"/>
        <v>0</v>
      </c>
      <c r="D45" s="65">
        <f t="shared" si="12"/>
        <v>20</v>
      </c>
      <c r="E45" s="65">
        <f t="shared" si="6"/>
        <v>0</v>
      </c>
      <c r="F45" s="65">
        <f>IF(OR(L$45=0,DG!$A$251&gt;7),0,F44+1)</f>
        <v>0</v>
      </c>
      <c r="G45" s="65">
        <f t="shared" si="1"/>
        <v>0</v>
      </c>
      <c r="H45" s="65">
        <f t="shared" si="2"/>
        <v>0</v>
      </c>
      <c r="I45" s="65">
        <f t="shared" si="3"/>
        <v>0</v>
      </c>
      <c r="J45" s="203">
        <f>IF(DG!$A$130&lt;=7,$M$17,0)</f>
        <v>0</v>
      </c>
      <c r="K45" s="65">
        <f t="shared" si="7"/>
        <v>0</v>
      </c>
      <c r="L45" s="473">
        <f t="shared" si="8"/>
        <v>0</v>
      </c>
      <c r="M45" s="204">
        <f t="shared" si="9"/>
        <v>0</v>
      </c>
      <c r="N45" s="505">
        <f t="shared" si="10"/>
        <v>0</v>
      </c>
      <c r="O45" s="204">
        <f>IF(DG!$A$130&gt;7,0,IF(J45-J44&gt;0,MROUND((L45/12*Q44),1),MROUND(L45/12*P44,1)))</f>
        <v>0</v>
      </c>
      <c r="P45" s="204">
        <f t="shared" si="11"/>
        <v>0</v>
      </c>
      <c r="Q45" s="204">
        <f t="shared" si="4"/>
        <v>0</v>
      </c>
      <c r="R45" s="748">
        <v>0</v>
      </c>
    </row>
    <row r="46" spans="1:19" ht="14" thickTop="1" thickBot="1">
      <c r="A46" s="202">
        <f t="shared" si="5"/>
        <v>45901</v>
      </c>
      <c r="B46" s="65">
        <f>IF(OR(J$46=0,DG!$A$130&gt;7),0,B45+1)</f>
        <v>0</v>
      </c>
      <c r="C46" s="65">
        <f t="shared" si="0"/>
        <v>0</v>
      </c>
      <c r="D46" s="65">
        <f t="shared" si="12"/>
        <v>21</v>
      </c>
      <c r="E46" s="65">
        <f t="shared" si="6"/>
        <v>0</v>
      </c>
      <c r="F46" s="65">
        <f>IF(OR(L$46=0,DG!$A$251&gt;7),0,F45+1)</f>
        <v>0</v>
      </c>
      <c r="G46" s="65">
        <f t="shared" si="1"/>
        <v>0</v>
      </c>
      <c r="H46" s="65">
        <f t="shared" si="2"/>
        <v>0</v>
      </c>
      <c r="I46" s="65">
        <f t="shared" si="3"/>
        <v>0</v>
      </c>
      <c r="J46" s="203">
        <f>IF(DG!$A$130&lt;=7,$M$17,0)</f>
        <v>0</v>
      </c>
      <c r="K46" s="65">
        <f t="shared" si="7"/>
        <v>0</v>
      </c>
      <c r="L46" s="473">
        <f t="shared" si="8"/>
        <v>0</v>
      </c>
      <c r="M46" s="204">
        <f t="shared" si="9"/>
        <v>0</v>
      </c>
      <c r="N46" s="505">
        <f t="shared" si="10"/>
        <v>0</v>
      </c>
      <c r="O46" s="204">
        <f>IF(DG!$A$130&gt;7,0,IF(J46-J45&gt;0,MROUND((L46/12*Q45),1),MROUND(L46/12*P45,1)))</f>
        <v>0</v>
      </c>
      <c r="P46" s="204">
        <f t="shared" si="11"/>
        <v>0</v>
      </c>
      <c r="Q46" s="204">
        <f t="shared" si="4"/>
        <v>0</v>
      </c>
      <c r="R46" s="748">
        <v>0</v>
      </c>
    </row>
    <row r="47" spans="1:19" ht="14" thickTop="1" thickBot="1">
      <c r="A47" s="202">
        <f t="shared" si="5"/>
        <v>45931</v>
      </c>
      <c r="B47" s="65">
        <f>IF(OR(J$47=0,DG!$A$130&gt;8),0,B46+1)</f>
        <v>0</v>
      </c>
      <c r="C47" s="65">
        <f t="shared" si="0"/>
        <v>0</v>
      </c>
      <c r="D47" s="65">
        <f t="shared" si="12"/>
        <v>22</v>
      </c>
      <c r="E47" s="65">
        <f t="shared" si="6"/>
        <v>0</v>
      </c>
      <c r="F47" s="65">
        <f>IF(OR(L$47=0,DG!$A$251&gt;8),0,F46+1)</f>
        <v>0</v>
      </c>
      <c r="G47" s="65">
        <f t="shared" si="1"/>
        <v>0</v>
      </c>
      <c r="H47" s="65">
        <f t="shared" si="2"/>
        <v>0</v>
      </c>
      <c r="I47" s="65">
        <f t="shared" si="3"/>
        <v>0</v>
      </c>
      <c r="J47" s="203">
        <f>IF(DG!$A$130&lt;=8,$M$17,0)</f>
        <v>0</v>
      </c>
      <c r="K47" s="65">
        <f t="shared" si="7"/>
        <v>0</v>
      </c>
      <c r="L47" s="473">
        <f t="shared" si="8"/>
        <v>0</v>
      </c>
      <c r="M47" s="204">
        <f t="shared" si="9"/>
        <v>0</v>
      </c>
      <c r="N47" s="505">
        <f t="shared" si="10"/>
        <v>0</v>
      </c>
      <c r="O47" s="204">
        <f>IF(DG!$A$130&gt;8,0,IF(J47-J46&gt;0,MROUND((L47/12*Q46),1),MROUND(L47/12*P46,1)))</f>
        <v>0</v>
      </c>
      <c r="P47" s="204">
        <f t="shared" si="11"/>
        <v>0</v>
      </c>
      <c r="Q47" s="204">
        <f t="shared" si="4"/>
        <v>0</v>
      </c>
      <c r="R47" s="748">
        <v>0</v>
      </c>
    </row>
    <row r="48" spans="1:19" ht="14" thickTop="1" thickBot="1">
      <c r="A48" s="202">
        <f t="shared" si="5"/>
        <v>45962</v>
      </c>
      <c r="B48" s="65">
        <f>IF(OR(J$48=0,DG!$A$130&gt;8),0,B47+1)</f>
        <v>0</v>
      </c>
      <c r="C48" s="65">
        <f t="shared" si="0"/>
        <v>0</v>
      </c>
      <c r="D48" s="65">
        <f t="shared" si="12"/>
        <v>23</v>
      </c>
      <c r="E48" s="65">
        <f t="shared" si="6"/>
        <v>0</v>
      </c>
      <c r="F48" s="65">
        <f>IF(OR(L$48=0,DG!$A$251&gt;8),0,F47+1)</f>
        <v>0</v>
      </c>
      <c r="G48" s="65">
        <f t="shared" si="1"/>
        <v>0</v>
      </c>
      <c r="H48" s="65">
        <f t="shared" si="2"/>
        <v>0</v>
      </c>
      <c r="I48" s="65">
        <f t="shared" si="3"/>
        <v>0</v>
      </c>
      <c r="J48" s="203">
        <f>IF(DG!$A$130&lt;=8,$M$17,0)</f>
        <v>0</v>
      </c>
      <c r="K48" s="65">
        <f t="shared" si="7"/>
        <v>0</v>
      </c>
      <c r="L48" s="473">
        <f t="shared" si="8"/>
        <v>0</v>
      </c>
      <c r="M48" s="204">
        <f t="shared" si="9"/>
        <v>0</v>
      </c>
      <c r="N48" s="505">
        <f t="shared" si="10"/>
        <v>0</v>
      </c>
      <c r="O48" s="204">
        <f>IF(DG!$A$130&gt;8,0,IF(J48-J47&gt;0,MROUND((L48/12*Q47),1),MROUND(L48/12*P47,1)))</f>
        <v>0</v>
      </c>
      <c r="P48" s="204">
        <f t="shared" si="11"/>
        <v>0</v>
      </c>
      <c r="Q48" s="204">
        <f t="shared" si="4"/>
        <v>0</v>
      </c>
      <c r="R48" s="748">
        <v>0</v>
      </c>
    </row>
    <row r="49" spans="1:19" ht="14" thickTop="1" thickBot="1">
      <c r="A49" s="202">
        <f t="shared" si="5"/>
        <v>45992</v>
      </c>
      <c r="B49" s="65">
        <f>IF(OR(J$49=0,DG!$A$130&gt;8),0,B48+1)</f>
        <v>0</v>
      </c>
      <c r="C49" s="65">
        <f t="shared" si="0"/>
        <v>0</v>
      </c>
      <c r="D49" s="65">
        <f t="shared" si="12"/>
        <v>24</v>
      </c>
      <c r="E49" s="65">
        <f t="shared" si="6"/>
        <v>0</v>
      </c>
      <c r="F49" s="65">
        <f>IF(OR(L$49=0,DG!$A$251&gt;8),0,F48+1)</f>
        <v>0</v>
      </c>
      <c r="G49" s="65">
        <f t="shared" si="1"/>
        <v>0</v>
      </c>
      <c r="H49" s="65">
        <f t="shared" si="2"/>
        <v>0</v>
      </c>
      <c r="I49" s="65">
        <f t="shared" si="3"/>
        <v>0</v>
      </c>
      <c r="J49" s="203">
        <f>IF(DG!$A$130&lt;=8,$M$17,0)</f>
        <v>0</v>
      </c>
      <c r="K49" s="65">
        <f t="shared" si="7"/>
        <v>0</v>
      </c>
      <c r="L49" s="473">
        <f t="shared" si="8"/>
        <v>0</v>
      </c>
      <c r="M49" s="204">
        <f t="shared" si="9"/>
        <v>0</v>
      </c>
      <c r="N49" s="505">
        <f t="shared" si="10"/>
        <v>0</v>
      </c>
      <c r="O49" s="204">
        <f>IF(DG!$A$130&gt;8,0,IF(J49-J48&gt;0,MROUND((L49/12*Q48),1),MROUND(L49/12*P48,1)))</f>
        <v>0</v>
      </c>
      <c r="P49" s="204">
        <f t="shared" si="11"/>
        <v>0</v>
      </c>
      <c r="Q49" s="204">
        <f t="shared" si="4"/>
        <v>0</v>
      </c>
      <c r="R49" s="748">
        <v>0</v>
      </c>
      <c r="S49" s="511">
        <f>SUM(N38:N49)</f>
        <v>0</v>
      </c>
    </row>
    <row r="50" spans="1:19" ht="14" thickTop="1" thickBot="1">
      <c r="A50" s="202">
        <f t="shared" si="5"/>
        <v>46023</v>
      </c>
      <c r="B50" s="65">
        <f>IF(OR(J$50=0,DG!$A$130&gt;9),0,B49+1)</f>
        <v>0</v>
      </c>
      <c r="C50" s="65">
        <f>IF(F50-$E$269&gt;0,F50-$E$269,0)</f>
        <v>0</v>
      </c>
      <c r="D50" s="65">
        <f t="shared" si="12"/>
        <v>25</v>
      </c>
      <c r="E50" s="65">
        <f t="shared" si="6"/>
        <v>0</v>
      </c>
      <c r="F50" s="65">
        <f>IF(OR(L$50=0,DG!$A$251&gt;9),0,F49+1)</f>
        <v>0</v>
      </c>
      <c r="G50" s="65">
        <f t="shared" si="1"/>
        <v>0</v>
      </c>
      <c r="H50" s="65">
        <f t="shared" si="2"/>
        <v>0</v>
      </c>
      <c r="I50" s="65">
        <f t="shared" si="3"/>
        <v>0</v>
      </c>
      <c r="J50" s="203">
        <f>IF(DG!$A$130&lt;=9,$M$17,0)</f>
        <v>0</v>
      </c>
      <c r="K50" s="65">
        <f t="shared" si="7"/>
        <v>0</v>
      </c>
      <c r="L50" s="473">
        <f t="shared" si="8"/>
        <v>0</v>
      </c>
      <c r="M50" s="204">
        <f t="shared" si="9"/>
        <v>0</v>
      </c>
      <c r="N50" s="505">
        <f t="shared" si="10"/>
        <v>0</v>
      </c>
      <c r="O50" s="204">
        <f>IF(DG!$A$130&gt;9,0,IF(J50-J49&gt;0,MROUND((L50/12*Q49),1),MROUND(L50/12*P49,1)))</f>
        <v>0</v>
      </c>
      <c r="P50" s="204">
        <f t="shared" si="11"/>
        <v>0</v>
      </c>
      <c r="Q50" s="204">
        <f t="shared" si="4"/>
        <v>0</v>
      </c>
      <c r="R50" s="748">
        <v>0</v>
      </c>
    </row>
    <row r="51" spans="1:19" ht="14" thickTop="1" thickBot="1">
      <c r="A51" s="202">
        <f t="shared" si="5"/>
        <v>46054</v>
      </c>
      <c r="B51" s="65">
        <f>IF(OR(J$50=0,DG!$A$130&gt;10),0,B50+1)</f>
        <v>0</v>
      </c>
      <c r="C51" s="65">
        <f t="shared" ref="C51:C73" si="13">IF(F51-$E$269&gt;0,F51-$E$269,0)</f>
        <v>0</v>
      </c>
      <c r="D51" s="65">
        <f t="shared" si="12"/>
        <v>26</v>
      </c>
      <c r="E51" s="65">
        <f t="shared" si="6"/>
        <v>0</v>
      </c>
      <c r="F51" s="65">
        <f>IF(OR(L$51=0,DG!$A$251&gt;9),0,F50+1)</f>
        <v>0</v>
      </c>
      <c r="G51" s="65">
        <f t="shared" si="1"/>
        <v>0</v>
      </c>
      <c r="H51" s="65">
        <f t="shared" si="2"/>
        <v>0</v>
      </c>
      <c r="I51" s="65">
        <f t="shared" si="3"/>
        <v>0</v>
      </c>
      <c r="J51" s="203">
        <f>IF(DG!$A$130&lt;=10,$M$17,0)</f>
        <v>0</v>
      </c>
      <c r="K51" s="65">
        <f t="shared" si="7"/>
        <v>0</v>
      </c>
      <c r="L51" s="473">
        <f t="shared" si="8"/>
        <v>0</v>
      </c>
      <c r="M51" s="204">
        <f t="shared" si="9"/>
        <v>0</v>
      </c>
      <c r="N51" s="505">
        <f t="shared" si="10"/>
        <v>0</v>
      </c>
      <c r="O51" s="204">
        <f>IF(DG!$A$130&gt;9,0,IF(J51-J50&gt;0,MROUND((L51/12*Q50),1),MROUND(L51/12*P50,1)))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IF(OR(L$52=0,DG!$A$251&gt;9),0,F51+1)</f>
        <v>0</v>
      </c>
      <c r="G52" s="65">
        <f t="shared" si="1"/>
        <v>0</v>
      </c>
      <c r="H52" s="65">
        <f t="shared" si="2"/>
        <v>0</v>
      </c>
      <c r="I52" s="65">
        <f t="shared" si="3"/>
        <v>0</v>
      </c>
      <c r="J52" s="203">
        <f>IF(DG!$A$130&lt;=10,$M$17,0)</f>
        <v>0</v>
      </c>
      <c r="K52" s="65">
        <f t="shared" si="7"/>
        <v>0</v>
      </c>
      <c r="L52" s="473">
        <f t="shared" si="8"/>
        <v>0</v>
      </c>
      <c r="M52" s="204">
        <f t="shared" si="9"/>
        <v>0</v>
      </c>
      <c r="N52" s="505">
        <f t="shared" si="10"/>
        <v>0</v>
      </c>
      <c r="O52" s="204">
        <f>IF(DG!$A$130&gt;9,0,IF(J52-J51&gt;0,MROUND((L52/12*Q51),1),MROUND(L52/12*P51,1)))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IF(OR(L$53=0,DG!$A$251&gt;10),0,F52+1)</f>
        <v>0</v>
      </c>
      <c r="G53" s="65">
        <f t="shared" si="1"/>
        <v>0</v>
      </c>
      <c r="H53" s="65">
        <f t="shared" si="2"/>
        <v>0</v>
      </c>
      <c r="I53" s="65">
        <f t="shared" si="3"/>
        <v>0</v>
      </c>
      <c r="J53" s="203">
        <f>IF(DG!$A$130&lt;=10,$M$17,0)</f>
        <v>0</v>
      </c>
      <c r="K53" s="65">
        <f t="shared" si="7"/>
        <v>0</v>
      </c>
      <c r="L53" s="473">
        <f t="shared" si="8"/>
        <v>0</v>
      </c>
      <c r="M53" s="204">
        <f t="shared" si="9"/>
        <v>0</v>
      </c>
      <c r="N53" s="505">
        <f t="shared" si="10"/>
        <v>0</v>
      </c>
      <c r="O53" s="204">
        <f>IF(DG!$A$130&gt;10,0,IF(J53-J52&gt;0,MROUND((L53/12*Q52),1),MROUND(L53/12*P52,1)))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IF(OR(L$54=0,DG!$A$251&gt;10),0,F53+1)</f>
        <v>0</v>
      </c>
      <c r="G54" s="65">
        <f t="shared" si="1"/>
        <v>0</v>
      </c>
      <c r="H54" s="65">
        <f t="shared" si="2"/>
        <v>0</v>
      </c>
      <c r="I54" s="65">
        <f t="shared" si="3"/>
        <v>0</v>
      </c>
      <c r="J54" s="203">
        <f>IF(DG!$A$130&lt;=10,$M$17,0)</f>
        <v>0</v>
      </c>
      <c r="K54" s="65">
        <f t="shared" si="7"/>
        <v>0</v>
      </c>
      <c r="L54" s="473">
        <f t="shared" si="8"/>
        <v>0</v>
      </c>
      <c r="M54" s="204">
        <f t="shared" si="9"/>
        <v>0</v>
      </c>
      <c r="N54" s="505">
        <f t="shared" si="10"/>
        <v>0</v>
      </c>
      <c r="O54" s="204">
        <f>IF(DG!$A$130&gt;10,0,IF(J54-J53&gt;0,MROUND((L54/12*Q53),1),MROUND(L54/12*P53,1)))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IF(OR(L$55=0,DG!$A$251&gt;10),0,F54+1)</f>
        <v>0</v>
      </c>
      <c r="G55" s="65">
        <f t="shared" si="1"/>
        <v>0</v>
      </c>
      <c r="H55" s="65">
        <f t="shared" si="2"/>
        <v>0</v>
      </c>
      <c r="I55" s="65">
        <f t="shared" si="3"/>
        <v>0</v>
      </c>
      <c r="J55" s="203">
        <f>IF(DG!$A$130&lt;=10,$M$17,0)</f>
        <v>0</v>
      </c>
      <c r="K55" s="65">
        <f t="shared" si="7"/>
        <v>0</v>
      </c>
      <c r="L55" s="473">
        <f t="shared" si="8"/>
        <v>0</v>
      </c>
      <c r="M55" s="204">
        <f t="shared" si="9"/>
        <v>0</v>
      </c>
      <c r="N55" s="505">
        <f t="shared" si="10"/>
        <v>0</v>
      </c>
      <c r="O55" s="204">
        <f>IF(DG!$A$130&gt;10,0,IF(J55-J54&gt;0,MROUND((L55/12*Q54),1),MROUND(L55/12*P54,1)))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IF(OR(L$56=0,DG!$A$251&gt;11),0,F55+1)</f>
        <v>0</v>
      </c>
      <c r="G56" s="65">
        <f t="shared" si="1"/>
        <v>0</v>
      </c>
      <c r="H56" s="65">
        <f t="shared" si="2"/>
        <v>0</v>
      </c>
      <c r="I56" s="65">
        <f t="shared" si="3"/>
        <v>0</v>
      </c>
      <c r="J56" s="203">
        <f>IF(DG!$A$130&lt;=10,$M$17,0)</f>
        <v>0</v>
      </c>
      <c r="K56" s="65">
        <f t="shared" si="7"/>
        <v>0</v>
      </c>
      <c r="L56" s="473">
        <f t="shared" si="8"/>
        <v>0</v>
      </c>
      <c r="M56" s="204">
        <f t="shared" si="9"/>
        <v>0</v>
      </c>
      <c r="N56" s="505">
        <f t="shared" si="10"/>
        <v>0</v>
      </c>
      <c r="O56" s="204">
        <f>IF(DG!$A$130&gt;10,0,IF(J56-J55&gt;0,MROUND((L56/12*Q55),1),MROUND(L56/12*P55,1)))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IF(OR(L$57=0,DG!$A$251&gt;11),0,F56+1)</f>
        <v>0</v>
      </c>
      <c r="G57" s="65">
        <f t="shared" si="1"/>
        <v>0</v>
      </c>
      <c r="H57" s="65">
        <f t="shared" si="2"/>
        <v>0</v>
      </c>
      <c r="I57" s="65">
        <f t="shared" si="3"/>
        <v>0</v>
      </c>
      <c r="J57" s="203">
        <f>IF(DG!$A$130&lt;=10,$M$17,0)</f>
        <v>0</v>
      </c>
      <c r="K57" s="65">
        <f t="shared" si="7"/>
        <v>0</v>
      </c>
      <c r="L57" s="473">
        <f t="shared" si="8"/>
        <v>0</v>
      </c>
      <c r="M57" s="204">
        <f t="shared" si="9"/>
        <v>0</v>
      </c>
      <c r="N57" s="505">
        <f t="shared" si="10"/>
        <v>0</v>
      </c>
      <c r="O57" s="204">
        <f>IF(DG!$A$130&gt;10,0,IF(J57-J56&gt;0,MROUND((L57/12*Q56),1),MROUND(L57/12*P56,1)))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IF(OR(L$58=0,DG!$A$251&gt;11),0,F57+1)</f>
        <v>0</v>
      </c>
      <c r="G58" s="65">
        <f t="shared" si="1"/>
        <v>0</v>
      </c>
      <c r="H58" s="65">
        <f t="shared" si="2"/>
        <v>0</v>
      </c>
      <c r="I58" s="65">
        <f t="shared" si="3"/>
        <v>0</v>
      </c>
      <c r="J58" s="203">
        <f>IF(DG!$A$130&lt;=10,$M$17,0)</f>
        <v>0</v>
      </c>
      <c r="K58" s="65">
        <f t="shared" si="7"/>
        <v>0</v>
      </c>
      <c r="L58" s="473">
        <f t="shared" si="8"/>
        <v>0</v>
      </c>
      <c r="M58" s="204">
        <f t="shared" si="9"/>
        <v>0</v>
      </c>
      <c r="N58" s="505">
        <f t="shared" si="10"/>
        <v>0</v>
      </c>
      <c r="O58" s="204">
        <f>IF(DG!$A$130&gt;10,0,IF(J58-J57&gt;0,MROUND((L58/12*Q57),1),MROUND(L58/12*P57,1)))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IF(OR(L$59=0,DG!$A$251&gt;12),0,F58+1)</f>
        <v>0</v>
      </c>
      <c r="G59" s="65">
        <f t="shared" si="1"/>
        <v>0</v>
      </c>
      <c r="H59" s="65">
        <f t="shared" si="2"/>
        <v>0</v>
      </c>
      <c r="I59" s="65">
        <f t="shared" si="3"/>
        <v>0</v>
      </c>
      <c r="J59" s="203">
        <f>IF(DG!$A$130&lt;=10,$M$17,0)</f>
        <v>0</v>
      </c>
      <c r="K59" s="65">
        <f t="shared" si="7"/>
        <v>0</v>
      </c>
      <c r="L59" s="473">
        <f t="shared" si="8"/>
        <v>0</v>
      </c>
      <c r="M59" s="204">
        <f t="shared" si="9"/>
        <v>0</v>
      </c>
      <c r="N59" s="505">
        <f t="shared" si="10"/>
        <v>0</v>
      </c>
      <c r="O59" s="204">
        <f>IF(DG!$A$130&gt;10,0,IF(J59-J58&gt;0,MROUND((L59/12*Q58),1),MROUND(L59/12*P58,1)))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IF(OR(L$60=0,DG!$A$251&gt;12),0,F59+1)</f>
        <v>0</v>
      </c>
      <c r="G60" s="65">
        <f t="shared" si="1"/>
        <v>0</v>
      </c>
      <c r="H60" s="65">
        <f t="shared" si="2"/>
        <v>0</v>
      </c>
      <c r="I60" s="65">
        <f t="shared" si="3"/>
        <v>0</v>
      </c>
      <c r="J60" s="203">
        <f>IF(DG!$A$130&lt;=10,$M$17,0)</f>
        <v>0</v>
      </c>
      <c r="K60" s="65">
        <f t="shared" si="7"/>
        <v>0</v>
      </c>
      <c r="L60" s="473">
        <f t="shared" si="8"/>
        <v>0</v>
      </c>
      <c r="M60" s="204">
        <f t="shared" si="9"/>
        <v>0</v>
      </c>
      <c r="N60" s="505">
        <f t="shared" si="10"/>
        <v>0</v>
      </c>
      <c r="O60" s="204">
        <f>IF(DG!$A$130&gt;10,0,IF(J60-J59&gt;0,MROUND((L60/12*Q59),1),MROUND(L60/12*P59,1)))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IF(OR(L$61=0,DG!$A$251&gt;12),0,F60+1)</f>
        <v>0</v>
      </c>
      <c r="G61" s="65">
        <f t="shared" si="1"/>
        <v>0</v>
      </c>
      <c r="H61" s="65">
        <f t="shared" si="2"/>
        <v>0</v>
      </c>
      <c r="I61" s="65">
        <f t="shared" si="3"/>
        <v>0</v>
      </c>
      <c r="J61" s="203">
        <f>IF(DG!$A$130&lt;=10,$M$17,0)</f>
        <v>0</v>
      </c>
      <c r="K61" s="65">
        <f t="shared" si="7"/>
        <v>0</v>
      </c>
      <c r="L61" s="473">
        <f t="shared" si="8"/>
        <v>0</v>
      </c>
      <c r="M61" s="204">
        <f t="shared" si="9"/>
        <v>0</v>
      </c>
      <c r="N61" s="505">
        <f t="shared" si="10"/>
        <v>0</v>
      </c>
      <c r="O61" s="204">
        <f>IF(DG!$A$130&gt;10,0,IF(J61-J60&gt;0,MROUND((L61/12*Q60),1),MROUND(L61/12*P60,1)))</f>
        <v>0</v>
      </c>
      <c r="P61" s="204">
        <f t="shared" si="11"/>
        <v>0</v>
      </c>
      <c r="Q61" s="204">
        <f t="shared" si="4"/>
        <v>0</v>
      </c>
      <c r="R61" s="748">
        <v>0</v>
      </c>
      <c r="S61" s="511">
        <f>SUM(N50:N61)</f>
        <v>0</v>
      </c>
    </row>
    <row r="62" spans="1:19" ht="14" thickTop="1" thickBot="1">
      <c r="A62" s="202">
        <f t="shared" si="5"/>
        <v>46388</v>
      </c>
      <c r="B62" s="65">
        <f>IF(OR(J$62=0,DG!$A$130&gt;11),0,B61+1)</f>
        <v>0</v>
      </c>
      <c r="C62" s="65">
        <f t="shared" si="13"/>
        <v>0</v>
      </c>
      <c r="D62" s="65">
        <f t="shared" si="12"/>
        <v>37</v>
      </c>
      <c r="E62" s="65">
        <f t="shared" si="6"/>
        <v>0</v>
      </c>
      <c r="F62" s="65">
        <f>IF(OR(L$62=0,DG!$A$251&gt;13),0,F61+1)</f>
        <v>0</v>
      </c>
      <c r="G62" s="65">
        <f t="shared" si="1"/>
        <v>0</v>
      </c>
      <c r="H62" s="65">
        <f t="shared" si="2"/>
        <v>0</v>
      </c>
      <c r="I62" s="65">
        <f t="shared" si="3"/>
        <v>0</v>
      </c>
      <c r="J62" s="203">
        <f>IF(DG!$A$130&lt;=11,$M$17,0)</f>
        <v>0</v>
      </c>
      <c r="K62" s="65">
        <f t="shared" si="7"/>
        <v>0</v>
      </c>
      <c r="L62" s="473">
        <f t="shared" si="8"/>
        <v>0</v>
      </c>
      <c r="M62" s="204">
        <f t="shared" si="9"/>
        <v>0</v>
      </c>
      <c r="N62" s="505">
        <f t="shared" si="10"/>
        <v>0</v>
      </c>
      <c r="O62" s="204">
        <f>IF(DG!$A$130&gt;10,0,IF(J62-J61&gt;0,MROUND((L62/12*Q61),1),MROUND(L62/12*P61,1)))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IF(OR(L$63=0,DG!$A$251&gt;13),0,F62+1)</f>
        <v>0</v>
      </c>
      <c r="G63" s="65">
        <f t="shared" si="1"/>
        <v>0</v>
      </c>
      <c r="H63" s="65">
        <f t="shared" si="2"/>
        <v>0</v>
      </c>
      <c r="I63" s="65">
        <f t="shared" si="3"/>
        <v>0</v>
      </c>
      <c r="J63" s="203">
        <f>IF(DG!$A$130&lt;=11,$M$17,0)</f>
        <v>0</v>
      </c>
      <c r="K63" s="65">
        <f t="shared" si="7"/>
        <v>0</v>
      </c>
      <c r="L63" s="473">
        <f t="shared" si="8"/>
        <v>0</v>
      </c>
      <c r="M63" s="204">
        <f t="shared" si="9"/>
        <v>0</v>
      </c>
      <c r="N63" s="505">
        <f t="shared" si="10"/>
        <v>0</v>
      </c>
      <c r="O63" s="204">
        <f>IF(DG!$A$130&gt;10,0,IF(J63-J62&gt;0,MROUND((L63/12*Q62),1),MROUND(L63/12*P62,1)))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IF(OR(L$64=0,DG!$A$251&gt;13),0,F63+1)</f>
        <v>0</v>
      </c>
      <c r="G64" s="65">
        <f t="shared" si="1"/>
        <v>0</v>
      </c>
      <c r="H64" s="65">
        <f t="shared" si="2"/>
        <v>0</v>
      </c>
      <c r="I64" s="65">
        <f>IF(OR(G64=1,C64=0),0,IF(K64-C64&lt;$G$269,1,-1))</f>
        <v>0</v>
      </c>
      <c r="J64" s="203">
        <f>IF(DG!$A$130&lt;=11,$M$17,0)</f>
        <v>0</v>
      </c>
      <c r="K64" s="65">
        <f t="shared" si="7"/>
        <v>0</v>
      </c>
      <c r="L64" s="473">
        <f t="shared" si="8"/>
        <v>0</v>
      </c>
      <c r="M64" s="204">
        <f t="shared" si="9"/>
        <v>0</v>
      </c>
      <c r="N64" s="505">
        <f t="shared" si="10"/>
        <v>0</v>
      </c>
      <c r="O64" s="204">
        <f>IF(DG!$A$130&gt;10,0,IF(J64-J63&gt;0,MROUND((L64/12*Q63),1),MROUND(L64/12*P63,1)))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IF(OR(L$65=0,DG!$A$251&gt;14),0,F64+1)</f>
        <v>0</v>
      </c>
      <c r="G65" s="65">
        <f t="shared" si="1"/>
        <v>0</v>
      </c>
      <c r="H65" s="65">
        <f t="shared" si="2"/>
        <v>0</v>
      </c>
      <c r="I65" s="65">
        <f t="shared" ref="I65:I73" si="16">IF(OR(G65=1,C65=0),0,IF(K65-C65&lt;$G$269,1,-1))</f>
        <v>0</v>
      </c>
      <c r="J65" s="203">
        <f>IF(DG!$A$130&lt;=11,$M$17,0)</f>
        <v>0</v>
      </c>
      <c r="K65" s="65">
        <f t="shared" si="7"/>
        <v>0</v>
      </c>
      <c r="L65" s="473">
        <f t="shared" si="8"/>
        <v>0</v>
      </c>
      <c r="M65" s="204">
        <f t="shared" si="9"/>
        <v>0</v>
      </c>
      <c r="N65" s="505">
        <f t="shared" si="10"/>
        <v>0</v>
      </c>
      <c r="O65" s="204">
        <f>IF(DG!$A$130&gt;11,0,IF(J65-J64&gt;0,MROUND((L65/12*Q64),1),MROUND(L65/12*P64,1)))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IF(OR(L$66=0,DG!$A$251&gt;14),0,F65+1)</f>
        <v>0</v>
      </c>
      <c r="G66" s="65">
        <f t="shared" si="1"/>
        <v>0</v>
      </c>
      <c r="H66" s="65">
        <f t="shared" si="2"/>
        <v>0</v>
      </c>
      <c r="I66" s="65">
        <f t="shared" si="16"/>
        <v>0</v>
      </c>
      <c r="J66" s="203">
        <f>IF(DG!$A$130&lt;=11,$M$17,0)</f>
        <v>0</v>
      </c>
      <c r="K66" s="65">
        <f t="shared" si="7"/>
        <v>0</v>
      </c>
      <c r="L66" s="473">
        <f t="shared" si="8"/>
        <v>0</v>
      </c>
      <c r="M66" s="204">
        <f t="shared" si="9"/>
        <v>0</v>
      </c>
      <c r="N66" s="505">
        <f t="shared" si="10"/>
        <v>0</v>
      </c>
      <c r="O66" s="204">
        <f>IF(DG!$A$130&gt;11,0,IF(J66-J65&gt;0,MROUND((L66/12*Q65),1),MROUND(L66/12*P65,1)))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IF(OR(L$67=0,DG!$A$251&gt;14),0,F66+1)</f>
        <v>0</v>
      </c>
      <c r="G67" s="65">
        <f t="shared" si="1"/>
        <v>0</v>
      </c>
      <c r="H67" s="65">
        <f t="shared" si="2"/>
        <v>0</v>
      </c>
      <c r="I67" s="65">
        <f t="shared" si="16"/>
        <v>0</v>
      </c>
      <c r="J67" s="203">
        <f>IF(DG!$A$130&lt;=11,$M$17,0)</f>
        <v>0</v>
      </c>
      <c r="K67" s="65">
        <f t="shared" si="7"/>
        <v>0</v>
      </c>
      <c r="L67" s="473">
        <f t="shared" si="8"/>
        <v>0</v>
      </c>
      <c r="M67" s="204">
        <f t="shared" si="9"/>
        <v>0</v>
      </c>
      <c r="N67" s="505">
        <f t="shared" si="10"/>
        <v>0</v>
      </c>
      <c r="O67" s="204">
        <f>IF(DG!$A$130&gt;11,0,IF(J67-J66&gt;0,MROUND((L67/12*Q66),1),MROUND(L67/12*P66,1)))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IF(OR(L$68=0,DG!$A$251&gt;15),0,F67+1)</f>
        <v>0</v>
      </c>
      <c r="G68" s="65">
        <f t="shared" si="1"/>
        <v>0</v>
      </c>
      <c r="H68" s="65">
        <f t="shared" si="2"/>
        <v>0</v>
      </c>
      <c r="I68" s="65">
        <f t="shared" si="16"/>
        <v>0</v>
      </c>
      <c r="J68" s="203">
        <f>IF(DG!$A$130&lt;=11,$M$17,0)</f>
        <v>0</v>
      </c>
      <c r="K68" s="65">
        <f t="shared" si="7"/>
        <v>0</v>
      </c>
      <c r="L68" s="473">
        <f t="shared" si="8"/>
        <v>0</v>
      </c>
      <c r="M68" s="204">
        <f t="shared" si="9"/>
        <v>0</v>
      </c>
      <c r="N68" s="505">
        <f t="shared" si="10"/>
        <v>0</v>
      </c>
      <c r="O68" s="204">
        <f>IF(DG!$A$130&gt;11,0,IF(J68-J67&gt;0,MROUND((L68/12*Q67),1),MROUND(L68/12*P67,1)))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IF(OR(L$69=0,DG!$A$251&gt;15),0,F68+1)</f>
        <v>0</v>
      </c>
      <c r="G69" s="65">
        <f t="shared" si="1"/>
        <v>0</v>
      </c>
      <c r="H69" s="65">
        <f t="shared" si="2"/>
        <v>0</v>
      </c>
      <c r="I69" s="65">
        <f t="shared" si="16"/>
        <v>0</v>
      </c>
      <c r="J69" s="203">
        <f>IF(DG!$A$130&lt;=11,$M$17,0)</f>
        <v>0</v>
      </c>
      <c r="K69" s="65">
        <f t="shared" si="7"/>
        <v>0</v>
      </c>
      <c r="L69" s="473">
        <f t="shared" si="8"/>
        <v>0</v>
      </c>
      <c r="M69" s="204">
        <f t="shared" si="9"/>
        <v>0</v>
      </c>
      <c r="N69" s="505">
        <f t="shared" si="10"/>
        <v>0</v>
      </c>
      <c r="O69" s="204">
        <f>IF(DG!$A$130&gt;11,0,IF(J69-J68&gt;0,MROUND((L69/12*Q68),1),MROUND(L69/12*P68,1)))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IF(OR(L$70=0,DG!$A$251&gt;15),0,F69+1)</f>
        <v>0</v>
      </c>
      <c r="G70" s="65">
        <f t="shared" si="1"/>
        <v>0</v>
      </c>
      <c r="H70" s="65">
        <f t="shared" si="2"/>
        <v>0</v>
      </c>
      <c r="I70" s="65">
        <f t="shared" si="16"/>
        <v>0</v>
      </c>
      <c r="J70" s="203">
        <f>IF(DG!$A$130&lt;=11,$M$17,0)</f>
        <v>0</v>
      </c>
      <c r="K70" s="65">
        <f t="shared" si="7"/>
        <v>0</v>
      </c>
      <c r="L70" s="473">
        <f t="shared" si="8"/>
        <v>0</v>
      </c>
      <c r="M70" s="204">
        <f t="shared" si="9"/>
        <v>0</v>
      </c>
      <c r="N70" s="505">
        <f t="shared" si="10"/>
        <v>0</v>
      </c>
      <c r="O70" s="204">
        <f>IF(DG!$A$130&gt;11,0,IF(J70-J69&gt;0,MROUND((L70/12*Q69),1),MROUND(L70/12*P69,1)))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IF(OR(L$71=0,DG!$A$251&gt;16),0,F70+1)</f>
        <v>0</v>
      </c>
      <c r="G71" s="65">
        <f t="shared" si="1"/>
        <v>0</v>
      </c>
      <c r="H71" s="65">
        <f t="shared" si="2"/>
        <v>0</v>
      </c>
      <c r="I71" s="65">
        <f t="shared" si="16"/>
        <v>0</v>
      </c>
      <c r="J71" s="203">
        <f>IF(DG!$A$130&lt;=11,$M$17,0)</f>
        <v>0</v>
      </c>
      <c r="K71" s="65">
        <f t="shared" si="7"/>
        <v>0</v>
      </c>
      <c r="L71" s="473">
        <f t="shared" si="8"/>
        <v>0</v>
      </c>
      <c r="M71" s="204">
        <f t="shared" si="9"/>
        <v>0</v>
      </c>
      <c r="N71" s="505">
        <f t="shared" si="10"/>
        <v>0</v>
      </c>
      <c r="O71" s="204">
        <f>IF(DG!$A$130&gt;11,0,IF(J71-J70&gt;0,MROUND((L71/12*Q70),1),MROUND(L71/12*P70,1)))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IF(OR(L$72=0,DG!$A$251&gt;16),0,F71+1)</f>
        <v>0</v>
      </c>
      <c r="G72" s="65">
        <f t="shared" si="1"/>
        <v>0</v>
      </c>
      <c r="H72" s="65">
        <f t="shared" si="2"/>
        <v>0</v>
      </c>
      <c r="I72" s="65">
        <f t="shared" si="16"/>
        <v>0</v>
      </c>
      <c r="J72" s="203">
        <f>IF(DG!$A$130&lt;=11,$M$17,0)</f>
        <v>0</v>
      </c>
      <c r="K72" s="65">
        <f t="shared" si="7"/>
        <v>0</v>
      </c>
      <c r="L72" s="473">
        <f t="shared" si="8"/>
        <v>0</v>
      </c>
      <c r="M72" s="204">
        <f t="shared" si="9"/>
        <v>0</v>
      </c>
      <c r="N72" s="505">
        <f t="shared" si="10"/>
        <v>0</v>
      </c>
      <c r="O72" s="204">
        <f>IF(DG!$A$130&gt;11,0,IF(J72-J71&gt;0,MROUND((L72/12*Q71),1),MROUND(L72/12*P71,1)))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IF(OR(L$73=0,DG!$A$251&gt;16),0,F72+1)</f>
        <v>0</v>
      </c>
      <c r="G73" s="65">
        <f t="shared" si="1"/>
        <v>0</v>
      </c>
      <c r="H73" s="65">
        <f t="shared" si="2"/>
        <v>0</v>
      </c>
      <c r="I73" s="65">
        <f t="shared" si="16"/>
        <v>0</v>
      </c>
      <c r="J73" s="203">
        <f>IF(DG!$A$130&lt;=11,$M$17,0)</f>
        <v>0</v>
      </c>
      <c r="K73" s="65">
        <f t="shared" si="7"/>
        <v>0</v>
      </c>
      <c r="L73" s="473">
        <f t="shared" si="8"/>
        <v>0</v>
      </c>
      <c r="M73" s="204">
        <f t="shared" si="9"/>
        <v>0</v>
      </c>
      <c r="N73" s="505">
        <f t="shared" si="10"/>
        <v>0</v>
      </c>
      <c r="O73" s="204">
        <f>IF(DG!$A$130&gt;11,0,IF(J73-J72&gt;0,MROUND((L73/12*Q72),1),MROUND(L73/12*P72,1)))</f>
        <v>0</v>
      </c>
      <c r="P73" s="204">
        <f t="shared" si="11"/>
        <v>0</v>
      </c>
      <c r="Q73" s="204">
        <f t="shared" si="4"/>
        <v>0</v>
      </c>
      <c r="R73" s="748">
        <v>0</v>
      </c>
      <c r="S73" s="511">
        <f>SUM(N62:N73)</f>
        <v>0</v>
      </c>
    </row>
    <row r="74" spans="1:19" ht="14" thickTop="1" thickBot="1">
      <c r="A74" s="202">
        <f t="shared" si="5"/>
        <v>46753</v>
      </c>
      <c r="B74" s="65">
        <f>IF(OR(J$73=0,DG!$A$130&gt;12),0,B73+1)</f>
        <v>0</v>
      </c>
      <c r="C74" s="65">
        <f t="shared" ref="C74:C115" si="17">IF(F74-$E$269&gt;0,F74-$E$269,0)</f>
        <v>0</v>
      </c>
      <c r="D74" s="65">
        <f t="shared" ref="D74:D115" si="18">D73+1</f>
        <v>49</v>
      </c>
      <c r="E74" s="65">
        <f t="shared" ref="E74:E115" si="19">B74</f>
        <v>0</v>
      </c>
      <c r="F74" s="65">
        <f>IF(OR(L$73=0,DG!$A$251&gt;16),0,F73+1)</f>
        <v>0</v>
      </c>
      <c r="G74" s="65">
        <f t="shared" ref="G74:G115" si="20">IF(E74=0,0,IF(D74-E74-F74&gt;=0,1,0))</f>
        <v>0</v>
      </c>
      <c r="H74" s="65">
        <f t="shared" ref="H74:H115" si="21">IF(I74&gt;=0,0,H73+1)</f>
        <v>0</v>
      </c>
      <c r="I74" s="65">
        <f t="shared" ref="I74:I115" si="22">IF(OR(G74=1,C74=0),0,IF(K74-C74&lt;$G$269,1,-1))</f>
        <v>0</v>
      </c>
      <c r="J74" s="203">
        <f>IF(DG!$A$130&lt;=12,$M$17,0)</f>
        <v>0</v>
      </c>
      <c r="K74" s="65">
        <f t="shared" ref="K74:K115" si="23">K73</f>
        <v>0</v>
      </c>
      <c r="L74" s="473">
        <f t="shared" si="8"/>
        <v>0</v>
      </c>
      <c r="M74" s="204">
        <f t="shared" si="9"/>
        <v>0</v>
      </c>
      <c r="N74" s="505">
        <f t="shared" si="10"/>
        <v>0</v>
      </c>
      <c r="O74" s="204">
        <f>IF(DG!$A$130&gt;11,0,IF(J74-J73&gt;0,MROUND((L74/12*Q73),1),MROUND(L74/12*P73,1)))</f>
        <v>0</v>
      </c>
      <c r="P74" s="204">
        <f t="shared" si="11"/>
        <v>0</v>
      </c>
      <c r="Q74" s="204">
        <f t="shared" si="4"/>
        <v>0</v>
      </c>
      <c r="R74" s="748">
        <v>0</v>
      </c>
      <c r="S74" s="511">
        <f t="shared" ref="S74:S115" si="24">SUM(N63:N74)</f>
        <v>0</v>
      </c>
    </row>
    <row r="75" spans="1:19" ht="14" thickTop="1" thickBot="1">
      <c r="A75" s="202">
        <f t="shared" si="5"/>
        <v>46784</v>
      </c>
      <c r="B75" s="65">
        <f>IF(J$73=0,0,B74+1)</f>
        <v>0</v>
      </c>
      <c r="C75" s="65">
        <f t="shared" si="17"/>
        <v>0</v>
      </c>
      <c r="D75" s="65">
        <f t="shared" si="18"/>
        <v>50</v>
      </c>
      <c r="E75" s="65">
        <f t="shared" si="19"/>
        <v>0</v>
      </c>
      <c r="F75" s="65">
        <f>IF(OR(L$73=0,DG!$A$251&gt;16),0,F74+1)</f>
        <v>0</v>
      </c>
      <c r="G75" s="65">
        <f t="shared" si="20"/>
        <v>0</v>
      </c>
      <c r="H75" s="65">
        <f t="shared" si="21"/>
        <v>0</v>
      </c>
      <c r="I75" s="65">
        <f t="shared" si="22"/>
        <v>0</v>
      </c>
      <c r="J75" s="203">
        <f>IF(DG!$A$130&lt;=12,$M$17,0)</f>
        <v>0</v>
      </c>
      <c r="K75" s="65">
        <f t="shared" si="23"/>
        <v>0</v>
      </c>
      <c r="L75" s="473">
        <f t="shared" si="8"/>
        <v>0</v>
      </c>
      <c r="M75" s="204">
        <f t="shared" si="9"/>
        <v>0</v>
      </c>
      <c r="N75" s="505">
        <f t="shared" si="10"/>
        <v>0</v>
      </c>
      <c r="O75" s="204">
        <f>IF(DG!$A$130&gt;11,0,IF(J75-J74&gt;0,MROUND((L75/12*Q74),1),MROUND(L75/12*P74,1)))</f>
        <v>0</v>
      </c>
      <c r="P75" s="204">
        <f t="shared" si="11"/>
        <v>0</v>
      </c>
      <c r="Q75" s="204">
        <f t="shared" si="4"/>
        <v>0</v>
      </c>
      <c r="R75" s="748">
        <v>0</v>
      </c>
      <c r="S75" s="511">
        <f t="shared" si="24"/>
        <v>0</v>
      </c>
    </row>
    <row r="76" spans="1:19" ht="14" thickTop="1" thickBot="1">
      <c r="A76" s="202">
        <f t="shared" si="5"/>
        <v>46813</v>
      </c>
      <c r="B76" s="65">
        <f t="shared" ref="B76:B139" si="25">IF(J$73=0,0,B75+1)</f>
        <v>0</v>
      </c>
      <c r="C76" s="65">
        <f t="shared" si="17"/>
        <v>0</v>
      </c>
      <c r="D76" s="65">
        <f t="shared" si="18"/>
        <v>51</v>
      </c>
      <c r="E76" s="65">
        <f t="shared" si="19"/>
        <v>0</v>
      </c>
      <c r="F76" s="65">
        <f>IF(OR(L$73=0,DG!$A$251&gt;16),0,F75+1)</f>
        <v>0</v>
      </c>
      <c r="G76" s="65">
        <f t="shared" si="20"/>
        <v>0</v>
      </c>
      <c r="H76" s="65">
        <f t="shared" si="21"/>
        <v>0</v>
      </c>
      <c r="I76" s="65">
        <f t="shared" si="22"/>
        <v>0</v>
      </c>
      <c r="J76" s="203">
        <f>IF(DG!$A$130&lt;=11,$M$17,0)</f>
        <v>0</v>
      </c>
      <c r="K76" s="65">
        <f t="shared" si="23"/>
        <v>0</v>
      </c>
      <c r="L76" s="473">
        <f t="shared" si="8"/>
        <v>0</v>
      </c>
      <c r="M76" s="204">
        <f t="shared" si="9"/>
        <v>0</v>
      </c>
      <c r="N76" s="505">
        <f t="shared" si="10"/>
        <v>0</v>
      </c>
      <c r="O76" s="204">
        <f>IF(DG!$A$130&gt;11,0,IF(J76-J75&gt;0,MROUND((L76/12*Q75),1),MROUND(L76/12*P75,1)))</f>
        <v>0</v>
      </c>
      <c r="P76" s="204">
        <f t="shared" si="11"/>
        <v>0</v>
      </c>
      <c r="Q76" s="204">
        <f t="shared" si="4"/>
        <v>0</v>
      </c>
      <c r="R76" s="748">
        <v>0</v>
      </c>
      <c r="S76" s="511">
        <f t="shared" si="24"/>
        <v>0</v>
      </c>
    </row>
    <row r="77" spans="1:19" ht="14" thickTop="1" thickBot="1">
      <c r="A77" s="202">
        <f t="shared" si="5"/>
        <v>46844</v>
      </c>
      <c r="B77" s="65">
        <f t="shared" si="25"/>
        <v>0</v>
      </c>
      <c r="C77" s="65">
        <f t="shared" si="17"/>
        <v>0</v>
      </c>
      <c r="D77" s="65">
        <f t="shared" si="18"/>
        <v>52</v>
      </c>
      <c r="E77" s="65">
        <f t="shared" si="19"/>
        <v>0</v>
      </c>
      <c r="F77" s="65">
        <f>IF(OR(L$73=0,DG!$A$251&gt;16),0,F76+1)</f>
        <v>0</v>
      </c>
      <c r="G77" s="65">
        <f t="shared" si="20"/>
        <v>0</v>
      </c>
      <c r="H77" s="65">
        <f t="shared" si="21"/>
        <v>0</v>
      </c>
      <c r="I77" s="65">
        <f t="shared" si="22"/>
        <v>0</v>
      </c>
      <c r="J77" s="203">
        <f>IF(DG!$A$130&lt;=11,$M$17,0)</f>
        <v>0</v>
      </c>
      <c r="K77" s="65">
        <f t="shared" si="23"/>
        <v>0</v>
      </c>
      <c r="L77" s="473">
        <f t="shared" si="8"/>
        <v>0</v>
      </c>
      <c r="M77" s="204">
        <f t="shared" si="9"/>
        <v>0</v>
      </c>
      <c r="N77" s="505">
        <f t="shared" si="10"/>
        <v>0</v>
      </c>
      <c r="O77" s="204">
        <f>IF(DG!$A$130&gt;12,0,IF(J77-J76&gt;0,MROUND((L77/12*Q76),1),MROUND(L77/12*P76,1)))</f>
        <v>0</v>
      </c>
      <c r="P77" s="204">
        <f t="shared" si="11"/>
        <v>0</v>
      </c>
      <c r="Q77" s="204">
        <f t="shared" si="4"/>
        <v>0</v>
      </c>
      <c r="R77" s="748">
        <v>0</v>
      </c>
      <c r="S77" s="511">
        <f t="shared" si="24"/>
        <v>0</v>
      </c>
    </row>
    <row r="78" spans="1:19" ht="14" thickTop="1" thickBot="1">
      <c r="A78" s="202">
        <f t="shared" si="5"/>
        <v>46874</v>
      </c>
      <c r="B78" s="65">
        <f t="shared" si="25"/>
        <v>0</v>
      </c>
      <c r="C78" s="65">
        <f t="shared" si="17"/>
        <v>0</v>
      </c>
      <c r="D78" s="65">
        <f t="shared" si="18"/>
        <v>53</v>
      </c>
      <c r="E78" s="65">
        <f t="shared" si="19"/>
        <v>0</v>
      </c>
      <c r="F78" s="65">
        <f>IF(OR(L$73=0,DG!$A$251&gt;16),0,F77+1)</f>
        <v>0</v>
      </c>
      <c r="G78" s="65">
        <f t="shared" si="20"/>
        <v>0</v>
      </c>
      <c r="H78" s="65">
        <f t="shared" si="21"/>
        <v>0</v>
      </c>
      <c r="I78" s="65">
        <f t="shared" si="22"/>
        <v>0</v>
      </c>
      <c r="J78" s="203">
        <f>IF(DG!$A$130&lt;=11,$M$17,0)</f>
        <v>0</v>
      </c>
      <c r="K78" s="65">
        <f t="shared" si="23"/>
        <v>0</v>
      </c>
      <c r="L78" s="473">
        <f t="shared" si="8"/>
        <v>0</v>
      </c>
      <c r="M78" s="204">
        <f t="shared" si="9"/>
        <v>0</v>
      </c>
      <c r="N78" s="505">
        <f t="shared" si="10"/>
        <v>0</v>
      </c>
      <c r="O78" s="204">
        <f>IF(DG!$A$130&gt;12,0,IF(J78-J77&gt;0,MROUND((L78/12*Q77),1),MROUND(L78/12*P77,1)))</f>
        <v>0</v>
      </c>
      <c r="P78" s="204">
        <f t="shared" si="11"/>
        <v>0</v>
      </c>
      <c r="Q78" s="204">
        <f t="shared" si="4"/>
        <v>0</v>
      </c>
      <c r="R78" s="748">
        <v>0</v>
      </c>
      <c r="S78" s="511">
        <f t="shared" si="24"/>
        <v>0</v>
      </c>
    </row>
    <row r="79" spans="1:19" ht="14" thickTop="1" thickBot="1">
      <c r="A79" s="202">
        <f t="shared" si="5"/>
        <v>46905</v>
      </c>
      <c r="B79" s="65">
        <f t="shared" si="25"/>
        <v>0</v>
      </c>
      <c r="C79" s="65">
        <f t="shared" si="17"/>
        <v>0</v>
      </c>
      <c r="D79" s="65">
        <f t="shared" si="18"/>
        <v>54</v>
      </c>
      <c r="E79" s="65">
        <f t="shared" si="19"/>
        <v>0</v>
      </c>
      <c r="F79" s="65">
        <f>IF(OR(L$73=0,DG!$A$251&gt;16),0,F78+1)</f>
        <v>0</v>
      </c>
      <c r="G79" s="65">
        <f t="shared" si="20"/>
        <v>0</v>
      </c>
      <c r="H79" s="65">
        <f t="shared" si="21"/>
        <v>0</v>
      </c>
      <c r="I79" s="65">
        <f t="shared" si="22"/>
        <v>0</v>
      </c>
      <c r="J79" s="203">
        <f>IF(DG!$A$130&lt;=11,$M$17,0)</f>
        <v>0</v>
      </c>
      <c r="K79" s="65">
        <f t="shared" si="23"/>
        <v>0</v>
      </c>
      <c r="L79" s="473">
        <f t="shared" si="8"/>
        <v>0</v>
      </c>
      <c r="M79" s="204">
        <f t="shared" si="9"/>
        <v>0</v>
      </c>
      <c r="N79" s="505">
        <f t="shared" si="10"/>
        <v>0</v>
      </c>
      <c r="O79" s="204">
        <f>IF(DG!$A$130&gt;12,0,IF(J79-J78&gt;0,MROUND((L79/12*Q78),1),MROUND(L79/12*P78,1)))</f>
        <v>0</v>
      </c>
      <c r="P79" s="204">
        <f t="shared" si="11"/>
        <v>0</v>
      </c>
      <c r="Q79" s="204">
        <f t="shared" si="4"/>
        <v>0</v>
      </c>
      <c r="R79" s="748">
        <v>0</v>
      </c>
      <c r="S79" s="511">
        <f t="shared" si="24"/>
        <v>0</v>
      </c>
    </row>
    <row r="80" spans="1:19" ht="14" thickTop="1" thickBot="1">
      <c r="A80" s="202">
        <f t="shared" si="5"/>
        <v>46935</v>
      </c>
      <c r="B80" s="65">
        <f t="shared" si="25"/>
        <v>0</v>
      </c>
      <c r="C80" s="65">
        <f t="shared" si="17"/>
        <v>0</v>
      </c>
      <c r="D80" s="65">
        <f t="shared" si="18"/>
        <v>55</v>
      </c>
      <c r="E80" s="65">
        <f t="shared" si="19"/>
        <v>0</v>
      </c>
      <c r="F80" s="65">
        <f>IF(OR(L$73=0,DG!$A$251&gt;16),0,F79+1)</f>
        <v>0</v>
      </c>
      <c r="G80" s="65">
        <f t="shared" si="20"/>
        <v>0</v>
      </c>
      <c r="H80" s="65">
        <f t="shared" si="21"/>
        <v>0</v>
      </c>
      <c r="I80" s="65">
        <f t="shared" si="22"/>
        <v>0</v>
      </c>
      <c r="J80" s="203">
        <f>IF(DG!$A$130&lt;=11,$M$17,0)</f>
        <v>0</v>
      </c>
      <c r="K80" s="65">
        <f t="shared" si="23"/>
        <v>0</v>
      </c>
      <c r="L80" s="473">
        <f t="shared" si="8"/>
        <v>0</v>
      </c>
      <c r="M80" s="204">
        <f t="shared" si="9"/>
        <v>0</v>
      </c>
      <c r="N80" s="505">
        <f t="shared" si="10"/>
        <v>0</v>
      </c>
      <c r="O80" s="204">
        <f>IF(DG!$A$130&gt;12,0,IF(J80-J79&gt;0,MROUND((L80/12*Q79),1),MROUND(L80/12*P79,1)))</f>
        <v>0</v>
      </c>
      <c r="P80" s="204">
        <f t="shared" si="11"/>
        <v>0</v>
      </c>
      <c r="Q80" s="204">
        <f t="shared" si="4"/>
        <v>0</v>
      </c>
      <c r="R80" s="748">
        <v>0</v>
      </c>
      <c r="S80" s="511">
        <f t="shared" si="24"/>
        <v>0</v>
      </c>
    </row>
    <row r="81" spans="1:19" ht="14" thickTop="1" thickBot="1">
      <c r="A81" s="202">
        <f t="shared" si="5"/>
        <v>46966</v>
      </c>
      <c r="B81" s="65">
        <f t="shared" si="25"/>
        <v>0</v>
      </c>
      <c r="C81" s="65">
        <f t="shared" si="17"/>
        <v>0</v>
      </c>
      <c r="D81" s="65">
        <f t="shared" si="18"/>
        <v>56</v>
      </c>
      <c r="E81" s="65">
        <f t="shared" si="19"/>
        <v>0</v>
      </c>
      <c r="F81" s="65">
        <f>IF(OR(L$73=0,DG!$A$251&gt;16),0,F80+1)</f>
        <v>0</v>
      </c>
      <c r="G81" s="65">
        <f t="shared" si="20"/>
        <v>0</v>
      </c>
      <c r="H81" s="65">
        <f t="shared" si="21"/>
        <v>0</v>
      </c>
      <c r="I81" s="65">
        <f t="shared" si="22"/>
        <v>0</v>
      </c>
      <c r="J81" s="203">
        <f>IF(DG!$A$130&lt;=11,$M$17,0)</f>
        <v>0</v>
      </c>
      <c r="K81" s="65">
        <f t="shared" si="23"/>
        <v>0</v>
      </c>
      <c r="L81" s="473">
        <f t="shared" si="8"/>
        <v>0</v>
      </c>
      <c r="M81" s="204">
        <f t="shared" si="9"/>
        <v>0</v>
      </c>
      <c r="N81" s="505">
        <f t="shared" si="10"/>
        <v>0</v>
      </c>
      <c r="O81" s="204">
        <f>IF(DG!$A$130&gt;12,0,IF(J81-J80&gt;0,MROUND((L81/12*Q80),1),MROUND(L81/12*P80,1)))</f>
        <v>0</v>
      </c>
      <c r="P81" s="204">
        <f t="shared" si="11"/>
        <v>0</v>
      </c>
      <c r="Q81" s="204">
        <f t="shared" si="4"/>
        <v>0</v>
      </c>
      <c r="R81" s="748">
        <v>0</v>
      </c>
      <c r="S81" s="511">
        <f t="shared" si="24"/>
        <v>0</v>
      </c>
    </row>
    <row r="82" spans="1:19" ht="14" thickTop="1" thickBot="1">
      <c r="A82" s="202">
        <f t="shared" si="5"/>
        <v>46997</v>
      </c>
      <c r="B82" s="65">
        <f t="shared" si="25"/>
        <v>0</v>
      </c>
      <c r="C82" s="65">
        <f t="shared" si="17"/>
        <v>0</v>
      </c>
      <c r="D82" s="65">
        <f t="shared" si="18"/>
        <v>57</v>
      </c>
      <c r="E82" s="65">
        <f t="shared" si="19"/>
        <v>0</v>
      </c>
      <c r="F82" s="65">
        <f>IF(OR(L$73=0,DG!$A$251&gt;16),0,F81+1)</f>
        <v>0</v>
      </c>
      <c r="G82" s="65">
        <f t="shared" si="20"/>
        <v>0</v>
      </c>
      <c r="H82" s="65">
        <f t="shared" si="21"/>
        <v>0</v>
      </c>
      <c r="I82" s="65">
        <f t="shared" si="22"/>
        <v>0</v>
      </c>
      <c r="J82" s="203">
        <f>IF(DG!$A$130&lt;=11,$M$17,0)</f>
        <v>0</v>
      </c>
      <c r="K82" s="65">
        <f t="shared" si="23"/>
        <v>0</v>
      </c>
      <c r="L82" s="473">
        <f t="shared" si="8"/>
        <v>0</v>
      </c>
      <c r="M82" s="204">
        <f t="shared" si="9"/>
        <v>0</v>
      </c>
      <c r="N82" s="505">
        <f t="shared" si="10"/>
        <v>0</v>
      </c>
      <c r="O82" s="204">
        <f>IF(DG!$A$130&gt;12,0,IF(J82-J81&gt;0,MROUND((L82/12*Q81),1),MROUND(L82/12*P81,1)))</f>
        <v>0</v>
      </c>
      <c r="P82" s="204">
        <f t="shared" si="11"/>
        <v>0</v>
      </c>
      <c r="Q82" s="204">
        <f t="shared" si="4"/>
        <v>0</v>
      </c>
      <c r="R82" s="748">
        <v>0</v>
      </c>
      <c r="S82" s="511">
        <f t="shared" si="24"/>
        <v>0</v>
      </c>
    </row>
    <row r="83" spans="1:19" ht="14" thickTop="1" thickBot="1">
      <c r="A83" s="202">
        <f t="shared" si="5"/>
        <v>47027</v>
      </c>
      <c r="B83" s="65">
        <f t="shared" si="25"/>
        <v>0</v>
      </c>
      <c r="C83" s="65">
        <f t="shared" si="17"/>
        <v>0</v>
      </c>
      <c r="D83" s="65">
        <f t="shared" si="18"/>
        <v>58</v>
      </c>
      <c r="E83" s="65">
        <f t="shared" si="19"/>
        <v>0</v>
      </c>
      <c r="F83" s="65">
        <f>IF(OR(L$73=0,DG!$A$251&gt;16),0,F82+1)</f>
        <v>0</v>
      </c>
      <c r="G83" s="65">
        <f t="shared" si="20"/>
        <v>0</v>
      </c>
      <c r="H83" s="65">
        <f t="shared" si="21"/>
        <v>0</v>
      </c>
      <c r="I83" s="65">
        <f t="shared" si="22"/>
        <v>0</v>
      </c>
      <c r="J83" s="203">
        <f>IF(DG!$A$130&lt;=11,$M$17,0)</f>
        <v>0</v>
      </c>
      <c r="K83" s="65">
        <f t="shared" si="23"/>
        <v>0</v>
      </c>
      <c r="L83" s="473">
        <f t="shared" si="8"/>
        <v>0</v>
      </c>
      <c r="M83" s="204">
        <f t="shared" si="9"/>
        <v>0</v>
      </c>
      <c r="N83" s="505">
        <f t="shared" si="10"/>
        <v>0</v>
      </c>
      <c r="O83" s="204">
        <f>IF(DG!$A$130&gt;12,0,IF(J83-J82&gt;0,MROUND((L83/12*Q82),1),MROUND(L83/12*P82,1)))</f>
        <v>0</v>
      </c>
      <c r="P83" s="204">
        <f t="shared" si="11"/>
        <v>0</v>
      </c>
      <c r="Q83" s="204">
        <f t="shared" si="4"/>
        <v>0</v>
      </c>
      <c r="R83" s="748">
        <v>0</v>
      </c>
      <c r="S83" s="511">
        <f t="shared" si="24"/>
        <v>0</v>
      </c>
    </row>
    <row r="84" spans="1:19" ht="14" thickTop="1" thickBot="1">
      <c r="A84" s="202">
        <f t="shared" si="5"/>
        <v>47058</v>
      </c>
      <c r="B84" s="65">
        <f t="shared" si="25"/>
        <v>0</v>
      </c>
      <c r="C84" s="65">
        <f t="shared" si="17"/>
        <v>0</v>
      </c>
      <c r="D84" s="65">
        <f t="shared" si="18"/>
        <v>59</v>
      </c>
      <c r="E84" s="65">
        <f t="shared" si="19"/>
        <v>0</v>
      </c>
      <c r="F84" s="65">
        <f>IF(OR(L$73=0,DG!$A$251&gt;16),0,F83+1)</f>
        <v>0</v>
      </c>
      <c r="G84" s="65">
        <f t="shared" si="20"/>
        <v>0</v>
      </c>
      <c r="H84" s="65">
        <f t="shared" si="21"/>
        <v>0</v>
      </c>
      <c r="I84" s="65">
        <f t="shared" si="22"/>
        <v>0</v>
      </c>
      <c r="J84" s="203">
        <f>IF(DG!$A$130&lt;=11,$M$17,0)</f>
        <v>0</v>
      </c>
      <c r="K84" s="65">
        <f t="shared" si="23"/>
        <v>0</v>
      </c>
      <c r="L84" s="473">
        <f t="shared" si="8"/>
        <v>0</v>
      </c>
      <c r="M84" s="204">
        <f t="shared" si="9"/>
        <v>0</v>
      </c>
      <c r="N84" s="505">
        <f t="shared" si="10"/>
        <v>0</v>
      </c>
      <c r="O84" s="204">
        <f>IF(DG!$A$130&gt;12,0,IF(J84-J83&gt;0,MROUND((L84/12*Q83),1),MROUND(L84/12*P83,1)))</f>
        <v>0</v>
      </c>
      <c r="P84" s="204">
        <f t="shared" si="11"/>
        <v>0</v>
      </c>
      <c r="Q84" s="204">
        <f t="shared" si="4"/>
        <v>0</v>
      </c>
      <c r="R84" s="748">
        <v>0</v>
      </c>
      <c r="S84" s="511">
        <f t="shared" si="24"/>
        <v>0</v>
      </c>
    </row>
    <row r="85" spans="1:19" ht="14" thickTop="1" thickBot="1">
      <c r="A85" s="202">
        <f t="shared" si="5"/>
        <v>47088</v>
      </c>
      <c r="B85" s="65">
        <f t="shared" si="25"/>
        <v>0</v>
      </c>
      <c r="C85" s="65">
        <f t="shared" si="17"/>
        <v>0</v>
      </c>
      <c r="D85" s="65">
        <f t="shared" si="18"/>
        <v>60</v>
      </c>
      <c r="E85" s="65">
        <f t="shared" si="19"/>
        <v>0</v>
      </c>
      <c r="F85" s="65">
        <f>IF(OR(L$73=0,DG!$A$251&gt;16),0,F84+1)</f>
        <v>0</v>
      </c>
      <c r="G85" s="65">
        <f t="shared" si="20"/>
        <v>0</v>
      </c>
      <c r="H85" s="65">
        <f t="shared" si="21"/>
        <v>0</v>
      </c>
      <c r="I85" s="65">
        <f t="shared" si="22"/>
        <v>0</v>
      </c>
      <c r="J85" s="203">
        <f>IF(DG!$A$130&lt;=11,$M$17,0)</f>
        <v>0</v>
      </c>
      <c r="K85" s="65">
        <f t="shared" si="23"/>
        <v>0</v>
      </c>
      <c r="L85" s="473">
        <f t="shared" si="8"/>
        <v>0</v>
      </c>
      <c r="M85" s="204">
        <f t="shared" si="9"/>
        <v>0</v>
      </c>
      <c r="N85" s="505">
        <f t="shared" si="10"/>
        <v>0</v>
      </c>
      <c r="O85" s="204">
        <f>IF(DG!$A$130&gt;12,0,IF(J85-J84&gt;0,MROUND((L85/12*Q84),1),MROUND(L85/12*P84,1)))</f>
        <v>0</v>
      </c>
      <c r="P85" s="204">
        <f t="shared" si="11"/>
        <v>0</v>
      </c>
      <c r="Q85" s="204">
        <f t="shared" si="4"/>
        <v>0</v>
      </c>
      <c r="R85" s="748">
        <v>0</v>
      </c>
      <c r="S85" s="511">
        <f t="shared" si="24"/>
        <v>0</v>
      </c>
    </row>
    <row r="86" spans="1:19" ht="14" thickTop="1" thickBot="1">
      <c r="A86" s="202">
        <f t="shared" si="5"/>
        <v>47119</v>
      </c>
      <c r="B86" s="65">
        <f t="shared" si="25"/>
        <v>0</v>
      </c>
      <c r="C86" s="65">
        <f t="shared" si="17"/>
        <v>0</v>
      </c>
      <c r="D86" s="65">
        <f t="shared" si="18"/>
        <v>61</v>
      </c>
      <c r="E86" s="65">
        <f t="shared" si="19"/>
        <v>0</v>
      </c>
      <c r="F86" s="65">
        <f>IF(OR(L$73=0,DG!$A$251&gt;16),0,F85+1)</f>
        <v>0</v>
      </c>
      <c r="G86" s="65">
        <f t="shared" si="20"/>
        <v>0</v>
      </c>
      <c r="H86" s="65">
        <f t="shared" si="21"/>
        <v>0</v>
      </c>
      <c r="I86" s="65">
        <f t="shared" si="22"/>
        <v>0</v>
      </c>
      <c r="J86" s="203">
        <f>IF(DG!$A$130&lt;=11,$M$17,0)</f>
        <v>0</v>
      </c>
      <c r="K86" s="65">
        <f t="shared" si="23"/>
        <v>0</v>
      </c>
      <c r="L86" s="473">
        <f t="shared" si="8"/>
        <v>0</v>
      </c>
      <c r="M86" s="204">
        <f t="shared" si="9"/>
        <v>0</v>
      </c>
      <c r="N86" s="505">
        <f t="shared" si="10"/>
        <v>0</v>
      </c>
      <c r="O86" s="204">
        <f>IF(DG!$A$130&gt;12,0,IF(J86-J85&gt;0,MROUND((L86/12*Q85),1),MROUND(L86/12*P85,1)))</f>
        <v>0</v>
      </c>
      <c r="P86" s="204">
        <f t="shared" si="11"/>
        <v>0</v>
      </c>
      <c r="Q86" s="204">
        <f t="shared" si="4"/>
        <v>0</v>
      </c>
      <c r="R86" s="748">
        <v>0</v>
      </c>
      <c r="S86" s="511">
        <f t="shared" si="24"/>
        <v>0</v>
      </c>
    </row>
    <row r="87" spans="1:19" ht="14" thickTop="1" thickBot="1">
      <c r="A87" s="202">
        <f t="shared" si="5"/>
        <v>47150</v>
      </c>
      <c r="B87" s="65">
        <f t="shared" si="25"/>
        <v>0</v>
      </c>
      <c r="C87" s="65">
        <f t="shared" si="17"/>
        <v>0</v>
      </c>
      <c r="D87" s="65">
        <f t="shared" si="18"/>
        <v>62</v>
      </c>
      <c r="E87" s="65">
        <f t="shared" si="19"/>
        <v>0</v>
      </c>
      <c r="F87" s="65">
        <f>IF(OR(L$73=0,DG!$A$251&gt;16),0,F86+1)</f>
        <v>0</v>
      </c>
      <c r="G87" s="65">
        <f t="shared" si="20"/>
        <v>0</v>
      </c>
      <c r="H87" s="65">
        <f t="shared" si="21"/>
        <v>0</v>
      </c>
      <c r="I87" s="65">
        <f t="shared" si="22"/>
        <v>0</v>
      </c>
      <c r="J87" s="203">
        <f>IF(DG!$A$130&lt;=11,$M$17,0)</f>
        <v>0</v>
      </c>
      <c r="K87" s="65">
        <f t="shared" si="23"/>
        <v>0</v>
      </c>
      <c r="L87" s="473">
        <f t="shared" si="8"/>
        <v>0</v>
      </c>
      <c r="M87" s="204">
        <f t="shared" si="9"/>
        <v>0</v>
      </c>
      <c r="N87" s="505">
        <f t="shared" si="10"/>
        <v>0</v>
      </c>
      <c r="O87" s="204">
        <f>IF(DG!$A$130&gt;12,0,IF(J87-J86&gt;0,MROUND((L87/12*Q86),1),MROUND(L87/12*P86,1)))</f>
        <v>0</v>
      </c>
      <c r="P87" s="204">
        <f t="shared" si="11"/>
        <v>0</v>
      </c>
      <c r="Q87" s="204">
        <f t="shared" si="4"/>
        <v>0</v>
      </c>
      <c r="R87" s="748">
        <v>0</v>
      </c>
      <c r="S87" s="511">
        <f t="shared" si="24"/>
        <v>0</v>
      </c>
    </row>
    <row r="88" spans="1:19" ht="14" thickTop="1" thickBot="1">
      <c r="A88" s="202">
        <f t="shared" si="5"/>
        <v>47178</v>
      </c>
      <c r="B88" s="65">
        <f t="shared" si="25"/>
        <v>0</v>
      </c>
      <c r="C88" s="65">
        <f t="shared" si="17"/>
        <v>0</v>
      </c>
      <c r="D88" s="65">
        <f t="shared" si="18"/>
        <v>63</v>
      </c>
      <c r="E88" s="65">
        <f t="shared" si="19"/>
        <v>0</v>
      </c>
      <c r="F88" s="65">
        <f>IF(OR(L$73=0,DG!$A$251&gt;16),0,F87+1)</f>
        <v>0</v>
      </c>
      <c r="G88" s="65">
        <f t="shared" si="20"/>
        <v>0</v>
      </c>
      <c r="H88" s="65">
        <f t="shared" si="21"/>
        <v>0</v>
      </c>
      <c r="I88" s="65">
        <f t="shared" si="22"/>
        <v>0</v>
      </c>
      <c r="J88" s="203">
        <f>IF(DG!$A$130&lt;=11,$M$17,0)</f>
        <v>0</v>
      </c>
      <c r="K88" s="65">
        <f t="shared" si="23"/>
        <v>0</v>
      </c>
      <c r="L88" s="473">
        <f t="shared" si="8"/>
        <v>0</v>
      </c>
      <c r="M88" s="204">
        <f t="shared" si="9"/>
        <v>0</v>
      </c>
      <c r="N88" s="505">
        <f t="shared" si="10"/>
        <v>0</v>
      </c>
      <c r="O88" s="204">
        <f>IF(DG!$A$130&gt;12,0,IF(J88-J87&gt;0,MROUND((L88/12*Q87),1),MROUND(L88/12*P87,1)))</f>
        <v>0</v>
      </c>
      <c r="P88" s="204">
        <f t="shared" si="11"/>
        <v>0</v>
      </c>
      <c r="Q88" s="204">
        <f t="shared" si="4"/>
        <v>0</v>
      </c>
      <c r="R88" s="748">
        <v>0</v>
      </c>
      <c r="S88" s="511">
        <f t="shared" si="24"/>
        <v>0</v>
      </c>
    </row>
    <row r="89" spans="1:19" ht="14" thickTop="1" thickBot="1">
      <c r="A89" s="202">
        <f t="shared" si="5"/>
        <v>47209</v>
      </c>
      <c r="B89" s="65">
        <f t="shared" si="25"/>
        <v>0</v>
      </c>
      <c r="C89" s="65">
        <f t="shared" si="17"/>
        <v>0</v>
      </c>
      <c r="D89" s="65">
        <f t="shared" si="18"/>
        <v>64</v>
      </c>
      <c r="E89" s="65">
        <f t="shared" si="19"/>
        <v>0</v>
      </c>
      <c r="F89" s="65">
        <f>IF(OR(L$73=0,DG!$A$251&gt;16),0,F88+1)</f>
        <v>0</v>
      </c>
      <c r="G89" s="65">
        <f t="shared" si="20"/>
        <v>0</v>
      </c>
      <c r="H89" s="65">
        <f t="shared" si="21"/>
        <v>0</v>
      </c>
      <c r="I89" s="65">
        <f t="shared" si="22"/>
        <v>0</v>
      </c>
      <c r="J89" s="203">
        <f>IF(DG!$A$130&lt;=11,$M$17,0)</f>
        <v>0</v>
      </c>
      <c r="K89" s="65">
        <f t="shared" si="23"/>
        <v>0</v>
      </c>
      <c r="L89" s="473">
        <f t="shared" si="8"/>
        <v>0</v>
      </c>
      <c r="M89" s="204">
        <f t="shared" si="9"/>
        <v>0</v>
      </c>
      <c r="N89" s="505">
        <f t="shared" si="10"/>
        <v>0</v>
      </c>
      <c r="O89" s="204">
        <f>IF(DG!$A$130&gt;12,0,IF(J89-J88&gt;0,MROUND((L89/12*Q88),1),MROUND(L89/12*P88,1)))</f>
        <v>0</v>
      </c>
      <c r="P89" s="204">
        <f t="shared" si="11"/>
        <v>0</v>
      </c>
      <c r="Q89" s="204">
        <f t="shared" si="4"/>
        <v>0</v>
      </c>
      <c r="R89" s="748">
        <v>0</v>
      </c>
      <c r="S89" s="511">
        <f t="shared" si="24"/>
        <v>0</v>
      </c>
    </row>
    <row r="90" spans="1:19" ht="14" thickTop="1" thickBot="1">
      <c r="A90" s="202">
        <f t="shared" si="5"/>
        <v>47239</v>
      </c>
      <c r="B90" s="65">
        <f t="shared" si="25"/>
        <v>0</v>
      </c>
      <c r="C90" s="65">
        <f t="shared" si="17"/>
        <v>0</v>
      </c>
      <c r="D90" s="65">
        <f t="shared" si="18"/>
        <v>65</v>
      </c>
      <c r="E90" s="65">
        <f t="shared" si="19"/>
        <v>0</v>
      </c>
      <c r="F90" s="65">
        <f>IF(OR(L$73=0,DG!$A$251&gt;16),0,F89+1)</f>
        <v>0</v>
      </c>
      <c r="G90" s="65">
        <f t="shared" si="20"/>
        <v>0</v>
      </c>
      <c r="H90" s="65">
        <f t="shared" si="21"/>
        <v>0</v>
      </c>
      <c r="I90" s="65">
        <f t="shared" si="22"/>
        <v>0</v>
      </c>
      <c r="J90" s="203">
        <f>IF(DG!$A$130&lt;=11,$M$17,0)</f>
        <v>0</v>
      </c>
      <c r="K90" s="65">
        <f t="shared" si="23"/>
        <v>0</v>
      </c>
      <c r="L90" s="473">
        <f t="shared" si="8"/>
        <v>0</v>
      </c>
      <c r="M90" s="204">
        <f t="shared" si="9"/>
        <v>0</v>
      </c>
      <c r="N90" s="505">
        <f t="shared" si="10"/>
        <v>0</v>
      </c>
      <c r="O90" s="204">
        <f>IF(DG!$A$130&gt;12,0,IF(J90-J89&gt;0,MROUND((L90/12*Q89),1),MROUND(L90/12*P89,1)))</f>
        <v>0</v>
      </c>
      <c r="P90" s="204">
        <f t="shared" si="11"/>
        <v>0</v>
      </c>
      <c r="Q90" s="204">
        <f t="shared" ref="Q90:Q153" si="26">IF(AND(P90=0,P91&gt;0),J91,P90)</f>
        <v>0</v>
      </c>
      <c r="R90" s="748">
        <v>0</v>
      </c>
      <c r="S90" s="511">
        <f t="shared" si="24"/>
        <v>0</v>
      </c>
    </row>
    <row r="91" spans="1:19" ht="14" thickTop="1" thickBot="1">
      <c r="A91" s="202">
        <f t="shared" ref="A91:A154" si="27">EDATE(A90,1)</f>
        <v>47270</v>
      </c>
      <c r="B91" s="65">
        <f t="shared" si="25"/>
        <v>0</v>
      </c>
      <c r="C91" s="65">
        <f t="shared" si="17"/>
        <v>0</v>
      </c>
      <c r="D91" s="65">
        <f t="shared" si="18"/>
        <v>66</v>
      </c>
      <c r="E91" s="65">
        <f t="shared" si="19"/>
        <v>0</v>
      </c>
      <c r="F91" s="65">
        <f>IF(OR(L$73=0,DG!$A$251&gt;16),0,F90+1)</f>
        <v>0</v>
      </c>
      <c r="G91" s="65">
        <f t="shared" si="20"/>
        <v>0</v>
      </c>
      <c r="H91" s="65">
        <f t="shared" si="21"/>
        <v>0</v>
      </c>
      <c r="I91" s="65">
        <f t="shared" si="22"/>
        <v>0</v>
      </c>
      <c r="J91" s="203">
        <f>IF(DG!$A$130&lt;=11,$M$17,0)</f>
        <v>0</v>
      </c>
      <c r="K91" s="65">
        <f t="shared" si="23"/>
        <v>0</v>
      </c>
      <c r="L91" s="473">
        <f t="shared" ref="L91:L154" si="28">IF($M$17&gt;0,$M$19+0.0000001,0)</f>
        <v>0</v>
      </c>
      <c r="M91" s="204">
        <f t="shared" ref="M91:M154" si="29">IF(H91=0,0,IF($R$13=1,N91+O91,IF(N91=0,O91,-PMT(L91/12,K91-$G$269,J91))))</f>
        <v>0</v>
      </c>
      <c r="N91" s="505">
        <f t="shared" ref="N91:N154" si="30">IF(OR(H91-K91&gt;0,I91&gt;=0),0,MROUND(-PPMT(L91/12,H91,K91-G334,J91),1)+R91)</f>
        <v>0</v>
      </c>
      <c r="O91" s="204">
        <f>IF(DG!$A$130&gt;12,0,IF(J91-J90&gt;0,MROUND((L91/12*Q90),1),MROUND(L91/12*P90,1)))</f>
        <v>0</v>
      </c>
      <c r="P91" s="204">
        <f t="shared" ref="P91:P154" si="31">IF(OR(G91+H91=0,J91-N91&lt;1),0,IF(P90&gt;1,P90-N91,J92-N91))</f>
        <v>0</v>
      </c>
      <c r="Q91" s="204">
        <f t="shared" si="26"/>
        <v>0</v>
      </c>
      <c r="R91" s="748">
        <v>0</v>
      </c>
      <c r="S91" s="511">
        <f t="shared" si="24"/>
        <v>0</v>
      </c>
    </row>
    <row r="92" spans="1:19" ht="14" thickTop="1" thickBot="1">
      <c r="A92" s="202">
        <f t="shared" si="27"/>
        <v>47300</v>
      </c>
      <c r="B92" s="65">
        <f t="shared" si="25"/>
        <v>0</v>
      </c>
      <c r="C92" s="65">
        <f t="shared" si="17"/>
        <v>0</v>
      </c>
      <c r="D92" s="65">
        <f t="shared" si="18"/>
        <v>67</v>
      </c>
      <c r="E92" s="65">
        <f t="shared" si="19"/>
        <v>0</v>
      </c>
      <c r="F92" s="65">
        <f>IF(OR(L$73=0,DG!$A$251&gt;16),0,F91+1)</f>
        <v>0</v>
      </c>
      <c r="G92" s="65">
        <f t="shared" si="20"/>
        <v>0</v>
      </c>
      <c r="H92" s="65">
        <f t="shared" si="21"/>
        <v>0</v>
      </c>
      <c r="I92" s="65">
        <f t="shared" si="22"/>
        <v>0</v>
      </c>
      <c r="J92" s="203">
        <f>IF(DG!$A$130&lt;=11,$M$17,0)</f>
        <v>0</v>
      </c>
      <c r="K92" s="65">
        <f t="shared" si="23"/>
        <v>0</v>
      </c>
      <c r="L92" s="473">
        <f t="shared" si="28"/>
        <v>0</v>
      </c>
      <c r="M92" s="204">
        <f t="shared" si="29"/>
        <v>0</v>
      </c>
      <c r="N92" s="505">
        <f t="shared" si="30"/>
        <v>0</v>
      </c>
      <c r="O92" s="204">
        <f>IF(DG!$A$130&gt;12,0,IF(J92-J91&gt;0,MROUND((L92/12*Q91),1),MROUND(L92/12*P91,1)))</f>
        <v>0</v>
      </c>
      <c r="P92" s="204">
        <f t="shared" si="31"/>
        <v>0</v>
      </c>
      <c r="Q92" s="204">
        <f t="shared" si="26"/>
        <v>0</v>
      </c>
      <c r="R92" s="748">
        <v>0</v>
      </c>
      <c r="S92" s="511">
        <f t="shared" si="24"/>
        <v>0</v>
      </c>
    </row>
    <row r="93" spans="1:19" ht="14" thickTop="1" thickBot="1">
      <c r="A93" s="202">
        <f t="shared" si="27"/>
        <v>47331</v>
      </c>
      <c r="B93" s="65">
        <f t="shared" si="25"/>
        <v>0</v>
      </c>
      <c r="C93" s="65">
        <f t="shared" si="17"/>
        <v>0</v>
      </c>
      <c r="D93" s="65">
        <f t="shared" si="18"/>
        <v>68</v>
      </c>
      <c r="E93" s="65">
        <f t="shared" si="19"/>
        <v>0</v>
      </c>
      <c r="F93" s="65">
        <f>IF(OR(L$73=0,DG!$A$251&gt;16),0,F92+1)</f>
        <v>0</v>
      </c>
      <c r="G93" s="65">
        <f t="shared" si="20"/>
        <v>0</v>
      </c>
      <c r="H93" s="65">
        <f t="shared" si="21"/>
        <v>0</v>
      </c>
      <c r="I93" s="65">
        <f t="shared" si="22"/>
        <v>0</v>
      </c>
      <c r="J93" s="203">
        <f>IF(DG!$A$130&lt;=11,$M$17,0)</f>
        <v>0</v>
      </c>
      <c r="K93" s="65">
        <f t="shared" si="23"/>
        <v>0</v>
      </c>
      <c r="L93" s="473">
        <f t="shared" si="28"/>
        <v>0</v>
      </c>
      <c r="M93" s="204">
        <f t="shared" si="29"/>
        <v>0</v>
      </c>
      <c r="N93" s="505">
        <f t="shared" si="30"/>
        <v>0</v>
      </c>
      <c r="O93" s="204">
        <f>IF(DG!$A$130&gt;12,0,IF(J93-J92&gt;0,MROUND((L93/12*Q92),1),MROUND(L93/12*P92,1)))</f>
        <v>0</v>
      </c>
      <c r="P93" s="204">
        <f t="shared" si="31"/>
        <v>0</v>
      </c>
      <c r="Q93" s="204">
        <f t="shared" si="26"/>
        <v>0</v>
      </c>
      <c r="R93" s="748">
        <v>0</v>
      </c>
      <c r="S93" s="511">
        <f t="shared" si="24"/>
        <v>0</v>
      </c>
    </row>
    <row r="94" spans="1:19" ht="14" thickTop="1" thickBot="1">
      <c r="A94" s="202">
        <f t="shared" si="27"/>
        <v>47362</v>
      </c>
      <c r="B94" s="65">
        <f t="shared" si="25"/>
        <v>0</v>
      </c>
      <c r="C94" s="65">
        <f t="shared" si="17"/>
        <v>0</v>
      </c>
      <c r="D94" s="65">
        <f t="shared" si="18"/>
        <v>69</v>
      </c>
      <c r="E94" s="65">
        <f t="shared" si="19"/>
        <v>0</v>
      </c>
      <c r="F94" s="65">
        <f>IF(OR(L$73=0,DG!$A$251&gt;16),0,F93+1)</f>
        <v>0</v>
      </c>
      <c r="G94" s="65">
        <f t="shared" si="20"/>
        <v>0</v>
      </c>
      <c r="H94" s="65">
        <f t="shared" si="21"/>
        <v>0</v>
      </c>
      <c r="I94" s="65">
        <f t="shared" si="22"/>
        <v>0</v>
      </c>
      <c r="J94" s="203">
        <f>IF(DG!$A$130&lt;=11,$M$17,0)</f>
        <v>0</v>
      </c>
      <c r="K94" s="65">
        <f t="shared" si="23"/>
        <v>0</v>
      </c>
      <c r="L94" s="473">
        <f t="shared" si="28"/>
        <v>0</v>
      </c>
      <c r="M94" s="204">
        <f t="shared" si="29"/>
        <v>0</v>
      </c>
      <c r="N94" s="505">
        <f t="shared" si="30"/>
        <v>0</v>
      </c>
      <c r="O94" s="204">
        <f>IF(DG!$A$130&gt;12,0,IF(J94-J93&gt;0,MROUND((L94/12*Q93),1),MROUND(L94/12*P93,1)))</f>
        <v>0</v>
      </c>
      <c r="P94" s="204">
        <f t="shared" si="31"/>
        <v>0</v>
      </c>
      <c r="Q94" s="204">
        <f t="shared" si="26"/>
        <v>0</v>
      </c>
      <c r="R94" s="748">
        <v>0</v>
      </c>
      <c r="S94" s="511">
        <f t="shared" si="24"/>
        <v>0</v>
      </c>
    </row>
    <row r="95" spans="1:19" ht="14" thickTop="1" thickBot="1">
      <c r="A95" s="202">
        <f t="shared" si="27"/>
        <v>47392</v>
      </c>
      <c r="B95" s="65">
        <f t="shared" si="25"/>
        <v>0</v>
      </c>
      <c r="C95" s="65">
        <f t="shared" si="17"/>
        <v>0</v>
      </c>
      <c r="D95" s="65">
        <f t="shared" si="18"/>
        <v>70</v>
      </c>
      <c r="E95" s="65">
        <f t="shared" si="19"/>
        <v>0</v>
      </c>
      <c r="F95" s="65">
        <f>IF(OR(L$73=0,DG!$A$251&gt;16),0,F94+1)</f>
        <v>0</v>
      </c>
      <c r="G95" s="65">
        <f t="shared" si="20"/>
        <v>0</v>
      </c>
      <c r="H95" s="65">
        <f t="shared" si="21"/>
        <v>0</v>
      </c>
      <c r="I95" s="65">
        <f t="shared" si="22"/>
        <v>0</v>
      </c>
      <c r="J95" s="203">
        <f>IF(DG!$A$130&lt;=11,$M$17,0)</f>
        <v>0</v>
      </c>
      <c r="K95" s="65">
        <f t="shared" si="23"/>
        <v>0</v>
      </c>
      <c r="L95" s="473">
        <f t="shared" si="28"/>
        <v>0</v>
      </c>
      <c r="M95" s="204">
        <f t="shared" si="29"/>
        <v>0</v>
      </c>
      <c r="N95" s="505">
        <f t="shared" si="30"/>
        <v>0</v>
      </c>
      <c r="O95" s="204">
        <f>IF(DG!$A$130&gt;12,0,IF(J95-J94&gt;0,MROUND((L95/12*Q94),1),MROUND(L95/12*P94,1)))</f>
        <v>0</v>
      </c>
      <c r="P95" s="204">
        <f t="shared" si="31"/>
        <v>0</v>
      </c>
      <c r="Q95" s="204">
        <f t="shared" si="26"/>
        <v>0</v>
      </c>
      <c r="R95" s="748">
        <v>0</v>
      </c>
      <c r="S95" s="511">
        <f t="shared" si="24"/>
        <v>0</v>
      </c>
    </row>
    <row r="96" spans="1:19" ht="14" thickTop="1" thickBot="1">
      <c r="A96" s="202">
        <f t="shared" si="27"/>
        <v>47423</v>
      </c>
      <c r="B96" s="65">
        <f t="shared" si="25"/>
        <v>0</v>
      </c>
      <c r="C96" s="65">
        <f t="shared" si="17"/>
        <v>0</v>
      </c>
      <c r="D96" s="65">
        <f t="shared" si="18"/>
        <v>71</v>
      </c>
      <c r="E96" s="65">
        <f t="shared" si="19"/>
        <v>0</v>
      </c>
      <c r="F96" s="65">
        <f>IF(OR(L$73=0,DG!$A$251&gt;16),0,F95+1)</f>
        <v>0</v>
      </c>
      <c r="G96" s="65">
        <f t="shared" si="20"/>
        <v>0</v>
      </c>
      <c r="H96" s="65">
        <f t="shared" si="21"/>
        <v>0</v>
      </c>
      <c r="I96" s="65">
        <f t="shared" si="22"/>
        <v>0</v>
      </c>
      <c r="J96" s="203">
        <f>IF(DG!$A$130&lt;=11,$M$17,0)</f>
        <v>0</v>
      </c>
      <c r="K96" s="65">
        <f t="shared" si="23"/>
        <v>0</v>
      </c>
      <c r="L96" s="473">
        <f t="shared" si="28"/>
        <v>0</v>
      </c>
      <c r="M96" s="204">
        <f t="shared" si="29"/>
        <v>0</v>
      </c>
      <c r="N96" s="505">
        <f t="shared" si="30"/>
        <v>0</v>
      </c>
      <c r="O96" s="204">
        <f>IF(DG!$A$130&gt;12,0,IF(J96-J95&gt;0,MROUND((L96/12*Q95),1),MROUND(L96/12*P95,1)))</f>
        <v>0</v>
      </c>
      <c r="P96" s="204">
        <f t="shared" si="31"/>
        <v>0</v>
      </c>
      <c r="Q96" s="204">
        <f t="shared" si="26"/>
        <v>0</v>
      </c>
      <c r="R96" s="748">
        <v>0</v>
      </c>
      <c r="S96" s="511">
        <f t="shared" si="24"/>
        <v>0</v>
      </c>
    </row>
    <row r="97" spans="1:19" ht="14" thickTop="1" thickBot="1">
      <c r="A97" s="202">
        <f t="shared" si="27"/>
        <v>47453</v>
      </c>
      <c r="B97" s="65">
        <f t="shared" si="25"/>
        <v>0</v>
      </c>
      <c r="C97" s="65">
        <f t="shared" si="17"/>
        <v>0</v>
      </c>
      <c r="D97" s="65">
        <f t="shared" si="18"/>
        <v>72</v>
      </c>
      <c r="E97" s="65">
        <f t="shared" si="19"/>
        <v>0</v>
      </c>
      <c r="F97" s="65">
        <f>IF(OR(L$73=0,DG!$A$251&gt;16),0,F96+1)</f>
        <v>0</v>
      </c>
      <c r="G97" s="65">
        <f t="shared" si="20"/>
        <v>0</v>
      </c>
      <c r="H97" s="65">
        <f t="shared" si="21"/>
        <v>0</v>
      </c>
      <c r="I97" s="65">
        <f t="shared" si="22"/>
        <v>0</v>
      </c>
      <c r="J97" s="203">
        <f>IF(DG!$A$130&lt;=11,$M$17,0)</f>
        <v>0</v>
      </c>
      <c r="K97" s="65">
        <f t="shared" si="23"/>
        <v>0</v>
      </c>
      <c r="L97" s="473">
        <f t="shared" si="28"/>
        <v>0</v>
      </c>
      <c r="M97" s="204">
        <f t="shared" si="29"/>
        <v>0</v>
      </c>
      <c r="N97" s="505">
        <f t="shared" si="30"/>
        <v>0</v>
      </c>
      <c r="O97" s="204">
        <f>IF(DG!$A$130&gt;12,0,IF(J97-J96&gt;0,MROUND((L97/12*Q96),1),MROUND(L97/12*P96,1)))</f>
        <v>0</v>
      </c>
      <c r="P97" s="204">
        <f t="shared" si="31"/>
        <v>0</v>
      </c>
      <c r="Q97" s="204">
        <f t="shared" si="26"/>
        <v>0</v>
      </c>
      <c r="R97" s="748">
        <v>0</v>
      </c>
      <c r="S97" s="511">
        <f t="shared" si="24"/>
        <v>0</v>
      </c>
    </row>
    <row r="98" spans="1:19" ht="14" thickTop="1" thickBot="1">
      <c r="A98" s="202">
        <f t="shared" si="27"/>
        <v>47484</v>
      </c>
      <c r="B98" s="65">
        <f t="shared" si="25"/>
        <v>0</v>
      </c>
      <c r="C98" s="65">
        <f t="shared" si="17"/>
        <v>0</v>
      </c>
      <c r="D98" s="65">
        <f t="shared" si="18"/>
        <v>73</v>
      </c>
      <c r="E98" s="65">
        <f t="shared" si="19"/>
        <v>0</v>
      </c>
      <c r="F98" s="65">
        <f>IF(OR(L$73=0,DG!$A$251&gt;16),0,F97+1)</f>
        <v>0</v>
      </c>
      <c r="G98" s="65">
        <f t="shared" si="20"/>
        <v>0</v>
      </c>
      <c r="H98" s="65">
        <f t="shared" si="21"/>
        <v>0</v>
      </c>
      <c r="I98" s="65">
        <f t="shared" si="22"/>
        <v>0</v>
      </c>
      <c r="J98" s="203">
        <f>IF(DG!$A$130&lt;=11,$M$17,0)</f>
        <v>0</v>
      </c>
      <c r="K98" s="65">
        <f t="shared" si="23"/>
        <v>0</v>
      </c>
      <c r="L98" s="473">
        <f t="shared" si="28"/>
        <v>0</v>
      </c>
      <c r="M98" s="204">
        <f t="shared" si="29"/>
        <v>0</v>
      </c>
      <c r="N98" s="505">
        <f t="shared" si="30"/>
        <v>0</v>
      </c>
      <c r="O98" s="204">
        <f>IF(DG!$A$130&gt;12,0,IF(J98-J97&gt;0,MROUND((L98/12*Q97),1),MROUND(L98/12*P97,1)))</f>
        <v>0</v>
      </c>
      <c r="P98" s="204">
        <f t="shared" si="31"/>
        <v>0</v>
      </c>
      <c r="Q98" s="204">
        <f t="shared" si="26"/>
        <v>0</v>
      </c>
      <c r="R98" s="748">
        <v>0</v>
      </c>
      <c r="S98" s="511">
        <f t="shared" si="24"/>
        <v>0</v>
      </c>
    </row>
    <row r="99" spans="1:19" ht="14" thickTop="1" thickBot="1">
      <c r="A99" s="202">
        <f t="shared" si="27"/>
        <v>47515</v>
      </c>
      <c r="B99" s="65">
        <f t="shared" si="25"/>
        <v>0</v>
      </c>
      <c r="C99" s="65">
        <f t="shared" si="17"/>
        <v>0</v>
      </c>
      <c r="D99" s="65">
        <f t="shared" si="18"/>
        <v>74</v>
      </c>
      <c r="E99" s="65">
        <f t="shared" si="19"/>
        <v>0</v>
      </c>
      <c r="F99" s="65">
        <f>IF(OR(L$73=0,DG!$A$251&gt;16),0,F98+1)</f>
        <v>0</v>
      </c>
      <c r="G99" s="65">
        <f t="shared" si="20"/>
        <v>0</v>
      </c>
      <c r="H99" s="65">
        <f t="shared" si="21"/>
        <v>0</v>
      </c>
      <c r="I99" s="65">
        <f t="shared" si="22"/>
        <v>0</v>
      </c>
      <c r="J99" s="203">
        <f>IF(DG!$A$130&lt;=11,$M$17,0)</f>
        <v>0</v>
      </c>
      <c r="K99" s="65">
        <f t="shared" si="23"/>
        <v>0</v>
      </c>
      <c r="L99" s="473">
        <f t="shared" si="28"/>
        <v>0</v>
      </c>
      <c r="M99" s="204">
        <f t="shared" si="29"/>
        <v>0</v>
      </c>
      <c r="N99" s="505">
        <f t="shared" si="30"/>
        <v>0</v>
      </c>
      <c r="O99" s="204">
        <f>IF(DG!$A$130&gt;12,0,IF(J99-J98&gt;0,MROUND((L99/12*Q98),1),MROUND(L99/12*P98,1)))</f>
        <v>0</v>
      </c>
      <c r="P99" s="204">
        <f t="shared" si="31"/>
        <v>0</v>
      </c>
      <c r="Q99" s="204">
        <f t="shared" si="26"/>
        <v>0</v>
      </c>
      <c r="R99" s="748">
        <v>0</v>
      </c>
      <c r="S99" s="511">
        <f t="shared" si="24"/>
        <v>0</v>
      </c>
    </row>
    <row r="100" spans="1:19" ht="14" thickTop="1" thickBot="1">
      <c r="A100" s="202">
        <f t="shared" si="27"/>
        <v>47543</v>
      </c>
      <c r="B100" s="65">
        <f t="shared" si="25"/>
        <v>0</v>
      </c>
      <c r="C100" s="65">
        <f t="shared" si="17"/>
        <v>0</v>
      </c>
      <c r="D100" s="65">
        <f t="shared" si="18"/>
        <v>75</v>
      </c>
      <c r="E100" s="65">
        <f t="shared" si="19"/>
        <v>0</v>
      </c>
      <c r="F100" s="65">
        <f>IF(OR(L$73=0,DG!$A$251&gt;16),0,F99+1)</f>
        <v>0</v>
      </c>
      <c r="G100" s="65">
        <f t="shared" si="20"/>
        <v>0</v>
      </c>
      <c r="H100" s="65">
        <f t="shared" si="21"/>
        <v>0</v>
      </c>
      <c r="I100" s="65">
        <f t="shared" si="22"/>
        <v>0</v>
      </c>
      <c r="J100" s="203">
        <f>IF(DG!$A$130&lt;=11,$M$17,0)</f>
        <v>0</v>
      </c>
      <c r="K100" s="65">
        <f t="shared" si="23"/>
        <v>0</v>
      </c>
      <c r="L100" s="473">
        <f t="shared" si="28"/>
        <v>0</v>
      </c>
      <c r="M100" s="204">
        <f t="shared" si="29"/>
        <v>0</v>
      </c>
      <c r="N100" s="505">
        <f t="shared" si="30"/>
        <v>0</v>
      </c>
      <c r="O100" s="204">
        <f>IF(DG!$A$130&gt;12,0,IF(J100-J99&gt;0,MROUND((L100/12*Q99),1),MROUND(L100/12*P99,1)))</f>
        <v>0</v>
      </c>
      <c r="P100" s="204">
        <f t="shared" si="31"/>
        <v>0</v>
      </c>
      <c r="Q100" s="204">
        <f t="shared" si="26"/>
        <v>0</v>
      </c>
      <c r="R100" s="748">
        <v>0</v>
      </c>
      <c r="S100" s="511">
        <f t="shared" si="24"/>
        <v>0</v>
      </c>
    </row>
    <row r="101" spans="1:19" ht="14" thickTop="1" thickBot="1">
      <c r="A101" s="202">
        <f t="shared" si="27"/>
        <v>47574</v>
      </c>
      <c r="B101" s="65">
        <f t="shared" si="25"/>
        <v>0</v>
      </c>
      <c r="C101" s="65">
        <f t="shared" si="17"/>
        <v>0</v>
      </c>
      <c r="D101" s="65">
        <f t="shared" si="18"/>
        <v>76</v>
      </c>
      <c r="E101" s="65">
        <f t="shared" si="19"/>
        <v>0</v>
      </c>
      <c r="F101" s="65">
        <f>IF(OR(L$73=0,DG!$A$251&gt;16),0,F100+1)</f>
        <v>0</v>
      </c>
      <c r="G101" s="65">
        <f t="shared" si="20"/>
        <v>0</v>
      </c>
      <c r="H101" s="65">
        <f t="shared" si="21"/>
        <v>0</v>
      </c>
      <c r="I101" s="65">
        <f t="shared" si="22"/>
        <v>0</v>
      </c>
      <c r="J101" s="203">
        <f>IF(DG!$A$130&lt;=11,$M$17,0)</f>
        <v>0</v>
      </c>
      <c r="K101" s="65">
        <f t="shared" si="23"/>
        <v>0</v>
      </c>
      <c r="L101" s="473">
        <f t="shared" si="28"/>
        <v>0</v>
      </c>
      <c r="M101" s="204">
        <f t="shared" si="29"/>
        <v>0</v>
      </c>
      <c r="N101" s="505">
        <f t="shared" si="30"/>
        <v>0</v>
      </c>
      <c r="O101" s="204">
        <f>IF(DG!$A$130&gt;12,0,IF(J101-J100&gt;0,MROUND((L101/12*Q100),1),MROUND(L101/12*P100,1)))</f>
        <v>0</v>
      </c>
      <c r="P101" s="204">
        <f t="shared" si="31"/>
        <v>0</v>
      </c>
      <c r="Q101" s="204">
        <f t="shared" si="26"/>
        <v>0</v>
      </c>
      <c r="R101" s="748">
        <v>0</v>
      </c>
      <c r="S101" s="511">
        <f t="shared" si="24"/>
        <v>0</v>
      </c>
    </row>
    <row r="102" spans="1:19" ht="14" thickTop="1" thickBot="1">
      <c r="A102" s="202">
        <f t="shared" si="27"/>
        <v>47604</v>
      </c>
      <c r="B102" s="65">
        <f t="shared" si="25"/>
        <v>0</v>
      </c>
      <c r="C102" s="65">
        <f t="shared" si="17"/>
        <v>0</v>
      </c>
      <c r="D102" s="65">
        <f t="shared" si="18"/>
        <v>77</v>
      </c>
      <c r="E102" s="65">
        <f t="shared" si="19"/>
        <v>0</v>
      </c>
      <c r="F102" s="65">
        <f>IF(OR(L$73=0,DG!$A$251&gt;16),0,F101+1)</f>
        <v>0</v>
      </c>
      <c r="G102" s="65">
        <f t="shared" si="20"/>
        <v>0</v>
      </c>
      <c r="H102" s="65">
        <f t="shared" si="21"/>
        <v>0</v>
      </c>
      <c r="I102" s="65">
        <f t="shared" si="22"/>
        <v>0</v>
      </c>
      <c r="J102" s="203">
        <f>IF(DG!$A$130&lt;=11,$M$17,0)</f>
        <v>0</v>
      </c>
      <c r="K102" s="65">
        <f t="shared" si="23"/>
        <v>0</v>
      </c>
      <c r="L102" s="473">
        <f t="shared" si="28"/>
        <v>0</v>
      </c>
      <c r="M102" s="204">
        <f t="shared" si="29"/>
        <v>0</v>
      </c>
      <c r="N102" s="505">
        <f t="shared" si="30"/>
        <v>0</v>
      </c>
      <c r="O102" s="204">
        <f>IF(DG!$A$130&gt;12,0,IF(J102-J101&gt;0,MROUND((L102/12*Q101),1),MROUND(L102/12*P101,1)))</f>
        <v>0</v>
      </c>
      <c r="P102" s="204">
        <f t="shared" si="31"/>
        <v>0</v>
      </c>
      <c r="Q102" s="204">
        <f t="shared" si="26"/>
        <v>0</v>
      </c>
      <c r="R102" s="748">
        <v>0</v>
      </c>
      <c r="S102" s="511">
        <f t="shared" si="24"/>
        <v>0</v>
      </c>
    </row>
    <row r="103" spans="1:19" ht="14" thickTop="1" thickBot="1">
      <c r="A103" s="202">
        <f t="shared" si="27"/>
        <v>47635</v>
      </c>
      <c r="B103" s="65">
        <f t="shared" si="25"/>
        <v>0</v>
      </c>
      <c r="C103" s="65">
        <f t="shared" si="17"/>
        <v>0</v>
      </c>
      <c r="D103" s="65">
        <f t="shared" si="18"/>
        <v>78</v>
      </c>
      <c r="E103" s="65">
        <f t="shared" si="19"/>
        <v>0</v>
      </c>
      <c r="F103" s="65">
        <f>IF(OR(L$73=0,DG!$A$251&gt;16),0,F102+1)</f>
        <v>0</v>
      </c>
      <c r="G103" s="65">
        <f t="shared" si="20"/>
        <v>0</v>
      </c>
      <c r="H103" s="65">
        <f t="shared" si="21"/>
        <v>0</v>
      </c>
      <c r="I103" s="65">
        <f t="shared" si="22"/>
        <v>0</v>
      </c>
      <c r="J103" s="203">
        <f>IF(DG!$A$130&lt;=11,$M$17,0)</f>
        <v>0</v>
      </c>
      <c r="K103" s="65">
        <f t="shared" si="23"/>
        <v>0</v>
      </c>
      <c r="L103" s="473">
        <f t="shared" si="28"/>
        <v>0</v>
      </c>
      <c r="M103" s="204">
        <f t="shared" si="29"/>
        <v>0</v>
      </c>
      <c r="N103" s="505">
        <f t="shared" si="30"/>
        <v>0</v>
      </c>
      <c r="O103" s="204">
        <f>IF(DG!$A$130&gt;12,0,IF(J103-J102&gt;0,MROUND((L103/12*Q102),1),MROUND(L103/12*P102,1)))</f>
        <v>0</v>
      </c>
      <c r="P103" s="204">
        <f t="shared" si="31"/>
        <v>0</v>
      </c>
      <c r="Q103" s="204">
        <f t="shared" si="26"/>
        <v>0</v>
      </c>
      <c r="R103" s="748">
        <v>0</v>
      </c>
      <c r="S103" s="511">
        <f t="shared" si="24"/>
        <v>0</v>
      </c>
    </row>
    <row r="104" spans="1:19" ht="14" thickTop="1" thickBot="1">
      <c r="A104" s="202">
        <f t="shared" si="27"/>
        <v>47665</v>
      </c>
      <c r="B104" s="65">
        <f t="shared" si="25"/>
        <v>0</v>
      </c>
      <c r="C104" s="65">
        <f t="shared" si="17"/>
        <v>0</v>
      </c>
      <c r="D104" s="65">
        <f t="shared" si="18"/>
        <v>79</v>
      </c>
      <c r="E104" s="65">
        <f t="shared" si="19"/>
        <v>0</v>
      </c>
      <c r="F104" s="65">
        <f>IF(OR(L$73=0,DG!$A$251&gt;16),0,F103+1)</f>
        <v>0</v>
      </c>
      <c r="G104" s="65">
        <f t="shared" si="20"/>
        <v>0</v>
      </c>
      <c r="H104" s="65">
        <f t="shared" si="21"/>
        <v>0</v>
      </c>
      <c r="I104" s="65">
        <f t="shared" si="22"/>
        <v>0</v>
      </c>
      <c r="J104" s="203">
        <f>IF(DG!$A$130&lt;=11,$M$17,0)</f>
        <v>0</v>
      </c>
      <c r="K104" s="65">
        <f t="shared" si="23"/>
        <v>0</v>
      </c>
      <c r="L104" s="473">
        <f t="shared" si="28"/>
        <v>0</v>
      </c>
      <c r="M104" s="204">
        <f t="shared" si="29"/>
        <v>0</v>
      </c>
      <c r="N104" s="505">
        <f t="shared" si="30"/>
        <v>0</v>
      </c>
      <c r="O104" s="204">
        <f>IF(DG!$A$130&gt;12,0,IF(J104-J103&gt;0,MROUND((L104/12*Q103),1),MROUND(L104/12*P103,1)))</f>
        <v>0</v>
      </c>
      <c r="P104" s="204">
        <f t="shared" si="31"/>
        <v>0</v>
      </c>
      <c r="Q104" s="204">
        <f t="shared" si="26"/>
        <v>0</v>
      </c>
      <c r="R104" s="748">
        <v>0</v>
      </c>
      <c r="S104" s="511">
        <f t="shared" si="24"/>
        <v>0</v>
      </c>
    </row>
    <row r="105" spans="1:19" ht="14" thickTop="1" thickBot="1">
      <c r="A105" s="202">
        <f t="shared" si="27"/>
        <v>47696</v>
      </c>
      <c r="B105" s="65">
        <f t="shared" si="25"/>
        <v>0</v>
      </c>
      <c r="C105" s="65">
        <f t="shared" si="17"/>
        <v>0</v>
      </c>
      <c r="D105" s="65">
        <f t="shared" si="18"/>
        <v>80</v>
      </c>
      <c r="E105" s="65">
        <f t="shared" si="19"/>
        <v>0</v>
      </c>
      <c r="F105" s="65">
        <f>IF(OR(L$73=0,DG!$A$251&gt;16),0,F104+1)</f>
        <v>0</v>
      </c>
      <c r="G105" s="65">
        <f t="shared" si="20"/>
        <v>0</v>
      </c>
      <c r="H105" s="65">
        <f t="shared" si="21"/>
        <v>0</v>
      </c>
      <c r="I105" s="65">
        <f t="shared" si="22"/>
        <v>0</v>
      </c>
      <c r="J105" s="203">
        <f>IF(DG!$A$130&lt;=11,$M$17,0)</f>
        <v>0</v>
      </c>
      <c r="K105" s="65">
        <f t="shared" si="23"/>
        <v>0</v>
      </c>
      <c r="L105" s="473">
        <f t="shared" si="28"/>
        <v>0</v>
      </c>
      <c r="M105" s="204">
        <f t="shared" si="29"/>
        <v>0</v>
      </c>
      <c r="N105" s="505">
        <f t="shared" si="30"/>
        <v>0</v>
      </c>
      <c r="O105" s="204">
        <f>IF(DG!$A$130&gt;12,0,IF(J105-J104&gt;0,MROUND((L105/12*Q104),1),MROUND(L105/12*P104,1)))</f>
        <v>0</v>
      </c>
      <c r="P105" s="204">
        <f t="shared" si="31"/>
        <v>0</v>
      </c>
      <c r="Q105" s="204">
        <f t="shared" si="26"/>
        <v>0</v>
      </c>
      <c r="R105" s="748">
        <v>0</v>
      </c>
      <c r="S105" s="511">
        <f t="shared" si="24"/>
        <v>0</v>
      </c>
    </row>
    <row r="106" spans="1:19" ht="14" thickTop="1" thickBot="1">
      <c r="A106" s="202">
        <f t="shared" si="27"/>
        <v>47727</v>
      </c>
      <c r="B106" s="65">
        <f t="shared" si="25"/>
        <v>0</v>
      </c>
      <c r="C106" s="65">
        <f t="shared" si="17"/>
        <v>0</v>
      </c>
      <c r="D106" s="65">
        <f t="shared" si="18"/>
        <v>81</v>
      </c>
      <c r="E106" s="65">
        <f t="shared" si="19"/>
        <v>0</v>
      </c>
      <c r="F106" s="65">
        <f>IF(OR(L$73=0,DG!$A$251&gt;16),0,F105+1)</f>
        <v>0</v>
      </c>
      <c r="G106" s="65">
        <f t="shared" si="20"/>
        <v>0</v>
      </c>
      <c r="H106" s="65">
        <f t="shared" si="21"/>
        <v>0</v>
      </c>
      <c r="I106" s="65">
        <f t="shared" si="22"/>
        <v>0</v>
      </c>
      <c r="J106" s="203">
        <f>IF(DG!$A$130&lt;=11,$M$17,0)</f>
        <v>0</v>
      </c>
      <c r="K106" s="65">
        <f t="shared" si="23"/>
        <v>0</v>
      </c>
      <c r="L106" s="473">
        <f t="shared" si="28"/>
        <v>0</v>
      </c>
      <c r="M106" s="204">
        <f t="shared" si="29"/>
        <v>0</v>
      </c>
      <c r="N106" s="505">
        <f t="shared" si="30"/>
        <v>0</v>
      </c>
      <c r="O106" s="204">
        <f>IF(DG!$A$130&gt;12,0,IF(J106-J105&gt;0,MROUND((L106/12*Q105),1),MROUND(L106/12*P105,1)))</f>
        <v>0</v>
      </c>
      <c r="P106" s="204">
        <f t="shared" si="31"/>
        <v>0</v>
      </c>
      <c r="Q106" s="204">
        <f t="shared" si="26"/>
        <v>0</v>
      </c>
      <c r="R106" s="748">
        <v>0</v>
      </c>
      <c r="S106" s="511">
        <f t="shared" si="24"/>
        <v>0</v>
      </c>
    </row>
    <row r="107" spans="1:19" ht="14" thickTop="1" thickBot="1">
      <c r="A107" s="202">
        <f t="shared" si="27"/>
        <v>47757</v>
      </c>
      <c r="B107" s="65">
        <f t="shared" si="25"/>
        <v>0</v>
      </c>
      <c r="C107" s="65">
        <f t="shared" si="17"/>
        <v>0</v>
      </c>
      <c r="D107" s="65">
        <f t="shared" si="18"/>
        <v>82</v>
      </c>
      <c r="E107" s="65">
        <f t="shared" si="19"/>
        <v>0</v>
      </c>
      <c r="F107" s="65">
        <f>IF(OR(L$73=0,DG!$A$251&gt;16),0,F106+1)</f>
        <v>0</v>
      </c>
      <c r="G107" s="65">
        <f t="shared" si="20"/>
        <v>0</v>
      </c>
      <c r="H107" s="65">
        <f t="shared" si="21"/>
        <v>0</v>
      </c>
      <c r="I107" s="65">
        <f t="shared" si="22"/>
        <v>0</v>
      </c>
      <c r="J107" s="203">
        <f>IF(DG!$A$130&lt;=11,$M$17,0)</f>
        <v>0</v>
      </c>
      <c r="K107" s="65">
        <f t="shared" si="23"/>
        <v>0</v>
      </c>
      <c r="L107" s="473">
        <f t="shared" si="28"/>
        <v>0</v>
      </c>
      <c r="M107" s="204">
        <f t="shared" si="29"/>
        <v>0</v>
      </c>
      <c r="N107" s="505">
        <f t="shared" si="30"/>
        <v>0</v>
      </c>
      <c r="O107" s="204">
        <f>IF(DG!$A$130&gt;12,0,IF(J107-J106&gt;0,MROUND((L107/12*Q106),1),MROUND(L107/12*P106,1)))</f>
        <v>0</v>
      </c>
      <c r="P107" s="204">
        <f t="shared" si="31"/>
        <v>0</v>
      </c>
      <c r="Q107" s="204">
        <f t="shared" si="26"/>
        <v>0</v>
      </c>
      <c r="R107" s="748">
        <v>0</v>
      </c>
      <c r="S107" s="511">
        <f t="shared" si="24"/>
        <v>0</v>
      </c>
    </row>
    <row r="108" spans="1:19" ht="14" thickTop="1" thickBot="1">
      <c r="A108" s="202">
        <f t="shared" si="27"/>
        <v>47788</v>
      </c>
      <c r="B108" s="65">
        <f t="shared" si="25"/>
        <v>0</v>
      </c>
      <c r="C108" s="65">
        <f t="shared" si="17"/>
        <v>0</v>
      </c>
      <c r="D108" s="65">
        <f t="shared" si="18"/>
        <v>83</v>
      </c>
      <c r="E108" s="65">
        <f t="shared" si="19"/>
        <v>0</v>
      </c>
      <c r="F108" s="65">
        <f>IF(OR(L$73=0,DG!$A$251&gt;16),0,F107+1)</f>
        <v>0</v>
      </c>
      <c r="G108" s="65">
        <f t="shared" si="20"/>
        <v>0</v>
      </c>
      <c r="H108" s="65">
        <f t="shared" si="21"/>
        <v>0</v>
      </c>
      <c r="I108" s="65">
        <f t="shared" si="22"/>
        <v>0</v>
      </c>
      <c r="J108" s="203">
        <f>IF(DG!$A$130&lt;=11,$M$17,0)</f>
        <v>0</v>
      </c>
      <c r="K108" s="65">
        <f t="shared" si="23"/>
        <v>0</v>
      </c>
      <c r="L108" s="473">
        <f t="shared" si="28"/>
        <v>0</v>
      </c>
      <c r="M108" s="204">
        <f t="shared" si="29"/>
        <v>0</v>
      </c>
      <c r="N108" s="505">
        <f t="shared" si="30"/>
        <v>0</v>
      </c>
      <c r="O108" s="204">
        <f>IF(DG!$A$130&gt;12,0,IF(J108-J107&gt;0,MROUND((L108/12*Q107),1),MROUND(L108/12*P107,1)))</f>
        <v>0</v>
      </c>
      <c r="P108" s="204">
        <f t="shared" si="31"/>
        <v>0</v>
      </c>
      <c r="Q108" s="204">
        <f t="shared" si="26"/>
        <v>0</v>
      </c>
      <c r="R108" s="748">
        <v>0</v>
      </c>
      <c r="S108" s="511">
        <f t="shared" si="24"/>
        <v>0</v>
      </c>
    </row>
    <row r="109" spans="1:19" ht="14" thickTop="1" thickBot="1">
      <c r="A109" s="202">
        <f t="shared" si="27"/>
        <v>47818</v>
      </c>
      <c r="B109" s="65">
        <f t="shared" si="25"/>
        <v>0</v>
      </c>
      <c r="C109" s="65">
        <f t="shared" si="17"/>
        <v>0</v>
      </c>
      <c r="D109" s="65">
        <f t="shared" si="18"/>
        <v>84</v>
      </c>
      <c r="E109" s="65">
        <f t="shared" si="19"/>
        <v>0</v>
      </c>
      <c r="F109" s="65">
        <f>IF(OR(L$73=0,DG!$A$251&gt;16),0,F108+1)</f>
        <v>0</v>
      </c>
      <c r="G109" s="65">
        <f t="shared" si="20"/>
        <v>0</v>
      </c>
      <c r="H109" s="65">
        <f t="shared" si="21"/>
        <v>0</v>
      </c>
      <c r="I109" s="65">
        <f t="shared" si="22"/>
        <v>0</v>
      </c>
      <c r="J109" s="203">
        <f>IF(DG!$A$130&lt;=11,$M$17,0)</f>
        <v>0</v>
      </c>
      <c r="K109" s="65">
        <f t="shared" si="23"/>
        <v>0</v>
      </c>
      <c r="L109" s="473">
        <f t="shared" si="28"/>
        <v>0</v>
      </c>
      <c r="M109" s="204">
        <f t="shared" si="29"/>
        <v>0</v>
      </c>
      <c r="N109" s="505">
        <f t="shared" si="30"/>
        <v>0</v>
      </c>
      <c r="O109" s="204">
        <f>IF(DG!$A$130&gt;12,0,IF(J109-J108&gt;0,MROUND((L109/12*Q108),1),MROUND(L109/12*P108,1)))</f>
        <v>0</v>
      </c>
      <c r="P109" s="204">
        <f t="shared" si="31"/>
        <v>0</v>
      </c>
      <c r="Q109" s="204">
        <f t="shared" si="26"/>
        <v>0</v>
      </c>
      <c r="R109" s="748">
        <v>0</v>
      </c>
      <c r="S109" s="511">
        <f t="shared" si="24"/>
        <v>0</v>
      </c>
    </row>
    <row r="110" spans="1:19" ht="14" thickTop="1" thickBot="1">
      <c r="A110" s="202">
        <f t="shared" si="27"/>
        <v>47849</v>
      </c>
      <c r="B110" s="65">
        <f t="shared" si="25"/>
        <v>0</v>
      </c>
      <c r="C110" s="65">
        <f t="shared" si="17"/>
        <v>0</v>
      </c>
      <c r="D110" s="65">
        <f t="shared" si="18"/>
        <v>85</v>
      </c>
      <c r="E110" s="65">
        <f t="shared" si="19"/>
        <v>0</v>
      </c>
      <c r="F110" s="65">
        <f>IF(OR(L$73=0,DG!$A$251&gt;16),0,F109+1)</f>
        <v>0</v>
      </c>
      <c r="G110" s="65">
        <f t="shared" si="20"/>
        <v>0</v>
      </c>
      <c r="H110" s="65">
        <f t="shared" si="21"/>
        <v>0</v>
      </c>
      <c r="I110" s="65">
        <f t="shared" si="22"/>
        <v>0</v>
      </c>
      <c r="J110" s="203">
        <f>IF(DG!$A$130&lt;=11,$M$17,0)</f>
        <v>0</v>
      </c>
      <c r="K110" s="65">
        <f t="shared" si="23"/>
        <v>0</v>
      </c>
      <c r="L110" s="473">
        <f t="shared" si="28"/>
        <v>0</v>
      </c>
      <c r="M110" s="204">
        <f t="shared" si="29"/>
        <v>0</v>
      </c>
      <c r="N110" s="505">
        <f t="shared" si="30"/>
        <v>0</v>
      </c>
      <c r="O110" s="204">
        <f>IF(DG!$A$130&gt;12,0,IF(J110-J109&gt;0,MROUND((L110/12*Q109),1),MROUND(L110/12*P109,1)))</f>
        <v>0</v>
      </c>
      <c r="P110" s="204">
        <f t="shared" si="31"/>
        <v>0</v>
      </c>
      <c r="Q110" s="204">
        <f t="shared" si="26"/>
        <v>0</v>
      </c>
      <c r="R110" s="748">
        <v>0</v>
      </c>
      <c r="S110" s="511">
        <f t="shared" si="24"/>
        <v>0</v>
      </c>
    </row>
    <row r="111" spans="1:19" ht="14" thickTop="1" thickBot="1">
      <c r="A111" s="202">
        <f t="shared" si="27"/>
        <v>47880</v>
      </c>
      <c r="B111" s="65">
        <f t="shared" si="25"/>
        <v>0</v>
      </c>
      <c r="C111" s="65">
        <f t="shared" si="17"/>
        <v>0</v>
      </c>
      <c r="D111" s="65">
        <f t="shared" si="18"/>
        <v>86</v>
      </c>
      <c r="E111" s="65">
        <f t="shared" si="19"/>
        <v>0</v>
      </c>
      <c r="F111" s="65">
        <f>IF(OR(L$73=0,DG!$A$251&gt;16),0,F110+1)</f>
        <v>0</v>
      </c>
      <c r="G111" s="65">
        <f t="shared" si="20"/>
        <v>0</v>
      </c>
      <c r="H111" s="65">
        <f t="shared" si="21"/>
        <v>0</v>
      </c>
      <c r="I111" s="65">
        <f t="shared" si="22"/>
        <v>0</v>
      </c>
      <c r="J111" s="203">
        <f>IF(DG!$A$130&lt;=11,$M$17,0)</f>
        <v>0</v>
      </c>
      <c r="K111" s="65">
        <f t="shared" si="23"/>
        <v>0</v>
      </c>
      <c r="L111" s="473">
        <f t="shared" si="28"/>
        <v>0</v>
      </c>
      <c r="M111" s="204">
        <f t="shared" si="29"/>
        <v>0</v>
      </c>
      <c r="N111" s="505">
        <f t="shared" si="30"/>
        <v>0</v>
      </c>
      <c r="O111" s="204">
        <f>IF(DG!$A$130&gt;12,0,IF(J111-J110&gt;0,MROUND((L111/12*Q110),1),MROUND(L111/12*P110,1)))</f>
        <v>0</v>
      </c>
      <c r="P111" s="204">
        <f t="shared" si="31"/>
        <v>0</v>
      </c>
      <c r="Q111" s="204">
        <f t="shared" si="26"/>
        <v>0</v>
      </c>
      <c r="R111" s="748">
        <v>0</v>
      </c>
      <c r="S111" s="511">
        <f t="shared" si="24"/>
        <v>0</v>
      </c>
    </row>
    <row r="112" spans="1:19" ht="14" thickTop="1" thickBot="1">
      <c r="A112" s="202">
        <f t="shared" si="27"/>
        <v>47908</v>
      </c>
      <c r="B112" s="65">
        <f t="shared" si="25"/>
        <v>0</v>
      </c>
      <c r="C112" s="65">
        <f t="shared" si="17"/>
        <v>0</v>
      </c>
      <c r="D112" s="65">
        <f t="shared" si="18"/>
        <v>87</v>
      </c>
      <c r="E112" s="65">
        <f t="shared" si="19"/>
        <v>0</v>
      </c>
      <c r="F112" s="65">
        <f>IF(OR(L$73=0,DG!$A$251&gt;16),0,F111+1)</f>
        <v>0</v>
      </c>
      <c r="G112" s="65">
        <f t="shared" si="20"/>
        <v>0</v>
      </c>
      <c r="H112" s="65">
        <f t="shared" si="21"/>
        <v>0</v>
      </c>
      <c r="I112" s="65">
        <f t="shared" si="22"/>
        <v>0</v>
      </c>
      <c r="J112" s="203">
        <f>IF(DG!$A$130&lt;=11,$M$17,0)</f>
        <v>0</v>
      </c>
      <c r="K112" s="65">
        <f t="shared" si="23"/>
        <v>0</v>
      </c>
      <c r="L112" s="473">
        <f t="shared" si="28"/>
        <v>0</v>
      </c>
      <c r="M112" s="204">
        <f t="shared" si="29"/>
        <v>0</v>
      </c>
      <c r="N112" s="505">
        <f t="shared" si="30"/>
        <v>0</v>
      </c>
      <c r="O112" s="204">
        <f>IF(DG!$A$130&gt;12,0,IF(J112-J111&gt;0,MROUND((L112/12*Q111),1),MROUND(L112/12*P111,1)))</f>
        <v>0</v>
      </c>
      <c r="P112" s="204">
        <f t="shared" si="31"/>
        <v>0</v>
      </c>
      <c r="Q112" s="204">
        <f t="shared" si="26"/>
        <v>0</v>
      </c>
      <c r="R112" s="748">
        <v>0</v>
      </c>
      <c r="S112" s="511">
        <f t="shared" si="24"/>
        <v>0</v>
      </c>
    </row>
    <row r="113" spans="1:19" ht="14" thickTop="1" thickBot="1">
      <c r="A113" s="202">
        <f t="shared" si="27"/>
        <v>47939</v>
      </c>
      <c r="B113" s="65">
        <f t="shared" si="25"/>
        <v>0</v>
      </c>
      <c r="C113" s="65">
        <f t="shared" si="17"/>
        <v>0</v>
      </c>
      <c r="D113" s="65">
        <f t="shared" si="18"/>
        <v>88</v>
      </c>
      <c r="E113" s="65">
        <f t="shared" si="19"/>
        <v>0</v>
      </c>
      <c r="F113" s="65">
        <f>IF(OR(L$73=0,DG!$A$251&gt;16),0,F112+1)</f>
        <v>0</v>
      </c>
      <c r="G113" s="65">
        <f t="shared" si="20"/>
        <v>0</v>
      </c>
      <c r="H113" s="65">
        <f t="shared" si="21"/>
        <v>0</v>
      </c>
      <c r="I113" s="65">
        <f t="shared" si="22"/>
        <v>0</v>
      </c>
      <c r="J113" s="203">
        <f>IF(DG!$A$130&lt;=11,$M$17,0)</f>
        <v>0</v>
      </c>
      <c r="K113" s="65">
        <f t="shared" si="23"/>
        <v>0</v>
      </c>
      <c r="L113" s="473">
        <f t="shared" si="28"/>
        <v>0</v>
      </c>
      <c r="M113" s="204">
        <f t="shared" si="29"/>
        <v>0</v>
      </c>
      <c r="N113" s="505">
        <f t="shared" si="30"/>
        <v>0</v>
      </c>
      <c r="O113" s="204">
        <f>IF(DG!$A$130&gt;12,0,IF(J113-J112&gt;0,MROUND((L113/12*Q112),1),MROUND(L113/12*P112,1)))</f>
        <v>0</v>
      </c>
      <c r="P113" s="204">
        <f t="shared" si="31"/>
        <v>0</v>
      </c>
      <c r="Q113" s="204">
        <f t="shared" si="26"/>
        <v>0</v>
      </c>
      <c r="R113" s="748">
        <v>0</v>
      </c>
      <c r="S113" s="511">
        <f t="shared" si="24"/>
        <v>0</v>
      </c>
    </row>
    <row r="114" spans="1:19" ht="14" thickTop="1" thickBot="1">
      <c r="A114" s="202">
        <f t="shared" si="27"/>
        <v>47969</v>
      </c>
      <c r="B114" s="65">
        <f t="shared" si="25"/>
        <v>0</v>
      </c>
      <c r="C114" s="65">
        <f t="shared" si="17"/>
        <v>0</v>
      </c>
      <c r="D114" s="65">
        <f t="shared" si="18"/>
        <v>89</v>
      </c>
      <c r="E114" s="65">
        <f t="shared" si="19"/>
        <v>0</v>
      </c>
      <c r="F114" s="65">
        <f>IF(OR(L$73=0,DG!$A$251&gt;16),0,F113+1)</f>
        <v>0</v>
      </c>
      <c r="G114" s="65">
        <f t="shared" si="20"/>
        <v>0</v>
      </c>
      <c r="H114" s="65">
        <f t="shared" si="21"/>
        <v>0</v>
      </c>
      <c r="I114" s="65">
        <f t="shared" si="22"/>
        <v>0</v>
      </c>
      <c r="J114" s="203">
        <f>IF(DG!$A$130&lt;=11,$M$17,0)</f>
        <v>0</v>
      </c>
      <c r="K114" s="65">
        <f t="shared" si="23"/>
        <v>0</v>
      </c>
      <c r="L114" s="473">
        <f t="shared" si="28"/>
        <v>0</v>
      </c>
      <c r="M114" s="204">
        <f t="shared" si="29"/>
        <v>0</v>
      </c>
      <c r="N114" s="505">
        <f t="shared" si="30"/>
        <v>0</v>
      </c>
      <c r="O114" s="204">
        <f>IF(DG!$A$130&gt;12,0,IF(J114-J113&gt;0,MROUND((L114/12*Q113),1),MROUND(L114/12*P113,1)))</f>
        <v>0</v>
      </c>
      <c r="P114" s="204">
        <f t="shared" si="31"/>
        <v>0</v>
      </c>
      <c r="Q114" s="204">
        <f t="shared" si="26"/>
        <v>0</v>
      </c>
      <c r="R114" s="748">
        <v>0</v>
      </c>
      <c r="S114" s="511">
        <f t="shared" si="24"/>
        <v>0</v>
      </c>
    </row>
    <row r="115" spans="1:19" ht="14" thickTop="1" thickBot="1">
      <c r="A115" s="202">
        <f t="shared" si="27"/>
        <v>48000</v>
      </c>
      <c r="B115" s="65">
        <f t="shared" si="25"/>
        <v>0</v>
      </c>
      <c r="C115" s="65">
        <f t="shared" si="17"/>
        <v>0</v>
      </c>
      <c r="D115" s="65">
        <f t="shared" si="18"/>
        <v>90</v>
      </c>
      <c r="E115" s="65">
        <f t="shared" si="19"/>
        <v>0</v>
      </c>
      <c r="F115" s="65">
        <f>IF(OR(L$73=0,DG!$A$251&gt;16),0,F114+1)</f>
        <v>0</v>
      </c>
      <c r="G115" s="65">
        <f t="shared" si="20"/>
        <v>0</v>
      </c>
      <c r="H115" s="65">
        <f t="shared" si="21"/>
        <v>0</v>
      </c>
      <c r="I115" s="65">
        <f t="shared" si="22"/>
        <v>0</v>
      </c>
      <c r="J115" s="203">
        <f>IF(DG!$A$130&lt;=11,$M$17,0)</f>
        <v>0</v>
      </c>
      <c r="K115" s="65">
        <f t="shared" si="23"/>
        <v>0</v>
      </c>
      <c r="L115" s="473">
        <f t="shared" si="28"/>
        <v>0</v>
      </c>
      <c r="M115" s="204">
        <f t="shared" si="29"/>
        <v>0</v>
      </c>
      <c r="N115" s="505">
        <f t="shared" si="30"/>
        <v>0</v>
      </c>
      <c r="O115" s="204">
        <f>IF(DG!$A$130&gt;12,0,IF(J115-J114&gt;0,MROUND((L115/12*Q114),1),MROUND(L115/12*P114,1)))</f>
        <v>0</v>
      </c>
      <c r="P115" s="204">
        <f t="shared" si="31"/>
        <v>0</v>
      </c>
      <c r="Q115" s="204">
        <f t="shared" si="26"/>
        <v>0</v>
      </c>
      <c r="R115" s="748">
        <v>0</v>
      </c>
      <c r="S115" s="511">
        <f t="shared" si="24"/>
        <v>0</v>
      </c>
    </row>
    <row r="116" spans="1:19" ht="14" thickTop="1" thickBot="1">
      <c r="A116" s="202">
        <f t="shared" si="27"/>
        <v>48030</v>
      </c>
      <c r="B116" s="65">
        <f t="shared" si="25"/>
        <v>0</v>
      </c>
      <c r="C116" s="65">
        <f t="shared" ref="C116:C147" si="32">IF(F116-$E$269&gt;0,F116-$E$269,0)</f>
        <v>0</v>
      </c>
      <c r="D116" s="65">
        <f t="shared" ref="D116:D150" si="33">D115+1</f>
        <v>91</v>
      </c>
      <c r="E116" s="65">
        <f t="shared" ref="E116:E151" si="34">B116</f>
        <v>0</v>
      </c>
      <c r="F116" s="65">
        <f>IF(OR(L$73=0,DG!$A$251&gt;16),0,F115+1)</f>
        <v>0</v>
      </c>
      <c r="G116" s="65">
        <f t="shared" ref="G116:G151" si="35">IF(E116=0,0,IF(D116-E116-F116&gt;=0,1,0))</f>
        <v>0</v>
      </c>
      <c r="H116" s="65">
        <f t="shared" ref="H116:H150" si="36">IF(I116&gt;=0,0,H115+1)</f>
        <v>0</v>
      </c>
      <c r="I116" s="65">
        <f t="shared" ref="I116:I147" si="37">IF(OR(G116=1,C116=0),0,IF(K116-C116&lt;$G$269,1,-1))</f>
        <v>0</v>
      </c>
      <c r="J116" s="203">
        <f>IF(DG!$A$130&lt;=11,$M$17,0)</f>
        <v>0</v>
      </c>
      <c r="K116" s="65">
        <f t="shared" ref="K116:K150" si="38">K115</f>
        <v>0</v>
      </c>
      <c r="L116" s="473">
        <f t="shared" si="28"/>
        <v>0</v>
      </c>
      <c r="M116" s="204">
        <f t="shared" si="29"/>
        <v>0</v>
      </c>
      <c r="N116" s="505">
        <f t="shared" si="30"/>
        <v>0</v>
      </c>
      <c r="O116" s="204">
        <f>IF(DG!$A$130&gt;12,0,IF(J116-J115&gt;0,MROUND((L116/12*Q115),1),MROUND(L116/12*P115,1)))</f>
        <v>0</v>
      </c>
      <c r="P116" s="204">
        <f t="shared" si="31"/>
        <v>0</v>
      </c>
      <c r="Q116" s="204">
        <f t="shared" si="26"/>
        <v>0</v>
      </c>
      <c r="R116" s="748">
        <v>0</v>
      </c>
      <c r="S116" s="511">
        <f t="shared" ref="S116:S150" si="39">SUM(N105:N116)</f>
        <v>0</v>
      </c>
    </row>
    <row r="117" spans="1:19" ht="14" thickTop="1" thickBot="1">
      <c r="A117" s="202">
        <f t="shared" si="27"/>
        <v>48061</v>
      </c>
      <c r="B117" s="65">
        <f t="shared" si="25"/>
        <v>0</v>
      </c>
      <c r="C117" s="65">
        <f t="shared" si="32"/>
        <v>0</v>
      </c>
      <c r="D117" s="65">
        <f t="shared" si="33"/>
        <v>92</v>
      </c>
      <c r="E117" s="65">
        <f t="shared" si="34"/>
        <v>0</v>
      </c>
      <c r="F117" s="65">
        <f>IF(OR(L$73=0,DG!$A$251&gt;16),0,F116+1)</f>
        <v>0</v>
      </c>
      <c r="G117" s="65">
        <f t="shared" si="35"/>
        <v>0</v>
      </c>
      <c r="H117" s="65">
        <f t="shared" si="36"/>
        <v>0</v>
      </c>
      <c r="I117" s="65">
        <f t="shared" si="37"/>
        <v>0</v>
      </c>
      <c r="J117" s="203">
        <f>IF(DG!$A$130&lt;=11,$M$17,0)</f>
        <v>0</v>
      </c>
      <c r="K117" s="65">
        <f t="shared" si="38"/>
        <v>0</v>
      </c>
      <c r="L117" s="473">
        <f t="shared" si="28"/>
        <v>0</v>
      </c>
      <c r="M117" s="204">
        <f t="shared" si="29"/>
        <v>0</v>
      </c>
      <c r="N117" s="505">
        <f t="shared" si="30"/>
        <v>0</v>
      </c>
      <c r="O117" s="204">
        <f>IF(DG!$A$130&gt;12,0,IF(J117-J116&gt;0,MROUND((L117/12*Q116),1),MROUND(L117/12*P116,1)))</f>
        <v>0</v>
      </c>
      <c r="P117" s="204">
        <f t="shared" si="31"/>
        <v>0</v>
      </c>
      <c r="Q117" s="204">
        <f t="shared" si="26"/>
        <v>0</v>
      </c>
      <c r="R117" s="748">
        <v>0</v>
      </c>
      <c r="S117" s="511">
        <f t="shared" si="39"/>
        <v>0</v>
      </c>
    </row>
    <row r="118" spans="1:19" ht="14" thickTop="1" thickBot="1">
      <c r="A118" s="202">
        <f t="shared" si="27"/>
        <v>48092</v>
      </c>
      <c r="B118" s="65">
        <f t="shared" si="25"/>
        <v>0</v>
      </c>
      <c r="C118" s="65">
        <f t="shared" si="32"/>
        <v>0</v>
      </c>
      <c r="D118" s="65">
        <f t="shared" si="33"/>
        <v>93</v>
      </c>
      <c r="E118" s="65">
        <f t="shared" si="34"/>
        <v>0</v>
      </c>
      <c r="F118" s="65">
        <f>IF(OR(L$73=0,DG!$A$251&gt;16),0,F117+1)</f>
        <v>0</v>
      </c>
      <c r="G118" s="65">
        <f t="shared" si="35"/>
        <v>0</v>
      </c>
      <c r="H118" s="65">
        <f t="shared" si="36"/>
        <v>0</v>
      </c>
      <c r="I118" s="65">
        <f t="shared" si="37"/>
        <v>0</v>
      </c>
      <c r="J118" s="203">
        <f>IF(DG!$A$130&lt;=11,$M$17,0)</f>
        <v>0</v>
      </c>
      <c r="K118" s="65">
        <f t="shared" si="38"/>
        <v>0</v>
      </c>
      <c r="L118" s="473">
        <f t="shared" si="28"/>
        <v>0</v>
      </c>
      <c r="M118" s="204">
        <f t="shared" si="29"/>
        <v>0</v>
      </c>
      <c r="N118" s="505">
        <f t="shared" si="30"/>
        <v>0</v>
      </c>
      <c r="O118" s="204">
        <f>IF(DG!$A$130&gt;12,0,IF(J118-J117&gt;0,MROUND((L118/12*Q117),1),MROUND(L118/12*P117,1)))</f>
        <v>0</v>
      </c>
      <c r="P118" s="204">
        <f t="shared" si="31"/>
        <v>0</v>
      </c>
      <c r="Q118" s="204">
        <f t="shared" si="26"/>
        <v>0</v>
      </c>
      <c r="R118" s="748">
        <v>0</v>
      </c>
      <c r="S118" s="511">
        <f t="shared" si="39"/>
        <v>0</v>
      </c>
    </row>
    <row r="119" spans="1:19" ht="14" thickTop="1" thickBot="1">
      <c r="A119" s="202">
        <f t="shared" si="27"/>
        <v>48122</v>
      </c>
      <c r="B119" s="65">
        <f t="shared" si="25"/>
        <v>0</v>
      </c>
      <c r="C119" s="65">
        <f t="shared" si="32"/>
        <v>0</v>
      </c>
      <c r="D119" s="65">
        <f t="shared" si="33"/>
        <v>94</v>
      </c>
      <c r="E119" s="65">
        <f t="shared" si="34"/>
        <v>0</v>
      </c>
      <c r="F119" s="65">
        <f>IF(OR(L$73=0,DG!$A$251&gt;16),0,F118+1)</f>
        <v>0</v>
      </c>
      <c r="G119" s="65">
        <f t="shared" si="35"/>
        <v>0</v>
      </c>
      <c r="H119" s="65">
        <f t="shared" si="36"/>
        <v>0</v>
      </c>
      <c r="I119" s="65">
        <f t="shared" si="37"/>
        <v>0</v>
      </c>
      <c r="J119" s="203">
        <f>IF(DG!$A$130&lt;=11,$M$17,0)</f>
        <v>0</v>
      </c>
      <c r="K119" s="65">
        <f t="shared" si="38"/>
        <v>0</v>
      </c>
      <c r="L119" s="473">
        <f t="shared" si="28"/>
        <v>0</v>
      </c>
      <c r="M119" s="204">
        <f t="shared" si="29"/>
        <v>0</v>
      </c>
      <c r="N119" s="505">
        <f t="shared" si="30"/>
        <v>0</v>
      </c>
      <c r="O119" s="204">
        <f>IF(DG!$A$130&gt;12,0,IF(J119-J118&gt;0,MROUND((L119/12*Q118),1),MROUND(L119/12*P118,1)))</f>
        <v>0</v>
      </c>
      <c r="P119" s="204">
        <f t="shared" si="31"/>
        <v>0</v>
      </c>
      <c r="Q119" s="204">
        <f t="shared" si="26"/>
        <v>0</v>
      </c>
      <c r="R119" s="748">
        <v>0</v>
      </c>
      <c r="S119" s="511">
        <f t="shared" si="39"/>
        <v>0</v>
      </c>
    </row>
    <row r="120" spans="1:19" ht="14" thickTop="1" thickBot="1">
      <c r="A120" s="202">
        <f t="shared" si="27"/>
        <v>48153</v>
      </c>
      <c r="B120" s="65">
        <f t="shared" si="25"/>
        <v>0</v>
      </c>
      <c r="C120" s="65">
        <f t="shared" si="32"/>
        <v>0</v>
      </c>
      <c r="D120" s="65">
        <f t="shared" si="33"/>
        <v>95</v>
      </c>
      <c r="E120" s="65">
        <f t="shared" si="34"/>
        <v>0</v>
      </c>
      <c r="F120" s="65">
        <f>IF(OR(L$73=0,DG!$A$251&gt;16),0,F119+1)</f>
        <v>0</v>
      </c>
      <c r="G120" s="65">
        <f t="shared" si="35"/>
        <v>0</v>
      </c>
      <c r="H120" s="65">
        <f t="shared" si="36"/>
        <v>0</v>
      </c>
      <c r="I120" s="65">
        <f t="shared" si="37"/>
        <v>0</v>
      </c>
      <c r="J120" s="203">
        <f>IF(DG!$A$130&lt;=11,$M$17,0)</f>
        <v>0</v>
      </c>
      <c r="K120" s="65">
        <f t="shared" si="38"/>
        <v>0</v>
      </c>
      <c r="L120" s="473">
        <f t="shared" si="28"/>
        <v>0</v>
      </c>
      <c r="M120" s="204">
        <f t="shared" si="29"/>
        <v>0</v>
      </c>
      <c r="N120" s="505">
        <f t="shared" si="30"/>
        <v>0</v>
      </c>
      <c r="O120" s="204">
        <f>IF(DG!$A$130&gt;12,0,IF(J120-J119&gt;0,MROUND((L120/12*Q119),1),MROUND(L120/12*P119,1)))</f>
        <v>0</v>
      </c>
      <c r="P120" s="204">
        <f t="shared" si="31"/>
        <v>0</v>
      </c>
      <c r="Q120" s="204">
        <f t="shared" si="26"/>
        <v>0</v>
      </c>
      <c r="R120" s="748">
        <v>0</v>
      </c>
      <c r="S120" s="511">
        <f t="shared" si="39"/>
        <v>0</v>
      </c>
    </row>
    <row r="121" spans="1:19" ht="14" thickTop="1" thickBot="1">
      <c r="A121" s="202">
        <f t="shared" si="27"/>
        <v>48183</v>
      </c>
      <c r="B121" s="65">
        <f t="shared" si="25"/>
        <v>0</v>
      </c>
      <c r="C121" s="65">
        <f t="shared" si="32"/>
        <v>0</v>
      </c>
      <c r="D121" s="65">
        <f t="shared" si="33"/>
        <v>96</v>
      </c>
      <c r="E121" s="65">
        <f t="shared" si="34"/>
        <v>0</v>
      </c>
      <c r="F121" s="65">
        <f>IF(OR(L$73=0,DG!$A$251&gt;16),0,F120+1)</f>
        <v>0</v>
      </c>
      <c r="G121" s="65">
        <f t="shared" si="35"/>
        <v>0</v>
      </c>
      <c r="H121" s="65">
        <f t="shared" si="36"/>
        <v>0</v>
      </c>
      <c r="I121" s="65">
        <f t="shared" si="37"/>
        <v>0</v>
      </c>
      <c r="J121" s="203">
        <f>IF(DG!$A$130&lt;=11,$M$17,0)</f>
        <v>0</v>
      </c>
      <c r="K121" s="65">
        <f t="shared" si="38"/>
        <v>0</v>
      </c>
      <c r="L121" s="473">
        <f t="shared" si="28"/>
        <v>0</v>
      </c>
      <c r="M121" s="204">
        <f t="shared" si="29"/>
        <v>0</v>
      </c>
      <c r="N121" s="505">
        <f t="shared" si="30"/>
        <v>0</v>
      </c>
      <c r="O121" s="204">
        <f>IF(DG!$A$130&gt;12,0,IF(J121-J120&gt;0,MROUND((L121/12*Q120),1),MROUND(L121/12*P120,1)))</f>
        <v>0</v>
      </c>
      <c r="P121" s="204">
        <f t="shared" si="31"/>
        <v>0</v>
      </c>
      <c r="Q121" s="204">
        <f t="shared" si="26"/>
        <v>0</v>
      </c>
      <c r="R121" s="748">
        <v>0</v>
      </c>
      <c r="S121" s="511">
        <f t="shared" si="39"/>
        <v>0</v>
      </c>
    </row>
    <row r="122" spans="1:19" ht="14" thickTop="1" thickBot="1">
      <c r="A122" s="202">
        <f t="shared" si="27"/>
        <v>48214</v>
      </c>
      <c r="B122" s="65">
        <f t="shared" si="25"/>
        <v>0</v>
      </c>
      <c r="C122" s="65">
        <f t="shared" si="32"/>
        <v>0</v>
      </c>
      <c r="D122" s="65">
        <f t="shared" si="33"/>
        <v>97</v>
      </c>
      <c r="E122" s="65">
        <f t="shared" si="34"/>
        <v>0</v>
      </c>
      <c r="F122" s="65">
        <f>IF(OR(L$73=0,DG!$A$251&gt;16),0,F121+1)</f>
        <v>0</v>
      </c>
      <c r="G122" s="65">
        <f t="shared" si="35"/>
        <v>0</v>
      </c>
      <c r="H122" s="65">
        <f t="shared" si="36"/>
        <v>0</v>
      </c>
      <c r="I122" s="65">
        <f t="shared" si="37"/>
        <v>0</v>
      </c>
      <c r="J122" s="203">
        <f>IF(DG!$A$130&lt;=11,$M$17,0)</f>
        <v>0</v>
      </c>
      <c r="K122" s="65">
        <f t="shared" si="38"/>
        <v>0</v>
      </c>
      <c r="L122" s="473">
        <f t="shared" si="28"/>
        <v>0</v>
      </c>
      <c r="M122" s="204">
        <f t="shared" si="29"/>
        <v>0</v>
      </c>
      <c r="N122" s="505">
        <f t="shared" si="30"/>
        <v>0</v>
      </c>
      <c r="O122" s="204">
        <f>IF(DG!$A$130&gt;12,0,IF(J122-J121&gt;0,MROUND((L122/12*Q121),1),MROUND(L122/12*P121,1)))</f>
        <v>0</v>
      </c>
      <c r="P122" s="204">
        <f t="shared" si="31"/>
        <v>0</v>
      </c>
      <c r="Q122" s="204">
        <f t="shared" si="26"/>
        <v>0</v>
      </c>
      <c r="R122" s="748">
        <v>0</v>
      </c>
      <c r="S122" s="511">
        <f t="shared" si="39"/>
        <v>0</v>
      </c>
    </row>
    <row r="123" spans="1:19" ht="14" thickTop="1" thickBot="1">
      <c r="A123" s="202">
        <f t="shared" si="27"/>
        <v>48245</v>
      </c>
      <c r="B123" s="65">
        <f t="shared" si="25"/>
        <v>0</v>
      </c>
      <c r="C123" s="65">
        <f t="shared" si="32"/>
        <v>0</v>
      </c>
      <c r="D123" s="65">
        <f t="shared" si="33"/>
        <v>98</v>
      </c>
      <c r="E123" s="65">
        <f t="shared" si="34"/>
        <v>0</v>
      </c>
      <c r="F123" s="65">
        <f>IF(OR(L$73=0,DG!$A$251&gt;16),0,F122+1)</f>
        <v>0</v>
      </c>
      <c r="G123" s="65">
        <f t="shared" si="35"/>
        <v>0</v>
      </c>
      <c r="H123" s="65">
        <f t="shared" si="36"/>
        <v>0</v>
      </c>
      <c r="I123" s="65">
        <f t="shared" si="37"/>
        <v>0</v>
      </c>
      <c r="J123" s="203">
        <f>IF(DG!$A$130&lt;=11,$M$17,0)</f>
        <v>0</v>
      </c>
      <c r="K123" s="65">
        <f t="shared" si="38"/>
        <v>0</v>
      </c>
      <c r="L123" s="473">
        <f t="shared" si="28"/>
        <v>0</v>
      </c>
      <c r="M123" s="204">
        <f t="shared" si="29"/>
        <v>0</v>
      </c>
      <c r="N123" s="505">
        <f t="shared" si="30"/>
        <v>0</v>
      </c>
      <c r="O123" s="204">
        <f>IF(DG!$A$130&gt;12,0,IF(J123-J122&gt;0,MROUND((L123/12*Q122),1),MROUND(L123/12*P122,1)))</f>
        <v>0</v>
      </c>
      <c r="P123" s="204">
        <f t="shared" si="31"/>
        <v>0</v>
      </c>
      <c r="Q123" s="204">
        <f t="shared" si="26"/>
        <v>0</v>
      </c>
      <c r="R123" s="748">
        <v>0</v>
      </c>
      <c r="S123" s="511">
        <f t="shared" si="39"/>
        <v>0</v>
      </c>
    </row>
    <row r="124" spans="1:19" ht="14" thickTop="1" thickBot="1">
      <c r="A124" s="202">
        <f t="shared" si="27"/>
        <v>48274</v>
      </c>
      <c r="B124" s="65">
        <f t="shared" si="25"/>
        <v>0</v>
      </c>
      <c r="C124" s="65">
        <f t="shared" si="32"/>
        <v>0</v>
      </c>
      <c r="D124" s="65">
        <f t="shared" si="33"/>
        <v>99</v>
      </c>
      <c r="E124" s="65">
        <f t="shared" si="34"/>
        <v>0</v>
      </c>
      <c r="F124" s="65">
        <f>IF(OR(L$73=0,DG!$A$251&gt;16),0,F123+1)</f>
        <v>0</v>
      </c>
      <c r="G124" s="65">
        <f t="shared" si="35"/>
        <v>0</v>
      </c>
      <c r="H124" s="65">
        <f t="shared" si="36"/>
        <v>0</v>
      </c>
      <c r="I124" s="65">
        <f t="shared" si="37"/>
        <v>0</v>
      </c>
      <c r="J124" s="203">
        <f>IF(DG!$A$130&lt;=11,$M$17,0)</f>
        <v>0</v>
      </c>
      <c r="K124" s="65">
        <f t="shared" si="38"/>
        <v>0</v>
      </c>
      <c r="L124" s="473">
        <f t="shared" si="28"/>
        <v>0</v>
      </c>
      <c r="M124" s="204">
        <f t="shared" si="29"/>
        <v>0</v>
      </c>
      <c r="N124" s="505">
        <f t="shared" si="30"/>
        <v>0</v>
      </c>
      <c r="O124" s="204">
        <f>IF(DG!$A$130&gt;12,0,IF(J124-J123&gt;0,MROUND((L124/12*Q123),1),MROUND(L124/12*P123,1)))</f>
        <v>0</v>
      </c>
      <c r="P124" s="204">
        <f t="shared" si="31"/>
        <v>0</v>
      </c>
      <c r="Q124" s="204">
        <f t="shared" si="26"/>
        <v>0</v>
      </c>
      <c r="R124" s="748">
        <v>0</v>
      </c>
      <c r="S124" s="511">
        <f t="shared" si="39"/>
        <v>0</v>
      </c>
    </row>
    <row r="125" spans="1:19" ht="14" thickTop="1" thickBot="1">
      <c r="A125" s="202">
        <f t="shared" si="27"/>
        <v>48305</v>
      </c>
      <c r="B125" s="65">
        <f t="shared" si="25"/>
        <v>0</v>
      </c>
      <c r="C125" s="65">
        <f t="shared" si="32"/>
        <v>0</v>
      </c>
      <c r="D125" s="65">
        <f t="shared" si="33"/>
        <v>100</v>
      </c>
      <c r="E125" s="65">
        <f t="shared" si="34"/>
        <v>0</v>
      </c>
      <c r="F125" s="65">
        <f>IF(OR(L$73=0,DG!$A$251&gt;16),0,F124+1)</f>
        <v>0</v>
      </c>
      <c r="G125" s="65">
        <f t="shared" si="35"/>
        <v>0</v>
      </c>
      <c r="H125" s="65">
        <f t="shared" si="36"/>
        <v>0</v>
      </c>
      <c r="I125" s="65">
        <f t="shared" si="37"/>
        <v>0</v>
      </c>
      <c r="J125" s="203">
        <f>IF(DG!$A$130&lt;=11,$M$17,0)</f>
        <v>0</v>
      </c>
      <c r="K125" s="65">
        <f t="shared" si="38"/>
        <v>0</v>
      </c>
      <c r="L125" s="473">
        <f t="shared" si="28"/>
        <v>0</v>
      </c>
      <c r="M125" s="204">
        <f t="shared" si="29"/>
        <v>0</v>
      </c>
      <c r="N125" s="505">
        <f t="shared" si="30"/>
        <v>0</v>
      </c>
      <c r="O125" s="204">
        <f>IF(DG!$A$130&gt;12,0,IF(J125-J124&gt;0,MROUND((L125/12*Q124),1),MROUND(L125/12*P124,1)))</f>
        <v>0</v>
      </c>
      <c r="P125" s="204">
        <f t="shared" si="31"/>
        <v>0</v>
      </c>
      <c r="Q125" s="204">
        <f t="shared" si="26"/>
        <v>0</v>
      </c>
      <c r="R125" s="476">
        <v>0</v>
      </c>
      <c r="S125" s="511">
        <f t="shared" si="39"/>
        <v>0</v>
      </c>
    </row>
    <row r="126" spans="1:19" ht="14" thickTop="1" thickBot="1">
      <c r="A126" s="202">
        <f t="shared" si="27"/>
        <v>48335</v>
      </c>
      <c r="B126" s="65">
        <f t="shared" si="25"/>
        <v>0</v>
      </c>
      <c r="C126" s="65">
        <f t="shared" si="32"/>
        <v>0</v>
      </c>
      <c r="D126" s="65">
        <f t="shared" si="33"/>
        <v>101</v>
      </c>
      <c r="E126" s="65">
        <f t="shared" si="34"/>
        <v>0</v>
      </c>
      <c r="F126" s="65">
        <f>IF(OR(L$73=0,DG!$A$251&gt;16),0,F125+1)</f>
        <v>0</v>
      </c>
      <c r="G126" s="65">
        <f t="shared" si="35"/>
        <v>0</v>
      </c>
      <c r="H126" s="65">
        <f t="shared" si="36"/>
        <v>0</v>
      </c>
      <c r="I126" s="65">
        <f t="shared" si="37"/>
        <v>0</v>
      </c>
      <c r="J126" s="203">
        <f>IF(DG!$A$130&lt;=11,$M$17,0)</f>
        <v>0</v>
      </c>
      <c r="K126" s="65">
        <f t="shared" si="38"/>
        <v>0</v>
      </c>
      <c r="L126" s="473">
        <f t="shared" si="28"/>
        <v>0</v>
      </c>
      <c r="M126" s="204">
        <f t="shared" si="29"/>
        <v>0</v>
      </c>
      <c r="N126" s="505">
        <f t="shared" si="30"/>
        <v>0</v>
      </c>
      <c r="O126" s="204">
        <f>IF(DG!$A$130&gt;12,0,IF(J126-J125&gt;0,MROUND((L126/12*Q125),1),MROUND(L126/12*P125,1)))</f>
        <v>0</v>
      </c>
      <c r="P126" s="204">
        <f t="shared" si="31"/>
        <v>0</v>
      </c>
      <c r="Q126" s="204">
        <f t="shared" si="26"/>
        <v>0</v>
      </c>
      <c r="R126" s="476">
        <v>0</v>
      </c>
      <c r="S126" s="511">
        <f t="shared" si="39"/>
        <v>0</v>
      </c>
    </row>
    <row r="127" spans="1:19" ht="14" thickTop="1" thickBot="1">
      <c r="A127" s="202">
        <f t="shared" si="27"/>
        <v>48366</v>
      </c>
      <c r="B127" s="65">
        <f t="shared" si="25"/>
        <v>0</v>
      </c>
      <c r="C127" s="65">
        <f t="shared" si="32"/>
        <v>0</v>
      </c>
      <c r="D127" s="65">
        <f t="shared" si="33"/>
        <v>102</v>
      </c>
      <c r="E127" s="65">
        <f t="shared" si="34"/>
        <v>0</v>
      </c>
      <c r="F127" s="65">
        <f>IF(OR(L$73=0,DG!$A$251&gt;16),0,F126+1)</f>
        <v>0</v>
      </c>
      <c r="G127" s="65">
        <f t="shared" si="35"/>
        <v>0</v>
      </c>
      <c r="H127" s="65">
        <f t="shared" si="36"/>
        <v>0</v>
      </c>
      <c r="I127" s="65">
        <f t="shared" si="37"/>
        <v>0</v>
      </c>
      <c r="J127" s="203">
        <f>IF(DG!$A$130&lt;=11,$M$17,0)</f>
        <v>0</v>
      </c>
      <c r="K127" s="65">
        <f t="shared" si="38"/>
        <v>0</v>
      </c>
      <c r="L127" s="473">
        <f t="shared" si="28"/>
        <v>0</v>
      </c>
      <c r="M127" s="204">
        <f t="shared" si="29"/>
        <v>0</v>
      </c>
      <c r="N127" s="505">
        <f t="shared" si="30"/>
        <v>0</v>
      </c>
      <c r="O127" s="204">
        <f>IF(DG!$A$130&gt;12,0,IF(J127-J126&gt;0,MROUND((L127/12*Q126),1),MROUND(L127/12*P126,1)))</f>
        <v>0</v>
      </c>
      <c r="P127" s="204">
        <f t="shared" si="31"/>
        <v>0</v>
      </c>
      <c r="Q127" s="204">
        <f t="shared" si="26"/>
        <v>0</v>
      </c>
      <c r="R127" s="476">
        <v>0</v>
      </c>
      <c r="S127" s="511">
        <f t="shared" si="39"/>
        <v>0</v>
      </c>
    </row>
    <row r="128" spans="1:19" ht="14" thickTop="1" thickBot="1">
      <c r="A128" s="202">
        <f t="shared" si="27"/>
        <v>48396</v>
      </c>
      <c r="B128" s="65">
        <f t="shared" si="25"/>
        <v>0</v>
      </c>
      <c r="C128" s="65">
        <f t="shared" si="32"/>
        <v>0</v>
      </c>
      <c r="D128" s="65">
        <f t="shared" si="33"/>
        <v>103</v>
      </c>
      <c r="E128" s="65">
        <f t="shared" si="34"/>
        <v>0</v>
      </c>
      <c r="F128" s="65">
        <f>IF(OR(L$73=0,DG!$A$251&gt;16),0,F127+1)</f>
        <v>0</v>
      </c>
      <c r="G128" s="65">
        <f t="shared" si="35"/>
        <v>0</v>
      </c>
      <c r="H128" s="65">
        <f t="shared" si="36"/>
        <v>0</v>
      </c>
      <c r="I128" s="65">
        <f t="shared" si="37"/>
        <v>0</v>
      </c>
      <c r="J128" s="203">
        <f>IF(DG!$A$130&lt;=11,$M$17,0)</f>
        <v>0</v>
      </c>
      <c r="K128" s="65">
        <f t="shared" si="38"/>
        <v>0</v>
      </c>
      <c r="L128" s="473">
        <f t="shared" si="28"/>
        <v>0</v>
      </c>
      <c r="M128" s="204">
        <f t="shared" si="29"/>
        <v>0</v>
      </c>
      <c r="N128" s="505">
        <f t="shared" si="30"/>
        <v>0</v>
      </c>
      <c r="O128" s="204">
        <f>IF(DG!$A$130&gt;12,0,IF(J128-J127&gt;0,MROUND((L128/12*Q127),1),MROUND(L128/12*P127,1)))</f>
        <v>0</v>
      </c>
      <c r="P128" s="204">
        <f t="shared" si="31"/>
        <v>0</v>
      </c>
      <c r="Q128" s="204">
        <f t="shared" si="26"/>
        <v>0</v>
      </c>
      <c r="R128" s="476">
        <v>0</v>
      </c>
      <c r="S128" s="511">
        <f t="shared" si="39"/>
        <v>0</v>
      </c>
    </row>
    <row r="129" spans="1:19" ht="14" thickTop="1" thickBot="1">
      <c r="A129" s="202">
        <f t="shared" si="27"/>
        <v>48427</v>
      </c>
      <c r="B129" s="65">
        <f t="shared" si="25"/>
        <v>0</v>
      </c>
      <c r="C129" s="65">
        <f t="shared" si="32"/>
        <v>0</v>
      </c>
      <c r="D129" s="65">
        <f t="shared" si="33"/>
        <v>104</v>
      </c>
      <c r="E129" s="65">
        <f t="shared" si="34"/>
        <v>0</v>
      </c>
      <c r="F129" s="65">
        <f>IF(OR(L$73=0,DG!$A$251&gt;16),0,F128+1)</f>
        <v>0</v>
      </c>
      <c r="G129" s="65">
        <f t="shared" si="35"/>
        <v>0</v>
      </c>
      <c r="H129" s="65">
        <f t="shared" si="36"/>
        <v>0</v>
      </c>
      <c r="I129" s="65">
        <f t="shared" si="37"/>
        <v>0</v>
      </c>
      <c r="J129" s="203">
        <f>IF(DG!$A$130&lt;=11,$M$17,0)</f>
        <v>0</v>
      </c>
      <c r="K129" s="65">
        <f t="shared" si="38"/>
        <v>0</v>
      </c>
      <c r="L129" s="473">
        <f t="shared" si="28"/>
        <v>0</v>
      </c>
      <c r="M129" s="204">
        <f t="shared" si="29"/>
        <v>0</v>
      </c>
      <c r="N129" s="505">
        <f t="shared" si="30"/>
        <v>0</v>
      </c>
      <c r="O129" s="204">
        <f>IF(DG!$A$130&gt;12,0,IF(J129-J128&gt;0,MROUND((L129/12*Q128),1),MROUND(L129/12*P128,1)))</f>
        <v>0</v>
      </c>
      <c r="P129" s="204">
        <f t="shared" si="31"/>
        <v>0</v>
      </c>
      <c r="Q129" s="204">
        <f t="shared" si="26"/>
        <v>0</v>
      </c>
      <c r="R129" s="476">
        <v>0</v>
      </c>
      <c r="S129" s="511">
        <f t="shared" si="39"/>
        <v>0</v>
      </c>
    </row>
    <row r="130" spans="1:19" ht="14" thickTop="1" thickBot="1">
      <c r="A130" s="202">
        <f t="shared" si="27"/>
        <v>48458</v>
      </c>
      <c r="B130" s="65">
        <f t="shared" si="25"/>
        <v>0</v>
      </c>
      <c r="C130" s="65">
        <f t="shared" si="32"/>
        <v>0</v>
      </c>
      <c r="D130" s="65">
        <f t="shared" si="33"/>
        <v>105</v>
      </c>
      <c r="E130" s="65">
        <f t="shared" si="34"/>
        <v>0</v>
      </c>
      <c r="F130" s="65">
        <f>IF(OR(L$73=0,DG!$A$251&gt;16),0,F129+1)</f>
        <v>0</v>
      </c>
      <c r="G130" s="65">
        <f t="shared" si="35"/>
        <v>0</v>
      </c>
      <c r="H130" s="65">
        <f t="shared" si="36"/>
        <v>0</v>
      </c>
      <c r="I130" s="65">
        <f t="shared" si="37"/>
        <v>0</v>
      </c>
      <c r="J130" s="203">
        <f>IF(DG!$A$130&lt;=11,$M$17,0)</f>
        <v>0</v>
      </c>
      <c r="K130" s="65">
        <f t="shared" si="38"/>
        <v>0</v>
      </c>
      <c r="L130" s="473">
        <f t="shared" si="28"/>
        <v>0</v>
      </c>
      <c r="M130" s="204">
        <f t="shared" si="29"/>
        <v>0</v>
      </c>
      <c r="N130" s="505">
        <f t="shared" si="30"/>
        <v>0</v>
      </c>
      <c r="O130" s="204">
        <f>IF(DG!$A$130&gt;12,0,IF(J130-J129&gt;0,MROUND((L130/12*Q129),1),MROUND(L130/12*P129,1)))</f>
        <v>0</v>
      </c>
      <c r="P130" s="204">
        <f t="shared" si="31"/>
        <v>0</v>
      </c>
      <c r="Q130" s="204">
        <f t="shared" si="26"/>
        <v>0</v>
      </c>
      <c r="R130" s="476">
        <v>0</v>
      </c>
      <c r="S130" s="511">
        <f t="shared" si="39"/>
        <v>0</v>
      </c>
    </row>
    <row r="131" spans="1:19" ht="14" thickTop="1" thickBot="1">
      <c r="A131" s="202">
        <f t="shared" si="27"/>
        <v>48488</v>
      </c>
      <c r="B131" s="65">
        <f t="shared" si="25"/>
        <v>0</v>
      </c>
      <c r="C131" s="65">
        <f t="shared" si="32"/>
        <v>0</v>
      </c>
      <c r="D131" s="65">
        <f t="shared" si="33"/>
        <v>106</v>
      </c>
      <c r="E131" s="65">
        <f t="shared" si="34"/>
        <v>0</v>
      </c>
      <c r="F131" s="65">
        <f>IF(OR(L$73=0,DG!$A$251&gt;16),0,F130+1)</f>
        <v>0</v>
      </c>
      <c r="G131" s="65">
        <f t="shared" si="35"/>
        <v>0</v>
      </c>
      <c r="H131" s="65">
        <f t="shared" si="36"/>
        <v>0</v>
      </c>
      <c r="I131" s="65">
        <f t="shared" si="37"/>
        <v>0</v>
      </c>
      <c r="J131" s="203">
        <f>IF(DG!$A$130&lt;=11,$M$17,0)</f>
        <v>0</v>
      </c>
      <c r="K131" s="65">
        <f t="shared" si="38"/>
        <v>0</v>
      </c>
      <c r="L131" s="473">
        <f t="shared" si="28"/>
        <v>0</v>
      </c>
      <c r="M131" s="204">
        <f t="shared" si="29"/>
        <v>0</v>
      </c>
      <c r="N131" s="505">
        <f t="shared" si="30"/>
        <v>0</v>
      </c>
      <c r="O131" s="204">
        <f>IF(DG!$A$130&gt;12,0,IF(J131-J130&gt;0,MROUND((L131/12*Q130),1),MROUND(L131/12*P130,1)))</f>
        <v>0</v>
      </c>
      <c r="P131" s="204">
        <f t="shared" si="31"/>
        <v>0</v>
      </c>
      <c r="Q131" s="204">
        <f t="shared" si="26"/>
        <v>0</v>
      </c>
      <c r="R131" s="476">
        <v>0</v>
      </c>
      <c r="S131" s="511">
        <f t="shared" si="39"/>
        <v>0</v>
      </c>
    </row>
    <row r="132" spans="1:19" ht="14" thickTop="1" thickBot="1">
      <c r="A132" s="202">
        <f t="shared" si="27"/>
        <v>48519</v>
      </c>
      <c r="B132" s="65">
        <f t="shared" si="25"/>
        <v>0</v>
      </c>
      <c r="C132" s="65">
        <f t="shared" si="32"/>
        <v>0</v>
      </c>
      <c r="D132" s="65">
        <f t="shared" si="33"/>
        <v>107</v>
      </c>
      <c r="E132" s="65">
        <f t="shared" si="34"/>
        <v>0</v>
      </c>
      <c r="F132" s="65">
        <f>IF(OR(L$73=0,DG!$A$251&gt;16),0,F131+1)</f>
        <v>0</v>
      </c>
      <c r="G132" s="65">
        <f t="shared" si="35"/>
        <v>0</v>
      </c>
      <c r="H132" s="65">
        <f t="shared" si="36"/>
        <v>0</v>
      </c>
      <c r="I132" s="65">
        <f t="shared" si="37"/>
        <v>0</v>
      </c>
      <c r="J132" s="203">
        <f>IF(DG!$A$130&lt;=11,$M$17,0)</f>
        <v>0</v>
      </c>
      <c r="K132" s="65">
        <f t="shared" si="38"/>
        <v>0</v>
      </c>
      <c r="L132" s="473">
        <f t="shared" si="28"/>
        <v>0</v>
      </c>
      <c r="M132" s="204">
        <f t="shared" si="29"/>
        <v>0</v>
      </c>
      <c r="N132" s="505">
        <f t="shared" si="30"/>
        <v>0</v>
      </c>
      <c r="O132" s="204">
        <f>IF(DG!$A$130&gt;12,0,IF(J132-J131&gt;0,MROUND((L132/12*Q131),1),MROUND(L132/12*P131,1)))</f>
        <v>0</v>
      </c>
      <c r="P132" s="204">
        <f t="shared" si="31"/>
        <v>0</v>
      </c>
      <c r="Q132" s="204">
        <f t="shared" si="26"/>
        <v>0</v>
      </c>
      <c r="R132" s="476">
        <v>0</v>
      </c>
      <c r="S132" s="511">
        <f t="shared" si="39"/>
        <v>0</v>
      </c>
    </row>
    <row r="133" spans="1:19" ht="14" thickTop="1" thickBot="1">
      <c r="A133" s="202">
        <f t="shared" si="27"/>
        <v>48549</v>
      </c>
      <c r="B133" s="65">
        <f t="shared" si="25"/>
        <v>0</v>
      </c>
      <c r="C133" s="65">
        <f t="shared" si="32"/>
        <v>0</v>
      </c>
      <c r="D133" s="65">
        <f t="shared" si="33"/>
        <v>108</v>
      </c>
      <c r="E133" s="65">
        <f t="shared" si="34"/>
        <v>0</v>
      </c>
      <c r="F133" s="65">
        <f>IF(OR(L$73=0,DG!$A$251&gt;16),0,F132+1)</f>
        <v>0</v>
      </c>
      <c r="G133" s="65">
        <f t="shared" si="35"/>
        <v>0</v>
      </c>
      <c r="H133" s="65">
        <f t="shared" si="36"/>
        <v>0</v>
      </c>
      <c r="I133" s="65">
        <f t="shared" si="37"/>
        <v>0</v>
      </c>
      <c r="J133" s="203">
        <f>IF(DG!$A$130&lt;=11,$M$17,0)</f>
        <v>0</v>
      </c>
      <c r="K133" s="65">
        <f t="shared" si="38"/>
        <v>0</v>
      </c>
      <c r="L133" s="473">
        <f t="shared" si="28"/>
        <v>0</v>
      </c>
      <c r="M133" s="204">
        <f t="shared" si="29"/>
        <v>0</v>
      </c>
      <c r="N133" s="505">
        <f t="shared" si="30"/>
        <v>0</v>
      </c>
      <c r="O133" s="204">
        <f>IF(DG!$A$130&gt;12,0,IF(J133-J132&gt;0,MROUND((L133/12*Q132),1),MROUND(L133/12*P132,1)))</f>
        <v>0</v>
      </c>
      <c r="P133" s="204">
        <f t="shared" si="31"/>
        <v>0</v>
      </c>
      <c r="Q133" s="204">
        <f t="shared" si="26"/>
        <v>0</v>
      </c>
      <c r="R133" s="476">
        <v>0</v>
      </c>
      <c r="S133" s="511">
        <f t="shared" si="39"/>
        <v>0</v>
      </c>
    </row>
    <row r="134" spans="1:19" ht="14" thickTop="1" thickBot="1">
      <c r="A134" s="202">
        <f t="shared" si="27"/>
        <v>48580</v>
      </c>
      <c r="B134" s="65">
        <f t="shared" si="25"/>
        <v>0</v>
      </c>
      <c r="C134" s="65">
        <f t="shared" si="32"/>
        <v>0</v>
      </c>
      <c r="D134" s="65">
        <f t="shared" si="33"/>
        <v>109</v>
      </c>
      <c r="E134" s="65">
        <f t="shared" si="34"/>
        <v>0</v>
      </c>
      <c r="F134" s="65">
        <f>IF(OR(L$73=0,DG!$A$251&gt;16),0,F133+1)</f>
        <v>0</v>
      </c>
      <c r="G134" s="65">
        <f t="shared" si="35"/>
        <v>0</v>
      </c>
      <c r="H134" s="65">
        <f t="shared" si="36"/>
        <v>0</v>
      </c>
      <c r="I134" s="65">
        <f t="shared" si="37"/>
        <v>0</v>
      </c>
      <c r="J134" s="203">
        <f>IF(DG!$A$130&lt;=11,$M$17,0)</f>
        <v>0</v>
      </c>
      <c r="K134" s="65">
        <f t="shared" si="38"/>
        <v>0</v>
      </c>
      <c r="L134" s="473">
        <f t="shared" si="28"/>
        <v>0</v>
      </c>
      <c r="M134" s="204">
        <f t="shared" si="29"/>
        <v>0</v>
      </c>
      <c r="N134" s="505">
        <f t="shared" si="30"/>
        <v>0</v>
      </c>
      <c r="O134" s="204">
        <f>IF(DG!$A$130&gt;12,0,IF(J134-J133&gt;0,MROUND((L134/12*Q133),1),MROUND(L134/12*P133,1)))</f>
        <v>0</v>
      </c>
      <c r="P134" s="204">
        <f t="shared" si="31"/>
        <v>0</v>
      </c>
      <c r="Q134" s="204">
        <f t="shared" si="26"/>
        <v>0</v>
      </c>
      <c r="R134" s="476">
        <v>0</v>
      </c>
      <c r="S134" s="511">
        <f t="shared" si="39"/>
        <v>0</v>
      </c>
    </row>
    <row r="135" spans="1:19" ht="14" thickTop="1" thickBot="1">
      <c r="A135" s="202">
        <f t="shared" si="27"/>
        <v>48611</v>
      </c>
      <c r="B135" s="65">
        <f t="shared" si="25"/>
        <v>0</v>
      </c>
      <c r="C135" s="65">
        <f t="shared" si="32"/>
        <v>0</v>
      </c>
      <c r="D135" s="65">
        <f t="shared" si="33"/>
        <v>110</v>
      </c>
      <c r="E135" s="65">
        <f t="shared" si="34"/>
        <v>0</v>
      </c>
      <c r="F135" s="65">
        <f>IF(OR(L$73=0,DG!$A$251&gt;16),0,F134+1)</f>
        <v>0</v>
      </c>
      <c r="G135" s="65">
        <f t="shared" si="35"/>
        <v>0</v>
      </c>
      <c r="H135" s="65">
        <f t="shared" si="36"/>
        <v>0</v>
      </c>
      <c r="I135" s="65">
        <f t="shared" si="37"/>
        <v>0</v>
      </c>
      <c r="J135" s="203">
        <f>IF(DG!$A$130&lt;=11,$M$17,0)</f>
        <v>0</v>
      </c>
      <c r="K135" s="65">
        <f t="shared" si="38"/>
        <v>0</v>
      </c>
      <c r="L135" s="473">
        <f t="shared" si="28"/>
        <v>0</v>
      </c>
      <c r="M135" s="204">
        <f t="shared" si="29"/>
        <v>0</v>
      </c>
      <c r="N135" s="505">
        <f t="shared" si="30"/>
        <v>0</v>
      </c>
      <c r="O135" s="204">
        <f>IF(DG!$A$130&gt;12,0,IF(J135-J134&gt;0,MROUND((L135/12*Q134),1),MROUND(L135/12*P134,1)))</f>
        <v>0</v>
      </c>
      <c r="P135" s="204">
        <f t="shared" si="31"/>
        <v>0</v>
      </c>
      <c r="Q135" s="204">
        <f t="shared" si="26"/>
        <v>0</v>
      </c>
      <c r="R135" s="476">
        <v>0</v>
      </c>
      <c r="S135" s="511">
        <f t="shared" si="39"/>
        <v>0</v>
      </c>
    </row>
    <row r="136" spans="1:19" ht="14" thickTop="1" thickBot="1">
      <c r="A136" s="202">
        <f t="shared" si="27"/>
        <v>48639</v>
      </c>
      <c r="B136" s="65">
        <f t="shared" si="25"/>
        <v>0</v>
      </c>
      <c r="C136" s="65">
        <f t="shared" si="32"/>
        <v>0</v>
      </c>
      <c r="D136" s="65">
        <f t="shared" si="33"/>
        <v>111</v>
      </c>
      <c r="E136" s="65">
        <f t="shared" si="34"/>
        <v>0</v>
      </c>
      <c r="F136" s="65">
        <f>IF(OR(L$73=0,DG!$A$251&gt;16),0,F135+1)</f>
        <v>0</v>
      </c>
      <c r="G136" s="65">
        <f t="shared" si="35"/>
        <v>0</v>
      </c>
      <c r="H136" s="65">
        <f t="shared" si="36"/>
        <v>0</v>
      </c>
      <c r="I136" s="65">
        <f t="shared" si="37"/>
        <v>0</v>
      </c>
      <c r="J136" s="203">
        <f>IF(DG!$A$130&lt;=11,$M$17,0)</f>
        <v>0</v>
      </c>
      <c r="K136" s="65">
        <f t="shared" si="38"/>
        <v>0</v>
      </c>
      <c r="L136" s="473">
        <f t="shared" si="28"/>
        <v>0</v>
      </c>
      <c r="M136" s="204">
        <f t="shared" si="29"/>
        <v>0</v>
      </c>
      <c r="N136" s="505">
        <f t="shared" si="30"/>
        <v>0</v>
      </c>
      <c r="O136" s="204">
        <f>IF(DG!$A$130&gt;12,0,IF(J136-J135&gt;0,MROUND((L136/12*Q135),1),MROUND(L136/12*P135,1)))</f>
        <v>0</v>
      </c>
      <c r="P136" s="204">
        <f t="shared" si="31"/>
        <v>0</v>
      </c>
      <c r="Q136" s="204">
        <f t="shared" si="26"/>
        <v>0</v>
      </c>
      <c r="R136" s="476">
        <v>0</v>
      </c>
      <c r="S136" s="511">
        <f t="shared" si="39"/>
        <v>0</v>
      </c>
    </row>
    <row r="137" spans="1:19" ht="14" thickTop="1" thickBot="1">
      <c r="A137" s="202">
        <f t="shared" si="27"/>
        <v>48670</v>
      </c>
      <c r="B137" s="65">
        <f t="shared" si="25"/>
        <v>0</v>
      </c>
      <c r="C137" s="65">
        <f t="shared" si="32"/>
        <v>0</v>
      </c>
      <c r="D137" s="65">
        <f t="shared" si="33"/>
        <v>112</v>
      </c>
      <c r="E137" s="65">
        <f t="shared" si="34"/>
        <v>0</v>
      </c>
      <c r="F137" s="65">
        <f>IF(OR(L$73=0,DG!$A$251&gt;16),0,F136+1)</f>
        <v>0</v>
      </c>
      <c r="G137" s="65">
        <f t="shared" si="35"/>
        <v>0</v>
      </c>
      <c r="H137" s="65">
        <f t="shared" si="36"/>
        <v>0</v>
      </c>
      <c r="I137" s="65">
        <f t="shared" si="37"/>
        <v>0</v>
      </c>
      <c r="J137" s="203">
        <f>IF(DG!$A$130&lt;=11,$M$17,0)</f>
        <v>0</v>
      </c>
      <c r="K137" s="65">
        <f t="shared" si="38"/>
        <v>0</v>
      </c>
      <c r="L137" s="473">
        <f t="shared" si="28"/>
        <v>0</v>
      </c>
      <c r="M137" s="204">
        <f t="shared" si="29"/>
        <v>0</v>
      </c>
      <c r="N137" s="505">
        <f t="shared" si="30"/>
        <v>0</v>
      </c>
      <c r="O137" s="204">
        <f>IF(DG!$A$130&gt;12,0,IF(J137-J136&gt;0,MROUND((L137/12*Q136),1),MROUND(L137/12*P136,1)))</f>
        <v>0</v>
      </c>
      <c r="P137" s="204">
        <f t="shared" si="31"/>
        <v>0</v>
      </c>
      <c r="Q137" s="204">
        <f t="shared" si="26"/>
        <v>0</v>
      </c>
      <c r="R137" s="476">
        <v>0</v>
      </c>
      <c r="S137" s="511">
        <f t="shared" si="39"/>
        <v>0</v>
      </c>
    </row>
    <row r="138" spans="1:19" ht="14" thickTop="1" thickBot="1">
      <c r="A138" s="202">
        <f t="shared" si="27"/>
        <v>48700</v>
      </c>
      <c r="B138" s="65">
        <f t="shared" si="25"/>
        <v>0</v>
      </c>
      <c r="C138" s="65">
        <f t="shared" si="32"/>
        <v>0</v>
      </c>
      <c r="D138" s="65">
        <f t="shared" si="33"/>
        <v>113</v>
      </c>
      <c r="E138" s="65">
        <f t="shared" si="34"/>
        <v>0</v>
      </c>
      <c r="F138" s="65">
        <f>IF(OR(L$73=0,DG!$A$251&gt;16),0,F137+1)</f>
        <v>0</v>
      </c>
      <c r="G138" s="65">
        <f t="shared" si="35"/>
        <v>0</v>
      </c>
      <c r="H138" s="65">
        <f t="shared" si="36"/>
        <v>0</v>
      </c>
      <c r="I138" s="65">
        <f t="shared" si="37"/>
        <v>0</v>
      </c>
      <c r="J138" s="203">
        <f>IF(DG!$A$130&lt;=11,$M$17,0)</f>
        <v>0</v>
      </c>
      <c r="K138" s="65">
        <f t="shared" si="38"/>
        <v>0</v>
      </c>
      <c r="L138" s="473">
        <f t="shared" si="28"/>
        <v>0</v>
      </c>
      <c r="M138" s="204">
        <f t="shared" si="29"/>
        <v>0</v>
      </c>
      <c r="N138" s="505">
        <f t="shared" si="30"/>
        <v>0</v>
      </c>
      <c r="O138" s="204">
        <f>IF(DG!$A$130&gt;12,0,IF(J138-J137&gt;0,MROUND((L138/12*Q137),1),MROUND(L138/12*P137,1)))</f>
        <v>0</v>
      </c>
      <c r="P138" s="204">
        <f t="shared" si="31"/>
        <v>0</v>
      </c>
      <c r="Q138" s="204">
        <f t="shared" si="26"/>
        <v>0</v>
      </c>
      <c r="R138" s="476">
        <v>0</v>
      </c>
      <c r="S138" s="511">
        <f t="shared" si="39"/>
        <v>0</v>
      </c>
    </row>
    <row r="139" spans="1:19" ht="14" thickTop="1" thickBot="1">
      <c r="A139" s="202">
        <f t="shared" si="27"/>
        <v>48731</v>
      </c>
      <c r="B139" s="65">
        <f t="shared" si="25"/>
        <v>0</v>
      </c>
      <c r="C139" s="65">
        <f t="shared" si="32"/>
        <v>0</v>
      </c>
      <c r="D139" s="65">
        <f t="shared" si="33"/>
        <v>114</v>
      </c>
      <c r="E139" s="65">
        <f t="shared" si="34"/>
        <v>0</v>
      </c>
      <c r="F139" s="65">
        <f>IF(OR(L$73=0,DG!$A$251&gt;16),0,F138+1)</f>
        <v>0</v>
      </c>
      <c r="G139" s="65">
        <f t="shared" si="35"/>
        <v>0</v>
      </c>
      <c r="H139" s="65">
        <f t="shared" si="36"/>
        <v>0</v>
      </c>
      <c r="I139" s="65">
        <f t="shared" si="37"/>
        <v>0</v>
      </c>
      <c r="J139" s="203">
        <f>IF(DG!$A$130&lt;=11,$M$17,0)</f>
        <v>0</v>
      </c>
      <c r="K139" s="65">
        <f t="shared" si="38"/>
        <v>0</v>
      </c>
      <c r="L139" s="473">
        <f t="shared" si="28"/>
        <v>0</v>
      </c>
      <c r="M139" s="204">
        <f t="shared" si="29"/>
        <v>0</v>
      </c>
      <c r="N139" s="505">
        <f t="shared" si="30"/>
        <v>0</v>
      </c>
      <c r="O139" s="204">
        <f>IF(DG!$A$130&gt;12,0,IF(J139-J138&gt;0,MROUND((L139/12*Q138),1),MROUND(L139/12*P138,1)))</f>
        <v>0</v>
      </c>
      <c r="P139" s="204">
        <f t="shared" si="31"/>
        <v>0</v>
      </c>
      <c r="Q139" s="204">
        <f t="shared" si="26"/>
        <v>0</v>
      </c>
      <c r="R139" s="476">
        <v>0</v>
      </c>
      <c r="S139" s="511">
        <f t="shared" si="39"/>
        <v>0</v>
      </c>
    </row>
    <row r="140" spans="1:19" ht="14" thickTop="1" thickBot="1">
      <c r="A140" s="202">
        <f t="shared" si="27"/>
        <v>48761</v>
      </c>
      <c r="B140" s="65">
        <f t="shared" ref="B140:B203" si="40">IF(J$73=0,0,B139+1)</f>
        <v>0</v>
      </c>
      <c r="C140" s="65">
        <f t="shared" si="32"/>
        <v>0</v>
      </c>
      <c r="D140" s="65">
        <f t="shared" si="33"/>
        <v>115</v>
      </c>
      <c r="E140" s="65">
        <f t="shared" si="34"/>
        <v>0</v>
      </c>
      <c r="F140" s="65">
        <f>IF(OR(L$73=0,DG!$A$251&gt;16),0,F139+1)</f>
        <v>0</v>
      </c>
      <c r="G140" s="65">
        <f t="shared" si="35"/>
        <v>0</v>
      </c>
      <c r="H140" s="65">
        <f t="shared" si="36"/>
        <v>0</v>
      </c>
      <c r="I140" s="65">
        <f t="shared" si="37"/>
        <v>0</v>
      </c>
      <c r="J140" s="203">
        <f>IF(DG!$A$130&lt;=11,$M$17,0)</f>
        <v>0</v>
      </c>
      <c r="K140" s="65">
        <f t="shared" si="38"/>
        <v>0</v>
      </c>
      <c r="L140" s="473">
        <f t="shared" si="28"/>
        <v>0</v>
      </c>
      <c r="M140" s="204">
        <f t="shared" si="29"/>
        <v>0</v>
      </c>
      <c r="N140" s="505">
        <f t="shared" si="30"/>
        <v>0</v>
      </c>
      <c r="O140" s="204">
        <f>IF(DG!$A$130&gt;12,0,IF(J140-J139&gt;0,MROUND((L140/12*Q139),1),MROUND(L140/12*P139,1)))</f>
        <v>0</v>
      </c>
      <c r="P140" s="204">
        <f t="shared" si="31"/>
        <v>0</v>
      </c>
      <c r="Q140" s="204">
        <f t="shared" si="26"/>
        <v>0</v>
      </c>
      <c r="R140" s="476">
        <v>0</v>
      </c>
      <c r="S140" s="511">
        <f t="shared" si="39"/>
        <v>0</v>
      </c>
    </row>
    <row r="141" spans="1:19" ht="14" thickTop="1" thickBot="1">
      <c r="A141" s="202">
        <f t="shared" si="27"/>
        <v>48792</v>
      </c>
      <c r="B141" s="65">
        <f t="shared" si="40"/>
        <v>0</v>
      </c>
      <c r="C141" s="65">
        <f t="shared" si="32"/>
        <v>0</v>
      </c>
      <c r="D141" s="65">
        <f t="shared" si="33"/>
        <v>116</v>
      </c>
      <c r="E141" s="65">
        <f t="shared" si="34"/>
        <v>0</v>
      </c>
      <c r="F141" s="65">
        <f>IF(OR(L$73=0,DG!$A$251&gt;16),0,F140+1)</f>
        <v>0</v>
      </c>
      <c r="G141" s="65">
        <f t="shared" si="35"/>
        <v>0</v>
      </c>
      <c r="H141" s="65">
        <f t="shared" si="36"/>
        <v>0</v>
      </c>
      <c r="I141" s="65">
        <f t="shared" si="37"/>
        <v>0</v>
      </c>
      <c r="J141" s="203">
        <f>IF(DG!$A$130&lt;=11,$M$17,0)</f>
        <v>0</v>
      </c>
      <c r="K141" s="65">
        <f t="shared" si="38"/>
        <v>0</v>
      </c>
      <c r="L141" s="473">
        <f t="shared" si="28"/>
        <v>0</v>
      </c>
      <c r="M141" s="204">
        <f t="shared" si="29"/>
        <v>0</v>
      </c>
      <c r="N141" s="505">
        <f t="shared" si="30"/>
        <v>0</v>
      </c>
      <c r="O141" s="204">
        <f>IF(DG!$A$130&gt;12,0,IF(J141-J140&gt;0,MROUND((L141/12*Q140),1),MROUND(L141/12*P140,1)))</f>
        <v>0</v>
      </c>
      <c r="P141" s="204">
        <f t="shared" si="31"/>
        <v>0</v>
      </c>
      <c r="Q141" s="204">
        <f t="shared" si="26"/>
        <v>0</v>
      </c>
      <c r="R141" s="476">
        <v>0</v>
      </c>
      <c r="S141" s="511">
        <f t="shared" si="39"/>
        <v>0</v>
      </c>
    </row>
    <row r="142" spans="1:19" ht="14" thickTop="1" thickBot="1">
      <c r="A142" s="202">
        <f t="shared" si="27"/>
        <v>48823</v>
      </c>
      <c r="B142" s="65">
        <f t="shared" si="40"/>
        <v>0</v>
      </c>
      <c r="C142" s="65">
        <f t="shared" si="32"/>
        <v>0</v>
      </c>
      <c r="D142" s="65">
        <f t="shared" si="33"/>
        <v>117</v>
      </c>
      <c r="E142" s="65">
        <f t="shared" si="34"/>
        <v>0</v>
      </c>
      <c r="F142" s="65">
        <f>IF(OR(L$73=0,DG!$A$251&gt;16),0,F141+1)</f>
        <v>0</v>
      </c>
      <c r="G142" s="65">
        <f t="shared" si="35"/>
        <v>0</v>
      </c>
      <c r="H142" s="65">
        <f t="shared" si="36"/>
        <v>0</v>
      </c>
      <c r="I142" s="65">
        <f t="shared" si="37"/>
        <v>0</v>
      </c>
      <c r="J142" s="203">
        <f>IF(DG!$A$130&lt;=11,$M$17,0)</f>
        <v>0</v>
      </c>
      <c r="K142" s="65">
        <f t="shared" si="38"/>
        <v>0</v>
      </c>
      <c r="L142" s="473">
        <f t="shared" si="28"/>
        <v>0</v>
      </c>
      <c r="M142" s="204">
        <f t="shared" si="29"/>
        <v>0</v>
      </c>
      <c r="N142" s="505">
        <f t="shared" si="30"/>
        <v>0</v>
      </c>
      <c r="O142" s="204">
        <f>IF(DG!$A$130&gt;12,0,IF(J142-J141&gt;0,MROUND((L142/12*Q141),1),MROUND(L142/12*P141,1)))</f>
        <v>0</v>
      </c>
      <c r="P142" s="204">
        <f t="shared" si="31"/>
        <v>0</v>
      </c>
      <c r="Q142" s="204">
        <f t="shared" si="26"/>
        <v>0</v>
      </c>
      <c r="R142" s="476">
        <v>0</v>
      </c>
      <c r="S142" s="511">
        <f t="shared" si="39"/>
        <v>0</v>
      </c>
    </row>
    <row r="143" spans="1:19" ht="14" thickTop="1" thickBot="1">
      <c r="A143" s="202">
        <f t="shared" si="27"/>
        <v>48853</v>
      </c>
      <c r="B143" s="65">
        <f t="shared" si="40"/>
        <v>0</v>
      </c>
      <c r="C143" s="65">
        <f t="shared" si="32"/>
        <v>0</v>
      </c>
      <c r="D143" s="65">
        <f t="shared" si="33"/>
        <v>118</v>
      </c>
      <c r="E143" s="65">
        <f t="shared" si="34"/>
        <v>0</v>
      </c>
      <c r="F143" s="65">
        <f>IF(OR(L$73=0,DG!$A$251&gt;16),0,F142+1)</f>
        <v>0</v>
      </c>
      <c r="G143" s="65">
        <f t="shared" si="35"/>
        <v>0</v>
      </c>
      <c r="H143" s="65">
        <f t="shared" si="36"/>
        <v>0</v>
      </c>
      <c r="I143" s="65">
        <f t="shared" si="37"/>
        <v>0</v>
      </c>
      <c r="J143" s="203">
        <f>IF(DG!$A$130&lt;=11,$M$17,0)</f>
        <v>0</v>
      </c>
      <c r="K143" s="65">
        <f t="shared" si="38"/>
        <v>0</v>
      </c>
      <c r="L143" s="473">
        <f t="shared" si="28"/>
        <v>0</v>
      </c>
      <c r="M143" s="204">
        <f t="shared" si="29"/>
        <v>0</v>
      </c>
      <c r="N143" s="505">
        <f t="shared" si="30"/>
        <v>0</v>
      </c>
      <c r="O143" s="204">
        <f>IF(DG!$A$130&gt;12,0,IF(J143-J142&gt;0,MROUND((L143/12*Q142),1),MROUND(L143/12*P142,1)))</f>
        <v>0</v>
      </c>
      <c r="P143" s="204">
        <f t="shared" si="31"/>
        <v>0</v>
      </c>
      <c r="Q143" s="204">
        <f t="shared" si="26"/>
        <v>0</v>
      </c>
      <c r="R143" s="476">
        <v>0</v>
      </c>
      <c r="S143" s="511">
        <f t="shared" si="39"/>
        <v>0</v>
      </c>
    </row>
    <row r="144" spans="1:19" ht="14" thickTop="1" thickBot="1">
      <c r="A144" s="202">
        <f t="shared" si="27"/>
        <v>48884</v>
      </c>
      <c r="B144" s="65">
        <f t="shared" si="40"/>
        <v>0</v>
      </c>
      <c r="C144" s="65">
        <f t="shared" si="32"/>
        <v>0</v>
      </c>
      <c r="D144" s="65">
        <f t="shared" si="33"/>
        <v>119</v>
      </c>
      <c r="E144" s="65">
        <f t="shared" si="34"/>
        <v>0</v>
      </c>
      <c r="F144" s="65">
        <f>IF(OR(L$73=0,DG!$A$251&gt;16),0,F143+1)</f>
        <v>0</v>
      </c>
      <c r="G144" s="65">
        <f t="shared" si="35"/>
        <v>0</v>
      </c>
      <c r="H144" s="65">
        <f t="shared" si="36"/>
        <v>0</v>
      </c>
      <c r="I144" s="65">
        <f t="shared" si="37"/>
        <v>0</v>
      </c>
      <c r="J144" s="203">
        <f>IF(DG!$A$130&lt;=11,$M$17,0)</f>
        <v>0</v>
      </c>
      <c r="K144" s="65">
        <f t="shared" si="38"/>
        <v>0</v>
      </c>
      <c r="L144" s="473">
        <f t="shared" si="28"/>
        <v>0</v>
      </c>
      <c r="M144" s="204">
        <f t="shared" si="29"/>
        <v>0</v>
      </c>
      <c r="N144" s="505">
        <f t="shared" si="30"/>
        <v>0</v>
      </c>
      <c r="O144" s="204">
        <f>IF(DG!$A$130&gt;12,0,IF(J144-J143&gt;0,MROUND((L144/12*Q143),1),MROUND(L144/12*P143,1)))</f>
        <v>0</v>
      </c>
      <c r="P144" s="204">
        <f t="shared" si="31"/>
        <v>0</v>
      </c>
      <c r="Q144" s="204">
        <f t="shared" si="26"/>
        <v>0</v>
      </c>
      <c r="R144" s="476">
        <v>0</v>
      </c>
      <c r="S144" s="511">
        <f t="shared" si="39"/>
        <v>0</v>
      </c>
    </row>
    <row r="145" spans="1:19" ht="14" thickTop="1" thickBot="1">
      <c r="A145" s="202">
        <f t="shared" si="27"/>
        <v>48914</v>
      </c>
      <c r="B145" s="65">
        <f t="shared" si="40"/>
        <v>0</v>
      </c>
      <c r="C145" s="65">
        <f t="shared" si="32"/>
        <v>0</v>
      </c>
      <c r="D145" s="65">
        <f t="shared" si="33"/>
        <v>120</v>
      </c>
      <c r="E145" s="65">
        <f t="shared" si="34"/>
        <v>0</v>
      </c>
      <c r="F145" s="65">
        <f>IF(OR(L$73=0,DG!$A$251&gt;16),0,F144+1)</f>
        <v>0</v>
      </c>
      <c r="G145" s="65">
        <f t="shared" si="35"/>
        <v>0</v>
      </c>
      <c r="H145" s="65">
        <f t="shared" si="36"/>
        <v>0</v>
      </c>
      <c r="I145" s="65">
        <f t="shared" si="37"/>
        <v>0</v>
      </c>
      <c r="J145" s="203">
        <f>IF(DG!$A$130&lt;=11,$M$17,0)</f>
        <v>0</v>
      </c>
      <c r="K145" s="65">
        <f t="shared" si="38"/>
        <v>0</v>
      </c>
      <c r="L145" s="473">
        <f t="shared" si="28"/>
        <v>0</v>
      </c>
      <c r="M145" s="204">
        <f t="shared" si="29"/>
        <v>0</v>
      </c>
      <c r="N145" s="505">
        <f t="shared" si="30"/>
        <v>0</v>
      </c>
      <c r="O145" s="204">
        <f>IF(DG!$A$130&gt;12,0,IF(J145-J144&gt;0,MROUND((L145/12*Q144),1),MROUND(L145/12*P144,1)))</f>
        <v>0</v>
      </c>
      <c r="P145" s="204">
        <f t="shared" si="31"/>
        <v>0</v>
      </c>
      <c r="Q145" s="204">
        <f t="shared" si="26"/>
        <v>0</v>
      </c>
      <c r="R145" s="476">
        <v>0</v>
      </c>
      <c r="S145" s="511">
        <f t="shared" si="39"/>
        <v>0</v>
      </c>
    </row>
    <row r="146" spans="1:19" ht="14" thickTop="1" thickBot="1">
      <c r="A146" s="202">
        <f t="shared" si="27"/>
        <v>48945</v>
      </c>
      <c r="B146" s="65">
        <f t="shared" si="40"/>
        <v>0</v>
      </c>
      <c r="C146" s="65">
        <f t="shared" si="32"/>
        <v>0</v>
      </c>
      <c r="D146" s="65">
        <f t="shared" si="33"/>
        <v>121</v>
      </c>
      <c r="E146" s="65">
        <f t="shared" si="34"/>
        <v>0</v>
      </c>
      <c r="F146" s="65">
        <f>IF(OR(L$73=0,DG!$A$251&gt;16),0,F145+1)</f>
        <v>0</v>
      </c>
      <c r="G146" s="65">
        <f t="shared" si="35"/>
        <v>0</v>
      </c>
      <c r="H146" s="65">
        <f t="shared" si="36"/>
        <v>0</v>
      </c>
      <c r="I146" s="65">
        <f t="shared" si="37"/>
        <v>0</v>
      </c>
      <c r="J146" s="203">
        <f>IF(DG!$A$130&lt;=11,$M$17,0)</f>
        <v>0</v>
      </c>
      <c r="K146" s="65">
        <f t="shared" si="38"/>
        <v>0</v>
      </c>
      <c r="L146" s="473">
        <f t="shared" si="28"/>
        <v>0</v>
      </c>
      <c r="M146" s="204">
        <f t="shared" si="29"/>
        <v>0</v>
      </c>
      <c r="N146" s="505">
        <f t="shared" si="30"/>
        <v>0</v>
      </c>
      <c r="O146" s="204">
        <f>IF(DG!$A$130&gt;12,0,IF(J146-J145&gt;0,MROUND((L146/12*Q145),1),MROUND(L146/12*P145,1)))</f>
        <v>0</v>
      </c>
      <c r="P146" s="204">
        <f t="shared" si="31"/>
        <v>0</v>
      </c>
      <c r="Q146" s="204">
        <f t="shared" si="26"/>
        <v>0</v>
      </c>
      <c r="R146" s="476">
        <v>0</v>
      </c>
      <c r="S146" s="511">
        <f t="shared" si="39"/>
        <v>0</v>
      </c>
    </row>
    <row r="147" spans="1:19" ht="14" thickTop="1" thickBot="1">
      <c r="A147" s="202">
        <f t="shared" si="27"/>
        <v>48976</v>
      </c>
      <c r="B147" s="65">
        <f t="shared" si="40"/>
        <v>0</v>
      </c>
      <c r="C147" s="65">
        <f t="shared" si="32"/>
        <v>0</v>
      </c>
      <c r="D147" s="65">
        <f t="shared" si="33"/>
        <v>122</v>
      </c>
      <c r="E147" s="65">
        <f t="shared" si="34"/>
        <v>0</v>
      </c>
      <c r="F147" s="65">
        <f>IF(OR(L$73=0,DG!$A$251&gt;16),0,F146+1)</f>
        <v>0</v>
      </c>
      <c r="G147" s="65">
        <f t="shared" si="35"/>
        <v>0</v>
      </c>
      <c r="H147" s="65">
        <f t="shared" si="36"/>
        <v>0</v>
      </c>
      <c r="I147" s="65">
        <f t="shared" si="37"/>
        <v>0</v>
      </c>
      <c r="J147" s="203">
        <f>IF(DG!$A$130&lt;=11,$M$17,0)</f>
        <v>0</v>
      </c>
      <c r="K147" s="65">
        <f t="shared" si="38"/>
        <v>0</v>
      </c>
      <c r="L147" s="473">
        <f t="shared" si="28"/>
        <v>0</v>
      </c>
      <c r="M147" s="204">
        <f t="shared" si="29"/>
        <v>0</v>
      </c>
      <c r="N147" s="505">
        <f t="shared" si="30"/>
        <v>0</v>
      </c>
      <c r="O147" s="204">
        <f>IF(DG!$A$130&gt;12,0,IF(J147-J146&gt;0,MROUND((L147/12*Q146),1),MROUND(L147/12*P146,1)))</f>
        <v>0</v>
      </c>
      <c r="P147" s="204">
        <f t="shared" si="31"/>
        <v>0</v>
      </c>
      <c r="Q147" s="204">
        <f t="shared" si="26"/>
        <v>0</v>
      </c>
      <c r="R147" s="476">
        <v>0</v>
      </c>
      <c r="S147" s="511">
        <f t="shared" si="39"/>
        <v>0</v>
      </c>
    </row>
    <row r="148" spans="1:19" ht="14" thickTop="1" thickBot="1">
      <c r="A148" s="202">
        <f t="shared" si="27"/>
        <v>49004</v>
      </c>
      <c r="B148" s="65">
        <f t="shared" si="40"/>
        <v>0</v>
      </c>
      <c r="C148" s="65">
        <f t="shared" ref="C148:C179" si="41">IF(F148-$E$269&gt;0,F148-$E$269,0)</f>
        <v>0</v>
      </c>
      <c r="D148" s="65">
        <f t="shared" si="33"/>
        <v>123</v>
      </c>
      <c r="E148" s="65">
        <f t="shared" si="34"/>
        <v>0</v>
      </c>
      <c r="F148" s="65">
        <f>IF(OR(L$73=0,DG!$A$251&gt;16),0,F147+1)</f>
        <v>0</v>
      </c>
      <c r="G148" s="65">
        <f t="shared" si="35"/>
        <v>0</v>
      </c>
      <c r="H148" s="65">
        <f t="shared" si="36"/>
        <v>0</v>
      </c>
      <c r="I148" s="65">
        <f t="shared" ref="I148:I179" si="42">IF(OR(G148=1,C148=0),0,IF(K148-C148&lt;$G$269,1,-1))</f>
        <v>0</v>
      </c>
      <c r="J148" s="203">
        <f>IF(DG!$A$130&lt;=11,$M$17,0)</f>
        <v>0</v>
      </c>
      <c r="K148" s="65">
        <f t="shared" si="38"/>
        <v>0</v>
      </c>
      <c r="L148" s="473">
        <f t="shared" si="28"/>
        <v>0</v>
      </c>
      <c r="M148" s="204">
        <f t="shared" si="29"/>
        <v>0</v>
      </c>
      <c r="N148" s="505">
        <f t="shared" si="30"/>
        <v>0</v>
      </c>
      <c r="O148" s="204">
        <f>IF(DG!$A$130&gt;12,0,IF(J148-J147&gt;0,MROUND((L148/12*Q147),1),MROUND(L148/12*P147,1)))</f>
        <v>0</v>
      </c>
      <c r="P148" s="204">
        <f t="shared" si="31"/>
        <v>0</v>
      </c>
      <c r="Q148" s="204">
        <f t="shared" si="26"/>
        <v>0</v>
      </c>
      <c r="R148" s="476">
        <v>0</v>
      </c>
      <c r="S148" s="511">
        <f t="shared" si="39"/>
        <v>0</v>
      </c>
    </row>
    <row r="149" spans="1:19" ht="14" thickTop="1" thickBot="1">
      <c r="A149" s="202">
        <f t="shared" si="27"/>
        <v>49035</v>
      </c>
      <c r="B149" s="65">
        <f t="shared" si="40"/>
        <v>0</v>
      </c>
      <c r="C149" s="65">
        <f t="shared" si="41"/>
        <v>0</v>
      </c>
      <c r="D149" s="65">
        <f t="shared" si="33"/>
        <v>124</v>
      </c>
      <c r="E149" s="65">
        <f t="shared" si="34"/>
        <v>0</v>
      </c>
      <c r="F149" s="65">
        <f>IF(OR(L$73=0,DG!$A$251&gt;16),0,F148+1)</f>
        <v>0</v>
      </c>
      <c r="G149" s="65">
        <f t="shared" si="35"/>
        <v>0</v>
      </c>
      <c r="H149" s="65">
        <f t="shared" si="36"/>
        <v>0</v>
      </c>
      <c r="I149" s="65">
        <f t="shared" si="42"/>
        <v>0</v>
      </c>
      <c r="J149" s="203">
        <f>IF(DG!$A$130&lt;=11,$M$17,0)</f>
        <v>0</v>
      </c>
      <c r="K149" s="65">
        <f t="shared" si="38"/>
        <v>0</v>
      </c>
      <c r="L149" s="473">
        <f t="shared" si="28"/>
        <v>0</v>
      </c>
      <c r="M149" s="204">
        <f t="shared" si="29"/>
        <v>0</v>
      </c>
      <c r="N149" s="505">
        <f t="shared" si="30"/>
        <v>0</v>
      </c>
      <c r="O149" s="204">
        <f>IF(DG!$A$130&gt;12,0,IF(J149-J148&gt;0,MROUND((L149/12*Q148),1),MROUND(L149/12*P148,1)))</f>
        <v>0</v>
      </c>
      <c r="P149" s="204">
        <f t="shared" si="31"/>
        <v>0</v>
      </c>
      <c r="Q149" s="204">
        <f t="shared" si="26"/>
        <v>0</v>
      </c>
      <c r="R149" s="476">
        <v>0</v>
      </c>
      <c r="S149" s="511">
        <f t="shared" si="39"/>
        <v>0</v>
      </c>
    </row>
    <row r="150" spans="1:19" ht="14" thickTop="1" thickBot="1">
      <c r="A150" s="202">
        <f t="shared" si="27"/>
        <v>49065</v>
      </c>
      <c r="B150" s="65">
        <f t="shared" si="40"/>
        <v>0</v>
      </c>
      <c r="C150" s="65">
        <f t="shared" si="41"/>
        <v>0</v>
      </c>
      <c r="D150" s="65">
        <f t="shared" si="33"/>
        <v>125</v>
      </c>
      <c r="E150" s="65">
        <f t="shared" si="34"/>
        <v>0</v>
      </c>
      <c r="F150" s="65">
        <f>IF(OR(L$73=0,DG!$A$251&gt;16),0,F149+1)</f>
        <v>0</v>
      </c>
      <c r="G150" s="65">
        <f t="shared" si="35"/>
        <v>0</v>
      </c>
      <c r="H150" s="65">
        <f t="shared" si="36"/>
        <v>0</v>
      </c>
      <c r="I150" s="65">
        <f t="shared" si="42"/>
        <v>0</v>
      </c>
      <c r="J150" s="203">
        <f>IF(DG!$A$130&lt;=11,$M$17,0)</f>
        <v>0</v>
      </c>
      <c r="K150" s="65">
        <f t="shared" si="38"/>
        <v>0</v>
      </c>
      <c r="L150" s="473">
        <f t="shared" si="28"/>
        <v>0</v>
      </c>
      <c r="M150" s="204">
        <f t="shared" si="29"/>
        <v>0</v>
      </c>
      <c r="N150" s="505">
        <f t="shared" si="30"/>
        <v>0</v>
      </c>
      <c r="O150" s="204">
        <f>IF(DG!$A$130&gt;12,0,IF(J150-J149&gt;0,MROUND((L150/12*Q149),1),MROUND(L150/12*P149,1)))</f>
        <v>0</v>
      </c>
      <c r="P150" s="204">
        <f t="shared" si="31"/>
        <v>0</v>
      </c>
      <c r="Q150" s="204">
        <f t="shared" si="26"/>
        <v>0</v>
      </c>
      <c r="R150" s="476">
        <v>0</v>
      </c>
      <c r="S150" s="511">
        <f t="shared" si="39"/>
        <v>0</v>
      </c>
    </row>
    <row r="151" spans="1:19" ht="14" thickTop="1" thickBot="1">
      <c r="A151" s="202">
        <f t="shared" si="27"/>
        <v>49096</v>
      </c>
      <c r="B151" s="65">
        <f t="shared" si="40"/>
        <v>0</v>
      </c>
      <c r="C151" s="65">
        <f t="shared" si="41"/>
        <v>0</v>
      </c>
      <c r="D151" s="65">
        <f>D150+1</f>
        <v>126</v>
      </c>
      <c r="E151" s="65">
        <f t="shared" si="34"/>
        <v>0</v>
      </c>
      <c r="F151" s="65">
        <f>IF(OR(L$73=0,DG!$A$251&gt;16),0,F150+1)</f>
        <v>0</v>
      </c>
      <c r="G151" s="65">
        <f t="shared" si="35"/>
        <v>0</v>
      </c>
      <c r="H151" s="65">
        <f>IF(I151&gt;=0,0,H150+1)</f>
        <v>0</v>
      </c>
      <c r="I151" s="65">
        <f t="shared" si="42"/>
        <v>0</v>
      </c>
      <c r="J151" s="203">
        <f>IF(DG!$A$130&lt;=11,$M$17,0)</f>
        <v>0</v>
      </c>
      <c r="K151" s="65">
        <f>K150</f>
        <v>0</v>
      </c>
      <c r="L151" s="473">
        <f t="shared" si="28"/>
        <v>0</v>
      </c>
      <c r="M151" s="204">
        <f t="shared" si="29"/>
        <v>0</v>
      </c>
      <c r="N151" s="505">
        <f t="shared" si="30"/>
        <v>0</v>
      </c>
      <c r="O151" s="204">
        <f>IF(DG!$A$130&gt;12,0,IF(J151-J150&gt;0,MROUND((L151/12*Q150),1),MROUND(L151/12*P150,1)))</f>
        <v>0</v>
      </c>
      <c r="P151" s="204">
        <f t="shared" si="31"/>
        <v>0</v>
      </c>
      <c r="Q151" s="204">
        <f t="shared" si="26"/>
        <v>0</v>
      </c>
      <c r="R151" s="476">
        <v>0</v>
      </c>
      <c r="S151" s="511">
        <f>SUM(N140:N151)</f>
        <v>0</v>
      </c>
    </row>
    <row r="152" spans="1:19" ht="14" thickTop="1" thickBot="1">
      <c r="A152" s="202">
        <f t="shared" si="27"/>
        <v>49126</v>
      </c>
      <c r="B152" s="65">
        <f t="shared" si="40"/>
        <v>0</v>
      </c>
      <c r="C152" s="65">
        <f t="shared" si="41"/>
        <v>0</v>
      </c>
      <c r="D152" s="65">
        <f t="shared" ref="D152:D205" si="43">D151+1</f>
        <v>127</v>
      </c>
      <c r="E152" s="65">
        <f t="shared" ref="E152:E205" si="44">B152</f>
        <v>0</v>
      </c>
      <c r="F152" s="65">
        <f>IF(OR(L$73=0,DG!$A$251&gt;16),0,F151+1)</f>
        <v>0</v>
      </c>
      <c r="G152" s="65">
        <f t="shared" ref="G152:G205" si="45">IF(E152=0,0,IF(D152-E152-F152&gt;=0,1,0))</f>
        <v>0</v>
      </c>
      <c r="H152" s="65">
        <f t="shared" ref="H152:H205" si="46">IF(I152&gt;=0,0,H151+1)</f>
        <v>0</v>
      </c>
      <c r="I152" s="65">
        <f t="shared" si="42"/>
        <v>0</v>
      </c>
      <c r="J152" s="203">
        <f>IF(DG!$A$130&lt;=11,$M$17,0)</f>
        <v>0</v>
      </c>
      <c r="K152" s="65">
        <f t="shared" ref="K152:K205" si="47">K151</f>
        <v>0</v>
      </c>
      <c r="L152" s="473">
        <f t="shared" si="28"/>
        <v>0</v>
      </c>
      <c r="M152" s="204">
        <f t="shared" si="29"/>
        <v>0</v>
      </c>
      <c r="N152" s="505">
        <f t="shared" si="30"/>
        <v>0</v>
      </c>
      <c r="O152" s="204">
        <f>IF(DG!$A$130&gt;12,0,IF(J152-J151&gt;0,MROUND((L152/12*Q151),1),MROUND(L152/12*P151,1)))</f>
        <v>0</v>
      </c>
      <c r="P152" s="204">
        <f t="shared" si="31"/>
        <v>0</v>
      </c>
      <c r="Q152" s="204">
        <f t="shared" si="26"/>
        <v>0</v>
      </c>
      <c r="R152" s="476">
        <v>0</v>
      </c>
      <c r="S152" s="511">
        <f t="shared" ref="S152:S205" si="48">SUM(N141:N152)</f>
        <v>0</v>
      </c>
    </row>
    <row r="153" spans="1:19" ht="14" thickTop="1" thickBot="1">
      <c r="A153" s="202">
        <f t="shared" si="27"/>
        <v>49157</v>
      </c>
      <c r="B153" s="65">
        <f t="shared" si="40"/>
        <v>0</v>
      </c>
      <c r="C153" s="65">
        <f t="shared" si="41"/>
        <v>0</v>
      </c>
      <c r="D153" s="65">
        <f t="shared" si="43"/>
        <v>128</v>
      </c>
      <c r="E153" s="65">
        <f t="shared" si="44"/>
        <v>0</v>
      </c>
      <c r="F153" s="65">
        <f>IF(OR(L$73=0,DG!$A$251&gt;16),0,F152+1)</f>
        <v>0</v>
      </c>
      <c r="G153" s="65">
        <f t="shared" si="45"/>
        <v>0</v>
      </c>
      <c r="H153" s="65">
        <f t="shared" si="46"/>
        <v>0</v>
      </c>
      <c r="I153" s="65">
        <f t="shared" si="42"/>
        <v>0</v>
      </c>
      <c r="J153" s="203">
        <f>IF(DG!$A$130&lt;=11,$M$17,0)</f>
        <v>0</v>
      </c>
      <c r="K153" s="65">
        <f t="shared" si="47"/>
        <v>0</v>
      </c>
      <c r="L153" s="473">
        <f t="shared" si="28"/>
        <v>0</v>
      </c>
      <c r="M153" s="204">
        <f t="shared" si="29"/>
        <v>0</v>
      </c>
      <c r="N153" s="505">
        <f t="shared" si="30"/>
        <v>0</v>
      </c>
      <c r="O153" s="204">
        <f>IF(DG!$A$130&gt;12,0,IF(J153-J152&gt;0,MROUND((L153/12*Q152),1),MROUND(L153/12*P152,1)))</f>
        <v>0</v>
      </c>
      <c r="P153" s="204">
        <f t="shared" si="31"/>
        <v>0</v>
      </c>
      <c r="Q153" s="204">
        <f t="shared" si="26"/>
        <v>0</v>
      </c>
      <c r="R153" s="476">
        <v>0</v>
      </c>
      <c r="S153" s="511">
        <f t="shared" si="48"/>
        <v>0</v>
      </c>
    </row>
    <row r="154" spans="1:19" ht="14" thickTop="1" thickBot="1">
      <c r="A154" s="202">
        <f t="shared" si="27"/>
        <v>49188</v>
      </c>
      <c r="B154" s="65">
        <f t="shared" si="40"/>
        <v>0</v>
      </c>
      <c r="C154" s="65">
        <f t="shared" si="41"/>
        <v>0</v>
      </c>
      <c r="D154" s="65">
        <f t="shared" si="43"/>
        <v>129</v>
      </c>
      <c r="E154" s="65">
        <f t="shared" si="44"/>
        <v>0</v>
      </c>
      <c r="F154" s="65">
        <f>IF(OR(L$73=0,DG!$A$251&gt;16),0,F153+1)</f>
        <v>0</v>
      </c>
      <c r="G154" s="65">
        <f t="shared" si="45"/>
        <v>0</v>
      </c>
      <c r="H154" s="65">
        <f t="shared" si="46"/>
        <v>0</v>
      </c>
      <c r="I154" s="65">
        <f t="shared" si="42"/>
        <v>0</v>
      </c>
      <c r="J154" s="203">
        <f>IF(DG!$A$130&lt;=11,$M$17,0)</f>
        <v>0</v>
      </c>
      <c r="K154" s="65">
        <f t="shared" si="47"/>
        <v>0</v>
      </c>
      <c r="L154" s="473">
        <f t="shared" si="28"/>
        <v>0</v>
      </c>
      <c r="M154" s="204">
        <f t="shared" si="29"/>
        <v>0</v>
      </c>
      <c r="N154" s="505">
        <f t="shared" si="30"/>
        <v>0</v>
      </c>
      <c r="O154" s="204">
        <f>IF(DG!$A$130&gt;12,0,IF(J154-J153&gt;0,MROUND((L154/12*Q153),1),MROUND(L154/12*P153,1)))</f>
        <v>0</v>
      </c>
      <c r="P154" s="204">
        <f t="shared" si="31"/>
        <v>0</v>
      </c>
      <c r="Q154" s="204">
        <f t="shared" ref="Q154:Q217" si="49">IF(AND(P154=0,P155&gt;0),J155,P154)</f>
        <v>0</v>
      </c>
      <c r="R154" s="476">
        <v>0</v>
      </c>
      <c r="S154" s="511">
        <f t="shared" si="48"/>
        <v>0</v>
      </c>
    </row>
    <row r="155" spans="1:19" ht="14" thickTop="1" thickBot="1">
      <c r="A155" s="202">
        <f t="shared" ref="A155:A218" si="50">EDATE(A154,1)</f>
        <v>49218</v>
      </c>
      <c r="B155" s="65">
        <f t="shared" si="40"/>
        <v>0</v>
      </c>
      <c r="C155" s="65">
        <f t="shared" si="41"/>
        <v>0</v>
      </c>
      <c r="D155" s="65">
        <f t="shared" si="43"/>
        <v>130</v>
      </c>
      <c r="E155" s="65">
        <f t="shared" si="44"/>
        <v>0</v>
      </c>
      <c r="F155" s="65">
        <f>IF(OR(L$73=0,DG!$A$251&gt;16),0,F154+1)</f>
        <v>0</v>
      </c>
      <c r="G155" s="65">
        <f t="shared" si="45"/>
        <v>0</v>
      </c>
      <c r="H155" s="65">
        <f t="shared" si="46"/>
        <v>0</v>
      </c>
      <c r="I155" s="65">
        <f t="shared" si="42"/>
        <v>0</v>
      </c>
      <c r="J155" s="203">
        <f>IF(DG!$A$130&lt;=11,$M$17,0)</f>
        <v>0</v>
      </c>
      <c r="K155" s="65">
        <f t="shared" si="47"/>
        <v>0</v>
      </c>
      <c r="L155" s="473">
        <f t="shared" ref="L155:L218" si="51">IF($M$17&gt;0,$M$19+0.0000001,0)</f>
        <v>0</v>
      </c>
      <c r="M155" s="204">
        <f t="shared" ref="M155:M218" si="52">IF(H155=0,0,IF($R$13=1,N155+O155,IF(N155=0,O155,-PMT(L155/12,K155-$G$269,J155))))</f>
        <v>0</v>
      </c>
      <c r="N155" s="505">
        <f t="shared" ref="N155:N218" si="53">IF(OR(H155-K155&gt;0,I155&gt;=0),0,MROUND(-PPMT(L155/12,H155,K155-G398,J155),1)+R155)</f>
        <v>0</v>
      </c>
      <c r="O155" s="204">
        <f>IF(DG!$A$130&gt;12,0,IF(J155-J154&gt;0,MROUND((L155/12*Q154),1),MROUND(L155/12*P154,1)))</f>
        <v>0</v>
      </c>
      <c r="P155" s="204">
        <f t="shared" ref="P155:P218" si="54">IF(OR(G155+H155=0,J155-N155&lt;1),0,IF(P154&gt;1,P154-N155,J156-N155))</f>
        <v>0</v>
      </c>
      <c r="Q155" s="204">
        <f t="shared" si="49"/>
        <v>0</v>
      </c>
      <c r="R155" s="476">
        <v>0</v>
      </c>
      <c r="S155" s="511">
        <f t="shared" si="48"/>
        <v>0</v>
      </c>
    </row>
    <row r="156" spans="1:19" ht="14" thickTop="1" thickBot="1">
      <c r="A156" s="202">
        <f t="shared" si="50"/>
        <v>49249</v>
      </c>
      <c r="B156" s="65">
        <f t="shared" si="40"/>
        <v>0</v>
      </c>
      <c r="C156" s="65">
        <f t="shared" si="41"/>
        <v>0</v>
      </c>
      <c r="D156" s="65">
        <f t="shared" si="43"/>
        <v>131</v>
      </c>
      <c r="E156" s="65">
        <f t="shared" si="44"/>
        <v>0</v>
      </c>
      <c r="F156" s="65">
        <f>IF(OR(L$73=0,DG!$A$251&gt;16),0,F155+1)</f>
        <v>0</v>
      </c>
      <c r="G156" s="65">
        <f t="shared" si="45"/>
        <v>0</v>
      </c>
      <c r="H156" s="65">
        <f t="shared" si="46"/>
        <v>0</v>
      </c>
      <c r="I156" s="65">
        <f t="shared" si="42"/>
        <v>0</v>
      </c>
      <c r="J156" s="203">
        <f>IF(DG!$A$130&lt;=11,$M$17,0)</f>
        <v>0</v>
      </c>
      <c r="K156" s="65">
        <f t="shared" si="47"/>
        <v>0</v>
      </c>
      <c r="L156" s="473">
        <f t="shared" si="51"/>
        <v>0</v>
      </c>
      <c r="M156" s="204">
        <f t="shared" si="52"/>
        <v>0</v>
      </c>
      <c r="N156" s="505">
        <f t="shared" si="53"/>
        <v>0</v>
      </c>
      <c r="O156" s="204">
        <f>IF(DG!$A$130&gt;12,0,IF(J156-J155&gt;0,MROUND((L156/12*Q155),1),MROUND(L156/12*P155,1)))</f>
        <v>0</v>
      </c>
      <c r="P156" s="204">
        <f t="shared" si="54"/>
        <v>0</v>
      </c>
      <c r="Q156" s="204">
        <f t="shared" si="49"/>
        <v>0</v>
      </c>
      <c r="R156" s="476">
        <v>0</v>
      </c>
      <c r="S156" s="511">
        <f t="shared" si="48"/>
        <v>0</v>
      </c>
    </row>
    <row r="157" spans="1:19" ht="14" thickTop="1" thickBot="1">
      <c r="A157" s="202">
        <f t="shared" si="50"/>
        <v>49279</v>
      </c>
      <c r="B157" s="65">
        <f t="shared" si="40"/>
        <v>0</v>
      </c>
      <c r="C157" s="65">
        <f t="shared" si="41"/>
        <v>0</v>
      </c>
      <c r="D157" s="65">
        <f t="shared" si="43"/>
        <v>132</v>
      </c>
      <c r="E157" s="65">
        <f t="shared" si="44"/>
        <v>0</v>
      </c>
      <c r="F157" s="65">
        <f>IF(OR(L$73=0,DG!$A$251&gt;16),0,F156+1)</f>
        <v>0</v>
      </c>
      <c r="G157" s="65">
        <f t="shared" si="45"/>
        <v>0</v>
      </c>
      <c r="H157" s="65">
        <f t="shared" si="46"/>
        <v>0</v>
      </c>
      <c r="I157" s="65">
        <f t="shared" si="42"/>
        <v>0</v>
      </c>
      <c r="J157" s="203">
        <f>IF(DG!$A$130&lt;=11,$M$17,0)</f>
        <v>0</v>
      </c>
      <c r="K157" s="65">
        <f t="shared" si="47"/>
        <v>0</v>
      </c>
      <c r="L157" s="473">
        <f t="shared" si="51"/>
        <v>0</v>
      </c>
      <c r="M157" s="204">
        <f t="shared" si="52"/>
        <v>0</v>
      </c>
      <c r="N157" s="505">
        <f t="shared" si="53"/>
        <v>0</v>
      </c>
      <c r="O157" s="204">
        <f>IF(DG!$A$130&gt;12,0,IF(J157-J156&gt;0,MROUND((L157/12*Q156),1),MROUND(L157/12*P156,1)))</f>
        <v>0</v>
      </c>
      <c r="P157" s="204">
        <f t="shared" si="54"/>
        <v>0</v>
      </c>
      <c r="Q157" s="204">
        <f t="shared" si="49"/>
        <v>0</v>
      </c>
      <c r="R157" s="476">
        <v>0</v>
      </c>
      <c r="S157" s="511">
        <f t="shared" si="48"/>
        <v>0</v>
      </c>
    </row>
    <row r="158" spans="1:19" ht="14" thickTop="1" thickBot="1">
      <c r="A158" s="202">
        <f t="shared" si="50"/>
        <v>49310</v>
      </c>
      <c r="B158" s="65">
        <f t="shared" si="40"/>
        <v>0</v>
      </c>
      <c r="C158" s="65">
        <f t="shared" si="41"/>
        <v>0</v>
      </c>
      <c r="D158" s="65">
        <f t="shared" si="43"/>
        <v>133</v>
      </c>
      <c r="E158" s="65">
        <f t="shared" si="44"/>
        <v>0</v>
      </c>
      <c r="F158" s="65">
        <f>IF(OR(L$73=0,DG!$A$251&gt;16),0,F157+1)</f>
        <v>0</v>
      </c>
      <c r="G158" s="65">
        <f t="shared" si="45"/>
        <v>0</v>
      </c>
      <c r="H158" s="65">
        <f t="shared" si="46"/>
        <v>0</v>
      </c>
      <c r="I158" s="65">
        <f t="shared" si="42"/>
        <v>0</v>
      </c>
      <c r="J158" s="203">
        <f>IF(DG!$A$130&lt;=11,$M$17,0)</f>
        <v>0</v>
      </c>
      <c r="K158" s="65">
        <f t="shared" si="47"/>
        <v>0</v>
      </c>
      <c r="L158" s="473">
        <f t="shared" si="51"/>
        <v>0</v>
      </c>
      <c r="M158" s="204">
        <f t="shared" si="52"/>
        <v>0</v>
      </c>
      <c r="N158" s="505">
        <f t="shared" si="53"/>
        <v>0</v>
      </c>
      <c r="O158" s="204">
        <f>IF(DG!$A$130&gt;12,0,IF(J158-J157&gt;0,MROUND((L158/12*Q157),1),MROUND(L158/12*P157,1)))</f>
        <v>0</v>
      </c>
      <c r="P158" s="204">
        <f t="shared" si="54"/>
        <v>0</v>
      </c>
      <c r="Q158" s="204">
        <f t="shared" si="49"/>
        <v>0</v>
      </c>
      <c r="R158" s="476">
        <v>0</v>
      </c>
      <c r="S158" s="511">
        <f t="shared" si="48"/>
        <v>0</v>
      </c>
    </row>
    <row r="159" spans="1:19" ht="14" thickTop="1" thickBot="1">
      <c r="A159" s="202">
        <f t="shared" si="50"/>
        <v>49341</v>
      </c>
      <c r="B159" s="65">
        <f t="shared" si="40"/>
        <v>0</v>
      </c>
      <c r="C159" s="65">
        <f t="shared" si="41"/>
        <v>0</v>
      </c>
      <c r="D159" s="65">
        <f t="shared" si="43"/>
        <v>134</v>
      </c>
      <c r="E159" s="65">
        <f t="shared" si="44"/>
        <v>0</v>
      </c>
      <c r="F159" s="65">
        <f>IF(OR(L$73=0,DG!$A$251&gt;16),0,F158+1)</f>
        <v>0</v>
      </c>
      <c r="G159" s="65">
        <f t="shared" si="45"/>
        <v>0</v>
      </c>
      <c r="H159" s="65">
        <f t="shared" si="46"/>
        <v>0</v>
      </c>
      <c r="I159" s="65">
        <f t="shared" si="42"/>
        <v>0</v>
      </c>
      <c r="J159" s="203">
        <f>IF(DG!$A$130&lt;=11,$M$17,0)</f>
        <v>0</v>
      </c>
      <c r="K159" s="65">
        <f t="shared" si="47"/>
        <v>0</v>
      </c>
      <c r="L159" s="473">
        <f t="shared" si="51"/>
        <v>0</v>
      </c>
      <c r="M159" s="204">
        <f t="shared" si="52"/>
        <v>0</v>
      </c>
      <c r="N159" s="505">
        <f t="shared" si="53"/>
        <v>0</v>
      </c>
      <c r="O159" s="204">
        <f>IF(DG!$A$130&gt;12,0,IF(J159-J158&gt;0,MROUND((L159/12*Q158),1),MROUND(L159/12*P158,1)))</f>
        <v>0</v>
      </c>
      <c r="P159" s="204">
        <f t="shared" si="54"/>
        <v>0</v>
      </c>
      <c r="Q159" s="204">
        <f t="shared" si="49"/>
        <v>0</v>
      </c>
      <c r="R159" s="476">
        <v>0</v>
      </c>
      <c r="S159" s="511">
        <f t="shared" si="48"/>
        <v>0</v>
      </c>
    </row>
    <row r="160" spans="1:19" ht="14" thickTop="1" thickBot="1">
      <c r="A160" s="202">
        <f t="shared" si="50"/>
        <v>49369</v>
      </c>
      <c r="B160" s="65">
        <f t="shared" si="40"/>
        <v>0</v>
      </c>
      <c r="C160" s="65">
        <f t="shared" si="41"/>
        <v>0</v>
      </c>
      <c r="D160" s="65">
        <f t="shared" si="43"/>
        <v>135</v>
      </c>
      <c r="E160" s="65">
        <f t="shared" si="44"/>
        <v>0</v>
      </c>
      <c r="F160" s="65">
        <f>IF(OR(L$73=0,DG!$A$251&gt;16),0,F159+1)</f>
        <v>0</v>
      </c>
      <c r="G160" s="65">
        <f t="shared" si="45"/>
        <v>0</v>
      </c>
      <c r="H160" s="65">
        <f t="shared" si="46"/>
        <v>0</v>
      </c>
      <c r="I160" s="65">
        <f t="shared" si="42"/>
        <v>0</v>
      </c>
      <c r="J160" s="203">
        <f>IF(DG!$A$130&lt;=11,$M$17,0)</f>
        <v>0</v>
      </c>
      <c r="K160" s="65">
        <f t="shared" si="47"/>
        <v>0</v>
      </c>
      <c r="L160" s="473">
        <f t="shared" si="51"/>
        <v>0</v>
      </c>
      <c r="M160" s="204">
        <f t="shared" si="52"/>
        <v>0</v>
      </c>
      <c r="N160" s="505">
        <f t="shared" si="53"/>
        <v>0</v>
      </c>
      <c r="O160" s="204">
        <f>IF(DG!$A$130&gt;12,0,IF(J160-J159&gt;0,MROUND((L160/12*Q159),1),MROUND(L160/12*P159,1)))</f>
        <v>0</v>
      </c>
      <c r="P160" s="204">
        <f t="shared" si="54"/>
        <v>0</v>
      </c>
      <c r="Q160" s="204">
        <f t="shared" si="49"/>
        <v>0</v>
      </c>
      <c r="R160" s="476">
        <v>0</v>
      </c>
      <c r="S160" s="511">
        <f t="shared" si="48"/>
        <v>0</v>
      </c>
    </row>
    <row r="161" spans="1:19" ht="14" thickTop="1" thickBot="1">
      <c r="A161" s="202">
        <f t="shared" si="50"/>
        <v>49400</v>
      </c>
      <c r="B161" s="65">
        <f t="shared" si="40"/>
        <v>0</v>
      </c>
      <c r="C161" s="65">
        <f t="shared" si="41"/>
        <v>0</v>
      </c>
      <c r="D161" s="65">
        <f t="shared" si="43"/>
        <v>136</v>
      </c>
      <c r="E161" s="65">
        <f t="shared" si="44"/>
        <v>0</v>
      </c>
      <c r="F161" s="65">
        <f>IF(OR(L$73=0,DG!$A$251&gt;16),0,F160+1)</f>
        <v>0</v>
      </c>
      <c r="G161" s="65">
        <f t="shared" si="45"/>
        <v>0</v>
      </c>
      <c r="H161" s="65">
        <f t="shared" si="46"/>
        <v>0</v>
      </c>
      <c r="I161" s="65">
        <f t="shared" si="42"/>
        <v>0</v>
      </c>
      <c r="J161" s="203">
        <f>IF(DG!$A$130&lt;=11,$M$17,0)</f>
        <v>0</v>
      </c>
      <c r="K161" s="65">
        <f t="shared" si="47"/>
        <v>0</v>
      </c>
      <c r="L161" s="473">
        <f t="shared" si="51"/>
        <v>0</v>
      </c>
      <c r="M161" s="204">
        <f t="shared" si="52"/>
        <v>0</v>
      </c>
      <c r="N161" s="505">
        <f t="shared" si="53"/>
        <v>0</v>
      </c>
      <c r="O161" s="204">
        <f>IF(DG!$A$130&gt;12,0,IF(J161-J160&gt;0,MROUND((L161/12*Q160),1),MROUND(L161/12*P160,1)))</f>
        <v>0</v>
      </c>
      <c r="P161" s="204">
        <f t="shared" si="54"/>
        <v>0</v>
      </c>
      <c r="Q161" s="204">
        <f t="shared" si="49"/>
        <v>0</v>
      </c>
      <c r="R161" s="476">
        <v>0</v>
      </c>
      <c r="S161" s="511">
        <f t="shared" si="48"/>
        <v>0</v>
      </c>
    </row>
    <row r="162" spans="1:19" ht="14" thickTop="1" thickBot="1">
      <c r="A162" s="202">
        <f t="shared" si="50"/>
        <v>49430</v>
      </c>
      <c r="B162" s="65">
        <f t="shared" si="40"/>
        <v>0</v>
      </c>
      <c r="C162" s="65">
        <f t="shared" si="41"/>
        <v>0</v>
      </c>
      <c r="D162" s="65">
        <f t="shared" si="43"/>
        <v>137</v>
      </c>
      <c r="E162" s="65">
        <f t="shared" si="44"/>
        <v>0</v>
      </c>
      <c r="F162" s="65">
        <f>IF(OR(L$73=0,DG!$A$251&gt;16),0,F161+1)</f>
        <v>0</v>
      </c>
      <c r="G162" s="65">
        <f t="shared" si="45"/>
        <v>0</v>
      </c>
      <c r="H162" s="65">
        <f t="shared" si="46"/>
        <v>0</v>
      </c>
      <c r="I162" s="65">
        <f t="shared" si="42"/>
        <v>0</v>
      </c>
      <c r="J162" s="203">
        <f>IF(DG!$A$130&lt;=11,$M$17,0)</f>
        <v>0</v>
      </c>
      <c r="K162" s="65">
        <f t="shared" si="47"/>
        <v>0</v>
      </c>
      <c r="L162" s="473">
        <f t="shared" si="51"/>
        <v>0</v>
      </c>
      <c r="M162" s="204">
        <f t="shared" si="52"/>
        <v>0</v>
      </c>
      <c r="N162" s="505">
        <f t="shared" si="53"/>
        <v>0</v>
      </c>
      <c r="O162" s="204">
        <f>IF(DG!$A$130&gt;12,0,IF(J162-J161&gt;0,MROUND((L162/12*Q161),1),MROUND(L162/12*P161,1)))</f>
        <v>0</v>
      </c>
      <c r="P162" s="204">
        <f t="shared" si="54"/>
        <v>0</v>
      </c>
      <c r="Q162" s="204">
        <f t="shared" si="49"/>
        <v>0</v>
      </c>
      <c r="R162" s="476">
        <v>0</v>
      </c>
      <c r="S162" s="511">
        <f t="shared" si="48"/>
        <v>0</v>
      </c>
    </row>
    <row r="163" spans="1:19" ht="14" thickTop="1" thickBot="1">
      <c r="A163" s="202">
        <f t="shared" si="50"/>
        <v>49461</v>
      </c>
      <c r="B163" s="65">
        <f t="shared" si="40"/>
        <v>0</v>
      </c>
      <c r="C163" s="65">
        <f t="shared" si="41"/>
        <v>0</v>
      </c>
      <c r="D163" s="65">
        <f t="shared" si="43"/>
        <v>138</v>
      </c>
      <c r="E163" s="65">
        <f t="shared" si="44"/>
        <v>0</v>
      </c>
      <c r="F163" s="65">
        <f>IF(OR(L$73=0,DG!$A$251&gt;16),0,F162+1)</f>
        <v>0</v>
      </c>
      <c r="G163" s="65">
        <f t="shared" si="45"/>
        <v>0</v>
      </c>
      <c r="H163" s="65">
        <f t="shared" si="46"/>
        <v>0</v>
      </c>
      <c r="I163" s="65">
        <f t="shared" si="42"/>
        <v>0</v>
      </c>
      <c r="J163" s="203">
        <f>IF(DG!$A$130&lt;=11,$M$17,0)</f>
        <v>0</v>
      </c>
      <c r="K163" s="65">
        <f t="shared" si="47"/>
        <v>0</v>
      </c>
      <c r="L163" s="473">
        <f t="shared" si="51"/>
        <v>0</v>
      </c>
      <c r="M163" s="204">
        <f t="shared" si="52"/>
        <v>0</v>
      </c>
      <c r="N163" s="505">
        <f t="shared" si="53"/>
        <v>0</v>
      </c>
      <c r="O163" s="204">
        <f>IF(DG!$A$130&gt;12,0,IF(J163-J162&gt;0,MROUND((L163/12*Q162),1),MROUND(L163/12*P162,1)))</f>
        <v>0</v>
      </c>
      <c r="P163" s="204">
        <f t="shared" si="54"/>
        <v>0</v>
      </c>
      <c r="Q163" s="204">
        <f t="shared" si="49"/>
        <v>0</v>
      </c>
      <c r="R163" s="476">
        <v>0</v>
      </c>
      <c r="S163" s="511">
        <f t="shared" si="48"/>
        <v>0</v>
      </c>
    </row>
    <row r="164" spans="1:19" ht="14" thickTop="1" thickBot="1">
      <c r="A164" s="202">
        <f t="shared" si="50"/>
        <v>49491</v>
      </c>
      <c r="B164" s="65">
        <f t="shared" si="40"/>
        <v>0</v>
      </c>
      <c r="C164" s="65">
        <f t="shared" si="41"/>
        <v>0</v>
      </c>
      <c r="D164" s="65">
        <f t="shared" si="43"/>
        <v>139</v>
      </c>
      <c r="E164" s="65">
        <f t="shared" si="44"/>
        <v>0</v>
      </c>
      <c r="F164" s="65">
        <f>IF(OR(L$73=0,DG!$A$251&gt;16),0,F163+1)</f>
        <v>0</v>
      </c>
      <c r="G164" s="65">
        <f t="shared" si="45"/>
        <v>0</v>
      </c>
      <c r="H164" s="65">
        <f t="shared" si="46"/>
        <v>0</v>
      </c>
      <c r="I164" s="65">
        <f t="shared" si="42"/>
        <v>0</v>
      </c>
      <c r="J164" s="203">
        <f>IF(DG!$A$130&lt;=11,$M$17,0)</f>
        <v>0</v>
      </c>
      <c r="K164" s="65">
        <f t="shared" si="47"/>
        <v>0</v>
      </c>
      <c r="L164" s="473">
        <f t="shared" si="51"/>
        <v>0</v>
      </c>
      <c r="M164" s="204">
        <f t="shared" si="52"/>
        <v>0</v>
      </c>
      <c r="N164" s="505">
        <f t="shared" si="53"/>
        <v>0</v>
      </c>
      <c r="O164" s="204">
        <f>IF(DG!$A$130&gt;12,0,IF(J164-J163&gt;0,MROUND((L164/12*Q163),1),MROUND(L164/12*P163,1)))</f>
        <v>0</v>
      </c>
      <c r="P164" s="204">
        <f t="shared" si="54"/>
        <v>0</v>
      </c>
      <c r="Q164" s="204">
        <f t="shared" si="49"/>
        <v>0</v>
      </c>
      <c r="R164" s="476">
        <v>0</v>
      </c>
      <c r="S164" s="511">
        <f t="shared" si="48"/>
        <v>0</v>
      </c>
    </row>
    <row r="165" spans="1:19" ht="14" thickTop="1" thickBot="1">
      <c r="A165" s="202">
        <f t="shared" si="50"/>
        <v>49522</v>
      </c>
      <c r="B165" s="65">
        <f t="shared" si="40"/>
        <v>0</v>
      </c>
      <c r="C165" s="65">
        <f t="shared" si="41"/>
        <v>0</v>
      </c>
      <c r="D165" s="65">
        <f t="shared" si="43"/>
        <v>140</v>
      </c>
      <c r="E165" s="65">
        <f t="shared" si="44"/>
        <v>0</v>
      </c>
      <c r="F165" s="65">
        <f>IF(OR(L$73=0,DG!$A$251&gt;16),0,F164+1)</f>
        <v>0</v>
      </c>
      <c r="G165" s="65">
        <f t="shared" si="45"/>
        <v>0</v>
      </c>
      <c r="H165" s="65">
        <f t="shared" si="46"/>
        <v>0</v>
      </c>
      <c r="I165" s="65">
        <f t="shared" si="42"/>
        <v>0</v>
      </c>
      <c r="J165" s="203">
        <f>IF(DG!$A$130&lt;=11,$M$17,0)</f>
        <v>0</v>
      </c>
      <c r="K165" s="65">
        <f t="shared" si="47"/>
        <v>0</v>
      </c>
      <c r="L165" s="473">
        <f t="shared" si="51"/>
        <v>0</v>
      </c>
      <c r="M165" s="204">
        <f t="shared" si="52"/>
        <v>0</v>
      </c>
      <c r="N165" s="505">
        <f t="shared" si="53"/>
        <v>0</v>
      </c>
      <c r="O165" s="204">
        <f>IF(DG!$A$130&gt;12,0,IF(J165-J164&gt;0,MROUND((L165/12*Q164),1),MROUND(L165/12*P164,1)))</f>
        <v>0</v>
      </c>
      <c r="P165" s="204">
        <f t="shared" si="54"/>
        <v>0</v>
      </c>
      <c r="Q165" s="204">
        <f t="shared" si="49"/>
        <v>0</v>
      </c>
      <c r="R165" s="476">
        <v>0</v>
      </c>
      <c r="S165" s="511">
        <f t="shared" si="48"/>
        <v>0</v>
      </c>
    </row>
    <row r="166" spans="1:19" ht="14" thickTop="1" thickBot="1">
      <c r="A166" s="202">
        <f t="shared" si="50"/>
        <v>49553</v>
      </c>
      <c r="B166" s="65">
        <f t="shared" si="40"/>
        <v>0</v>
      </c>
      <c r="C166" s="65">
        <f t="shared" si="41"/>
        <v>0</v>
      </c>
      <c r="D166" s="65">
        <f t="shared" si="43"/>
        <v>141</v>
      </c>
      <c r="E166" s="65">
        <f t="shared" si="44"/>
        <v>0</v>
      </c>
      <c r="F166" s="65">
        <f>IF(OR(L$73=0,DG!$A$251&gt;16),0,F165+1)</f>
        <v>0</v>
      </c>
      <c r="G166" s="65">
        <f t="shared" si="45"/>
        <v>0</v>
      </c>
      <c r="H166" s="65">
        <f t="shared" si="46"/>
        <v>0</v>
      </c>
      <c r="I166" s="65">
        <f t="shared" si="42"/>
        <v>0</v>
      </c>
      <c r="J166" s="203">
        <f>IF(DG!$A$130&lt;=11,$M$17,0)</f>
        <v>0</v>
      </c>
      <c r="K166" s="65">
        <f t="shared" si="47"/>
        <v>0</v>
      </c>
      <c r="L166" s="473">
        <f t="shared" si="51"/>
        <v>0</v>
      </c>
      <c r="M166" s="204">
        <f t="shared" si="52"/>
        <v>0</v>
      </c>
      <c r="N166" s="505">
        <f t="shared" si="53"/>
        <v>0</v>
      </c>
      <c r="O166" s="204">
        <f>IF(DG!$A$130&gt;12,0,IF(J166-J165&gt;0,MROUND((L166/12*Q165),1),MROUND(L166/12*P165,1)))</f>
        <v>0</v>
      </c>
      <c r="P166" s="204">
        <f t="shared" si="54"/>
        <v>0</v>
      </c>
      <c r="Q166" s="204">
        <f t="shared" si="49"/>
        <v>0</v>
      </c>
      <c r="R166" s="476">
        <v>0</v>
      </c>
      <c r="S166" s="511">
        <f t="shared" si="48"/>
        <v>0</v>
      </c>
    </row>
    <row r="167" spans="1:19" ht="14" thickTop="1" thickBot="1">
      <c r="A167" s="202">
        <f t="shared" si="50"/>
        <v>49583</v>
      </c>
      <c r="B167" s="65">
        <f t="shared" si="40"/>
        <v>0</v>
      </c>
      <c r="C167" s="65">
        <f t="shared" si="41"/>
        <v>0</v>
      </c>
      <c r="D167" s="65">
        <f t="shared" si="43"/>
        <v>142</v>
      </c>
      <c r="E167" s="65">
        <f t="shared" si="44"/>
        <v>0</v>
      </c>
      <c r="F167" s="65">
        <f>IF(OR(L$73=0,DG!$A$251&gt;16),0,F166+1)</f>
        <v>0</v>
      </c>
      <c r="G167" s="65">
        <f t="shared" si="45"/>
        <v>0</v>
      </c>
      <c r="H167" s="65">
        <f t="shared" si="46"/>
        <v>0</v>
      </c>
      <c r="I167" s="65">
        <f t="shared" si="42"/>
        <v>0</v>
      </c>
      <c r="J167" s="203">
        <f>IF(DG!$A$130&lt;=11,$M$17,0)</f>
        <v>0</v>
      </c>
      <c r="K167" s="65">
        <f t="shared" si="47"/>
        <v>0</v>
      </c>
      <c r="L167" s="473">
        <f t="shared" si="51"/>
        <v>0</v>
      </c>
      <c r="M167" s="204">
        <f t="shared" si="52"/>
        <v>0</v>
      </c>
      <c r="N167" s="505">
        <f t="shared" si="53"/>
        <v>0</v>
      </c>
      <c r="O167" s="204">
        <f>IF(DG!$A$130&gt;12,0,IF(J167-J166&gt;0,MROUND((L167/12*Q166),1),MROUND(L167/12*P166,1)))</f>
        <v>0</v>
      </c>
      <c r="P167" s="204">
        <f t="shared" si="54"/>
        <v>0</v>
      </c>
      <c r="Q167" s="204">
        <f t="shared" si="49"/>
        <v>0</v>
      </c>
      <c r="R167" s="476">
        <v>0</v>
      </c>
      <c r="S167" s="511">
        <f t="shared" si="48"/>
        <v>0</v>
      </c>
    </row>
    <row r="168" spans="1:19" ht="14" thickTop="1" thickBot="1">
      <c r="A168" s="202">
        <f t="shared" si="50"/>
        <v>49614</v>
      </c>
      <c r="B168" s="65">
        <f t="shared" si="40"/>
        <v>0</v>
      </c>
      <c r="C168" s="65">
        <f t="shared" si="41"/>
        <v>0</v>
      </c>
      <c r="D168" s="65">
        <f t="shared" si="43"/>
        <v>143</v>
      </c>
      <c r="E168" s="65">
        <f t="shared" si="44"/>
        <v>0</v>
      </c>
      <c r="F168" s="65">
        <f>IF(OR(L$73=0,DG!$A$251&gt;16),0,F167+1)</f>
        <v>0</v>
      </c>
      <c r="G168" s="65">
        <f t="shared" si="45"/>
        <v>0</v>
      </c>
      <c r="H168" s="65">
        <f t="shared" si="46"/>
        <v>0</v>
      </c>
      <c r="I168" s="65">
        <f t="shared" si="42"/>
        <v>0</v>
      </c>
      <c r="J168" s="203">
        <f>IF(DG!$A$130&lt;=11,$M$17,0)</f>
        <v>0</v>
      </c>
      <c r="K168" s="65">
        <f t="shared" si="47"/>
        <v>0</v>
      </c>
      <c r="L168" s="473">
        <f t="shared" si="51"/>
        <v>0</v>
      </c>
      <c r="M168" s="204">
        <f t="shared" si="52"/>
        <v>0</v>
      </c>
      <c r="N168" s="505">
        <f t="shared" si="53"/>
        <v>0</v>
      </c>
      <c r="O168" s="204">
        <f>IF(DG!$A$130&gt;12,0,IF(J168-J167&gt;0,MROUND((L168/12*Q167),1),MROUND(L168/12*P167,1)))</f>
        <v>0</v>
      </c>
      <c r="P168" s="204">
        <f t="shared" si="54"/>
        <v>0</v>
      </c>
      <c r="Q168" s="204">
        <f t="shared" si="49"/>
        <v>0</v>
      </c>
      <c r="R168" s="476">
        <v>0</v>
      </c>
      <c r="S168" s="511">
        <f t="shared" si="48"/>
        <v>0</v>
      </c>
    </row>
    <row r="169" spans="1:19" ht="14" thickTop="1" thickBot="1">
      <c r="A169" s="202">
        <f t="shared" si="50"/>
        <v>49644</v>
      </c>
      <c r="B169" s="65">
        <f t="shared" si="40"/>
        <v>0</v>
      </c>
      <c r="C169" s="65">
        <f t="shared" si="41"/>
        <v>0</v>
      </c>
      <c r="D169" s="65">
        <f t="shared" si="43"/>
        <v>144</v>
      </c>
      <c r="E169" s="65">
        <f t="shared" si="44"/>
        <v>0</v>
      </c>
      <c r="F169" s="65">
        <f>IF(OR(L$73=0,DG!$A$251&gt;16),0,F168+1)</f>
        <v>0</v>
      </c>
      <c r="G169" s="65">
        <f t="shared" si="45"/>
        <v>0</v>
      </c>
      <c r="H169" s="65">
        <f t="shared" si="46"/>
        <v>0</v>
      </c>
      <c r="I169" s="65">
        <f t="shared" si="42"/>
        <v>0</v>
      </c>
      <c r="J169" s="203">
        <f>IF(DG!$A$130&lt;=11,$M$17,0)</f>
        <v>0</v>
      </c>
      <c r="K169" s="65">
        <f t="shared" si="47"/>
        <v>0</v>
      </c>
      <c r="L169" s="473">
        <f t="shared" si="51"/>
        <v>0</v>
      </c>
      <c r="M169" s="204">
        <f t="shared" si="52"/>
        <v>0</v>
      </c>
      <c r="N169" s="505">
        <f t="shared" si="53"/>
        <v>0</v>
      </c>
      <c r="O169" s="204">
        <f>IF(DG!$A$130&gt;12,0,IF(J169-J168&gt;0,MROUND((L169/12*Q168),1),MROUND(L169/12*P168,1)))</f>
        <v>0</v>
      </c>
      <c r="P169" s="204">
        <f t="shared" si="54"/>
        <v>0</v>
      </c>
      <c r="Q169" s="204">
        <f t="shared" si="49"/>
        <v>0</v>
      </c>
      <c r="R169" s="476">
        <v>0</v>
      </c>
      <c r="S169" s="511">
        <f t="shared" si="48"/>
        <v>0</v>
      </c>
    </row>
    <row r="170" spans="1:19" ht="14" thickTop="1" thickBot="1">
      <c r="A170" s="202">
        <f t="shared" si="50"/>
        <v>49675</v>
      </c>
      <c r="B170" s="65">
        <f t="shared" si="40"/>
        <v>0</v>
      </c>
      <c r="C170" s="65">
        <f t="shared" si="41"/>
        <v>0</v>
      </c>
      <c r="D170" s="65">
        <f t="shared" si="43"/>
        <v>145</v>
      </c>
      <c r="E170" s="65">
        <f t="shared" si="44"/>
        <v>0</v>
      </c>
      <c r="F170" s="65">
        <f>IF(OR(L$73=0,DG!$A$251&gt;16),0,F169+1)</f>
        <v>0</v>
      </c>
      <c r="G170" s="65">
        <f t="shared" si="45"/>
        <v>0</v>
      </c>
      <c r="H170" s="65">
        <f t="shared" si="46"/>
        <v>0</v>
      </c>
      <c r="I170" s="65">
        <f t="shared" si="42"/>
        <v>0</v>
      </c>
      <c r="J170" s="203">
        <f>IF(DG!$A$130&lt;=11,$M$17,0)</f>
        <v>0</v>
      </c>
      <c r="K170" s="65">
        <f t="shared" si="47"/>
        <v>0</v>
      </c>
      <c r="L170" s="473">
        <f t="shared" si="51"/>
        <v>0</v>
      </c>
      <c r="M170" s="204">
        <f t="shared" si="52"/>
        <v>0</v>
      </c>
      <c r="N170" s="505">
        <f t="shared" si="53"/>
        <v>0</v>
      </c>
      <c r="O170" s="204">
        <f>IF(DG!$A$130&gt;12,0,IF(J170-J169&gt;0,MROUND((L170/12*Q169),1),MROUND(L170/12*P169,1)))</f>
        <v>0</v>
      </c>
      <c r="P170" s="204">
        <f t="shared" si="54"/>
        <v>0</v>
      </c>
      <c r="Q170" s="204">
        <f t="shared" si="49"/>
        <v>0</v>
      </c>
      <c r="R170" s="476">
        <v>0</v>
      </c>
      <c r="S170" s="511">
        <f t="shared" si="48"/>
        <v>0</v>
      </c>
    </row>
    <row r="171" spans="1:19" ht="14" thickTop="1" thickBot="1">
      <c r="A171" s="202">
        <f t="shared" si="50"/>
        <v>49706</v>
      </c>
      <c r="B171" s="65">
        <f t="shared" si="40"/>
        <v>0</v>
      </c>
      <c r="C171" s="65">
        <f t="shared" si="41"/>
        <v>0</v>
      </c>
      <c r="D171" s="65">
        <f t="shared" si="43"/>
        <v>146</v>
      </c>
      <c r="E171" s="65">
        <f t="shared" si="44"/>
        <v>0</v>
      </c>
      <c r="F171" s="65">
        <f>IF(OR(L$73=0,DG!$A$251&gt;16),0,F170+1)</f>
        <v>0</v>
      </c>
      <c r="G171" s="65">
        <f t="shared" si="45"/>
        <v>0</v>
      </c>
      <c r="H171" s="65">
        <f t="shared" si="46"/>
        <v>0</v>
      </c>
      <c r="I171" s="65">
        <f t="shared" si="42"/>
        <v>0</v>
      </c>
      <c r="J171" s="203">
        <f>IF(DG!$A$130&lt;=11,$M$17,0)</f>
        <v>0</v>
      </c>
      <c r="K171" s="65">
        <f t="shared" si="47"/>
        <v>0</v>
      </c>
      <c r="L171" s="473">
        <f t="shared" si="51"/>
        <v>0</v>
      </c>
      <c r="M171" s="204">
        <f t="shared" si="52"/>
        <v>0</v>
      </c>
      <c r="N171" s="505">
        <f t="shared" si="53"/>
        <v>0</v>
      </c>
      <c r="O171" s="204">
        <f>IF(DG!$A$130&gt;12,0,IF(J171-J170&gt;0,MROUND((L171/12*Q170),1),MROUND(L171/12*P170,1)))</f>
        <v>0</v>
      </c>
      <c r="P171" s="204">
        <f t="shared" si="54"/>
        <v>0</v>
      </c>
      <c r="Q171" s="204">
        <f t="shared" si="49"/>
        <v>0</v>
      </c>
      <c r="R171" s="476">
        <v>0</v>
      </c>
      <c r="S171" s="511">
        <f t="shared" si="48"/>
        <v>0</v>
      </c>
    </row>
    <row r="172" spans="1:19" ht="14" thickTop="1" thickBot="1">
      <c r="A172" s="202">
        <f t="shared" si="50"/>
        <v>49735</v>
      </c>
      <c r="B172" s="65">
        <f t="shared" si="40"/>
        <v>0</v>
      </c>
      <c r="C172" s="65">
        <f t="shared" si="41"/>
        <v>0</v>
      </c>
      <c r="D172" s="65">
        <f t="shared" si="43"/>
        <v>147</v>
      </c>
      <c r="E172" s="65">
        <f t="shared" si="44"/>
        <v>0</v>
      </c>
      <c r="F172" s="65">
        <f>IF(OR(L$73=0,DG!$A$251&gt;16),0,F171+1)</f>
        <v>0</v>
      </c>
      <c r="G172" s="65">
        <f t="shared" si="45"/>
        <v>0</v>
      </c>
      <c r="H172" s="65">
        <f t="shared" si="46"/>
        <v>0</v>
      </c>
      <c r="I172" s="65">
        <f t="shared" si="42"/>
        <v>0</v>
      </c>
      <c r="J172" s="203">
        <f>IF(DG!$A$130&lt;=11,$M$17,0)</f>
        <v>0</v>
      </c>
      <c r="K172" s="65">
        <f t="shared" si="47"/>
        <v>0</v>
      </c>
      <c r="L172" s="473">
        <f t="shared" si="51"/>
        <v>0</v>
      </c>
      <c r="M172" s="204">
        <f t="shared" si="52"/>
        <v>0</v>
      </c>
      <c r="N172" s="505">
        <f t="shared" si="53"/>
        <v>0</v>
      </c>
      <c r="O172" s="204">
        <f>IF(DG!$A$130&gt;12,0,IF(J172-J171&gt;0,MROUND((L172/12*Q171),1),MROUND(L172/12*P171,1)))</f>
        <v>0</v>
      </c>
      <c r="P172" s="204">
        <f t="shared" si="54"/>
        <v>0</v>
      </c>
      <c r="Q172" s="204">
        <f t="shared" si="49"/>
        <v>0</v>
      </c>
      <c r="R172" s="476">
        <v>0</v>
      </c>
      <c r="S172" s="511">
        <f t="shared" si="48"/>
        <v>0</v>
      </c>
    </row>
    <row r="173" spans="1:19" ht="14" thickTop="1" thickBot="1">
      <c r="A173" s="202">
        <f t="shared" si="50"/>
        <v>49766</v>
      </c>
      <c r="B173" s="65">
        <f t="shared" si="40"/>
        <v>0</v>
      </c>
      <c r="C173" s="65">
        <f t="shared" si="41"/>
        <v>0</v>
      </c>
      <c r="D173" s="65">
        <f t="shared" si="43"/>
        <v>148</v>
      </c>
      <c r="E173" s="65">
        <f t="shared" si="44"/>
        <v>0</v>
      </c>
      <c r="F173" s="65">
        <f>IF(OR(L$73=0,DG!$A$251&gt;16),0,F172+1)</f>
        <v>0</v>
      </c>
      <c r="G173" s="65">
        <f t="shared" si="45"/>
        <v>0</v>
      </c>
      <c r="H173" s="65">
        <f t="shared" si="46"/>
        <v>0</v>
      </c>
      <c r="I173" s="65">
        <f t="shared" si="42"/>
        <v>0</v>
      </c>
      <c r="J173" s="203">
        <f>IF(DG!$A$130&lt;=11,$M$17,0)</f>
        <v>0</v>
      </c>
      <c r="K173" s="65">
        <f t="shared" si="47"/>
        <v>0</v>
      </c>
      <c r="L173" s="473">
        <f t="shared" si="51"/>
        <v>0</v>
      </c>
      <c r="M173" s="204">
        <f t="shared" si="52"/>
        <v>0</v>
      </c>
      <c r="N173" s="505">
        <f t="shared" si="53"/>
        <v>0</v>
      </c>
      <c r="O173" s="204">
        <f>IF(DG!$A$130&gt;12,0,IF(J173-J172&gt;0,MROUND((L173/12*Q172),1),MROUND(L173/12*P172,1)))</f>
        <v>0</v>
      </c>
      <c r="P173" s="204">
        <f t="shared" si="54"/>
        <v>0</v>
      </c>
      <c r="Q173" s="204">
        <f t="shared" si="49"/>
        <v>0</v>
      </c>
      <c r="R173" s="476">
        <v>0</v>
      </c>
      <c r="S173" s="511">
        <f t="shared" si="48"/>
        <v>0</v>
      </c>
    </row>
    <row r="174" spans="1:19" ht="14" thickTop="1" thickBot="1">
      <c r="A174" s="202">
        <f t="shared" si="50"/>
        <v>49796</v>
      </c>
      <c r="B174" s="65">
        <f t="shared" si="40"/>
        <v>0</v>
      </c>
      <c r="C174" s="65">
        <f t="shared" si="41"/>
        <v>0</v>
      </c>
      <c r="D174" s="65">
        <f t="shared" si="43"/>
        <v>149</v>
      </c>
      <c r="E174" s="65">
        <f t="shared" si="44"/>
        <v>0</v>
      </c>
      <c r="F174" s="65">
        <f>IF(OR(L$73=0,DG!$A$251&gt;16),0,F173+1)</f>
        <v>0</v>
      </c>
      <c r="G174" s="65">
        <f t="shared" si="45"/>
        <v>0</v>
      </c>
      <c r="H174" s="65">
        <f t="shared" si="46"/>
        <v>0</v>
      </c>
      <c r="I174" s="65">
        <f t="shared" si="42"/>
        <v>0</v>
      </c>
      <c r="J174" s="203">
        <f>IF(DG!$A$130&lt;=11,$M$17,0)</f>
        <v>0</v>
      </c>
      <c r="K174" s="65">
        <f t="shared" si="47"/>
        <v>0</v>
      </c>
      <c r="L174" s="473">
        <f t="shared" si="51"/>
        <v>0</v>
      </c>
      <c r="M174" s="204">
        <f t="shared" si="52"/>
        <v>0</v>
      </c>
      <c r="N174" s="505">
        <f t="shared" si="53"/>
        <v>0</v>
      </c>
      <c r="O174" s="204">
        <f>IF(DG!$A$130&gt;12,0,IF(J174-J173&gt;0,MROUND((L174/12*Q173),1),MROUND(L174/12*P173,1)))</f>
        <v>0</v>
      </c>
      <c r="P174" s="204">
        <f t="shared" si="54"/>
        <v>0</v>
      </c>
      <c r="Q174" s="204">
        <f t="shared" si="49"/>
        <v>0</v>
      </c>
      <c r="R174" s="476">
        <v>0</v>
      </c>
      <c r="S174" s="511">
        <f t="shared" si="48"/>
        <v>0</v>
      </c>
    </row>
    <row r="175" spans="1:19" ht="14" thickTop="1" thickBot="1">
      <c r="A175" s="202">
        <f t="shared" si="50"/>
        <v>49827</v>
      </c>
      <c r="B175" s="65">
        <f t="shared" si="40"/>
        <v>0</v>
      </c>
      <c r="C175" s="65">
        <f t="shared" si="41"/>
        <v>0</v>
      </c>
      <c r="D175" s="65">
        <f t="shared" si="43"/>
        <v>150</v>
      </c>
      <c r="E175" s="65">
        <f t="shared" si="44"/>
        <v>0</v>
      </c>
      <c r="F175" s="65">
        <f>IF(OR(L$73=0,DG!$A$251&gt;16),0,F174+1)</f>
        <v>0</v>
      </c>
      <c r="G175" s="65">
        <f t="shared" si="45"/>
        <v>0</v>
      </c>
      <c r="H175" s="65">
        <f t="shared" si="46"/>
        <v>0</v>
      </c>
      <c r="I175" s="65">
        <f t="shared" si="42"/>
        <v>0</v>
      </c>
      <c r="J175" s="203">
        <f>IF(DG!$A$130&lt;=11,$M$17,0)</f>
        <v>0</v>
      </c>
      <c r="K175" s="65">
        <f t="shared" si="47"/>
        <v>0</v>
      </c>
      <c r="L175" s="473">
        <f t="shared" si="51"/>
        <v>0</v>
      </c>
      <c r="M175" s="204">
        <f t="shared" si="52"/>
        <v>0</v>
      </c>
      <c r="N175" s="505">
        <f t="shared" si="53"/>
        <v>0</v>
      </c>
      <c r="O175" s="204">
        <f>IF(DG!$A$130&gt;12,0,IF(J175-J174&gt;0,MROUND((L175/12*Q174),1),MROUND(L175/12*P174,1)))</f>
        <v>0</v>
      </c>
      <c r="P175" s="204">
        <f t="shared" si="54"/>
        <v>0</v>
      </c>
      <c r="Q175" s="204">
        <f t="shared" si="49"/>
        <v>0</v>
      </c>
      <c r="R175" s="476">
        <v>0</v>
      </c>
      <c r="S175" s="511">
        <f t="shared" si="48"/>
        <v>0</v>
      </c>
    </row>
    <row r="176" spans="1:19" ht="14" thickTop="1" thickBot="1">
      <c r="A176" s="202">
        <f t="shared" si="50"/>
        <v>49857</v>
      </c>
      <c r="B176" s="65">
        <f t="shared" si="40"/>
        <v>0</v>
      </c>
      <c r="C176" s="65">
        <f t="shared" si="41"/>
        <v>0</v>
      </c>
      <c r="D176" s="65">
        <f t="shared" si="43"/>
        <v>151</v>
      </c>
      <c r="E176" s="65">
        <f t="shared" si="44"/>
        <v>0</v>
      </c>
      <c r="F176" s="65">
        <f>IF(OR(L$73=0,DG!$A$251&gt;16),0,F175+1)</f>
        <v>0</v>
      </c>
      <c r="G176" s="65">
        <f t="shared" si="45"/>
        <v>0</v>
      </c>
      <c r="H176" s="65">
        <f t="shared" si="46"/>
        <v>0</v>
      </c>
      <c r="I176" s="65">
        <f t="shared" si="42"/>
        <v>0</v>
      </c>
      <c r="J176" s="203">
        <f>IF(DG!$A$130&lt;=11,$M$17,0)</f>
        <v>0</v>
      </c>
      <c r="K176" s="65">
        <f t="shared" si="47"/>
        <v>0</v>
      </c>
      <c r="L176" s="473">
        <f t="shared" si="51"/>
        <v>0</v>
      </c>
      <c r="M176" s="204">
        <f t="shared" si="52"/>
        <v>0</v>
      </c>
      <c r="N176" s="505">
        <f t="shared" si="53"/>
        <v>0</v>
      </c>
      <c r="O176" s="204">
        <f>IF(DG!$A$130&gt;12,0,IF(J176-J175&gt;0,MROUND((L176/12*Q175),1),MROUND(L176/12*P175,1)))</f>
        <v>0</v>
      </c>
      <c r="P176" s="204">
        <f t="shared" si="54"/>
        <v>0</v>
      </c>
      <c r="Q176" s="204">
        <f t="shared" si="49"/>
        <v>0</v>
      </c>
      <c r="R176" s="476">
        <v>0</v>
      </c>
      <c r="S176" s="511">
        <f t="shared" si="48"/>
        <v>0</v>
      </c>
    </row>
    <row r="177" spans="1:19" ht="14" thickTop="1" thickBot="1">
      <c r="A177" s="202">
        <f t="shared" si="50"/>
        <v>49888</v>
      </c>
      <c r="B177" s="65">
        <f t="shared" si="40"/>
        <v>0</v>
      </c>
      <c r="C177" s="65">
        <f t="shared" si="41"/>
        <v>0</v>
      </c>
      <c r="D177" s="65">
        <f t="shared" si="43"/>
        <v>152</v>
      </c>
      <c r="E177" s="65">
        <f t="shared" si="44"/>
        <v>0</v>
      </c>
      <c r="F177" s="65">
        <f>IF(OR(L$73=0,DG!$A$251&gt;16),0,F176+1)</f>
        <v>0</v>
      </c>
      <c r="G177" s="65">
        <f t="shared" si="45"/>
        <v>0</v>
      </c>
      <c r="H177" s="65">
        <f t="shared" si="46"/>
        <v>0</v>
      </c>
      <c r="I177" s="65">
        <f t="shared" si="42"/>
        <v>0</v>
      </c>
      <c r="J177" s="203">
        <f>IF(DG!$A$130&lt;=11,$M$17,0)</f>
        <v>0</v>
      </c>
      <c r="K177" s="65">
        <f t="shared" si="47"/>
        <v>0</v>
      </c>
      <c r="L177" s="473">
        <f t="shared" si="51"/>
        <v>0</v>
      </c>
      <c r="M177" s="204">
        <f t="shared" si="52"/>
        <v>0</v>
      </c>
      <c r="N177" s="505">
        <f t="shared" si="53"/>
        <v>0</v>
      </c>
      <c r="O177" s="204">
        <f>IF(DG!$A$130&gt;12,0,IF(J177-J176&gt;0,MROUND((L177/12*Q176),1),MROUND(L177/12*P176,1)))</f>
        <v>0</v>
      </c>
      <c r="P177" s="204">
        <f t="shared" si="54"/>
        <v>0</v>
      </c>
      <c r="Q177" s="204">
        <f t="shared" si="49"/>
        <v>0</v>
      </c>
      <c r="R177" s="476">
        <v>0</v>
      </c>
      <c r="S177" s="511">
        <f t="shared" si="48"/>
        <v>0</v>
      </c>
    </row>
    <row r="178" spans="1:19" ht="14" thickTop="1" thickBot="1">
      <c r="A178" s="202">
        <f t="shared" si="50"/>
        <v>49919</v>
      </c>
      <c r="B178" s="65">
        <f t="shared" si="40"/>
        <v>0</v>
      </c>
      <c r="C178" s="65">
        <f t="shared" si="41"/>
        <v>0</v>
      </c>
      <c r="D178" s="65">
        <f t="shared" si="43"/>
        <v>153</v>
      </c>
      <c r="E178" s="65">
        <f t="shared" si="44"/>
        <v>0</v>
      </c>
      <c r="F178" s="65">
        <f>IF(OR(L$73=0,DG!$A$251&gt;16),0,F177+1)</f>
        <v>0</v>
      </c>
      <c r="G178" s="65">
        <f t="shared" si="45"/>
        <v>0</v>
      </c>
      <c r="H178" s="65">
        <f t="shared" si="46"/>
        <v>0</v>
      </c>
      <c r="I178" s="65">
        <f t="shared" si="42"/>
        <v>0</v>
      </c>
      <c r="J178" s="203">
        <f>IF(DG!$A$130&lt;=11,$M$17,0)</f>
        <v>0</v>
      </c>
      <c r="K178" s="65">
        <f t="shared" si="47"/>
        <v>0</v>
      </c>
      <c r="L178" s="473">
        <f t="shared" si="51"/>
        <v>0</v>
      </c>
      <c r="M178" s="204">
        <f t="shared" si="52"/>
        <v>0</v>
      </c>
      <c r="N178" s="505">
        <f t="shared" si="53"/>
        <v>0</v>
      </c>
      <c r="O178" s="204">
        <f>IF(DG!$A$130&gt;12,0,IF(J178-J177&gt;0,MROUND((L178/12*Q177),1),MROUND(L178/12*P177,1)))</f>
        <v>0</v>
      </c>
      <c r="P178" s="204">
        <f t="shared" si="54"/>
        <v>0</v>
      </c>
      <c r="Q178" s="204">
        <f t="shared" si="49"/>
        <v>0</v>
      </c>
      <c r="R178" s="476">
        <v>0</v>
      </c>
      <c r="S178" s="511">
        <f t="shared" si="48"/>
        <v>0</v>
      </c>
    </row>
    <row r="179" spans="1:19" ht="14" thickTop="1" thickBot="1">
      <c r="A179" s="202">
        <f t="shared" si="50"/>
        <v>49949</v>
      </c>
      <c r="B179" s="65">
        <f t="shared" si="40"/>
        <v>0</v>
      </c>
      <c r="C179" s="65">
        <f t="shared" si="41"/>
        <v>0</v>
      </c>
      <c r="D179" s="65">
        <f t="shared" si="43"/>
        <v>154</v>
      </c>
      <c r="E179" s="65">
        <f t="shared" si="44"/>
        <v>0</v>
      </c>
      <c r="F179" s="65">
        <f>IF(OR(L$73=0,DG!$A$251&gt;16),0,F178+1)</f>
        <v>0</v>
      </c>
      <c r="G179" s="65">
        <f t="shared" si="45"/>
        <v>0</v>
      </c>
      <c r="H179" s="65">
        <f t="shared" si="46"/>
        <v>0</v>
      </c>
      <c r="I179" s="65">
        <f t="shared" si="42"/>
        <v>0</v>
      </c>
      <c r="J179" s="203">
        <f>IF(DG!$A$130&lt;=11,$M$17,0)</f>
        <v>0</v>
      </c>
      <c r="K179" s="65">
        <f t="shared" si="47"/>
        <v>0</v>
      </c>
      <c r="L179" s="473">
        <f t="shared" si="51"/>
        <v>0</v>
      </c>
      <c r="M179" s="204">
        <f t="shared" si="52"/>
        <v>0</v>
      </c>
      <c r="N179" s="505">
        <f t="shared" si="53"/>
        <v>0</v>
      </c>
      <c r="O179" s="204">
        <f>IF(DG!$A$130&gt;12,0,IF(J179-J178&gt;0,MROUND((L179/12*Q178),1),MROUND(L179/12*P178,1)))</f>
        <v>0</v>
      </c>
      <c r="P179" s="204">
        <f t="shared" si="54"/>
        <v>0</v>
      </c>
      <c r="Q179" s="204">
        <f t="shared" si="49"/>
        <v>0</v>
      </c>
      <c r="R179" s="476">
        <v>0</v>
      </c>
      <c r="S179" s="511">
        <f t="shared" si="48"/>
        <v>0</v>
      </c>
    </row>
    <row r="180" spans="1:19" ht="14" thickTop="1" thickBot="1">
      <c r="A180" s="202">
        <f t="shared" si="50"/>
        <v>49980</v>
      </c>
      <c r="B180" s="65">
        <f t="shared" si="40"/>
        <v>0</v>
      </c>
      <c r="C180" s="65">
        <f t="shared" ref="C180:C205" si="55">IF(F180-$E$269&gt;0,F180-$E$269,0)</f>
        <v>0</v>
      </c>
      <c r="D180" s="65">
        <f t="shared" si="43"/>
        <v>155</v>
      </c>
      <c r="E180" s="65">
        <f t="shared" si="44"/>
        <v>0</v>
      </c>
      <c r="F180" s="65">
        <f>IF(OR(L$73=0,DG!$A$251&gt;16),0,F179+1)</f>
        <v>0</v>
      </c>
      <c r="G180" s="65">
        <f t="shared" si="45"/>
        <v>0</v>
      </c>
      <c r="H180" s="65">
        <f t="shared" si="46"/>
        <v>0</v>
      </c>
      <c r="I180" s="65">
        <f t="shared" ref="I180:I205" si="56">IF(OR(G180=1,C180=0),0,IF(K180-C180&lt;$G$269,1,-1))</f>
        <v>0</v>
      </c>
      <c r="J180" s="203">
        <f>IF(DG!$A$130&lt;=11,$M$17,0)</f>
        <v>0</v>
      </c>
      <c r="K180" s="65">
        <f t="shared" si="47"/>
        <v>0</v>
      </c>
      <c r="L180" s="473">
        <f t="shared" si="51"/>
        <v>0</v>
      </c>
      <c r="M180" s="204">
        <f t="shared" si="52"/>
        <v>0</v>
      </c>
      <c r="N180" s="505">
        <f t="shared" si="53"/>
        <v>0</v>
      </c>
      <c r="O180" s="204">
        <f>IF(DG!$A$130&gt;12,0,IF(J180-J179&gt;0,MROUND((L180/12*Q179),1),MROUND(L180/12*P179,1)))</f>
        <v>0</v>
      </c>
      <c r="P180" s="204">
        <f t="shared" si="54"/>
        <v>0</v>
      </c>
      <c r="Q180" s="204">
        <f t="shared" si="49"/>
        <v>0</v>
      </c>
      <c r="R180" s="476">
        <v>0</v>
      </c>
      <c r="S180" s="511">
        <f t="shared" si="48"/>
        <v>0</v>
      </c>
    </row>
    <row r="181" spans="1:19" ht="14" thickTop="1" thickBot="1">
      <c r="A181" s="202">
        <f t="shared" si="50"/>
        <v>50010</v>
      </c>
      <c r="B181" s="65">
        <f t="shared" si="40"/>
        <v>0</v>
      </c>
      <c r="C181" s="65">
        <f t="shared" si="55"/>
        <v>0</v>
      </c>
      <c r="D181" s="65">
        <f t="shared" si="43"/>
        <v>156</v>
      </c>
      <c r="E181" s="65">
        <f t="shared" si="44"/>
        <v>0</v>
      </c>
      <c r="F181" s="65">
        <f>IF(OR(L$73=0,DG!$A$251&gt;16),0,F180+1)</f>
        <v>0</v>
      </c>
      <c r="G181" s="65">
        <f t="shared" si="45"/>
        <v>0</v>
      </c>
      <c r="H181" s="65">
        <f t="shared" si="46"/>
        <v>0</v>
      </c>
      <c r="I181" s="65">
        <f t="shared" si="56"/>
        <v>0</v>
      </c>
      <c r="J181" s="203">
        <f>IF(DG!$A$130&lt;=11,$M$17,0)</f>
        <v>0</v>
      </c>
      <c r="K181" s="65">
        <f t="shared" si="47"/>
        <v>0</v>
      </c>
      <c r="L181" s="473">
        <f t="shared" si="51"/>
        <v>0</v>
      </c>
      <c r="M181" s="204">
        <f t="shared" si="52"/>
        <v>0</v>
      </c>
      <c r="N181" s="505">
        <f t="shared" si="53"/>
        <v>0</v>
      </c>
      <c r="O181" s="204">
        <f>IF(DG!$A$130&gt;12,0,IF(J181-J180&gt;0,MROUND((L181/12*Q180),1),MROUND(L181/12*P180,1)))</f>
        <v>0</v>
      </c>
      <c r="P181" s="204">
        <f t="shared" si="54"/>
        <v>0</v>
      </c>
      <c r="Q181" s="204">
        <f t="shared" si="49"/>
        <v>0</v>
      </c>
      <c r="R181" s="476">
        <v>0</v>
      </c>
      <c r="S181" s="511">
        <f t="shared" si="48"/>
        <v>0</v>
      </c>
    </row>
    <row r="182" spans="1:19" ht="14" thickTop="1" thickBot="1">
      <c r="A182" s="202">
        <f t="shared" si="50"/>
        <v>50041</v>
      </c>
      <c r="B182" s="65">
        <f t="shared" si="40"/>
        <v>0</v>
      </c>
      <c r="C182" s="65">
        <f t="shared" si="55"/>
        <v>0</v>
      </c>
      <c r="D182" s="65">
        <f t="shared" si="43"/>
        <v>157</v>
      </c>
      <c r="E182" s="65">
        <f t="shared" si="44"/>
        <v>0</v>
      </c>
      <c r="F182" s="65">
        <f>IF(OR(L$73=0,DG!$A$251&gt;16),0,F181+1)</f>
        <v>0</v>
      </c>
      <c r="G182" s="65">
        <f t="shared" si="45"/>
        <v>0</v>
      </c>
      <c r="H182" s="65">
        <f t="shared" si="46"/>
        <v>0</v>
      </c>
      <c r="I182" s="65">
        <f t="shared" si="56"/>
        <v>0</v>
      </c>
      <c r="J182" s="203">
        <f>IF(DG!$A$130&lt;=11,$M$17,0)</f>
        <v>0</v>
      </c>
      <c r="K182" s="65">
        <f t="shared" si="47"/>
        <v>0</v>
      </c>
      <c r="L182" s="473">
        <f t="shared" si="51"/>
        <v>0</v>
      </c>
      <c r="M182" s="204">
        <f t="shared" si="52"/>
        <v>0</v>
      </c>
      <c r="N182" s="505">
        <f t="shared" si="53"/>
        <v>0</v>
      </c>
      <c r="O182" s="204">
        <f>IF(DG!$A$130&gt;12,0,IF(J182-J181&gt;0,MROUND((L182/12*Q181),1),MROUND(L182/12*P181,1)))</f>
        <v>0</v>
      </c>
      <c r="P182" s="204">
        <f t="shared" si="54"/>
        <v>0</v>
      </c>
      <c r="Q182" s="204">
        <f t="shared" si="49"/>
        <v>0</v>
      </c>
      <c r="R182" s="476">
        <v>0</v>
      </c>
      <c r="S182" s="511">
        <f t="shared" si="48"/>
        <v>0</v>
      </c>
    </row>
    <row r="183" spans="1:19" ht="14" thickTop="1" thickBot="1">
      <c r="A183" s="202">
        <f t="shared" si="50"/>
        <v>50072</v>
      </c>
      <c r="B183" s="65">
        <f t="shared" si="40"/>
        <v>0</v>
      </c>
      <c r="C183" s="65">
        <f t="shared" si="55"/>
        <v>0</v>
      </c>
      <c r="D183" s="65">
        <f t="shared" si="43"/>
        <v>158</v>
      </c>
      <c r="E183" s="65">
        <f t="shared" si="44"/>
        <v>0</v>
      </c>
      <c r="F183" s="65">
        <f>IF(OR(L$73=0,DG!$A$251&gt;16),0,F182+1)</f>
        <v>0</v>
      </c>
      <c r="G183" s="65">
        <f t="shared" si="45"/>
        <v>0</v>
      </c>
      <c r="H183" s="65">
        <f t="shared" si="46"/>
        <v>0</v>
      </c>
      <c r="I183" s="65">
        <f t="shared" si="56"/>
        <v>0</v>
      </c>
      <c r="J183" s="203">
        <f>IF(DG!$A$130&lt;=11,$M$17,0)</f>
        <v>0</v>
      </c>
      <c r="K183" s="65">
        <f t="shared" si="47"/>
        <v>0</v>
      </c>
      <c r="L183" s="473">
        <f t="shared" si="51"/>
        <v>0</v>
      </c>
      <c r="M183" s="204">
        <f t="shared" si="52"/>
        <v>0</v>
      </c>
      <c r="N183" s="505">
        <f t="shared" si="53"/>
        <v>0</v>
      </c>
      <c r="O183" s="204">
        <f>IF(DG!$A$130&gt;12,0,IF(J183-J182&gt;0,MROUND((L183/12*Q182),1),MROUND(L183/12*P182,1)))</f>
        <v>0</v>
      </c>
      <c r="P183" s="204">
        <f t="shared" si="54"/>
        <v>0</v>
      </c>
      <c r="Q183" s="204">
        <f t="shared" si="49"/>
        <v>0</v>
      </c>
      <c r="R183" s="476">
        <v>0</v>
      </c>
      <c r="S183" s="511">
        <f t="shared" si="48"/>
        <v>0</v>
      </c>
    </row>
    <row r="184" spans="1:19" ht="14" thickTop="1" thickBot="1">
      <c r="A184" s="202">
        <f t="shared" si="50"/>
        <v>50100</v>
      </c>
      <c r="B184" s="65">
        <f t="shared" si="40"/>
        <v>0</v>
      </c>
      <c r="C184" s="65">
        <f t="shared" si="55"/>
        <v>0</v>
      </c>
      <c r="D184" s="65">
        <f t="shared" si="43"/>
        <v>159</v>
      </c>
      <c r="E184" s="65">
        <f t="shared" si="44"/>
        <v>0</v>
      </c>
      <c r="F184" s="65">
        <f>IF(OR(L$73=0,DG!$A$251&gt;16),0,F183+1)</f>
        <v>0</v>
      </c>
      <c r="G184" s="65">
        <f t="shared" si="45"/>
        <v>0</v>
      </c>
      <c r="H184" s="65">
        <f t="shared" si="46"/>
        <v>0</v>
      </c>
      <c r="I184" s="65">
        <f t="shared" si="56"/>
        <v>0</v>
      </c>
      <c r="J184" s="203">
        <f>IF(DG!$A$130&lt;=11,$M$17,0)</f>
        <v>0</v>
      </c>
      <c r="K184" s="65">
        <f t="shared" si="47"/>
        <v>0</v>
      </c>
      <c r="L184" s="473">
        <f t="shared" si="51"/>
        <v>0</v>
      </c>
      <c r="M184" s="204">
        <f t="shared" si="52"/>
        <v>0</v>
      </c>
      <c r="N184" s="505">
        <f t="shared" si="53"/>
        <v>0</v>
      </c>
      <c r="O184" s="204">
        <f>IF(DG!$A$130&gt;12,0,IF(J184-J183&gt;0,MROUND((L184/12*Q183),1),MROUND(L184/12*P183,1)))</f>
        <v>0</v>
      </c>
      <c r="P184" s="204">
        <f t="shared" si="54"/>
        <v>0</v>
      </c>
      <c r="Q184" s="204">
        <f t="shared" si="49"/>
        <v>0</v>
      </c>
      <c r="R184" s="476">
        <v>0</v>
      </c>
      <c r="S184" s="511">
        <f t="shared" si="48"/>
        <v>0</v>
      </c>
    </row>
    <row r="185" spans="1:19" ht="14" thickTop="1" thickBot="1">
      <c r="A185" s="202">
        <f t="shared" si="50"/>
        <v>50131</v>
      </c>
      <c r="B185" s="65">
        <f t="shared" si="40"/>
        <v>0</v>
      </c>
      <c r="C185" s="65">
        <f t="shared" si="55"/>
        <v>0</v>
      </c>
      <c r="D185" s="65">
        <f t="shared" si="43"/>
        <v>160</v>
      </c>
      <c r="E185" s="65">
        <f t="shared" si="44"/>
        <v>0</v>
      </c>
      <c r="F185" s="65">
        <f>IF(OR(L$73=0,DG!$A$251&gt;16),0,F184+1)</f>
        <v>0</v>
      </c>
      <c r="G185" s="65">
        <f t="shared" si="45"/>
        <v>0</v>
      </c>
      <c r="H185" s="65">
        <f t="shared" si="46"/>
        <v>0</v>
      </c>
      <c r="I185" s="65">
        <f t="shared" si="56"/>
        <v>0</v>
      </c>
      <c r="J185" s="203">
        <f>IF(DG!$A$130&lt;=11,$M$17,0)</f>
        <v>0</v>
      </c>
      <c r="K185" s="65">
        <f t="shared" si="47"/>
        <v>0</v>
      </c>
      <c r="L185" s="473">
        <f t="shared" si="51"/>
        <v>0</v>
      </c>
      <c r="M185" s="204">
        <f t="shared" si="52"/>
        <v>0</v>
      </c>
      <c r="N185" s="505">
        <f t="shared" si="53"/>
        <v>0</v>
      </c>
      <c r="O185" s="204">
        <f>IF(DG!$A$130&gt;12,0,IF(J185-J184&gt;0,MROUND((L185/12*Q184),1),MROUND(L185/12*P184,1)))</f>
        <v>0</v>
      </c>
      <c r="P185" s="204">
        <f t="shared" si="54"/>
        <v>0</v>
      </c>
      <c r="Q185" s="204">
        <f t="shared" si="49"/>
        <v>0</v>
      </c>
      <c r="R185" s="476">
        <v>0</v>
      </c>
      <c r="S185" s="511">
        <f t="shared" si="48"/>
        <v>0</v>
      </c>
    </row>
    <row r="186" spans="1:19" ht="14" thickTop="1" thickBot="1">
      <c r="A186" s="202">
        <f t="shared" si="50"/>
        <v>50161</v>
      </c>
      <c r="B186" s="65">
        <f t="shared" si="40"/>
        <v>0</v>
      </c>
      <c r="C186" s="65">
        <f t="shared" si="55"/>
        <v>0</v>
      </c>
      <c r="D186" s="65">
        <f t="shared" si="43"/>
        <v>161</v>
      </c>
      <c r="E186" s="65">
        <f t="shared" si="44"/>
        <v>0</v>
      </c>
      <c r="F186" s="65">
        <f>IF(OR(L$73=0,DG!$A$251&gt;16),0,F185+1)</f>
        <v>0</v>
      </c>
      <c r="G186" s="65">
        <f t="shared" si="45"/>
        <v>0</v>
      </c>
      <c r="H186" s="65">
        <f t="shared" si="46"/>
        <v>0</v>
      </c>
      <c r="I186" s="65">
        <f t="shared" si="56"/>
        <v>0</v>
      </c>
      <c r="J186" s="203">
        <f>IF(DG!$A$130&lt;=11,$M$17,0)</f>
        <v>0</v>
      </c>
      <c r="K186" s="65">
        <f t="shared" si="47"/>
        <v>0</v>
      </c>
      <c r="L186" s="473">
        <f t="shared" si="51"/>
        <v>0</v>
      </c>
      <c r="M186" s="204">
        <f t="shared" si="52"/>
        <v>0</v>
      </c>
      <c r="N186" s="505">
        <f t="shared" si="53"/>
        <v>0</v>
      </c>
      <c r="O186" s="204">
        <f>IF(DG!$A$130&gt;12,0,IF(J186-J185&gt;0,MROUND((L186/12*Q185),1),MROUND(L186/12*P185,1)))</f>
        <v>0</v>
      </c>
      <c r="P186" s="204">
        <f t="shared" si="54"/>
        <v>0</v>
      </c>
      <c r="Q186" s="204">
        <f t="shared" si="49"/>
        <v>0</v>
      </c>
      <c r="R186" s="476">
        <v>0</v>
      </c>
      <c r="S186" s="511">
        <f t="shared" si="48"/>
        <v>0</v>
      </c>
    </row>
    <row r="187" spans="1:19" ht="14" thickTop="1" thickBot="1">
      <c r="A187" s="202">
        <f t="shared" si="50"/>
        <v>50192</v>
      </c>
      <c r="B187" s="65">
        <f t="shared" si="40"/>
        <v>0</v>
      </c>
      <c r="C187" s="65">
        <f t="shared" si="55"/>
        <v>0</v>
      </c>
      <c r="D187" s="65">
        <f t="shared" si="43"/>
        <v>162</v>
      </c>
      <c r="E187" s="65">
        <f t="shared" si="44"/>
        <v>0</v>
      </c>
      <c r="F187" s="65">
        <f>IF(OR(L$73=0,DG!$A$251&gt;16),0,F186+1)</f>
        <v>0</v>
      </c>
      <c r="G187" s="65">
        <f t="shared" si="45"/>
        <v>0</v>
      </c>
      <c r="H187" s="65">
        <f t="shared" si="46"/>
        <v>0</v>
      </c>
      <c r="I187" s="65">
        <f t="shared" si="56"/>
        <v>0</v>
      </c>
      <c r="J187" s="203">
        <f>IF(DG!$A$130&lt;=11,$M$17,0)</f>
        <v>0</v>
      </c>
      <c r="K187" s="65">
        <f t="shared" si="47"/>
        <v>0</v>
      </c>
      <c r="L187" s="473">
        <f t="shared" si="51"/>
        <v>0</v>
      </c>
      <c r="M187" s="204">
        <f t="shared" si="52"/>
        <v>0</v>
      </c>
      <c r="N187" s="505">
        <f t="shared" si="53"/>
        <v>0</v>
      </c>
      <c r="O187" s="204">
        <f>IF(DG!$A$130&gt;12,0,IF(J187-J186&gt;0,MROUND((L187/12*Q186),1),MROUND(L187/12*P186,1)))</f>
        <v>0</v>
      </c>
      <c r="P187" s="204">
        <f t="shared" si="54"/>
        <v>0</v>
      </c>
      <c r="Q187" s="204">
        <f t="shared" si="49"/>
        <v>0</v>
      </c>
      <c r="R187" s="476">
        <v>0</v>
      </c>
      <c r="S187" s="511">
        <f t="shared" si="48"/>
        <v>0</v>
      </c>
    </row>
    <row r="188" spans="1:19" ht="14" thickTop="1" thickBot="1">
      <c r="A188" s="202">
        <f t="shared" si="50"/>
        <v>50222</v>
      </c>
      <c r="B188" s="65">
        <f t="shared" si="40"/>
        <v>0</v>
      </c>
      <c r="C188" s="65">
        <f t="shared" si="55"/>
        <v>0</v>
      </c>
      <c r="D188" s="65">
        <f t="shared" si="43"/>
        <v>163</v>
      </c>
      <c r="E188" s="65">
        <f t="shared" si="44"/>
        <v>0</v>
      </c>
      <c r="F188" s="65">
        <f>IF(OR(L$73=0,DG!$A$251&gt;16),0,F187+1)</f>
        <v>0</v>
      </c>
      <c r="G188" s="65">
        <f t="shared" si="45"/>
        <v>0</v>
      </c>
      <c r="H188" s="65">
        <f t="shared" si="46"/>
        <v>0</v>
      </c>
      <c r="I188" s="65">
        <f t="shared" si="56"/>
        <v>0</v>
      </c>
      <c r="J188" s="203">
        <f>IF(DG!$A$130&lt;=11,$M$17,0)</f>
        <v>0</v>
      </c>
      <c r="K188" s="65">
        <f t="shared" si="47"/>
        <v>0</v>
      </c>
      <c r="L188" s="473">
        <f t="shared" si="51"/>
        <v>0</v>
      </c>
      <c r="M188" s="204">
        <f t="shared" si="52"/>
        <v>0</v>
      </c>
      <c r="N188" s="505">
        <f t="shared" si="53"/>
        <v>0</v>
      </c>
      <c r="O188" s="204">
        <f>IF(DG!$A$130&gt;12,0,IF(J188-J187&gt;0,MROUND((L188/12*Q187),1),MROUND(L188/12*P187,1)))</f>
        <v>0</v>
      </c>
      <c r="P188" s="204">
        <f t="shared" si="54"/>
        <v>0</v>
      </c>
      <c r="Q188" s="204">
        <f t="shared" si="49"/>
        <v>0</v>
      </c>
      <c r="R188" s="476">
        <v>0</v>
      </c>
      <c r="S188" s="511">
        <f t="shared" si="48"/>
        <v>0</v>
      </c>
    </row>
    <row r="189" spans="1:19" ht="14" thickTop="1" thickBot="1">
      <c r="A189" s="202">
        <f t="shared" si="50"/>
        <v>50253</v>
      </c>
      <c r="B189" s="65">
        <f t="shared" si="40"/>
        <v>0</v>
      </c>
      <c r="C189" s="65">
        <f t="shared" si="55"/>
        <v>0</v>
      </c>
      <c r="D189" s="65">
        <f t="shared" si="43"/>
        <v>164</v>
      </c>
      <c r="E189" s="65">
        <f t="shared" si="44"/>
        <v>0</v>
      </c>
      <c r="F189" s="65">
        <f>IF(OR(L$73=0,DG!$A$251&gt;16),0,F188+1)</f>
        <v>0</v>
      </c>
      <c r="G189" s="65">
        <f t="shared" si="45"/>
        <v>0</v>
      </c>
      <c r="H189" s="65">
        <f t="shared" si="46"/>
        <v>0</v>
      </c>
      <c r="I189" s="65">
        <f t="shared" si="56"/>
        <v>0</v>
      </c>
      <c r="J189" s="203">
        <f>IF(DG!$A$130&lt;=11,$M$17,0)</f>
        <v>0</v>
      </c>
      <c r="K189" s="65">
        <f t="shared" si="47"/>
        <v>0</v>
      </c>
      <c r="L189" s="473">
        <f t="shared" si="51"/>
        <v>0</v>
      </c>
      <c r="M189" s="204">
        <f t="shared" si="52"/>
        <v>0</v>
      </c>
      <c r="N189" s="505">
        <f t="shared" si="53"/>
        <v>0</v>
      </c>
      <c r="O189" s="204">
        <f>IF(DG!$A$130&gt;12,0,IF(J189-J188&gt;0,MROUND((L189/12*Q188),1),MROUND(L189/12*P188,1)))</f>
        <v>0</v>
      </c>
      <c r="P189" s="204">
        <f t="shared" si="54"/>
        <v>0</v>
      </c>
      <c r="Q189" s="204">
        <f t="shared" si="49"/>
        <v>0</v>
      </c>
      <c r="R189" s="476">
        <v>0</v>
      </c>
      <c r="S189" s="511">
        <f t="shared" si="48"/>
        <v>0</v>
      </c>
    </row>
    <row r="190" spans="1:19" ht="14" thickTop="1" thickBot="1">
      <c r="A190" s="202">
        <f t="shared" si="50"/>
        <v>50284</v>
      </c>
      <c r="B190" s="65">
        <f t="shared" si="40"/>
        <v>0</v>
      </c>
      <c r="C190" s="65">
        <f t="shared" si="55"/>
        <v>0</v>
      </c>
      <c r="D190" s="65">
        <f t="shared" si="43"/>
        <v>165</v>
      </c>
      <c r="E190" s="65">
        <f t="shared" si="44"/>
        <v>0</v>
      </c>
      <c r="F190" s="65">
        <f>IF(OR(L$73=0,DG!$A$251&gt;16),0,F189+1)</f>
        <v>0</v>
      </c>
      <c r="G190" s="65">
        <f t="shared" si="45"/>
        <v>0</v>
      </c>
      <c r="H190" s="65">
        <f t="shared" si="46"/>
        <v>0</v>
      </c>
      <c r="I190" s="65">
        <f t="shared" si="56"/>
        <v>0</v>
      </c>
      <c r="J190" s="203">
        <f>IF(DG!$A$130&lt;=11,$M$17,0)</f>
        <v>0</v>
      </c>
      <c r="K190" s="65">
        <f t="shared" si="47"/>
        <v>0</v>
      </c>
      <c r="L190" s="473">
        <f t="shared" si="51"/>
        <v>0</v>
      </c>
      <c r="M190" s="204">
        <f t="shared" si="52"/>
        <v>0</v>
      </c>
      <c r="N190" s="505">
        <f t="shared" si="53"/>
        <v>0</v>
      </c>
      <c r="O190" s="204">
        <f>IF(DG!$A$130&gt;12,0,IF(J190-J189&gt;0,MROUND((L190/12*Q189),1),MROUND(L190/12*P189,1)))</f>
        <v>0</v>
      </c>
      <c r="P190" s="204">
        <f t="shared" si="54"/>
        <v>0</v>
      </c>
      <c r="Q190" s="204">
        <f t="shared" si="49"/>
        <v>0</v>
      </c>
      <c r="R190" s="476">
        <v>0</v>
      </c>
      <c r="S190" s="511">
        <f t="shared" si="48"/>
        <v>0</v>
      </c>
    </row>
    <row r="191" spans="1:19" ht="14" thickTop="1" thickBot="1">
      <c r="A191" s="202">
        <f t="shared" si="50"/>
        <v>50314</v>
      </c>
      <c r="B191" s="65">
        <f t="shared" si="40"/>
        <v>0</v>
      </c>
      <c r="C191" s="65">
        <f t="shared" si="55"/>
        <v>0</v>
      </c>
      <c r="D191" s="65">
        <f t="shared" si="43"/>
        <v>166</v>
      </c>
      <c r="E191" s="65">
        <f t="shared" si="44"/>
        <v>0</v>
      </c>
      <c r="F191" s="65">
        <f>IF(OR(L$73=0,DG!$A$251&gt;16),0,F190+1)</f>
        <v>0</v>
      </c>
      <c r="G191" s="65">
        <f t="shared" si="45"/>
        <v>0</v>
      </c>
      <c r="H191" s="65">
        <f t="shared" si="46"/>
        <v>0</v>
      </c>
      <c r="I191" s="65">
        <f t="shared" si="56"/>
        <v>0</v>
      </c>
      <c r="J191" s="203">
        <f>IF(DG!$A$130&lt;=11,$M$17,0)</f>
        <v>0</v>
      </c>
      <c r="K191" s="65">
        <f t="shared" si="47"/>
        <v>0</v>
      </c>
      <c r="L191" s="473">
        <f t="shared" si="51"/>
        <v>0</v>
      </c>
      <c r="M191" s="204">
        <f t="shared" si="52"/>
        <v>0</v>
      </c>
      <c r="N191" s="505">
        <f t="shared" si="53"/>
        <v>0</v>
      </c>
      <c r="O191" s="204">
        <f>IF(DG!$A$130&gt;12,0,IF(J191-J190&gt;0,MROUND((L191/12*Q190),1),MROUND(L191/12*P190,1)))</f>
        <v>0</v>
      </c>
      <c r="P191" s="204">
        <f t="shared" si="54"/>
        <v>0</v>
      </c>
      <c r="Q191" s="204">
        <f t="shared" si="49"/>
        <v>0</v>
      </c>
      <c r="R191" s="476">
        <v>0</v>
      </c>
      <c r="S191" s="511">
        <f t="shared" si="48"/>
        <v>0</v>
      </c>
    </row>
    <row r="192" spans="1:19" ht="14" thickTop="1" thickBot="1">
      <c r="A192" s="202">
        <f t="shared" si="50"/>
        <v>50345</v>
      </c>
      <c r="B192" s="65">
        <f t="shared" si="40"/>
        <v>0</v>
      </c>
      <c r="C192" s="65">
        <f t="shared" si="55"/>
        <v>0</v>
      </c>
      <c r="D192" s="65">
        <f t="shared" si="43"/>
        <v>167</v>
      </c>
      <c r="E192" s="65">
        <f t="shared" si="44"/>
        <v>0</v>
      </c>
      <c r="F192" s="65">
        <f>IF(OR(L$73=0,DG!$A$251&gt;16),0,F191+1)</f>
        <v>0</v>
      </c>
      <c r="G192" s="65">
        <f t="shared" si="45"/>
        <v>0</v>
      </c>
      <c r="H192" s="65">
        <f t="shared" si="46"/>
        <v>0</v>
      </c>
      <c r="I192" s="65">
        <f t="shared" si="56"/>
        <v>0</v>
      </c>
      <c r="J192" s="203">
        <f>IF(DG!$A$130&lt;=11,$M$17,0)</f>
        <v>0</v>
      </c>
      <c r="K192" s="65">
        <f t="shared" si="47"/>
        <v>0</v>
      </c>
      <c r="L192" s="473">
        <f t="shared" si="51"/>
        <v>0</v>
      </c>
      <c r="M192" s="204">
        <f t="shared" si="52"/>
        <v>0</v>
      </c>
      <c r="N192" s="505">
        <f t="shared" si="53"/>
        <v>0</v>
      </c>
      <c r="O192" s="204">
        <f>IF(DG!$A$130&gt;12,0,IF(J192-J191&gt;0,MROUND((L192/12*Q191),1),MROUND(L192/12*P191,1)))</f>
        <v>0</v>
      </c>
      <c r="P192" s="204">
        <f t="shared" si="54"/>
        <v>0</v>
      </c>
      <c r="Q192" s="204">
        <f t="shared" si="49"/>
        <v>0</v>
      </c>
      <c r="R192" s="476">
        <v>0</v>
      </c>
      <c r="S192" s="511">
        <f t="shared" si="48"/>
        <v>0</v>
      </c>
    </row>
    <row r="193" spans="1:19" ht="14" thickTop="1" thickBot="1">
      <c r="A193" s="202">
        <f t="shared" si="50"/>
        <v>50375</v>
      </c>
      <c r="B193" s="65">
        <f t="shared" si="40"/>
        <v>0</v>
      </c>
      <c r="C193" s="65">
        <f t="shared" si="55"/>
        <v>0</v>
      </c>
      <c r="D193" s="65">
        <f t="shared" si="43"/>
        <v>168</v>
      </c>
      <c r="E193" s="65">
        <f t="shared" si="44"/>
        <v>0</v>
      </c>
      <c r="F193" s="65">
        <f>IF(OR(L$73=0,DG!$A$251&gt;16),0,F192+1)</f>
        <v>0</v>
      </c>
      <c r="G193" s="65">
        <f t="shared" si="45"/>
        <v>0</v>
      </c>
      <c r="H193" s="65">
        <f t="shared" si="46"/>
        <v>0</v>
      </c>
      <c r="I193" s="65">
        <f t="shared" si="56"/>
        <v>0</v>
      </c>
      <c r="J193" s="203">
        <f>IF(DG!$A$130&lt;=11,$M$17,0)</f>
        <v>0</v>
      </c>
      <c r="K193" s="65">
        <f t="shared" si="47"/>
        <v>0</v>
      </c>
      <c r="L193" s="473">
        <f t="shared" si="51"/>
        <v>0</v>
      </c>
      <c r="M193" s="204">
        <f t="shared" si="52"/>
        <v>0</v>
      </c>
      <c r="N193" s="505">
        <f t="shared" si="53"/>
        <v>0</v>
      </c>
      <c r="O193" s="204">
        <f>IF(DG!$A$130&gt;12,0,IF(J193-J192&gt;0,MROUND((L193/12*Q192),1),MROUND(L193/12*P192,1)))</f>
        <v>0</v>
      </c>
      <c r="P193" s="204">
        <f t="shared" si="54"/>
        <v>0</v>
      </c>
      <c r="Q193" s="204">
        <f t="shared" si="49"/>
        <v>0</v>
      </c>
      <c r="R193" s="476">
        <v>0</v>
      </c>
      <c r="S193" s="511">
        <f t="shared" si="48"/>
        <v>0</v>
      </c>
    </row>
    <row r="194" spans="1:19" ht="14" thickTop="1" thickBot="1">
      <c r="A194" s="202">
        <f t="shared" si="50"/>
        <v>50406</v>
      </c>
      <c r="B194" s="65">
        <f t="shared" si="40"/>
        <v>0</v>
      </c>
      <c r="C194" s="65">
        <f t="shared" si="55"/>
        <v>0</v>
      </c>
      <c r="D194" s="65">
        <f t="shared" si="43"/>
        <v>169</v>
      </c>
      <c r="E194" s="65">
        <f t="shared" si="44"/>
        <v>0</v>
      </c>
      <c r="F194" s="65">
        <f>IF(OR(L$73=0,DG!$A$251&gt;16),0,F193+1)</f>
        <v>0</v>
      </c>
      <c r="G194" s="65">
        <f t="shared" si="45"/>
        <v>0</v>
      </c>
      <c r="H194" s="65">
        <f t="shared" si="46"/>
        <v>0</v>
      </c>
      <c r="I194" s="65">
        <f t="shared" si="56"/>
        <v>0</v>
      </c>
      <c r="J194" s="203">
        <f>IF(DG!$A$130&lt;=11,$M$17,0)</f>
        <v>0</v>
      </c>
      <c r="K194" s="65">
        <f t="shared" si="47"/>
        <v>0</v>
      </c>
      <c r="L194" s="473">
        <f t="shared" si="51"/>
        <v>0</v>
      </c>
      <c r="M194" s="204">
        <f t="shared" si="52"/>
        <v>0</v>
      </c>
      <c r="N194" s="505">
        <f t="shared" si="53"/>
        <v>0</v>
      </c>
      <c r="O194" s="204">
        <f>IF(DG!$A$130&gt;12,0,IF(J194-J193&gt;0,MROUND((L194/12*Q193),1),MROUND(L194/12*P193,1)))</f>
        <v>0</v>
      </c>
      <c r="P194" s="204">
        <f t="shared" si="54"/>
        <v>0</v>
      </c>
      <c r="Q194" s="204">
        <f t="shared" si="49"/>
        <v>0</v>
      </c>
      <c r="R194" s="476">
        <v>0</v>
      </c>
      <c r="S194" s="511">
        <f t="shared" si="48"/>
        <v>0</v>
      </c>
    </row>
    <row r="195" spans="1:19" ht="14" thickTop="1" thickBot="1">
      <c r="A195" s="202">
        <f t="shared" si="50"/>
        <v>50437</v>
      </c>
      <c r="B195" s="65">
        <f t="shared" si="40"/>
        <v>0</v>
      </c>
      <c r="C195" s="65">
        <f t="shared" si="55"/>
        <v>0</v>
      </c>
      <c r="D195" s="65">
        <f t="shared" si="43"/>
        <v>170</v>
      </c>
      <c r="E195" s="65">
        <f t="shared" si="44"/>
        <v>0</v>
      </c>
      <c r="F195" s="65">
        <f>IF(OR(L$73=0,DG!$A$251&gt;16),0,F194+1)</f>
        <v>0</v>
      </c>
      <c r="G195" s="65">
        <f t="shared" si="45"/>
        <v>0</v>
      </c>
      <c r="H195" s="65">
        <f t="shared" si="46"/>
        <v>0</v>
      </c>
      <c r="I195" s="65">
        <f t="shared" si="56"/>
        <v>0</v>
      </c>
      <c r="J195" s="203">
        <f>IF(DG!$A$130&lt;=11,$M$17,0)</f>
        <v>0</v>
      </c>
      <c r="K195" s="65">
        <f t="shared" si="47"/>
        <v>0</v>
      </c>
      <c r="L195" s="473">
        <f t="shared" si="51"/>
        <v>0</v>
      </c>
      <c r="M195" s="204">
        <f t="shared" si="52"/>
        <v>0</v>
      </c>
      <c r="N195" s="505">
        <f t="shared" si="53"/>
        <v>0</v>
      </c>
      <c r="O195" s="204">
        <f>IF(DG!$A$130&gt;12,0,IF(J195-J194&gt;0,MROUND((L195/12*Q194),1),MROUND(L195/12*P194,1)))</f>
        <v>0</v>
      </c>
      <c r="P195" s="204">
        <f t="shared" si="54"/>
        <v>0</v>
      </c>
      <c r="Q195" s="204">
        <f t="shared" si="49"/>
        <v>0</v>
      </c>
      <c r="R195" s="476">
        <v>0</v>
      </c>
      <c r="S195" s="511">
        <f t="shared" si="48"/>
        <v>0</v>
      </c>
    </row>
    <row r="196" spans="1:19" ht="14" thickTop="1" thickBot="1">
      <c r="A196" s="202">
        <f t="shared" si="50"/>
        <v>50465</v>
      </c>
      <c r="B196" s="65">
        <f t="shared" si="40"/>
        <v>0</v>
      </c>
      <c r="C196" s="65">
        <f t="shared" si="55"/>
        <v>0</v>
      </c>
      <c r="D196" s="65">
        <f t="shared" si="43"/>
        <v>171</v>
      </c>
      <c r="E196" s="65">
        <f t="shared" si="44"/>
        <v>0</v>
      </c>
      <c r="F196" s="65">
        <f>IF(OR(L$73=0,DG!$A$251&gt;16),0,F195+1)</f>
        <v>0</v>
      </c>
      <c r="G196" s="65">
        <f t="shared" si="45"/>
        <v>0</v>
      </c>
      <c r="H196" s="65">
        <f t="shared" si="46"/>
        <v>0</v>
      </c>
      <c r="I196" s="65">
        <f t="shared" si="56"/>
        <v>0</v>
      </c>
      <c r="J196" s="203">
        <f>IF(DG!$A$130&lt;=11,$M$17,0)</f>
        <v>0</v>
      </c>
      <c r="K196" s="65">
        <f t="shared" si="47"/>
        <v>0</v>
      </c>
      <c r="L196" s="473">
        <f t="shared" si="51"/>
        <v>0</v>
      </c>
      <c r="M196" s="204">
        <f t="shared" si="52"/>
        <v>0</v>
      </c>
      <c r="N196" s="505">
        <f t="shared" si="53"/>
        <v>0</v>
      </c>
      <c r="O196" s="204">
        <f>IF(DG!$A$130&gt;12,0,IF(J196-J195&gt;0,MROUND((L196/12*Q195),1),MROUND(L196/12*P195,1)))</f>
        <v>0</v>
      </c>
      <c r="P196" s="204">
        <f t="shared" si="54"/>
        <v>0</v>
      </c>
      <c r="Q196" s="204">
        <f t="shared" si="49"/>
        <v>0</v>
      </c>
      <c r="R196" s="476">
        <v>0</v>
      </c>
      <c r="S196" s="511">
        <f t="shared" si="48"/>
        <v>0</v>
      </c>
    </row>
    <row r="197" spans="1:19" ht="14" thickTop="1" thickBot="1">
      <c r="A197" s="202">
        <f t="shared" si="50"/>
        <v>50496</v>
      </c>
      <c r="B197" s="65">
        <f t="shared" si="40"/>
        <v>0</v>
      </c>
      <c r="C197" s="65">
        <f t="shared" si="55"/>
        <v>0</v>
      </c>
      <c r="D197" s="65">
        <f t="shared" si="43"/>
        <v>172</v>
      </c>
      <c r="E197" s="65">
        <f t="shared" si="44"/>
        <v>0</v>
      </c>
      <c r="F197" s="65">
        <f>IF(OR(L$73=0,DG!$A$251&gt;16),0,F196+1)</f>
        <v>0</v>
      </c>
      <c r="G197" s="65">
        <f t="shared" si="45"/>
        <v>0</v>
      </c>
      <c r="H197" s="65">
        <f t="shared" si="46"/>
        <v>0</v>
      </c>
      <c r="I197" s="65">
        <f t="shared" si="56"/>
        <v>0</v>
      </c>
      <c r="J197" s="203">
        <f>IF(DG!$A$130&lt;=11,$M$17,0)</f>
        <v>0</v>
      </c>
      <c r="K197" s="65">
        <f t="shared" si="47"/>
        <v>0</v>
      </c>
      <c r="L197" s="473">
        <f t="shared" si="51"/>
        <v>0</v>
      </c>
      <c r="M197" s="204">
        <f t="shared" si="52"/>
        <v>0</v>
      </c>
      <c r="N197" s="505">
        <f t="shared" si="53"/>
        <v>0</v>
      </c>
      <c r="O197" s="204">
        <f>IF(DG!$A$130&gt;12,0,IF(J197-J196&gt;0,MROUND((L197/12*Q196),1),MROUND(L197/12*P196,1)))</f>
        <v>0</v>
      </c>
      <c r="P197" s="204">
        <f t="shared" si="54"/>
        <v>0</v>
      </c>
      <c r="Q197" s="204">
        <f t="shared" si="49"/>
        <v>0</v>
      </c>
      <c r="R197" s="476">
        <v>0</v>
      </c>
      <c r="S197" s="511">
        <f t="shared" si="48"/>
        <v>0</v>
      </c>
    </row>
    <row r="198" spans="1:19" ht="14" thickTop="1" thickBot="1">
      <c r="A198" s="202">
        <f t="shared" si="50"/>
        <v>50526</v>
      </c>
      <c r="B198" s="65">
        <f t="shared" si="40"/>
        <v>0</v>
      </c>
      <c r="C198" s="65">
        <f t="shared" si="55"/>
        <v>0</v>
      </c>
      <c r="D198" s="65">
        <f t="shared" si="43"/>
        <v>173</v>
      </c>
      <c r="E198" s="65">
        <f t="shared" si="44"/>
        <v>0</v>
      </c>
      <c r="F198" s="65">
        <f>IF(OR(L$73=0,DG!$A$251&gt;16),0,F197+1)</f>
        <v>0</v>
      </c>
      <c r="G198" s="65">
        <f t="shared" si="45"/>
        <v>0</v>
      </c>
      <c r="H198" s="65">
        <f t="shared" si="46"/>
        <v>0</v>
      </c>
      <c r="I198" s="65">
        <f t="shared" si="56"/>
        <v>0</v>
      </c>
      <c r="J198" s="203">
        <f>IF(DG!$A$130&lt;=11,$M$17,0)</f>
        <v>0</v>
      </c>
      <c r="K198" s="65">
        <f t="shared" si="47"/>
        <v>0</v>
      </c>
      <c r="L198" s="473">
        <f t="shared" si="51"/>
        <v>0</v>
      </c>
      <c r="M198" s="204">
        <f t="shared" si="52"/>
        <v>0</v>
      </c>
      <c r="N198" s="505">
        <f t="shared" si="53"/>
        <v>0</v>
      </c>
      <c r="O198" s="204">
        <f>IF(DG!$A$130&gt;12,0,IF(J198-J197&gt;0,MROUND((L198/12*Q197),1),MROUND(L198/12*P197,1)))</f>
        <v>0</v>
      </c>
      <c r="P198" s="204">
        <f t="shared" si="54"/>
        <v>0</v>
      </c>
      <c r="Q198" s="204">
        <f t="shared" si="49"/>
        <v>0</v>
      </c>
      <c r="R198" s="476">
        <v>0</v>
      </c>
      <c r="S198" s="511">
        <f t="shared" si="48"/>
        <v>0</v>
      </c>
    </row>
    <row r="199" spans="1:19" ht="14" thickTop="1" thickBot="1">
      <c r="A199" s="202">
        <f t="shared" si="50"/>
        <v>50557</v>
      </c>
      <c r="B199" s="65">
        <f t="shared" si="40"/>
        <v>0</v>
      </c>
      <c r="C199" s="65">
        <f t="shared" si="55"/>
        <v>0</v>
      </c>
      <c r="D199" s="65">
        <f t="shared" si="43"/>
        <v>174</v>
      </c>
      <c r="E199" s="65">
        <f t="shared" si="44"/>
        <v>0</v>
      </c>
      <c r="F199" s="65">
        <f>IF(OR(L$73=0,DG!$A$251&gt;16),0,F198+1)</f>
        <v>0</v>
      </c>
      <c r="G199" s="65">
        <f t="shared" si="45"/>
        <v>0</v>
      </c>
      <c r="H199" s="65">
        <f t="shared" si="46"/>
        <v>0</v>
      </c>
      <c r="I199" s="65">
        <f t="shared" si="56"/>
        <v>0</v>
      </c>
      <c r="J199" s="203">
        <f>IF(DG!$A$130&lt;=11,$M$17,0)</f>
        <v>0</v>
      </c>
      <c r="K199" s="65">
        <f t="shared" si="47"/>
        <v>0</v>
      </c>
      <c r="L199" s="473">
        <f t="shared" si="51"/>
        <v>0</v>
      </c>
      <c r="M199" s="204">
        <f t="shared" si="52"/>
        <v>0</v>
      </c>
      <c r="N199" s="505">
        <f t="shared" si="53"/>
        <v>0</v>
      </c>
      <c r="O199" s="204">
        <f>IF(DG!$A$130&gt;12,0,IF(J199-J198&gt;0,MROUND((L199/12*Q198),1),MROUND(L199/12*P198,1)))</f>
        <v>0</v>
      </c>
      <c r="P199" s="204">
        <f t="shared" si="54"/>
        <v>0</v>
      </c>
      <c r="Q199" s="204">
        <f t="shared" si="49"/>
        <v>0</v>
      </c>
      <c r="R199" s="476">
        <v>0</v>
      </c>
      <c r="S199" s="511">
        <f t="shared" si="48"/>
        <v>0</v>
      </c>
    </row>
    <row r="200" spans="1:19" ht="14" thickTop="1" thickBot="1">
      <c r="A200" s="202">
        <f t="shared" si="50"/>
        <v>50587</v>
      </c>
      <c r="B200" s="65">
        <f t="shared" si="40"/>
        <v>0</v>
      </c>
      <c r="C200" s="65">
        <f t="shared" si="55"/>
        <v>0</v>
      </c>
      <c r="D200" s="65">
        <f t="shared" si="43"/>
        <v>175</v>
      </c>
      <c r="E200" s="65">
        <f t="shared" si="44"/>
        <v>0</v>
      </c>
      <c r="F200" s="65">
        <f>IF(OR(L$73=0,DG!$A$251&gt;16),0,F199+1)</f>
        <v>0</v>
      </c>
      <c r="G200" s="65">
        <f t="shared" si="45"/>
        <v>0</v>
      </c>
      <c r="H200" s="65">
        <f t="shared" si="46"/>
        <v>0</v>
      </c>
      <c r="I200" s="65">
        <f t="shared" si="56"/>
        <v>0</v>
      </c>
      <c r="J200" s="203">
        <f>IF(DG!$A$130&lt;=11,$M$17,0)</f>
        <v>0</v>
      </c>
      <c r="K200" s="65">
        <f t="shared" si="47"/>
        <v>0</v>
      </c>
      <c r="L200" s="473">
        <f t="shared" si="51"/>
        <v>0</v>
      </c>
      <c r="M200" s="204">
        <f t="shared" si="52"/>
        <v>0</v>
      </c>
      <c r="N200" s="505">
        <f t="shared" si="53"/>
        <v>0</v>
      </c>
      <c r="O200" s="204">
        <f>IF(DG!$A$130&gt;12,0,IF(J200-J199&gt;0,MROUND((L200/12*Q199),1),MROUND(L200/12*P199,1)))</f>
        <v>0</v>
      </c>
      <c r="P200" s="204">
        <f t="shared" si="54"/>
        <v>0</v>
      </c>
      <c r="Q200" s="204">
        <f t="shared" si="49"/>
        <v>0</v>
      </c>
      <c r="R200" s="476">
        <v>0</v>
      </c>
      <c r="S200" s="511">
        <f t="shared" si="48"/>
        <v>0</v>
      </c>
    </row>
    <row r="201" spans="1:19" ht="14" thickTop="1" thickBot="1">
      <c r="A201" s="202">
        <f t="shared" si="50"/>
        <v>50618</v>
      </c>
      <c r="B201" s="65">
        <f t="shared" si="40"/>
        <v>0</v>
      </c>
      <c r="C201" s="65">
        <f t="shared" si="55"/>
        <v>0</v>
      </c>
      <c r="D201" s="65">
        <f t="shared" si="43"/>
        <v>176</v>
      </c>
      <c r="E201" s="65">
        <f t="shared" si="44"/>
        <v>0</v>
      </c>
      <c r="F201" s="65">
        <f>IF(OR(L$73=0,DG!$A$251&gt;16),0,F200+1)</f>
        <v>0</v>
      </c>
      <c r="G201" s="65">
        <f t="shared" si="45"/>
        <v>0</v>
      </c>
      <c r="H201" s="65">
        <f t="shared" si="46"/>
        <v>0</v>
      </c>
      <c r="I201" s="65">
        <f t="shared" si="56"/>
        <v>0</v>
      </c>
      <c r="J201" s="203">
        <f>IF(DG!$A$130&lt;=11,$M$17,0)</f>
        <v>0</v>
      </c>
      <c r="K201" s="65">
        <f t="shared" si="47"/>
        <v>0</v>
      </c>
      <c r="L201" s="473">
        <f t="shared" si="51"/>
        <v>0</v>
      </c>
      <c r="M201" s="204">
        <f t="shared" si="52"/>
        <v>0</v>
      </c>
      <c r="N201" s="505">
        <f t="shared" si="53"/>
        <v>0</v>
      </c>
      <c r="O201" s="204">
        <f>IF(DG!$A$130&gt;12,0,IF(J201-J200&gt;0,MROUND((L201/12*Q200),1),MROUND(L201/12*P200,1)))</f>
        <v>0</v>
      </c>
      <c r="P201" s="204">
        <f t="shared" si="54"/>
        <v>0</v>
      </c>
      <c r="Q201" s="204">
        <f t="shared" si="49"/>
        <v>0</v>
      </c>
      <c r="R201" s="476">
        <v>0</v>
      </c>
      <c r="S201" s="511">
        <f t="shared" si="48"/>
        <v>0</v>
      </c>
    </row>
    <row r="202" spans="1:19" ht="14" thickTop="1" thickBot="1">
      <c r="A202" s="202">
        <f t="shared" si="50"/>
        <v>50649</v>
      </c>
      <c r="B202" s="65">
        <f t="shared" si="40"/>
        <v>0</v>
      </c>
      <c r="C202" s="65">
        <f t="shared" si="55"/>
        <v>0</v>
      </c>
      <c r="D202" s="65">
        <f t="shared" si="43"/>
        <v>177</v>
      </c>
      <c r="E202" s="65">
        <f t="shared" si="44"/>
        <v>0</v>
      </c>
      <c r="F202" s="65">
        <f>IF(OR(L$73=0,DG!$A$251&gt;16),0,F201+1)</f>
        <v>0</v>
      </c>
      <c r="G202" s="65">
        <f t="shared" si="45"/>
        <v>0</v>
      </c>
      <c r="H202" s="65">
        <f t="shared" si="46"/>
        <v>0</v>
      </c>
      <c r="I202" s="65">
        <f t="shared" si="56"/>
        <v>0</v>
      </c>
      <c r="J202" s="203">
        <f>IF(DG!$A$130&lt;=11,$M$17,0)</f>
        <v>0</v>
      </c>
      <c r="K202" s="65">
        <f t="shared" si="47"/>
        <v>0</v>
      </c>
      <c r="L202" s="473">
        <f t="shared" si="51"/>
        <v>0</v>
      </c>
      <c r="M202" s="204">
        <f t="shared" si="52"/>
        <v>0</v>
      </c>
      <c r="N202" s="505">
        <f t="shared" si="53"/>
        <v>0</v>
      </c>
      <c r="O202" s="204">
        <f>IF(DG!$A$130&gt;12,0,IF(J202-J201&gt;0,MROUND((L202/12*Q201),1),MROUND(L202/12*P201,1)))</f>
        <v>0</v>
      </c>
      <c r="P202" s="204">
        <f t="shared" si="54"/>
        <v>0</v>
      </c>
      <c r="Q202" s="204">
        <f t="shared" si="49"/>
        <v>0</v>
      </c>
      <c r="R202" s="476">
        <v>0</v>
      </c>
      <c r="S202" s="511">
        <f t="shared" si="48"/>
        <v>0</v>
      </c>
    </row>
    <row r="203" spans="1:19" ht="14" thickTop="1" thickBot="1">
      <c r="A203" s="202">
        <f t="shared" si="50"/>
        <v>50679</v>
      </c>
      <c r="B203" s="65">
        <f t="shared" si="40"/>
        <v>0</v>
      </c>
      <c r="C203" s="65">
        <f t="shared" si="55"/>
        <v>0</v>
      </c>
      <c r="D203" s="65">
        <f t="shared" si="43"/>
        <v>178</v>
      </c>
      <c r="E203" s="65">
        <f t="shared" si="44"/>
        <v>0</v>
      </c>
      <c r="F203" s="65">
        <f>IF(OR(L$73=0,DG!$A$251&gt;16),0,F202+1)</f>
        <v>0</v>
      </c>
      <c r="G203" s="65">
        <f t="shared" si="45"/>
        <v>0</v>
      </c>
      <c r="H203" s="65">
        <f t="shared" si="46"/>
        <v>0</v>
      </c>
      <c r="I203" s="65">
        <f t="shared" si="56"/>
        <v>0</v>
      </c>
      <c r="J203" s="203">
        <f>IF(DG!$A$130&lt;=11,$M$17,0)</f>
        <v>0</v>
      </c>
      <c r="K203" s="65">
        <f t="shared" si="47"/>
        <v>0</v>
      </c>
      <c r="L203" s="473">
        <f t="shared" si="51"/>
        <v>0</v>
      </c>
      <c r="M203" s="204">
        <f t="shared" si="52"/>
        <v>0</v>
      </c>
      <c r="N203" s="505">
        <f t="shared" si="53"/>
        <v>0</v>
      </c>
      <c r="O203" s="204">
        <f>IF(DG!$A$130&gt;12,0,IF(J203-J202&gt;0,MROUND((L203/12*Q202),1),MROUND(L203/12*P202,1)))</f>
        <v>0</v>
      </c>
      <c r="P203" s="204">
        <f t="shared" si="54"/>
        <v>0</v>
      </c>
      <c r="Q203" s="204">
        <f t="shared" si="49"/>
        <v>0</v>
      </c>
      <c r="R203" s="476">
        <v>0</v>
      </c>
      <c r="S203" s="511">
        <f t="shared" si="48"/>
        <v>0</v>
      </c>
    </row>
    <row r="204" spans="1:19" ht="14" thickTop="1" thickBot="1">
      <c r="A204" s="202">
        <f t="shared" si="50"/>
        <v>50710</v>
      </c>
      <c r="B204" s="65">
        <f t="shared" ref="B204:B265" si="57">IF(J$73=0,0,B203+1)</f>
        <v>0</v>
      </c>
      <c r="C204" s="65">
        <f t="shared" si="55"/>
        <v>0</v>
      </c>
      <c r="D204" s="65">
        <f t="shared" si="43"/>
        <v>179</v>
      </c>
      <c r="E204" s="65">
        <f t="shared" si="44"/>
        <v>0</v>
      </c>
      <c r="F204" s="65">
        <f>IF(OR(L$73=0,DG!$A$251&gt;16),0,F203+1)</f>
        <v>0</v>
      </c>
      <c r="G204" s="65">
        <f t="shared" si="45"/>
        <v>0</v>
      </c>
      <c r="H204" s="65">
        <f t="shared" si="46"/>
        <v>0</v>
      </c>
      <c r="I204" s="65">
        <f t="shared" si="56"/>
        <v>0</v>
      </c>
      <c r="J204" s="203">
        <f>IF(DG!$A$130&lt;=11,$M$17,0)</f>
        <v>0</v>
      </c>
      <c r="K204" s="65">
        <f t="shared" si="47"/>
        <v>0</v>
      </c>
      <c r="L204" s="473">
        <f t="shared" si="51"/>
        <v>0</v>
      </c>
      <c r="M204" s="204">
        <f t="shared" si="52"/>
        <v>0</v>
      </c>
      <c r="N204" s="505">
        <f t="shared" si="53"/>
        <v>0</v>
      </c>
      <c r="O204" s="204">
        <f>IF(DG!$A$130&gt;12,0,IF(J204-J203&gt;0,MROUND((L204/12*Q203),1),MROUND(L204/12*P203,1)))</f>
        <v>0</v>
      </c>
      <c r="P204" s="204">
        <f t="shared" si="54"/>
        <v>0</v>
      </c>
      <c r="Q204" s="204">
        <f t="shared" si="49"/>
        <v>0</v>
      </c>
      <c r="R204" s="476">
        <v>0</v>
      </c>
      <c r="S204" s="511">
        <f t="shared" si="48"/>
        <v>0</v>
      </c>
    </row>
    <row r="205" spans="1:19" ht="14" thickTop="1" thickBot="1">
      <c r="A205" s="202">
        <f t="shared" si="50"/>
        <v>50740</v>
      </c>
      <c r="B205" s="65">
        <f t="shared" si="57"/>
        <v>0</v>
      </c>
      <c r="C205" s="65">
        <f t="shared" si="55"/>
        <v>0</v>
      </c>
      <c r="D205" s="65">
        <f t="shared" si="43"/>
        <v>180</v>
      </c>
      <c r="E205" s="65">
        <f t="shared" si="44"/>
        <v>0</v>
      </c>
      <c r="F205" s="65">
        <f>IF(OR(L$73=0,DG!$A$251&gt;16),0,F204+1)</f>
        <v>0</v>
      </c>
      <c r="G205" s="65">
        <f t="shared" si="45"/>
        <v>0</v>
      </c>
      <c r="H205" s="65">
        <f t="shared" si="46"/>
        <v>0</v>
      </c>
      <c r="I205" s="65">
        <f t="shared" si="56"/>
        <v>0</v>
      </c>
      <c r="J205" s="203">
        <f>IF(DG!$A$130&lt;=11,$M$17,0)</f>
        <v>0</v>
      </c>
      <c r="K205" s="65">
        <f t="shared" si="47"/>
        <v>0</v>
      </c>
      <c r="L205" s="473">
        <f t="shared" si="51"/>
        <v>0</v>
      </c>
      <c r="M205" s="204">
        <f t="shared" si="52"/>
        <v>0</v>
      </c>
      <c r="N205" s="505">
        <f t="shared" si="53"/>
        <v>0</v>
      </c>
      <c r="O205" s="204">
        <f>IF(DG!$A$130&gt;12,0,IF(J205-J204&gt;0,MROUND((L205/12*Q204),1),MROUND(L205/12*P204,1)))</f>
        <v>0</v>
      </c>
      <c r="P205" s="204">
        <f t="shared" si="54"/>
        <v>0</v>
      </c>
      <c r="Q205" s="204">
        <f t="shared" si="49"/>
        <v>0</v>
      </c>
      <c r="R205" s="476">
        <v>0</v>
      </c>
      <c r="S205" s="511">
        <f t="shared" si="48"/>
        <v>0</v>
      </c>
    </row>
    <row r="206" spans="1:19" ht="14" thickTop="1" thickBot="1">
      <c r="A206" s="202">
        <f t="shared" si="50"/>
        <v>50771</v>
      </c>
      <c r="B206" s="65">
        <f t="shared" si="57"/>
        <v>0</v>
      </c>
      <c r="C206" s="65">
        <f t="shared" ref="C206:C265" si="58">IF(F206-$E$269&gt;0,F206-$E$269,0)</f>
        <v>0</v>
      </c>
      <c r="D206" s="65">
        <f t="shared" ref="D206:D265" si="59">D205+1</f>
        <v>181</v>
      </c>
      <c r="E206" s="65">
        <f t="shared" ref="E206:E265" si="60">B206</f>
        <v>0</v>
      </c>
      <c r="F206" s="65">
        <f>IF(OR(L$73=0,DG!$A$251&gt;16),0,F205+1)</f>
        <v>0</v>
      </c>
      <c r="G206" s="65">
        <f t="shared" ref="G206:G265" si="61">IF(E206=0,0,IF(D206-E206-F206&gt;=0,1,0))</f>
        <v>0</v>
      </c>
      <c r="H206" s="65">
        <f t="shared" ref="H206:H265" si="62">IF(I206&gt;=0,0,H205+1)</f>
        <v>0</v>
      </c>
      <c r="I206" s="65">
        <f t="shared" ref="I206:I265" si="63">IF(OR(G206=1,C206=0),0,IF(K206-C206&lt;$G$269,1,-1))</f>
        <v>0</v>
      </c>
      <c r="J206" s="203">
        <f>IF(DG!$A$130&lt;=11,$M$17,0)</f>
        <v>0</v>
      </c>
      <c r="K206" s="65">
        <f t="shared" ref="K206:K265" si="64">K205</f>
        <v>0</v>
      </c>
      <c r="L206" s="473">
        <f t="shared" si="51"/>
        <v>0</v>
      </c>
      <c r="M206" s="204">
        <f t="shared" si="52"/>
        <v>0</v>
      </c>
      <c r="N206" s="505">
        <f t="shared" si="53"/>
        <v>0</v>
      </c>
      <c r="O206" s="204">
        <f>IF(DG!$A$130&gt;12,0,IF(J206-J205&gt;0,MROUND((L206/12*Q205),1),MROUND(L206/12*P205,1)))</f>
        <v>0</v>
      </c>
      <c r="P206" s="204">
        <f t="shared" si="54"/>
        <v>0</v>
      </c>
      <c r="Q206" s="204">
        <f t="shared" si="49"/>
        <v>0</v>
      </c>
      <c r="R206" s="476">
        <v>0</v>
      </c>
      <c r="S206" s="511">
        <f t="shared" ref="S206:S265" si="65">SUM(N195:N206)</f>
        <v>0</v>
      </c>
    </row>
    <row r="207" spans="1:19" ht="14" thickTop="1" thickBot="1">
      <c r="A207" s="202">
        <f t="shared" si="50"/>
        <v>50802</v>
      </c>
      <c r="B207" s="65">
        <f t="shared" si="57"/>
        <v>0</v>
      </c>
      <c r="C207" s="65">
        <f t="shared" si="58"/>
        <v>0</v>
      </c>
      <c r="D207" s="65">
        <f t="shared" si="59"/>
        <v>182</v>
      </c>
      <c r="E207" s="65">
        <f t="shared" si="60"/>
        <v>0</v>
      </c>
      <c r="F207" s="65">
        <f>IF(OR(L$73=0,DG!$A$251&gt;16),0,F206+1)</f>
        <v>0</v>
      </c>
      <c r="G207" s="65">
        <f t="shared" si="61"/>
        <v>0</v>
      </c>
      <c r="H207" s="65">
        <f t="shared" si="62"/>
        <v>0</v>
      </c>
      <c r="I207" s="65">
        <f t="shared" si="63"/>
        <v>0</v>
      </c>
      <c r="J207" s="203">
        <f>IF(DG!$A$130&lt;=11,$M$17,0)</f>
        <v>0</v>
      </c>
      <c r="K207" s="65">
        <f t="shared" si="64"/>
        <v>0</v>
      </c>
      <c r="L207" s="473">
        <f t="shared" si="51"/>
        <v>0</v>
      </c>
      <c r="M207" s="204">
        <f t="shared" si="52"/>
        <v>0</v>
      </c>
      <c r="N207" s="505">
        <f t="shared" si="53"/>
        <v>0</v>
      </c>
      <c r="O207" s="204">
        <f>IF(DG!$A$130&gt;12,0,IF(J207-J206&gt;0,MROUND((L207/12*Q206),1),MROUND(L207/12*P206,1)))</f>
        <v>0</v>
      </c>
      <c r="P207" s="204">
        <f t="shared" si="54"/>
        <v>0</v>
      </c>
      <c r="Q207" s="204">
        <f t="shared" si="49"/>
        <v>0</v>
      </c>
      <c r="R207" s="476">
        <v>0</v>
      </c>
      <c r="S207" s="511">
        <f t="shared" si="65"/>
        <v>0</v>
      </c>
    </row>
    <row r="208" spans="1:19" ht="14" thickTop="1" thickBot="1">
      <c r="A208" s="202">
        <f t="shared" si="50"/>
        <v>50830</v>
      </c>
      <c r="B208" s="65">
        <f t="shared" si="57"/>
        <v>0</v>
      </c>
      <c r="C208" s="65">
        <f t="shared" si="58"/>
        <v>0</v>
      </c>
      <c r="D208" s="65">
        <f t="shared" si="59"/>
        <v>183</v>
      </c>
      <c r="E208" s="65">
        <f t="shared" si="60"/>
        <v>0</v>
      </c>
      <c r="F208" s="65">
        <f>IF(OR(L$73=0,DG!$A$251&gt;16),0,F207+1)</f>
        <v>0</v>
      </c>
      <c r="G208" s="65">
        <f t="shared" si="61"/>
        <v>0</v>
      </c>
      <c r="H208" s="65">
        <f t="shared" si="62"/>
        <v>0</v>
      </c>
      <c r="I208" s="65">
        <f t="shared" si="63"/>
        <v>0</v>
      </c>
      <c r="J208" s="203">
        <f>IF(DG!$A$130&lt;=11,$M$17,0)</f>
        <v>0</v>
      </c>
      <c r="K208" s="65">
        <f t="shared" si="64"/>
        <v>0</v>
      </c>
      <c r="L208" s="473">
        <f t="shared" si="51"/>
        <v>0</v>
      </c>
      <c r="M208" s="204">
        <f t="shared" si="52"/>
        <v>0</v>
      </c>
      <c r="N208" s="505">
        <f t="shared" si="53"/>
        <v>0</v>
      </c>
      <c r="O208" s="204">
        <f>IF(DG!$A$130&gt;12,0,IF(J208-J207&gt;0,MROUND((L208/12*Q207),1),MROUND(L208/12*P207,1)))</f>
        <v>0</v>
      </c>
      <c r="P208" s="204">
        <f t="shared" si="54"/>
        <v>0</v>
      </c>
      <c r="Q208" s="204">
        <f t="shared" si="49"/>
        <v>0</v>
      </c>
      <c r="R208" s="476">
        <v>0</v>
      </c>
      <c r="S208" s="511">
        <f t="shared" si="65"/>
        <v>0</v>
      </c>
    </row>
    <row r="209" spans="1:19" ht="14" thickTop="1" thickBot="1">
      <c r="A209" s="202">
        <f t="shared" si="50"/>
        <v>50861</v>
      </c>
      <c r="B209" s="65">
        <f t="shared" si="57"/>
        <v>0</v>
      </c>
      <c r="C209" s="65">
        <f t="shared" si="58"/>
        <v>0</v>
      </c>
      <c r="D209" s="65">
        <f t="shared" si="59"/>
        <v>184</v>
      </c>
      <c r="E209" s="65">
        <f t="shared" si="60"/>
        <v>0</v>
      </c>
      <c r="F209" s="65">
        <f>IF(OR(L$73=0,DG!$A$251&gt;16),0,F208+1)</f>
        <v>0</v>
      </c>
      <c r="G209" s="65">
        <f t="shared" si="61"/>
        <v>0</v>
      </c>
      <c r="H209" s="65">
        <f t="shared" si="62"/>
        <v>0</v>
      </c>
      <c r="I209" s="65">
        <f t="shared" si="63"/>
        <v>0</v>
      </c>
      <c r="J209" s="203">
        <f>IF(DG!$A$130&lt;=11,$M$17,0)</f>
        <v>0</v>
      </c>
      <c r="K209" s="65">
        <f t="shared" si="64"/>
        <v>0</v>
      </c>
      <c r="L209" s="473">
        <f t="shared" si="51"/>
        <v>0</v>
      </c>
      <c r="M209" s="204">
        <f t="shared" si="52"/>
        <v>0</v>
      </c>
      <c r="N209" s="505">
        <f t="shared" si="53"/>
        <v>0</v>
      </c>
      <c r="O209" s="204">
        <f>IF(DG!$A$130&gt;12,0,IF(J209-J208&gt;0,MROUND((L209/12*Q208),1),MROUND(L209/12*P208,1)))</f>
        <v>0</v>
      </c>
      <c r="P209" s="204">
        <f t="shared" si="54"/>
        <v>0</v>
      </c>
      <c r="Q209" s="204">
        <f t="shared" si="49"/>
        <v>0</v>
      </c>
      <c r="R209" s="476">
        <v>0</v>
      </c>
      <c r="S209" s="511">
        <f t="shared" si="65"/>
        <v>0</v>
      </c>
    </row>
    <row r="210" spans="1:19" ht="14" thickTop="1" thickBot="1">
      <c r="A210" s="202">
        <f t="shared" si="50"/>
        <v>50891</v>
      </c>
      <c r="B210" s="65">
        <f t="shared" si="57"/>
        <v>0</v>
      </c>
      <c r="C210" s="65">
        <f t="shared" si="58"/>
        <v>0</v>
      </c>
      <c r="D210" s="65">
        <f t="shared" si="59"/>
        <v>185</v>
      </c>
      <c r="E210" s="65">
        <f t="shared" si="60"/>
        <v>0</v>
      </c>
      <c r="F210" s="65">
        <f>IF(OR(L$73=0,DG!$A$251&gt;16),0,F209+1)</f>
        <v>0</v>
      </c>
      <c r="G210" s="65">
        <f t="shared" si="61"/>
        <v>0</v>
      </c>
      <c r="H210" s="65">
        <f t="shared" si="62"/>
        <v>0</v>
      </c>
      <c r="I210" s="65">
        <f t="shared" si="63"/>
        <v>0</v>
      </c>
      <c r="J210" s="203">
        <f>IF(DG!$A$130&lt;=11,$M$17,0)</f>
        <v>0</v>
      </c>
      <c r="K210" s="65">
        <f t="shared" si="64"/>
        <v>0</v>
      </c>
      <c r="L210" s="473">
        <f t="shared" si="51"/>
        <v>0</v>
      </c>
      <c r="M210" s="204">
        <f t="shared" si="52"/>
        <v>0</v>
      </c>
      <c r="N210" s="505">
        <f t="shared" si="53"/>
        <v>0</v>
      </c>
      <c r="O210" s="204">
        <f>IF(DG!$A$130&gt;12,0,IF(J210-J209&gt;0,MROUND((L210/12*Q209),1),MROUND(L210/12*P209,1)))</f>
        <v>0</v>
      </c>
      <c r="P210" s="204">
        <f t="shared" si="54"/>
        <v>0</v>
      </c>
      <c r="Q210" s="204">
        <f t="shared" si="49"/>
        <v>0</v>
      </c>
      <c r="R210" s="476">
        <v>0</v>
      </c>
      <c r="S210" s="511">
        <f t="shared" si="65"/>
        <v>0</v>
      </c>
    </row>
    <row r="211" spans="1:19" ht="14" thickTop="1" thickBot="1">
      <c r="A211" s="202">
        <f t="shared" si="50"/>
        <v>50922</v>
      </c>
      <c r="B211" s="65">
        <f t="shared" si="57"/>
        <v>0</v>
      </c>
      <c r="C211" s="65">
        <f t="shared" si="58"/>
        <v>0</v>
      </c>
      <c r="D211" s="65">
        <f t="shared" si="59"/>
        <v>186</v>
      </c>
      <c r="E211" s="65">
        <f t="shared" si="60"/>
        <v>0</v>
      </c>
      <c r="F211" s="65">
        <f>IF(OR(L$73=0,DG!$A$251&gt;16),0,F210+1)</f>
        <v>0</v>
      </c>
      <c r="G211" s="65">
        <f t="shared" si="61"/>
        <v>0</v>
      </c>
      <c r="H211" s="65">
        <f t="shared" si="62"/>
        <v>0</v>
      </c>
      <c r="I211" s="65">
        <f t="shared" si="63"/>
        <v>0</v>
      </c>
      <c r="J211" s="203">
        <f>IF(DG!$A$130&lt;=11,$M$17,0)</f>
        <v>0</v>
      </c>
      <c r="K211" s="65">
        <f t="shared" si="64"/>
        <v>0</v>
      </c>
      <c r="L211" s="473">
        <f t="shared" si="51"/>
        <v>0</v>
      </c>
      <c r="M211" s="204">
        <f t="shared" si="52"/>
        <v>0</v>
      </c>
      <c r="N211" s="505">
        <f t="shared" si="53"/>
        <v>0</v>
      </c>
      <c r="O211" s="204">
        <f>IF(DG!$A$130&gt;12,0,IF(J211-J210&gt;0,MROUND((L211/12*Q210),1),MROUND(L211/12*P210,1)))</f>
        <v>0</v>
      </c>
      <c r="P211" s="204">
        <f t="shared" si="54"/>
        <v>0</v>
      </c>
      <c r="Q211" s="204">
        <f t="shared" si="49"/>
        <v>0</v>
      </c>
      <c r="R211" s="476">
        <v>0</v>
      </c>
      <c r="S211" s="511">
        <f t="shared" si="65"/>
        <v>0</v>
      </c>
    </row>
    <row r="212" spans="1:19" ht="14" thickTop="1" thickBot="1">
      <c r="A212" s="202">
        <f t="shared" si="50"/>
        <v>50952</v>
      </c>
      <c r="B212" s="65">
        <f t="shared" si="57"/>
        <v>0</v>
      </c>
      <c r="C212" s="65">
        <f t="shared" si="58"/>
        <v>0</v>
      </c>
      <c r="D212" s="65">
        <f t="shared" si="59"/>
        <v>187</v>
      </c>
      <c r="E212" s="65">
        <f t="shared" si="60"/>
        <v>0</v>
      </c>
      <c r="F212" s="65">
        <f>IF(OR(L$73=0,DG!$A$251&gt;16),0,F211+1)</f>
        <v>0</v>
      </c>
      <c r="G212" s="65">
        <f t="shared" si="61"/>
        <v>0</v>
      </c>
      <c r="H212" s="65">
        <f t="shared" si="62"/>
        <v>0</v>
      </c>
      <c r="I212" s="65">
        <f t="shared" si="63"/>
        <v>0</v>
      </c>
      <c r="J212" s="203">
        <f>IF(DG!$A$130&lt;=11,$M$17,0)</f>
        <v>0</v>
      </c>
      <c r="K212" s="65">
        <f t="shared" si="64"/>
        <v>0</v>
      </c>
      <c r="L212" s="473">
        <f t="shared" si="51"/>
        <v>0</v>
      </c>
      <c r="M212" s="204">
        <f t="shared" si="52"/>
        <v>0</v>
      </c>
      <c r="N212" s="505">
        <f t="shared" si="53"/>
        <v>0</v>
      </c>
      <c r="O212" s="204">
        <f>IF(DG!$A$130&gt;12,0,IF(J212-J211&gt;0,MROUND((L212/12*Q211),1),MROUND(L212/12*P211,1)))</f>
        <v>0</v>
      </c>
      <c r="P212" s="204">
        <f t="shared" si="54"/>
        <v>0</v>
      </c>
      <c r="Q212" s="204">
        <f t="shared" si="49"/>
        <v>0</v>
      </c>
      <c r="R212" s="476">
        <v>0</v>
      </c>
      <c r="S212" s="511">
        <f t="shared" si="65"/>
        <v>0</v>
      </c>
    </row>
    <row r="213" spans="1:19" ht="14" thickTop="1" thickBot="1">
      <c r="A213" s="202">
        <f t="shared" si="50"/>
        <v>50983</v>
      </c>
      <c r="B213" s="65">
        <f t="shared" si="57"/>
        <v>0</v>
      </c>
      <c r="C213" s="65">
        <f t="shared" si="58"/>
        <v>0</v>
      </c>
      <c r="D213" s="65">
        <f t="shared" si="59"/>
        <v>188</v>
      </c>
      <c r="E213" s="65">
        <f t="shared" si="60"/>
        <v>0</v>
      </c>
      <c r="F213" s="65">
        <f>IF(OR(L$73=0,DG!$A$251&gt;16),0,F212+1)</f>
        <v>0</v>
      </c>
      <c r="G213" s="65">
        <f t="shared" si="61"/>
        <v>0</v>
      </c>
      <c r="H213" s="65">
        <f t="shared" si="62"/>
        <v>0</v>
      </c>
      <c r="I213" s="65">
        <f t="shared" si="63"/>
        <v>0</v>
      </c>
      <c r="J213" s="203">
        <f>IF(DG!$A$130&lt;=11,$M$17,0)</f>
        <v>0</v>
      </c>
      <c r="K213" s="65">
        <f t="shared" si="64"/>
        <v>0</v>
      </c>
      <c r="L213" s="473">
        <f t="shared" si="51"/>
        <v>0</v>
      </c>
      <c r="M213" s="204">
        <f t="shared" si="52"/>
        <v>0</v>
      </c>
      <c r="N213" s="505">
        <f t="shared" si="53"/>
        <v>0</v>
      </c>
      <c r="O213" s="204">
        <f>IF(DG!$A$130&gt;12,0,IF(J213-J212&gt;0,MROUND((L213/12*Q212),1),MROUND(L213/12*P212,1)))</f>
        <v>0</v>
      </c>
      <c r="P213" s="204">
        <f t="shared" si="54"/>
        <v>0</v>
      </c>
      <c r="Q213" s="204">
        <f t="shared" si="49"/>
        <v>0</v>
      </c>
      <c r="R213" s="476">
        <v>0</v>
      </c>
      <c r="S213" s="511">
        <f t="shared" si="65"/>
        <v>0</v>
      </c>
    </row>
    <row r="214" spans="1:19" ht="14" thickTop="1" thickBot="1">
      <c r="A214" s="202">
        <f t="shared" si="50"/>
        <v>51014</v>
      </c>
      <c r="B214" s="65">
        <f t="shared" si="57"/>
        <v>0</v>
      </c>
      <c r="C214" s="65">
        <f t="shared" si="58"/>
        <v>0</v>
      </c>
      <c r="D214" s="65">
        <f t="shared" si="59"/>
        <v>189</v>
      </c>
      <c r="E214" s="65">
        <f t="shared" si="60"/>
        <v>0</v>
      </c>
      <c r="F214" s="65">
        <f>IF(OR(L$73=0,DG!$A$251&gt;16),0,F213+1)</f>
        <v>0</v>
      </c>
      <c r="G214" s="65">
        <f t="shared" si="61"/>
        <v>0</v>
      </c>
      <c r="H214" s="65">
        <f t="shared" si="62"/>
        <v>0</v>
      </c>
      <c r="I214" s="65">
        <f t="shared" si="63"/>
        <v>0</v>
      </c>
      <c r="J214" s="203">
        <f>IF(DG!$A$130&lt;=11,$M$17,0)</f>
        <v>0</v>
      </c>
      <c r="K214" s="65">
        <f t="shared" si="64"/>
        <v>0</v>
      </c>
      <c r="L214" s="473">
        <f t="shared" si="51"/>
        <v>0</v>
      </c>
      <c r="M214" s="204">
        <f t="shared" si="52"/>
        <v>0</v>
      </c>
      <c r="N214" s="505">
        <f t="shared" si="53"/>
        <v>0</v>
      </c>
      <c r="O214" s="204">
        <f>IF(DG!$A$130&gt;12,0,IF(J214-J213&gt;0,MROUND((L214/12*Q213),1),MROUND(L214/12*P213,1)))</f>
        <v>0</v>
      </c>
      <c r="P214" s="204">
        <f t="shared" si="54"/>
        <v>0</v>
      </c>
      <c r="Q214" s="204">
        <f t="shared" si="49"/>
        <v>0</v>
      </c>
      <c r="R214" s="476">
        <v>0</v>
      </c>
      <c r="S214" s="511">
        <f t="shared" si="65"/>
        <v>0</v>
      </c>
    </row>
    <row r="215" spans="1:19" ht="14" thickTop="1" thickBot="1">
      <c r="A215" s="202">
        <f t="shared" si="50"/>
        <v>51044</v>
      </c>
      <c r="B215" s="65">
        <f t="shared" si="57"/>
        <v>0</v>
      </c>
      <c r="C215" s="65">
        <f t="shared" si="58"/>
        <v>0</v>
      </c>
      <c r="D215" s="65">
        <f t="shared" si="59"/>
        <v>190</v>
      </c>
      <c r="E215" s="65">
        <f t="shared" si="60"/>
        <v>0</v>
      </c>
      <c r="F215" s="65">
        <f>IF(OR(L$73=0,DG!$A$251&gt;16),0,F214+1)</f>
        <v>0</v>
      </c>
      <c r="G215" s="65">
        <f t="shared" si="61"/>
        <v>0</v>
      </c>
      <c r="H215" s="65">
        <f t="shared" si="62"/>
        <v>0</v>
      </c>
      <c r="I215" s="65">
        <f t="shared" si="63"/>
        <v>0</v>
      </c>
      <c r="J215" s="203">
        <f>IF(DG!$A$130&lt;=11,$M$17,0)</f>
        <v>0</v>
      </c>
      <c r="K215" s="65">
        <f t="shared" si="64"/>
        <v>0</v>
      </c>
      <c r="L215" s="473">
        <f t="shared" si="51"/>
        <v>0</v>
      </c>
      <c r="M215" s="204">
        <f t="shared" si="52"/>
        <v>0</v>
      </c>
      <c r="N215" s="505">
        <f t="shared" si="53"/>
        <v>0</v>
      </c>
      <c r="O215" s="204">
        <f>IF(DG!$A$130&gt;12,0,IF(J215-J214&gt;0,MROUND((L215/12*Q214),1),MROUND(L215/12*P214,1)))</f>
        <v>0</v>
      </c>
      <c r="P215" s="204">
        <f t="shared" si="54"/>
        <v>0</v>
      </c>
      <c r="Q215" s="204">
        <f t="shared" si="49"/>
        <v>0</v>
      </c>
      <c r="R215" s="476">
        <v>0</v>
      </c>
      <c r="S215" s="511">
        <f t="shared" si="65"/>
        <v>0</v>
      </c>
    </row>
    <row r="216" spans="1:19" ht="14" thickTop="1" thickBot="1">
      <c r="A216" s="202">
        <f t="shared" si="50"/>
        <v>51075</v>
      </c>
      <c r="B216" s="65">
        <f t="shared" si="57"/>
        <v>0</v>
      </c>
      <c r="C216" s="65">
        <f t="shared" si="58"/>
        <v>0</v>
      </c>
      <c r="D216" s="65">
        <f t="shared" si="59"/>
        <v>191</v>
      </c>
      <c r="E216" s="65">
        <f t="shared" si="60"/>
        <v>0</v>
      </c>
      <c r="F216" s="65">
        <f>IF(OR(L$73=0,DG!$A$251&gt;16),0,F215+1)</f>
        <v>0</v>
      </c>
      <c r="G216" s="65">
        <f t="shared" si="61"/>
        <v>0</v>
      </c>
      <c r="H216" s="65">
        <f t="shared" si="62"/>
        <v>0</v>
      </c>
      <c r="I216" s="65">
        <f t="shared" si="63"/>
        <v>0</v>
      </c>
      <c r="J216" s="203">
        <f>IF(DG!$A$130&lt;=11,$M$17,0)</f>
        <v>0</v>
      </c>
      <c r="K216" s="65">
        <f t="shared" si="64"/>
        <v>0</v>
      </c>
      <c r="L216" s="473">
        <f t="shared" si="51"/>
        <v>0</v>
      </c>
      <c r="M216" s="204">
        <f t="shared" si="52"/>
        <v>0</v>
      </c>
      <c r="N216" s="505">
        <f t="shared" si="53"/>
        <v>0</v>
      </c>
      <c r="O216" s="204">
        <f>IF(DG!$A$130&gt;12,0,IF(J216-J215&gt;0,MROUND((L216/12*Q215),1),MROUND(L216/12*P215,1)))</f>
        <v>0</v>
      </c>
      <c r="P216" s="204">
        <f t="shared" si="54"/>
        <v>0</v>
      </c>
      <c r="Q216" s="204">
        <f t="shared" si="49"/>
        <v>0</v>
      </c>
      <c r="R216" s="476">
        <v>0</v>
      </c>
      <c r="S216" s="511">
        <f t="shared" si="65"/>
        <v>0</v>
      </c>
    </row>
    <row r="217" spans="1:19" ht="14" thickTop="1" thickBot="1">
      <c r="A217" s="202">
        <f t="shared" si="50"/>
        <v>51105</v>
      </c>
      <c r="B217" s="65">
        <f t="shared" si="57"/>
        <v>0</v>
      </c>
      <c r="C217" s="65">
        <f t="shared" si="58"/>
        <v>0</v>
      </c>
      <c r="D217" s="65">
        <f t="shared" si="59"/>
        <v>192</v>
      </c>
      <c r="E217" s="65">
        <f t="shared" si="60"/>
        <v>0</v>
      </c>
      <c r="F217" s="65">
        <f>IF(OR(L$73=0,DG!$A$251&gt;16),0,F216+1)</f>
        <v>0</v>
      </c>
      <c r="G217" s="65">
        <f t="shared" si="61"/>
        <v>0</v>
      </c>
      <c r="H217" s="65">
        <f t="shared" si="62"/>
        <v>0</v>
      </c>
      <c r="I217" s="65">
        <f t="shared" si="63"/>
        <v>0</v>
      </c>
      <c r="J217" s="203">
        <f>IF(DG!$A$130&lt;=11,$M$17,0)</f>
        <v>0</v>
      </c>
      <c r="K217" s="65">
        <f t="shared" si="64"/>
        <v>0</v>
      </c>
      <c r="L217" s="473">
        <f t="shared" si="51"/>
        <v>0</v>
      </c>
      <c r="M217" s="204">
        <f t="shared" si="52"/>
        <v>0</v>
      </c>
      <c r="N217" s="505">
        <f t="shared" si="53"/>
        <v>0</v>
      </c>
      <c r="O217" s="204">
        <f>IF(DG!$A$130&gt;12,0,IF(J217-J216&gt;0,MROUND((L217/12*Q216),1),MROUND(L217/12*P216,1)))</f>
        <v>0</v>
      </c>
      <c r="P217" s="204">
        <f t="shared" si="54"/>
        <v>0</v>
      </c>
      <c r="Q217" s="204">
        <f t="shared" si="49"/>
        <v>0</v>
      </c>
      <c r="R217" s="476">
        <v>0</v>
      </c>
      <c r="S217" s="511">
        <f t="shared" si="65"/>
        <v>0</v>
      </c>
    </row>
    <row r="218" spans="1:19" ht="14" thickTop="1" thickBot="1">
      <c r="A218" s="202">
        <f t="shared" si="50"/>
        <v>51136</v>
      </c>
      <c r="B218" s="65">
        <f t="shared" si="57"/>
        <v>0</v>
      </c>
      <c r="C218" s="65">
        <f t="shared" si="58"/>
        <v>0</v>
      </c>
      <c r="D218" s="65">
        <f t="shared" si="59"/>
        <v>193</v>
      </c>
      <c r="E218" s="65">
        <f t="shared" si="60"/>
        <v>0</v>
      </c>
      <c r="F218" s="65">
        <f>IF(OR(L$73=0,DG!$A$251&gt;16),0,F217+1)</f>
        <v>0</v>
      </c>
      <c r="G218" s="65">
        <f t="shared" si="61"/>
        <v>0</v>
      </c>
      <c r="H218" s="65">
        <f t="shared" si="62"/>
        <v>0</v>
      </c>
      <c r="I218" s="65">
        <f t="shared" si="63"/>
        <v>0</v>
      </c>
      <c r="J218" s="203">
        <f>IF(DG!$A$130&lt;=11,$M$17,0)</f>
        <v>0</v>
      </c>
      <c r="K218" s="65">
        <f t="shared" si="64"/>
        <v>0</v>
      </c>
      <c r="L218" s="473">
        <f t="shared" si="51"/>
        <v>0</v>
      </c>
      <c r="M218" s="204">
        <f t="shared" si="52"/>
        <v>0</v>
      </c>
      <c r="N218" s="505">
        <f t="shared" si="53"/>
        <v>0</v>
      </c>
      <c r="O218" s="204">
        <f>IF(DG!$A$130&gt;12,0,IF(J218-J217&gt;0,MROUND((L218/12*Q217),1),MROUND(L218/12*P217,1)))</f>
        <v>0</v>
      </c>
      <c r="P218" s="204">
        <f t="shared" si="54"/>
        <v>0</v>
      </c>
      <c r="Q218" s="204">
        <f t="shared" ref="Q218:Q265" si="66">IF(AND(P218=0,P219&gt;0),J219,P218)</f>
        <v>0</v>
      </c>
      <c r="R218" s="476">
        <v>0</v>
      </c>
      <c r="S218" s="511">
        <f t="shared" si="65"/>
        <v>0</v>
      </c>
    </row>
    <row r="219" spans="1:19" ht="14" thickTop="1" thickBot="1">
      <c r="A219" s="202">
        <f t="shared" ref="A219:A265" si="67">EDATE(A218,1)</f>
        <v>51167</v>
      </c>
      <c r="B219" s="65">
        <f t="shared" si="57"/>
        <v>0</v>
      </c>
      <c r="C219" s="65">
        <f t="shared" si="58"/>
        <v>0</v>
      </c>
      <c r="D219" s="65">
        <f t="shared" si="59"/>
        <v>194</v>
      </c>
      <c r="E219" s="65">
        <f t="shared" si="60"/>
        <v>0</v>
      </c>
      <c r="F219" s="65">
        <f>IF(OR(L$73=0,DG!$A$251&gt;16),0,F218+1)</f>
        <v>0</v>
      </c>
      <c r="G219" s="65">
        <f t="shared" si="61"/>
        <v>0</v>
      </c>
      <c r="H219" s="65">
        <f t="shared" si="62"/>
        <v>0</v>
      </c>
      <c r="I219" s="65">
        <f t="shared" si="63"/>
        <v>0</v>
      </c>
      <c r="J219" s="203">
        <f>IF(DG!$A$130&lt;=11,$M$17,0)</f>
        <v>0</v>
      </c>
      <c r="K219" s="65">
        <f t="shared" si="64"/>
        <v>0</v>
      </c>
      <c r="L219" s="473">
        <f t="shared" ref="L219:L265" si="68">IF($M$17&gt;0,$M$19+0.0000001,0)</f>
        <v>0</v>
      </c>
      <c r="M219" s="204">
        <f t="shared" ref="M219:M265" si="69">IF(H219=0,0,IF($R$13=1,N219+O219,IF(N219=0,O219,-PMT(L219/12,K219-$G$269,J219))))</f>
        <v>0</v>
      </c>
      <c r="N219" s="505">
        <f t="shared" ref="N219:N267" si="70">IF(OR(H219-K219&gt;0,I219&gt;=0),0,MROUND(-PPMT(L219/12,H219,K219-G462,J219),1)+R219)</f>
        <v>0</v>
      </c>
      <c r="O219" s="204">
        <f>IF(DG!$A$130&gt;12,0,IF(J219-J218&gt;0,MROUND((L219/12*Q218),1),MROUND(L219/12*P218,1)))</f>
        <v>0</v>
      </c>
      <c r="P219" s="204">
        <f t="shared" ref="P219:P265" si="71">IF(OR(G219+H219=0,J219-N219&lt;1),0,IF(P218&gt;1,P218-N219,J220-N219))</f>
        <v>0</v>
      </c>
      <c r="Q219" s="204">
        <f t="shared" si="66"/>
        <v>0</v>
      </c>
      <c r="R219" s="476">
        <v>0</v>
      </c>
      <c r="S219" s="511">
        <f t="shared" si="65"/>
        <v>0</v>
      </c>
    </row>
    <row r="220" spans="1:19" ht="14" thickTop="1" thickBot="1">
      <c r="A220" s="202">
        <f t="shared" si="67"/>
        <v>51196</v>
      </c>
      <c r="B220" s="65">
        <f t="shared" si="57"/>
        <v>0</v>
      </c>
      <c r="C220" s="65">
        <f t="shared" si="58"/>
        <v>0</v>
      </c>
      <c r="D220" s="65">
        <f t="shared" si="59"/>
        <v>195</v>
      </c>
      <c r="E220" s="65">
        <f t="shared" si="60"/>
        <v>0</v>
      </c>
      <c r="F220" s="65">
        <f>IF(OR(L$73=0,DG!$A$251&gt;16),0,F219+1)</f>
        <v>0</v>
      </c>
      <c r="G220" s="65">
        <f t="shared" si="61"/>
        <v>0</v>
      </c>
      <c r="H220" s="65">
        <f t="shared" si="62"/>
        <v>0</v>
      </c>
      <c r="I220" s="65">
        <f t="shared" si="63"/>
        <v>0</v>
      </c>
      <c r="J220" s="203">
        <f>IF(DG!$A$130&lt;=11,$M$17,0)</f>
        <v>0</v>
      </c>
      <c r="K220" s="65">
        <f t="shared" si="64"/>
        <v>0</v>
      </c>
      <c r="L220" s="473">
        <f t="shared" si="68"/>
        <v>0</v>
      </c>
      <c r="M220" s="204">
        <f t="shared" si="69"/>
        <v>0</v>
      </c>
      <c r="N220" s="505">
        <f t="shared" si="70"/>
        <v>0</v>
      </c>
      <c r="O220" s="204">
        <f>IF(DG!$A$130&gt;12,0,IF(J220-J219&gt;0,MROUND((L220/12*Q219),1),MROUND(L220/12*P219,1)))</f>
        <v>0</v>
      </c>
      <c r="P220" s="204">
        <f t="shared" si="71"/>
        <v>0</v>
      </c>
      <c r="Q220" s="204">
        <f t="shared" si="66"/>
        <v>0</v>
      </c>
      <c r="R220" s="476">
        <v>0</v>
      </c>
      <c r="S220" s="511">
        <f t="shared" si="65"/>
        <v>0</v>
      </c>
    </row>
    <row r="221" spans="1:19" ht="14" thickTop="1" thickBot="1">
      <c r="A221" s="202">
        <f t="shared" si="67"/>
        <v>51227</v>
      </c>
      <c r="B221" s="65">
        <f t="shared" si="57"/>
        <v>0</v>
      </c>
      <c r="C221" s="65">
        <f t="shared" si="58"/>
        <v>0</v>
      </c>
      <c r="D221" s="65">
        <f t="shared" si="59"/>
        <v>196</v>
      </c>
      <c r="E221" s="65">
        <f t="shared" si="60"/>
        <v>0</v>
      </c>
      <c r="F221" s="65">
        <f>IF(OR(L$73=0,DG!$A$251&gt;16),0,F220+1)</f>
        <v>0</v>
      </c>
      <c r="G221" s="65">
        <f t="shared" si="61"/>
        <v>0</v>
      </c>
      <c r="H221" s="65">
        <f t="shared" si="62"/>
        <v>0</v>
      </c>
      <c r="I221" s="65">
        <f t="shared" si="63"/>
        <v>0</v>
      </c>
      <c r="J221" s="203">
        <f>IF(DG!$A$130&lt;=11,$M$17,0)</f>
        <v>0</v>
      </c>
      <c r="K221" s="65">
        <f t="shared" si="64"/>
        <v>0</v>
      </c>
      <c r="L221" s="473">
        <f t="shared" si="68"/>
        <v>0</v>
      </c>
      <c r="M221" s="204">
        <f t="shared" si="69"/>
        <v>0</v>
      </c>
      <c r="N221" s="505">
        <f t="shared" si="70"/>
        <v>0</v>
      </c>
      <c r="O221" s="204">
        <f>IF(DG!$A$130&gt;12,0,IF(J221-J220&gt;0,MROUND((L221/12*Q220),1),MROUND(L221/12*P220,1)))</f>
        <v>0</v>
      </c>
      <c r="P221" s="204">
        <f t="shared" si="71"/>
        <v>0</v>
      </c>
      <c r="Q221" s="204">
        <f t="shared" si="66"/>
        <v>0</v>
      </c>
      <c r="R221" s="476">
        <v>0</v>
      </c>
      <c r="S221" s="511">
        <f t="shared" si="65"/>
        <v>0</v>
      </c>
    </row>
    <row r="222" spans="1:19" ht="14" thickTop="1" thickBot="1">
      <c r="A222" s="202">
        <f t="shared" si="67"/>
        <v>51257</v>
      </c>
      <c r="B222" s="65">
        <f t="shared" si="57"/>
        <v>0</v>
      </c>
      <c r="C222" s="65">
        <f t="shared" si="58"/>
        <v>0</v>
      </c>
      <c r="D222" s="65">
        <f t="shared" si="59"/>
        <v>197</v>
      </c>
      <c r="E222" s="65">
        <f t="shared" si="60"/>
        <v>0</v>
      </c>
      <c r="F222" s="65">
        <f>IF(OR(L$73=0,DG!$A$251&gt;16),0,F221+1)</f>
        <v>0</v>
      </c>
      <c r="G222" s="65">
        <f t="shared" si="61"/>
        <v>0</v>
      </c>
      <c r="H222" s="65">
        <f t="shared" si="62"/>
        <v>0</v>
      </c>
      <c r="I222" s="65">
        <f t="shared" si="63"/>
        <v>0</v>
      </c>
      <c r="J222" s="203">
        <f>IF(DG!$A$130&lt;=11,$M$17,0)</f>
        <v>0</v>
      </c>
      <c r="K222" s="65">
        <f t="shared" si="64"/>
        <v>0</v>
      </c>
      <c r="L222" s="473">
        <f t="shared" si="68"/>
        <v>0</v>
      </c>
      <c r="M222" s="204">
        <f t="shared" si="69"/>
        <v>0</v>
      </c>
      <c r="N222" s="505">
        <f t="shared" si="70"/>
        <v>0</v>
      </c>
      <c r="O222" s="204">
        <f>IF(DG!$A$130&gt;12,0,IF(J222-J221&gt;0,MROUND((L222/12*Q221),1),MROUND(L222/12*P221,1)))</f>
        <v>0</v>
      </c>
      <c r="P222" s="204">
        <f t="shared" si="71"/>
        <v>0</v>
      </c>
      <c r="Q222" s="204">
        <f t="shared" si="66"/>
        <v>0</v>
      </c>
      <c r="R222" s="476">
        <v>0</v>
      </c>
      <c r="S222" s="511">
        <f t="shared" si="65"/>
        <v>0</v>
      </c>
    </row>
    <row r="223" spans="1:19" ht="14" thickTop="1" thickBot="1">
      <c r="A223" s="202">
        <f t="shared" si="67"/>
        <v>51288</v>
      </c>
      <c r="B223" s="65">
        <f t="shared" si="57"/>
        <v>0</v>
      </c>
      <c r="C223" s="65">
        <f t="shared" si="58"/>
        <v>0</v>
      </c>
      <c r="D223" s="65">
        <f t="shared" si="59"/>
        <v>198</v>
      </c>
      <c r="E223" s="65">
        <f t="shared" si="60"/>
        <v>0</v>
      </c>
      <c r="F223" s="65">
        <f>IF(OR(L$73=0,DG!$A$251&gt;16),0,F222+1)</f>
        <v>0</v>
      </c>
      <c r="G223" s="65">
        <f t="shared" si="61"/>
        <v>0</v>
      </c>
      <c r="H223" s="65">
        <f t="shared" si="62"/>
        <v>0</v>
      </c>
      <c r="I223" s="65">
        <f t="shared" si="63"/>
        <v>0</v>
      </c>
      <c r="J223" s="203">
        <f>IF(DG!$A$130&lt;=11,$M$17,0)</f>
        <v>0</v>
      </c>
      <c r="K223" s="65">
        <f t="shared" si="64"/>
        <v>0</v>
      </c>
      <c r="L223" s="473">
        <f t="shared" si="68"/>
        <v>0</v>
      </c>
      <c r="M223" s="204">
        <f t="shared" si="69"/>
        <v>0</v>
      </c>
      <c r="N223" s="505">
        <f t="shared" si="70"/>
        <v>0</v>
      </c>
      <c r="O223" s="204">
        <f>IF(DG!$A$130&gt;12,0,IF(J223-J222&gt;0,MROUND((L223/12*Q222),1),MROUND(L223/12*P222,1)))</f>
        <v>0</v>
      </c>
      <c r="P223" s="204">
        <f t="shared" si="71"/>
        <v>0</v>
      </c>
      <c r="Q223" s="204">
        <f t="shared" si="66"/>
        <v>0</v>
      </c>
      <c r="R223" s="476">
        <v>0</v>
      </c>
      <c r="S223" s="511">
        <f t="shared" si="65"/>
        <v>0</v>
      </c>
    </row>
    <row r="224" spans="1:19" ht="14" thickTop="1" thickBot="1">
      <c r="A224" s="202">
        <f t="shared" si="67"/>
        <v>51318</v>
      </c>
      <c r="B224" s="65">
        <f t="shared" si="57"/>
        <v>0</v>
      </c>
      <c r="C224" s="65">
        <f t="shared" si="58"/>
        <v>0</v>
      </c>
      <c r="D224" s="65">
        <f t="shared" si="59"/>
        <v>199</v>
      </c>
      <c r="E224" s="65">
        <f t="shared" si="60"/>
        <v>0</v>
      </c>
      <c r="F224" s="65">
        <f>IF(OR(L$73=0,DG!$A$251&gt;16),0,F223+1)</f>
        <v>0</v>
      </c>
      <c r="G224" s="65">
        <f t="shared" si="61"/>
        <v>0</v>
      </c>
      <c r="H224" s="65">
        <f t="shared" si="62"/>
        <v>0</v>
      </c>
      <c r="I224" s="65">
        <f t="shared" si="63"/>
        <v>0</v>
      </c>
      <c r="J224" s="203">
        <f>IF(DG!$A$130&lt;=11,$M$17,0)</f>
        <v>0</v>
      </c>
      <c r="K224" s="65">
        <f t="shared" si="64"/>
        <v>0</v>
      </c>
      <c r="L224" s="473">
        <f t="shared" si="68"/>
        <v>0</v>
      </c>
      <c r="M224" s="204">
        <f t="shared" si="69"/>
        <v>0</v>
      </c>
      <c r="N224" s="505">
        <f t="shared" si="70"/>
        <v>0</v>
      </c>
      <c r="O224" s="204">
        <f>IF(DG!$A$130&gt;12,0,IF(J224-J223&gt;0,MROUND((L224/12*Q223),1),MROUND(L224/12*P223,1)))</f>
        <v>0</v>
      </c>
      <c r="P224" s="204">
        <f t="shared" si="71"/>
        <v>0</v>
      </c>
      <c r="Q224" s="204">
        <f t="shared" si="66"/>
        <v>0</v>
      </c>
      <c r="R224" s="476">
        <v>0</v>
      </c>
      <c r="S224" s="511">
        <f t="shared" si="65"/>
        <v>0</v>
      </c>
    </row>
    <row r="225" spans="1:19" ht="14" thickTop="1" thickBot="1">
      <c r="A225" s="202">
        <f t="shared" si="67"/>
        <v>51349</v>
      </c>
      <c r="B225" s="65">
        <f t="shared" si="57"/>
        <v>0</v>
      </c>
      <c r="C225" s="65">
        <f t="shared" si="58"/>
        <v>0</v>
      </c>
      <c r="D225" s="65">
        <f t="shared" si="59"/>
        <v>200</v>
      </c>
      <c r="E225" s="65">
        <f t="shared" si="60"/>
        <v>0</v>
      </c>
      <c r="F225" s="65">
        <f>IF(OR(L$73=0,DG!$A$251&gt;16),0,F224+1)</f>
        <v>0</v>
      </c>
      <c r="G225" s="65">
        <f t="shared" si="61"/>
        <v>0</v>
      </c>
      <c r="H225" s="65">
        <f t="shared" si="62"/>
        <v>0</v>
      </c>
      <c r="I225" s="65">
        <f t="shared" si="63"/>
        <v>0</v>
      </c>
      <c r="J225" s="203">
        <f>IF(DG!$A$130&lt;=11,$M$17,0)</f>
        <v>0</v>
      </c>
      <c r="K225" s="65">
        <f t="shared" si="64"/>
        <v>0</v>
      </c>
      <c r="L225" s="473">
        <f t="shared" si="68"/>
        <v>0</v>
      </c>
      <c r="M225" s="204">
        <f t="shared" si="69"/>
        <v>0</v>
      </c>
      <c r="N225" s="505">
        <f t="shared" si="70"/>
        <v>0</v>
      </c>
      <c r="O225" s="204">
        <f>IF(DG!$A$130&gt;12,0,IF(J225-J224&gt;0,MROUND((L225/12*Q224),1),MROUND(L225/12*P224,1)))</f>
        <v>0</v>
      </c>
      <c r="P225" s="204">
        <f t="shared" si="71"/>
        <v>0</v>
      </c>
      <c r="Q225" s="204">
        <f t="shared" si="66"/>
        <v>0</v>
      </c>
      <c r="R225" s="476">
        <v>0</v>
      </c>
      <c r="S225" s="511">
        <f t="shared" si="65"/>
        <v>0</v>
      </c>
    </row>
    <row r="226" spans="1:19" ht="14" thickTop="1" thickBot="1">
      <c r="A226" s="202">
        <f t="shared" si="67"/>
        <v>51380</v>
      </c>
      <c r="B226" s="65">
        <f t="shared" si="57"/>
        <v>0</v>
      </c>
      <c r="C226" s="65">
        <f t="shared" si="58"/>
        <v>0</v>
      </c>
      <c r="D226" s="65">
        <f t="shared" si="59"/>
        <v>201</v>
      </c>
      <c r="E226" s="65">
        <f t="shared" si="60"/>
        <v>0</v>
      </c>
      <c r="F226" s="65">
        <f>IF(OR(L$73=0,DG!$A$251&gt;16),0,F225+1)</f>
        <v>0</v>
      </c>
      <c r="G226" s="65">
        <f t="shared" si="61"/>
        <v>0</v>
      </c>
      <c r="H226" s="65">
        <f t="shared" si="62"/>
        <v>0</v>
      </c>
      <c r="I226" s="65">
        <f t="shared" si="63"/>
        <v>0</v>
      </c>
      <c r="J226" s="203">
        <f>IF(DG!$A$130&lt;=11,$M$17,0)</f>
        <v>0</v>
      </c>
      <c r="K226" s="65">
        <f t="shared" si="64"/>
        <v>0</v>
      </c>
      <c r="L226" s="473">
        <f t="shared" si="68"/>
        <v>0</v>
      </c>
      <c r="M226" s="204">
        <f t="shared" si="69"/>
        <v>0</v>
      </c>
      <c r="N226" s="505">
        <f t="shared" si="70"/>
        <v>0</v>
      </c>
      <c r="O226" s="204">
        <f>IF(DG!$A$130&gt;12,0,IF(J226-J225&gt;0,MROUND((L226/12*Q225),1),MROUND(L226/12*P225,1)))</f>
        <v>0</v>
      </c>
      <c r="P226" s="204">
        <f t="shared" si="71"/>
        <v>0</v>
      </c>
      <c r="Q226" s="204">
        <f t="shared" si="66"/>
        <v>0</v>
      </c>
      <c r="R226" s="476">
        <v>0</v>
      </c>
      <c r="S226" s="511">
        <f t="shared" si="65"/>
        <v>0</v>
      </c>
    </row>
    <row r="227" spans="1:19" ht="14" thickTop="1" thickBot="1">
      <c r="A227" s="202">
        <f t="shared" si="67"/>
        <v>51410</v>
      </c>
      <c r="B227" s="65">
        <f t="shared" si="57"/>
        <v>0</v>
      </c>
      <c r="C227" s="65">
        <f t="shared" si="58"/>
        <v>0</v>
      </c>
      <c r="D227" s="65">
        <f t="shared" si="59"/>
        <v>202</v>
      </c>
      <c r="E227" s="65">
        <f t="shared" si="60"/>
        <v>0</v>
      </c>
      <c r="F227" s="65">
        <f>IF(OR(L$73=0,DG!$A$251&gt;16),0,F226+1)</f>
        <v>0</v>
      </c>
      <c r="G227" s="65">
        <f t="shared" si="61"/>
        <v>0</v>
      </c>
      <c r="H227" s="65">
        <f t="shared" si="62"/>
        <v>0</v>
      </c>
      <c r="I227" s="65">
        <f t="shared" si="63"/>
        <v>0</v>
      </c>
      <c r="J227" s="203">
        <f>IF(DG!$A$130&lt;=11,$M$17,0)</f>
        <v>0</v>
      </c>
      <c r="K227" s="65">
        <f t="shared" si="64"/>
        <v>0</v>
      </c>
      <c r="L227" s="473">
        <f t="shared" si="68"/>
        <v>0</v>
      </c>
      <c r="M227" s="204">
        <f t="shared" si="69"/>
        <v>0</v>
      </c>
      <c r="N227" s="505">
        <f t="shared" si="70"/>
        <v>0</v>
      </c>
      <c r="O227" s="204">
        <f>IF(DG!$A$130&gt;12,0,IF(J227-J226&gt;0,MROUND((L227/12*Q226),1),MROUND(L227/12*P226,1)))</f>
        <v>0</v>
      </c>
      <c r="P227" s="204">
        <f t="shared" si="71"/>
        <v>0</v>
      </c>
      <c r="Q227" s="204">
        <f t="shared" si="66"/>
        <v>0</v>
      </c>
      <c r="R227" s="476">
        <v>0</v>
      </c>
      <c r="S227" s="511">
        <f t="shared" si="65"/>
        <v>0</v>
      </c>
    </row>
    <row r="228" spans="1:19" ht="14" thickTop="1" thickBot="1">
      <c r="A228" s="202">
        <f t="shared" si="67"/>
        <v>51441</v>
      </c>
      <c r="B228" s="65">
        <f t="shared" si="57"/>
        <v>0</v>
      </c>
      <c r="C228" s="65">
        <f t="shared" si="58"/>
        <v>0</v>
      </c>
      <c r="D228" s="65">
        <f t="shared" si="59"/>
        <v>203</v>
      </c>
      <c r="E228" s="65">
        <f t="shared" si="60"/>
        <v>0</v>
      </c>
      <c r="F228" s="65">
        <f>IF(OR(L$73=0,DG!$A$251&gt;16),0,F227+1)</f>
        <v>0</v>
      </c>
      <c r="G228" s="65">
        <f t="shared" si="61"/>
        <v>0</v>
      </c>
      <c r="H228" s="65">
        <f t="shared" si="62"/>
        <v>0</v>
      </c>
      <c r="I228" s="65">
        <f t="shared" si="63"/>
        <v>0</v>
      </c>
      <c r="J228" s="203">
        <f>IF(DG!$A$130&lt;=11,$M$17,0)</f>
        <v>0</v>
      </c>
      <c r="K228" s="65">
        <f t="shared" si="64"/>
        <v>0</v>
      </c>
      <c r="L228" s="473">
        <f t="shared" si="68"/>
        <v>0</v>
      </c>
      <c r="M228" s="204">
        <f t="shared" si="69"/>
        <v>0</v>
      </c>
      <c r="N228" s="505">
        <f t="shared" si="70"/>
        <v>0</v>
      </c>
      <c r="O228" s="204">
        <f>IF(DG!$A$130&gt;12,0,IF(J228-J227&gt;0,MROUND((L228/12*Q227),1),MROUND(L228/12*P227,1)))</f>
        <v>0</v>
      </c>
      <c r="P228" s="204">
        <f t="shared" si="71"/>
        <v>0</v>
      </c>
      <c r="Q228" s="204">
        <f t="shared" si="66"/>
        <v>0</v>
      </c>
      <c r="R228" s="476">
        <v>0</v>
      </c>
      <c r="S228" s="511">
        <f t="shared" si="65"/>
        <v>0</v>
      </c>
    </row>
    <row r="229" spans="1:19" ht="14" thickTop="1" thickBot="1">
      <c r="A229" s="202">
        <f t="shared" si="67"/>
        <v>51471</v>
      </c>
      <c r="B229" s="65">
        <f t="shared" si="57"/>
        <v>0</v>
      </c>
      <c r="C229" s="65">
        <f t="shared" si="58"/>
        <v>0</v>
      </c>
      <c r="D229" s="65">
        <f t="shared" si="59"/>
        <v>204</v>
      </c>
      <c r="E229" s="65">
        <f t="shared" si="60"/>
        <v>0</v>
      </c>
      <c r="F229" s="65">
        <f>IF(OR(L$73=0,DG!$A$251&gt;16),0,F228+1)</f>
        <v>0</v>
      </c>
      <c r="G229" s="65">
        <f t="shared" si="61"/>
        <v>0</v>
      </c>
      <c r="H229" s="65">
        <f t="shared" si="62"/>
        <v>0</v>
      </c>
      <c r="I229" s="65">
        <f t="shared" si="63"/>
        <v>0</v>
      </c>
      <c r="J229" s="203">
        <f>IF(DG!$A$130&lt;=11,$M$17,0)</f>
        <v>0</v>
      </c>
      <c r="K229" s="65">
        <f t="shared" si="64"/>
        <v>0</v>
      </c>
      <c r="L229" s="473">
        <f t="shared" si="68"/>
        <v>0</v>
      </c>
      <c r="M229" s="204">
        <f t="shared" si="69"/>
        <v>0</v>
      </c>
      <c r="N229" s="505">
        <f t="shared" si="70"/>
        <v>0</v>
      </c>
      <c r="O229" s="204">
        <f>IF(DG!$A$130&gt;12,0,IF(J229-J228&gt;0,MROUND((L229/12*Q228),1),MROUND(L229/12*P228,1)))</f>
        <v>0</v>
      </c>
      <c r="P229" s="204">
        <f t="shared" si="71"/>
        <v>0</v>
      </c>
      <c r="Q229" s="204">
        <f t="shared" si="66"/>
        <v>0</v>
      </c>
      <c r="R229" s="476">
        <v>0</v>
      </c>
      <c r="S229" s="511">
        <f t="shared" si="65"/>
        <v>0</v>
      </c>
    </row>
    <row r="230" spans="1:19" ht="14" thickTop="1" thickBot="1">
      <c r="A230" s="202">
        <f t="shared" si="67"/>
        <v>51502</v>
      </c>
      <c r="B230" s="65">
        <f t="shared" si="57"/>
        <v>0</v>
      </c>
      <c r="C230" s="65">
        <f t="shared" si="58"/>
        <v>0</v>
      </c>
      <c r="D230" s="65">
        <f t="shared" si="59"/>
        <v>205</v>
      </c>
      <c r="E230" s="65">
        <f t="shared" si="60"/>
        <v>0</v>
      </c>
      <c r="F230" s="65">
        <f>IF(OR(L$73=0,DG!$A$251&gt;16),0,F229+1)</f>
        <v>0</v>
      </c>
      <c r="G230" s="65">
        <f t="shared" si="61"/>
        <v>0</v>
      </c>
      <c r="H230" s="65">
        <f t="shared" si="62"/>
        <v>0</v>
      </c>
      <c r="I230" s="65">
        <f t="shared" si="63"/>
        <v>0</v>
      </c>
      <c r="J230" s="203">
        <f>IF(DG!$A$130&lt;=11,$M$17,0)</f>
        <v>0</v>
      </c>
      <c r="K230" s="65">
        <f t="shared" si="64"/>
        <v>0</v>
      </c>
      <c r="L230" s="473">
        <f t="shared" si="68"/>
        <v>0</v>
      </c>
      <c r="M230" s="204">
        <f t="shared" si="69"/>
        <v>0</v>
      </c>
      <c r="N230" s="505">
        <f t="shared" si="70"/>
        <v>0</v>
      </c>
      <c r="O230" s="204">
        <f>IF(DG!$A$130&gt;12,0,IF(J230-J229&gt;0,MROUND((L230/12*Q229),1),MROUND(L230/12*P229,1)))</f>
        <v>0</v>
      </c>
      <c r="P230" s="204">
        <f t="shared" si="71"/>
        <v>0</v>
      </c>
      <c r="Q230" s="204">
        <f t="shared" si="66"/>
        <v>0</v>
      </c>
      <c r="R230" s="476">
        <v>0</v>
      </c>
      <c r="S230" s="511">
        <f t="shared" si="65"/>
        <v>0</v>
      </c>
    </row>
    <row r="231" spans="1:19" ht="14" thickTop="1" thickBot="1">
      <c r="A231" s="202">
        <f t="shared" si="67"/>
        <v>51533</v>
      </c>
      <c r="B231" s="65">
        <f t="shared" si="57"/>
        <v>0</v>
      </c>
      <c r="C231" s="65">
        <f t="shared" si="58"/>
        <v>0</v>
      </c>
      <c r="D231" s="65">
        <f t="shared" si="59"/>
        <v>206</v>
      </c>
      <c r="E231" s="65">
        <f t="shared" si="60"/>
        <v>0</v>
      </c>
      <c r="F231" s="65">
        <f>IF(OR(L$73=0,DG!$A$251&gt;16),0,F230+1)</f>
        <v>0</v>
      </c>
      <c r="G231" s="65">
        <f t="shared" si="61"/>
        <v>0</v>
      </c>
      <c r="H231" s="65">
        <f t="shared" si="62"/>
        <v>0</v>
      </c>
      <c r="I231" s="65">
        <f t="shared" si="63"/>
        <v>0</v>
      </c>
      <c r="J231" s="203">
        <f>IF(DG!$A$130&lt;=11,$M$17,0)</f>
        <v>0</v>
      </c>
      <c r="K231" s="65">
        <f t="shared" si="64"/>
        <v>0</v>
      </c>
      <c r="L231" s="473">
        <f t="shared" si="68"/>
        <v>0</v>
      </c>
      <c r="M231" s="204">
        <f t="shared" si="69"/>
        <v>0</v>
      </c>
      <c r="N231" s="505">
        <f t="shared" si="70"/>
        <v>0</v>
      </c>
      <c r="O231" s="204">
        <f>IF(DG!$A$130&gt;12,0,IF(J231-J230&gt;0,MROUND((L231/12*Q230),1),MROUND(L231/12*P230,1)))</f>
        <v>0</v>
      </c>
      <c r="P231" s="204">
        <f t="shared" si="71"/>
        <v>0</v>
      </c>
      <c r="Q231" s="204">
        <f t="shared" si="66"/>
        <v>0</v>
      </c>
      <c r="R231" s="476">
        <v>0</v>
      </c>
      <c r="S231" s="511">
        <f t="shared" si="65"/>
        <v>0</v>
      </c>
    </row>
    <row r="232" spans="1:19" ht="14" thickTop="1" thickBot="1">
      <c r="A232" s="202">
        <f t="shared" si="67"/>
        <v>51561</v>
      </c>
      <c r="B232" s="65">
        <f t="shared" si="57"/>
        <v>0</v>
      </c>
      <c r="C232" s="65">
        <f t="shared" si="58"/>
        <v>0</v>
      </c>
      <c r="D232" s="65">
        <f t="shared" si="59"/>
        <v>207</v>
      </c>
      <c r="E232" s="65">
        <f t="shared" si="60"/>
        <v>0</v>
      </c>
      <c r="F232" s="65">
        <f>IF(OR(L$73=0,DG!$A$251&gt;16),0,F231+1)</f>
        <v>0</v>
      </c>
      <c r="G232" s="65">
        <f t="shared" si="61"/>
        <v>0</v>
      </c>
      <c r="H232" s="65">
        <f t="shared" si="62"/>
        <v>0</v>
      </c>
      <c r="I232" s="65">
        <f t="shared" si="63"/>
        <v>0</v>
      </c>
      <c r="J232" s="203">
        <f>IF(DG!$A$130&lt;=11,$M$17,0)</f>
        <v>0</v>
      </c>
      <c r="K232" s="65">
        <f t="shared" si="64"/>
        <v>0</v>
      </c>
      <c r="L232" s="473">
        <f t="shared" si="68"/>
        <v>0</v>
      </c>
      <c r="M232" s="204">
        <f t="shared" si="69"/>
        <v>0</v>
      </c>
      <c r="N232" s="505">
        <f t="shared" si="70"/>
        <v>0</v>
      </c>
      <c r="O232" s="204">
        <f>IF(DG!$A$130&gt;12,0,IF(J232-J231&gt;0,MROUND((L232/12*Q231),1),MROUND(L232/12*P231,1)))</f>
        <v>0</v>
      </c>
      <c r="P232" s="204">
        <f t="shared" si="71"/>
        <v>0</v>
      </c>
      <c r="Q232" s="204">
        <f t="shared" si="66"/>
        <v>0</v>
      </c>
      <c r="R232" s="476">
        <v>0</v>
      </c>
      <c r="S232" s="511">
        <f t="shared" si="65"/>
        <v>0</v>
      </c>
    </row>
    <row r="233" spans="1:19" ht="14" thickTop="1" thickBot="1">
      <c r="A233" s="202">
        <f t="shared" si="67"/>
        <v>51592</v>
      </c>
      <c r="B233" s="65">
        <f t="shared" si="57"/>
        <v>0</v>
      </c>
      <c r="C233" s="65">
        <f t="shared" si="58"/>
        <v>0</v>
      </c>
      <c r="D233" s="65">
        <f t="shared" si="59"/>
        <v>208</v>
      </c>
      <c r="E233" s="65">
        <f t="shared" si="60"/>
        <v>0</v>
      </c>
      <c r="F233" s="65">
        <f>IF(OR(L$73=0,DG!$A$251&gt;16),0,F232+1)</f>
        <v>0</v>
      </c>
      <c r="G233" s="65">
        <f t="shared" si="61"/>
        <v>0</v>
      </c>
      <c r="H233" s="65">
        <f t="shared" si="62"/>
        <v>0</v>
      </c>
      <c r="I233" s="65">
        <f t="shared" si="63"/>
        <v>0</v>
      </c>
      <c r="J233" s="203">
        <f>IF(DG!$A$130&lt;=11,$M$17,0)</f>
        <v>0</v>
      </c>
      <c r="K233" s="65">
        <f t="shared" si="64"/>
        <v>0</v>
      </c>
      <c r="L233" s="473">
        <f t="shared" si="68"/>
        <v>0</v>
      </c>
      <c r="M233" s="204">
        <f t="shared" si="69"/>
        <v>0</v>
      </c>
      <c r="N233" s="505">
        <f t="shared" si="70"/>
        <v>0</v>
      </c>
      <c r="O233" s="204">
        <f>IF(DG!$A$130&gt;12,0,IF(J233-J232&gt;0,MROUND((L233/12*Q232),1),MROUND(L233/12*P232,1)))</f>
        <v>0</v>
      </c>
      <c r="P233" s="204">
        <f t="shared" si="71"/>
        <v>0</v>
      </c>
      <c r="Q233" s="204">
        <f t="shared" si="66"/>
        <v>0</v>
      </c>
      <c r="R233" s="476">
        <v>0</v>
      </c>
      <c r="S233" s="511">
        <f t="shared" si="65"/>
        <v>0</v>
      </c>
    </row>
    <row r="234" spans="1:19" ht="14" thickTop="1" thickBot="1">
      <c r="A234" s="202">
        <f t="shared" si="67"/>
        <v>51622</v>
      </c>
      <c r="B234" s="65">
        <f t="shared" si="57"/>
        <v>0</v>
      </c>
      <c r="C234" s="65">
        <f t="shared" si="58"/>
        <v>0</v>
      </c>
      <c r="D234" s="65">
        <f t="shared" si="59"/>
        <v>209</v>
      </c>
      <c r="E234" s="65">
        <f t="shared" si="60"/>
        <v>0</v>
      </c>
      <c r="F234" s="65">
        <f>IF(OR(L$73=0,DG!$A$251&gt;16),0,F233+1)</f>
        <v>0</v>
      </c>
      <c r="G234" s="65">
        <f t="shared" si="61"/>
        <v>0</v>
      </c>
      <c r="H234" s="65">
        <f t="shared" si="62"/>
        <v>0</v>
      </c>
      <c r="I234" s="65">
        <f t="shared" si="63"/>
        <v>0</v>
      </c>
      <c r="J234" s="203">
        <f>IF(DG!$A$130&lt;=11,$M$17,0)</f>
        <v>0</v>
      </c>
      <c r="K234" s="65">
        <f t="shared" si="64"/>
        <v>0</v>
      </c>
      <c r="L234" s="473">
        <f t="shared" si="68"/>
        <v>0</v>
      </c>
      <c r="M234" s="204">
        <f t="shared" si="69"/>
        <v>0</v>
      </c>
      <c r="N234" s="505">
        <f t="shared" si="70"/>
        <v>0</v>
      </c>
      <c r="O234" s="204">
        <f>IF(DG!$A$130&gt;12,0,IF(J234-J233&gt;0,MROUND((L234/12*Q233),1),MROUND(L234/12*P233,1)))</f>
        <v>0</v>
      </c>
      <c r="P234" s="204">
        <f t="shared" si="71"/>
        <v>0</v>
      </c>
      <c r="Q234" s="204">
        <f t="shared" si="66"/>
        <v>0</v>
      </c>
      <c r="R234" s="476">
        <v>0</v>
      </c>
      <c r="S234" s="511">
        <f t="shared" si="65"/>
        <v>0</v>
      </c>
    </row>
    <row r="235" spans="1:19" ht="14" thickTop="1" thickBot="1">
      <c r="A235" s="202">
        <f t="shared" si="67"/>
        <v>51653</v>
      </c>
      <c r="B235" s="65">
        <f t="shared" si="57"/>
        <v>0</v>
      </c>
      <c r="C235" s="65">
        <f t="shared" si="58"/>
        <v>0</v>
      </c>
      <c r="D235" s="65">
        <f t="shared" si="59"/>
        <v>210</v>
      </c>
      <c r="E235" s="65">
        <f t="shared" si="60"/>
        <v>0</v>
      </c>
      <c r="F235" s="65">
        <f>IF(OR(L$73=0,DG!$A$251&gt;16),0,F234+1)</f>
        <v>0</v>
      </c>
      <c r="G235" s="65">
        <f t="shared" si="61"/>
        <v>0</v>
      </c>
      <c r="H235" s="65">
        <f t="shared" si="62"/>
        <v>0</v>
      </c>
      <c r="I235" s="65">
        <f t="shared" si="63"/>
        <v>0</v>
      </c>
      <c r="J235" s="203">
        <f>IF(DG!$A$130&lt;=11,$M$17,0)</f>
        <v>0</v>
      </c>
      <c r="K235" s="65">
        <f t="shared" si="64"/>
        <v>0</v>
      </c>
      <c r="L235" s="473">
        <f t="shared" si="68"/>
        <v>0</v>
      </c>
      <c r="M235" s="204">
        <f t="shared" si="69"/>
        <v>0</v>
      </c>
      <c r="N235" s="505">
        <f t="shared" si="70"/>
        <v>0</v>
      </c>
      <c r="O235" s="204">
        <f>IF(DG!$A$130&gt;12,0,IF(J235-J234&gt;0,MROUND((L235/12*Q234),1),MROUND(L235/12*P234,1)))</f>
        <v>0</v>
      </c>
      <c r="P235" s="204">
        <f t="shared" si="71"/>
        <v>0</v>
      </c>
      <c r="Q235" s="204">
        <f t="shared" si="66"/>
        <v>0</v>
      </c>
      <c r="R235" s="476">
        <v>0</v>
      </c>
      <c r="S235" s="511">
        <f t="shared" si="65"/>
        <v>0</v>
      </c>
    </row>
    <row r="236" spans="1:19" ht="14" thickTop="1" thickBot="1">
      <c r="A236" s="202">
        <f t="shared" si="67"/>
        <v>51683</v>
      </c>
      <c r="B236" s="65">
        <f t="shared" si="57"/>
        <v>0</v>
      </c>
      <c r="C236" s="65">
        <f t="shared" si="58"/>
        <v>0</v>
      </c>
      <c r="D236" s="65">
        <f t="shared" si="59"/>
        <v>211</v>
      </c>
      <c r="E236" s="65">
        <f t="shared" si="60"/>
        <v>0</v>
      </c>
      <c r="F236" s="65">
        <f>IF(OR(L$73=0,DG!$A$251&gt;16),0,F235+1)</f>
        <v>0</v>
      </c>
      <c r="G236" s="65">
        <f t="shared" si="61"/>
        <v>0</v>
      </c>
      <c r="H236" s="65">
        <f t="shared" si="62"/>
        <v>0</v>
      </c>
      <c r="I236" s="65">
        <f t="shared" si="63"/>
        <v>0</v>
      </c>
      <c r="J236" s="203">
        <f>IF(DG!$A$130&lt;=11,$M$17,0)</f>
        <v>0</v>
      </c>
      <c r="K236" s="65">
        <f t="shared" si="64"/>
        <v>0</v>
      </c>
      <c r="L236" s="473">
        <f t="shared" si="68"/>
        <v>0</v>
      </c>
      <c r="M236" s="204">
        <f t="shared" si="69"/>
        <v>0</v>
      </c>
      <c r="N236" s="505">
        <f t="shared" si="70"/>
        <v>0</v>
      </c>
      <c r="O236" s="204">
        <f>IF(DG!$A$130&gt;12,0,IF(J236-J235&gt;0,MROUND((L236/12*Q235),1),MROUND(L236/12*P235,1)))</f>
        <v>0</v>
      </c>
      <c r="P236" s="204">
        <f t="shared" si="71"/>
        <v>0</v>
      </c>
      <c r="Q236" s="204">
        <f t="shared" si="66"/>
        <v>0</v>
      </c>
      <c r="R236" s="476">
        <v>0</v>
      </c>
      <c r="S236" s="511">
        <f t="shared" si="65"/>
        <v>0</v>
      </c>
    </row>
    <row r="237" spans="1:19" ht="14" thickTop="1" thickBot="1">
      <c r="A237" s="202">
        <f t="shared" si="67"/>
        <v>51714</v>
      </c>
      <c r="B237" s="65">
        <f t="shared" si="57"/>
        <v>0</v>
      </c>
      <c r="C237" s="65">
        <f t="shared" si="58"/>
        <v>0</v>
      </c>
      <c r="D237" s="65">
        <f t="shared" si="59"/>
        <v>212</v>
      </c>
      <c r="E237" s="65">
        <f t="shared" si="60"/>
        <v>0</v>
      </c>
      <c r="F237" s="65">
        <f>IF(OR(L$73=0,DG!$A$251&gt;16),0,F236+1)</f>
        <v>0</v>
      </c>
      <c r="G237" s="65">
        <f t="shared" si="61"/>
        <v>0</v>
      </c>
      <c r="H237" s="65">
        <f t="shared" si="62"/>
        <v>0</v>
      </c>
      <c r="I237" s="65">
        <f t="shared" si="63"/>
        <v>0</v>
      </c>
      <c r="J237" s="203">
        <f>IF(DG!$A$130&lt;=11,$M$17,0)</f>
        <v>0</v>
      </c>
      <c r="K237" s="65">
        <f t="shared" si="64"/>
        <v>0</v>
      </c>
      <c r="L237" s="473">
        <f t="shared" si="68"/>
        <v>0</v>
      </c>
      <c r="M237" s="204">
        <f t="shared" si="69"/>
        <v>0</v>
      </c>
      <c r="N237" s="505">
        <f t="shared" si="70"/>
        <v>0</v>
      </c>
      <c r="O237" s="204">
        <f>IF(DG!$A$130&gt;12,0,IF(J237-J236&gt;0,MROUND((L237/12*Q236),1),MROUND(L237/12*P236,1)))</f>
        <v>0</v>
      </c>
      <c r="P237" s="204">
        <f t="shared" si="71"/>
        <v>0</v>
      </c>
      <c r="Q237" s="204">
        <f t="shared" si="66"/>
        <v>0</v>
      </c>
      <c r="R237" s="476">
        <v>0</v>
      </c>
      <c r="S237" s="511">
        <f t="shared" si="65"/>
        <v>0</v>
      </c>
    </row>
    <row r="238" spans="1:19" ht="14" thickTop="1" thickBot="1">
      <c r="A238" s="202">
        <f t="shared" si="67"/>
        <v>51745</v>
      </c>
      <c r="B238" s="65">
        <f t="shared" si="57"/>
        <v>0</v>
      </c>
      <c r="C238" s="65">
        <f t="shared" si="58"/>
        <v>0</v>
      </c>
      <c r="D238" s="65">
        <f t="shared" si="59"/>
        <v>213</v>
      </c>
      <c r="E238" s="65">
        <f t="shared" si="60"/>
        <v>0</v>
      </c>
      <c r="F238" s="65">
        <f>IF(OR(L$73=0,DG!$A$251&gt;16),0,F237+1)</f>
        <v>0</v>
      </c>
      <c r="G238" s="65">
        <f t="shared" si="61"/>
        <v>0</v>
      </c>
      <c r="H238" s="65">
        <f t="shared" si="62"/>
        <v>0</v>
      </c>
      <c r="I238" s="65">
        <f t="shared" si="63"/>
        <v>0</v>
      </c>
      <c r="J238" s="203">
        <f>IF(DG!$A$130&lt;=11,$M$17,0)</f>
        <v>0</v>
      </c>
      <c r="K238" s="65">
        <f t="shared" si="64"/>
        <v>0</v>
      </c>
      <c r="L238" s="473">
        <f t="shared" si="68"/>
        <v>0</v>
      </c>
      <c r="M238" s="204">
        <f t="shared" si="69"/>
        <v>0</v>
      </c>
      <c r="N238" s="505">
        <f t="shared" si="70"/>
        <v>0</v>
      </c>
      <c r="O238" s="204">
        <f>IF(DG!$A$130&gt;12,0,IF(J238-J237&gt;0,MROUND((L238/12*Q237),1),MROUND(L238/12*P237,1)))</f>
        <v>0</v>
      </c>
      <c r="P238" s="204">
        <f t="shared" si="71"/>
        <v>0</v>
      </c>
      <c r="Q238" s="204">
        <f t="shared" si="66"/>
        <v>0</v>
      </c>
      <c r="R238" s="476">
        <v>0</v>
      </c>
      <c r="S238" s="511">
        <f t="shared" si="65"/>
        <v>0</v>
      </c>
    </row>
    <row r="239" spans="1:19" ht="14" thickTop="1" thickBot="1">
      <c r="A239" s="202">
        <f t="shared" si="67"/>
        <v>51775</v>
      </c>
      <c r="B239" s="65">
        <f t="shared" si="57"/>
        <v>0</v>
      </c>
      <c r="C239" s="65">
        <f t="shared" si="58"/>
        <v>0</v>
      </c>
      <c r="D239" s="65">
        <f t="shared" si="59"/>
        <v>214</v>
      </c>
      <c r="E239" s="65">
        <f t="shared" si="60"/>
        <v>0</v>
      </c>
      <c r="F239" s="65">
        <f>IF(OR(L$73=0,DG!$A$251&gt;16),0,F238+1)</f>
        <v>0</v>
      </c>
      <c r="G239" s="65">
        <f t="shared" si="61"/>
        <v>0</v>
      </c>
      <c r="H239" s="65">
        <f t="shared" si="62"/>
        <v>0</v>
      </c>
      <c r="I239" s="65">
        <f t="shared" si="63"/>
        <v>0</v>
      </c>
      <c r="J239" s="203">
        <f>IF(DG!$A$130&lt;=11,$M$17,0)</f>
        <v>0</v>
      </c>
      <c r="K239" s="65">
        <f t="shared" si="64"/>
        <v>0</v>
      </c>
      <c r="L239" s="473">
        <f t="shared" si="68"/>
        <v>0</v>
      </c>
      <c r="M239" s="204">
        <f t="shared" si="69"/>
        <v>0</v>
      </c>
      <c r="N239" s="505">
        <f t="shared" si="70"/>
        <v>0</v>
      </c>
      <c r="O239" s="204">
        <f>IF(DG!$A$130&gt;12,0,IF(J239-J238&gt;0,MROUND((L239/12*Q238),1),MROUND(L239/12*P238,1)))</f>
        <v>0</v>
      </c>
      <c r="P239" s="204">
        <f t="shared" si="71"/>
        <v>0</v>
      </c>
      <c r="Q239" s="204">
        <f t="shared" si="66"/>
        <v>0</v>
      </c>
      <c r="R239" s="476">
        <v>0</v>
      </c>
      <c r="S239" s="511">
        <f t="shared" si="65"/>
        <v>0</v>
      </c>
    </row>
    <row r="240" spans="1:19" ht="14" thickTop="1" thickBot="1">
      <c r="A240" s="202">
        <f t="shared" si="67"/>
        <v>51806</v>
      </c>
      <c r="B240" s="65">
        <f t="shared" si="57"/>
        <v>0</v>
      </c>
      <c r="C240" s="65">
        <f t="shared" si="58"/>
        <v>0</v>
      </c>
      <c r="D240" s="65">
        <f t="shared" si="59"/>
        <v>215</v>
      </c>
      <c r="E240" s="65">
        <f t="shared" si="60"/>
        <v>0</v>
      </c>
      <c r="F240" s="65">
        <f>IF(OR(L$73=0,DG!$A$251&gt;16),0,F239+1)</f>
        <v>0</v>
      </c>
      <c r="G240" s="65">
        <f t="shared" si="61"/>
        <v>0</v>
      </c>
      <c r="H240" s="65">
        <f t="shared" si="62"/>
        <v>0</v>
      </c>
      <c r="I240" s="65">
        <f t="shared" si="63"/>
        <v>0</v>
      </c>
      <c r="J240" s="203">
        <f>IF(DG!$A$130&lt;=11,$M$17,0)</f>
        <v>0</v>
      </c>
      <c r="K240" s="65">
        <f t="shared" si="64"/>
        <v>0</v>
      </c>
      <c r="L240" s="473">
        <f t="shared" si="68"/>
        <v>0</v>
      </c>
      <c r="M240" s="204">
        <f t="shared" si="69"/>
        <v>0</v>
      </c>
      <c r="N240" s="505">
        <f t="shared" si="70"/>
        <v>0</v>
      </c>
      <c r="O240" s="204">
        <f>IF(DG!$A$130&gt;12,0,IF(J240-J239&gt;0,MROUND((L240/12*Q239),1),MROUND(L240/12*P239,1)))</f>
        <v>0</v>
      </c>
      <c r="P240" s="204">
        <f t="shared" si="71"/>
        <v>0</v>
      </c>
      <c r="Q240" s="204">
        <f t="shared" si="66"/>
        <v>0</v>
      </c>
      <c r="R240" s="476">
        <v>0</v>
      </c>
      <c r="S240" s="511">
        <f t="shared" si="65"/>
        <v>0</v>
      </c>
    </row>
    <row r="241" spans="1:19" ht="14" thickTop="1" thickBot="1">
      <c r="A241" s="202">
        <f t="shared" si="67"/>
        <v>51836</v>
      </c>
      <c r="B241" s="65">
        <f t="shared" si="57"/>
        <v>0</v>
      </c>
      <c r="C241" s="65">
        <f t="shared" si="58"/>
        <v>0</v>
      </c>
      <c r="D241" s="65">
        <f t="shared" si="59"/>
        <v>216</v>
      </c>
      <c r="E241" s="65">
        <f t="shared" si="60"/>
        <v>0</v>
      </c>
      <c r="F241" s="65">
        <f>IF(OR(L$73=0,DG!$A$251&gt;16),0,F240+1)</f>
        <v>0</v>
      </c>
      <c r="G241" s="65">
        <f t="shared" si="61"/>
        <v>0</v>
      </c>
      <c r="H241" s="65">
        <f t="shared" si="62"/>
        <v>0</v>
      </c>
      <c r="I241" s="65">
        <f t="shared" si="63"/>
        <v>0</v>
      </c>
      <c r="J241" s="203">
        <f>IF(DG!$A$130&lt;=11,$M$17,0)</f>
        <v>0</v>
      </c>
      <c r="K241" s="65">
        <f t="shared" si="64"/>
        <v>0</v>
      </c>
      <c r="L241" s="473">
        <f t="shared" si="68"/>
        <v>0</v>
      </c>
      <c r="M241" s="204">
        <f t="shared" si="69"/>
        <v>0</v>
      </c>
      <c r="N241" s="505">
        <f t="shared" si="70"/>
        <v>0</v>
      </c>
      <c r="O241" s="204">
        <f>IF(DG!$A$130&gt;12,0,IF(J241-J240&gt;0,MROUND((L241/12*Q240),1),MROUND(L241/12*P240,1)))</f>
        <v>0</v>
      </c>
      <c r="P241" s="204">
        <f t="shared" si="71"/>
        <v>0</v>
      </c>
      <c r="Q241" s="204">
        <f t="shared" si="66"/>
        <v>0</v>
      </c>
      <c r="R241" s="476">
        <v>0</v>
      </c>
      <c r="S241" s="511">
        <f t="shared" si="65"/>
        <v>0</v>
      </c>
    </row>
    <row r="242" spans="1:19" ht="14" thickTop="1" thickBot="1">
      <c r="A242" s="202">
        <f t="shared" si="67"/>
        <v>51867</v>
      </c>
      <c r="B242" s="65">
        <f t="shared" si="57"/>
        <v>0</v>
      </c>
      <c r="C242" s="65">
        <f t="shared" si="58"/>
        <v>0</v>
      </c>
      <c r="D242" s="65">
        <f t="shared" si="59"/>
        <v>217</v>
      </c>
      <c r="E242" s="65">
        <f t="shared" si="60"/>
        <v>0</v>
      </c>
      <c r="F242" s="65">
        <f>IF(OR(L$73=0,DG!$A$251&gt;16),0,F241+1)</f>
        <v>0</v>
      </c>
      <c r="G242" s="65">
        <f t="shared" si="61"/>
        <v>0</v>
      </c>
      <c r="H242" s="65">
        <f t="shared" si="62"/>
        <v>0</v>
      </c>
      <c r="I242" s="65">
        <f t="shared" si="63"/>
        <v>0</v>
      </c>
      <c r="J242" s="203">
        <f>IF(DG!$A$130&lt;=11,$M$17,0)</f>
        <v>0</v>
      </c>
      <c r="K242" s="65">
        <f t="shared" si="64"/>
        <v>0</v>
      </c>
      <c r="L242" s="473">
        <f t="shared" si="68"/>
        <v>0</v>
      </c>
      <c r="M242" s="204">
        <f t="shared" si="69"/>
        <v>0</v>
      </c>
      <c r="N242" s="505">
        <f t="shared" si="70"/>
        <v>0</v>
      </c>
      <c r="O242" s="204">
        <f>IF(DG!$A$130&gt;12,0,IF(J242-J241&gt;0,MROUND((L242/12*Q241),1),MROUND(L242/12*P241,1)))</f>
        <v>0</v>
      </c>
      <c r="P242" s="204">
        <f t="shared" si="71"/>
        <v>0</v>
      </c>
      <c r="Q242" s="204">
        <f t="shared" si="66"/>
        <v>0</v>
      </c>
      <c r="R242" s="476">
        <v>0</v>
      </c>
      <c r="S242" s="511">
        <f t="shared" si="65"/>
        <v>0</v>
      </c>
    </row>
    <row r="243" spans="1:19" ht="14" thickTop="1" thickBot="1">
      <c r="A243" s="202">
        <f t="shared" si="67"/>
        <v>51898</v>
      </c>
      <c r="B243" s="65">
        <f t="shared" si="57"/>
        <v>0</v>
      </c>
      <c r="C243" s="65">
        <f t="shared" si="58"/>
        <v>0</v>
      </c>
      <c r="D243" s="65">
        <f t="shared" si="59"/>
        <v>218</v>
      </c>
      <c r="E243" s="65">
        <f t="shared" si="60"/>
        <v>0</v>
      </c>
      <c r="F243" s="65">
        <f>IF(OR(L$73=0,DG!$A$251&gt;16),0,F242+1)</f>
        <v>0</v>
      </c>
      <c r="G243" s="65">
        <f t="shared" si="61"/>
        <v>0</v>
      </c>
      <c r="H243" s="65">
        <f t="shared" si="62"/>
        <v>0</v>
      </c>
      <c r="I243" s="65">
        <f t="shared" si="63"/>
        <v>0</v>
      </c>
      <c r="J243" s="203">
        <f>IF(DG!$A$130&lt;=11,$M$17,0)</f>
        <v>0</v>
      </c>
      <c r="K243" s="65">
        <f t="shared" si="64"/>
        <v>0</v>
      </c>
      <c r="L243" s="473">
        <f t="shared" si="68"/>
        <v>0</v>
      </c>
      <c r="M243" s="204">
        <f t="shared" si="69"/>
        <v>0</v>
      </c>
      <c r="N243" s="505">
        <f t="shared" si="70"/>
        <v>0</v>
      </c>
      <c r="O243" s="204">
        <f>IF(DG!$A$130&gt;12,0,IF(J243-J242&gt;0,MROUND((L243/12*Q242),1),MROUND(L243/12*P242,1)))</f>
        <v>0</v>
      </c>
      <c r="P243" s="204">
        <f t="shared" si="71"/>
        <v>0</v>
      </c>
      <c r="Q243" s="204">
        <f t="shared" si="66"/>
        <v>0</v>
      </c>
      <c r="R243" s="476">
        <v>0</v>
      </c>
      <c r="S243" s="511">
        <f t="shared" si="65"/>
        <v>0</v>
      </c>
    </row>
    <row r="244" spans="1:19" ht="14" thickTop="1" thickBot="1">
      <c r="A244" s="202">
        <f t="shared" si="67"/>
        <v>51926</v>
      </c>
      <c r="B244" s="65">
        <f t="shared" si="57"/>
        <v>0</v>
      </c>
      <c r="C244" s="65">
        <f t="shared" si="58"/>
        <v>0</v>
      </c>
      <c r="D244" s="65">
        <f t="shared" si="59"/>
        <v>219</v>
      </c>
      <c r="E244" s="65">
        <f t="shared" si="60"/>
        <v>0</v>
      </c>
      <c r="F244" s="65">
        <f>IF(OR(L$73=0,DG!$A$251&gt;16),0,F243+1)</f>
        <v>0</v>
      </c>
      <c r="G244" s="65">
        <f t="shared" si="61"/>
        <v>0</v>
      </c>
      <c r="H244" s="65">
        <f t="shared" si="62"/>
        <v>0</v>
      </c>
      <c r="I244" s="65">
        <f t="shared" si="63"/>
        <v>0</v>
      </c>
      <c r="J244" s="203">
        <f>IF(DG!$A$130&lt;=11,$M$17,0)</f>
        <v>0</v>
      </c>
      <c r="K244" s="65">
        <f t="shared" si="64"/>
        <v>0</v>
      </c>
      <c r="L244" s="473">
        <f t="shared" si="68"/>
        <v>0</v>
      </c>
      <c r="M244" s="204">
        <f t="shared" si="69"/>
        <v>0</v>
      </c>
      <c r="N244" s="505">
        <f t="shared" si="70"/>
        <v>0</v>
      </c>
      <c r="O244" s="204">
        <f>IF(DG!$A$130&gt;12,0,IF(J244-J243&gt;0,MROUND((L244/12*Q243),1),MROUND(L244/12*P243,1)))</f>
        <v>0</v>
      </c>
      <c r="P244" s="204">
        <f t="shared" si="71"/>
        <v>0</v>
      </c>
      <c r="Q244" s="204">
        <f t="shared" si="66"/>
        <v>0</v>
      </c>
      <c r="R244" s="476">
        <v>0</v>
      </c>
      <c r="S244" s="511">
        <f t="shared" si="65"/>
        <v>0</v>
      </c>
    </row>
    <row r="245" spans="1:19" ht="14" thickTop="1" thickBot="1">
      <c r="A245" s="202">
        <f t="shared" si="67"/>
        <v>51957</v>
      </c>
      <c r="B245" s="65">
        <f t="shared" si="57"/>
        <v>0</v>
      </c>
      <c r="C245" s="65">
        <f t="shared" si="58"/>
        <v>0</v>
      </c>
      <c r="D245" s="65">
        <f t="shared" si="59"/>
        <v>220</v>
      </c>
      <c r="E245" s="65">
        <f t="shared" si="60"/>
        <v>0</v>
      </c>
      <c r="F245" s="65">
        <f>IF(OR(L$73=0,DG!$A$251&gt;16),0,F244+1)</f>
        <v>0</v>
      </c>
      <c r="G245" s="65">
        <f t="shared" si="61"/>
        <v>0</v>
      </c>
      <c r="H245" s="65">
        <f t="shared" si="62"/>
        <v>0</v>
      </c>
      <c r="I245" s="65">
        <f t="shared" si="63"/>
        <v>0</v>
      </c>
      <c r="J245" s="203">
        <f>IF(DG!$A$130&lt;=11,$M$17,0)</f>
        <v>0</v>
      </c>
      <c r="K245" s="65">
        <f t="shared" si="64"/>
        <v>0</v>
      </c>
      <c r="L245" s="473">
        <f t="shared" si="68"/>
        <v>0</v>
      </c>
      <c r="M245" s="204">
        <f t="shared" si="69"/>
        <v>0</v>
      </c>
      <c r="N245" s="505">
        <f t="shared" si="70"/>
        <v>0</v>
      </c>
      <c r="O245" s="204">
        <f>IF(DG!$A$130&gt;12,0,IF(J245-J244&gt;0,MROUND((L245/12*Q244),1),MROUND(L245/12*P244,1)))</f>
        <v>0</v>
      </c>
      <c r="P245" s="204">
        <f t="shared" si="71"/>
        <v>0</v>
      </c>
      <c r="Q245" s="204">
        <f t="shared" si="66"/>
        <v>0</v>
      </c>
      <c r="R245" s="476">
        <v>0</v>
      </c>
      <c r="S245" s="511">
        <f t="shared" si="65"/>
        <v>0</v>
      </c>
    </row>
    <row r="246" spans="1:19" ht="14" thickTop="1" thickBot="1">
      <c r="A246" s="202">
        <f t="shared" si="67"/>
        <v>51987</v>
      </c>
      <c r="B246" s="65">
        <f t="shared" si="57"/>
        <v>0</v>
      </c>
      <c r="C246" s="65">
        <f t="shared" si="58"/>
        <v>0</v>
      </c>
      <c r="D246" s="65">
        <f t="shared" si="59"/>
        <v>221</v>
      </c>
      <c r="E246" s="65">
        <f t="shared" si="60"/>
        <v>0</v>
      </c>
      <c r="F246" s="65">
        <f>IF(OR(L$73=0,DG!$A$251&gt;16),0,F245+1)</f>
        <v>0</v>
      </c>
      <c r="G246" s="65">
        <f t="shared" si="61"/>
        <v>0</v>
      </c>
      <c r="H246" s="65">
        <f t="shared" si="62"/>
        <v>0</v>
      </c>
      <c r="I246" s="65">
        <f t="shared" si="63"/>
        <v>0</v>
      </c>
      <c r="J246" s="203">
        <f>IF(DG!$A$130&lt;=11,$M$17,0)</f>
        <v>0</v>
      </c>
      <c r="K246" s="65">
        <f t="shared" si="64"/>
        <v>0</v>
      </c>
      <c r="L246" s="473">
        <f t="shared" si="68"/>
        <v>0</v>
      </c>
      <c r="M246" s="204">
        <f t="shared" si="69"/>
        <v>0</v>
      </c>
      <c r="N246" s="505">
        <f t="shared" si="70"/>
        <v>0</v>
      </c>
      <c r="O246" s="204">
        <f>IF(DG!$A$130&gt;12,0,IF(J246-J245&gt;0,MROUND((L246/12*Q245),1),MROUND(L246/12*P245,1)))</f>
        <v>0</v>
      </c>
      <c r="P246" s="204">
        <f t="shared" si="71"/>
        <v>0</v>
      </c>
      <c r="Q246" s="204">
        <f t="shared" si="66"/>
        <v>0</v>
      </c>
      <c r="R246" s="476">
        <v>0</v>
      </c>
      <c r="S246" s="511">
        <f t="shared" si="65"/>
        <v>0</v>
      </c>
    </row>
    <row r="247" spans="1:19" ht="14" thickTop="1" thickBot="1">
      <c r="A247" s="202">
        <f t="shared" si="67"/>
        <v>52018</v>
      </c>
      <c r="B247" s="65">
        <f t="shared" si="57"/>
        <v>0</v>
      </c>
      <c r="C247" s="65">
        <f t="shared" si="58"/>
        <v>0</v>
      </c>
      <c r="D247" s="65">
        <f t="shared" si="59"/>
        <v>222</v>
      </c>
      <c r="E247" s="65">
        <f t="shared" si="60"/>
        <v>0</v>
      </c>
      <c r="F247" s="65">
        <f>IF(OR(L$73=0,DG!$A$251&gt;16),0,F246+1)</f>
        <v>0</v>
      </c>
      <c r="G247" s="65">
        <f t="shared" si="61"/>
        <v>0</v>
      </c>
      <c r="H247" s="65">
        <f t="shared" si="62"/>
        <v>0</v>
      </c>
      <c r="I247" s="65">
        <f t="shared" si="63"/>
        <v>0</v>
      </c>
      <c r="J247" s="203">
        <f>IF(DG!$A$130&lt;=11,$M$17,0)</f>
        <v>0</v>
      </c>
      <c r="K247" s="65">
        <f t="shared" si="64"/>
        <v>0</v>
      </c>
      <c r="L247" s="473">
        <f t="shared" si="68"/>
        <v>0</v>
      </c>
      <c r="M247" s="204">
        <f t="shared" si="69"/>
        <v>0</v>
      </c>
      <c r="N247" s="505">
        <f t="shared" si="70"/>
        <v>0</v>
      </c>
      <c r="O247" s="204">
        <f>IF(DG!$A$130&gt;12,0,IF(J247-J246&gt;0,MROUND((L247/12*Q246),1),MROUND(L247/12*P246,1)))</f>
        <v>0</v>
      </c>
      <c r="P247" s="204">
        <f t="shared" si="71"/>
        <v>0</v>
      </c>
      <c r="Q247" s="204">
        <f t="shared" si="66"/>
        <v>0</v>
      </c>
      <c r="R247" s="476">
        <v>0</v>
      </c>
      <c r="S247" s="511">
        <f t="shared" si="65"/>
        <v>0</v>
      </c>
    </row>
    <row r="248" spans="1:19" ht="14" thickTop="1" thickBot="1">
      <c r="A248" s="202">
        <f t="shared" si="67"/>
        <v>52048</v>
      </c>
      <c r="B248" s="65">
        <f t="shared" si="57"/>
        <v>0</v>
      </c>
      <c r="C248" s="65">
        <f t="shared" si="58"/>
        <v>0</v>
      </c>
      <c r="D248" s="65">
        <f t="shared" si="59"/>
        <v>223</v>
      </c>
      <c r="E248" s="65">
        <f t="shared" si="60"/>
        <v>0</v>
      </c>
      <c r="F248" s="65">
        <f>IF(OR(L$73=0,DG!$A$251&gt;16),0,F247+1)</f>
        <v>0</v>
      </c>
      <c r="G248" s="65">
        <f t="shared" si="61"/>
        <v>0</v>
      </c>
      <c r="H248" s="65">
        <f t="shared" si="62"/>
        <v>0</v>
      </c>
      <c r="I248" s="65">
        <f t="shared" si="63"/>
        <v>0</v>
      </c>
      <c r="J248" s="203">
        <f>IF(DG!$A$130&lt;=11,$M$17,0)</f>
        <v>0</v>
      </c>
      <c r="K248" s="65">
        <f t="shared" si="64"/>
        <v>0</v>
      </c>
      <c r="L248" s="473">
        <f t="shared" si="68"/>
        <v>0</v>
      </c>
      <c r="M248" s="204">
        <f t="shared" si="69"/>
        <v>0</v>
      </c>
      <c r="N248" s="505">
        <f t="shared" si="70"/>
        <v>0</v>
      </c>
      <c r="O248" s="204">
        <f>IF(DG!$A$130&gt;12,0,IF(J248-J247&gt;0,MROUND((L248/12*Q247),1),MROUND(L248/12*P247,1)))</f>
        <v>0</v>
      </c>
      <c r="P248" s="204">
        <f t="shared" si="71"/>
        <v>0</v>
      </c>
      <c r="Q248" s="204">
        <f t="shared" si="66"/>
        <v>0</v>
      </c>
      <c r="R248" s="476">
        <v>0</v>
      </c>
      <c r="S248" s="511">
        <f t="shared" si="65"/>
        <v>0</v>
      </c>
    </row>
    <row r="249" spans="1:19" ht="14" thickTop="1" thickBot="1">
      <c r="A249" s="202">
        <f t="shared" si="67"/>
        <v>52079</v>
      </c>
      <c r="B249" s="65">
        <f t="shared" si="57"/>
        <v>0</v>
      </c>
      <c r="C249" s="65">
        <f t="shared" si="58"/>
        <v>0</v>
      </c>
      <c r="D249" s="65">
        <f t="shared" si="59"/>
        <v>224</v>
      </c>
      <c r="E249" s="65">
        <f t="shared" si="60"/>
        <v>0</v>
      </c>
      <c r="F249" s="65">
        <f>IF(OR(L$73=0,DG!$A$251&gt;16),0,F248+1)</f>
        <v>0</v>
      </c>
      <c r="G249" s="65">
        <f t="shared" si="61"/>
        <v>0</v>
      </c>
      <c r="H249" s="65">
        <f t="shared" si="62"/>
        <v>0</v>
      </c>
      <c r="I249" s="65">
        <f t="shared" si="63"/>
        <v>0</v>
      </c>
      <c r="J249" s="203">
        <f>IF(DG!$A$130&lt;=11,$M$17,0)</f>
        <v>0</v>
      </c>
      <c r="K249" s="65">
        <f t="shared" si="64"/>
        <v>0</v>
      </c>
      <c r="L249" s="473">
        <f t="shared" si="68"/>
        <v>0</v>
      </c>
      <c r="M249" s="204">
        <f t="shared" si="69"/>
        <v>0</v>
      </c>
      <c r="N249" s="505">
        <f t="shared" si="70"/>
        <v>0</v>
      </c>
      <c r="O249" s="204">
        <f>IF(DG!$A$130&gt;12,0,IF(J249-J248&gt;0,MROUND((L249/12*Q248),1),MROUND(L249/12*P248,1)))</f>
        <v>0</v>
      </c>
      <c r="P249" s="204">
        <f t="shared" si="71"/>
        <v>0</v>
      </c>
      <c r="Q249" s="204">
        <f t="shared" si="66"/>
        <v>0</v>
      </c>
      <c r="R249" s="476">
        <v>0</v>
      </c>
      <c r="S249" s="511">
        <f t="shared" si="65"/>
        <v>0</v>
      </c>
    </row>
    <row r="250" spans="1:19" ht="14" thickTop="1" thickBot="1">
      <c r="A250" s="202">
        <f t="shared" si="67"/>
        <v>52110</v>
      </c>
      <c r="B250" s="65">
        <f t="shared" si="57"/>
        <v>0</v>
      </c>
      <c r="C250" s="65">
        <f t="shared" si="58"/>
        <v>0</v>
      </c>
      <c r="D250" s="65">
        <f t="shared" si="59"/>
        <v>225</v>
      </c>
      <c r="E250" s="65">
        <f t="shared" si="60"/>
        <v>0</v>
      </c>
      <c r="F250" s="65">
        <f>IF(OR(L$73=0,DG!$A$251&gt;16),0,F249+1)</f>
        <v>0</v>
      </c>
      <c r="G250" s="65">
        <f t="shared" si="61"/>
        <v>0</v>
      </c>
      <c r="H250" s="65">
        <f t="shared" si="62"/>
        <v>0</v>
      </c>
      <c r="I250" s="65">
        <f t="shared" si="63"/>
        <v>0</v>
      </c>
      <c r="J250" s="203">
        <f>IF(DG!$A$130&lt;=11,$M$17,0)</f>
        <v>0</v>
      </c>
      <c r="K250" s="65">
        <f t="shared" si="64"/>
        <v>0</v>
      </c>
      <c r="L250" s="473">
        <f t="shared" si="68"/>
        <v>0</v>
      </c>
      <c r="M250" s="204">
        <f t="shared" si="69"/>
        <v>0</v>
      </c>
      <c r="N250" s="505">
        <f t="shared" si="70"/>
        <v>0</v>
      </c>
      <c r="O250" s="204">
        <f>IF(DG!$A$130&gt;12,0,IF(J250-J249&gt;0,MROUND((L250/12*Q249),1),MROUND(L250/12*P249,1)))</f>
        <v>0</v>
      </c>
      <c r="P250" s="204">
        <f t="shared" si="71"/>
        <v>0</v>
      </c>
      <c r="Q250" s="204">
        <f t="shared" si="66"/>
        <v>0</v>
      </c>
      <c r="R250" s="476">
        <v>0</v>
      </c>
      <c r="S250" s="511">
        <f t="shared" si="65"/>
        <v>0</v>
      </c>
    </row>
    <row r="251" spans="1:19" ht="14" thickTop="1" thickBot="1">
      <c r="A251" s="202">
        <f t="shared" si="67"/>
        <v>52140</v>
      </c>
      <c r="B251" s="65">
        <f t="shared" si="57"/>
        <v>0</v>
      </c>
      <c r="C251" s="65">
        <f t="shared" si="58"/>
        <v>0</v>
      </c>
      <c r="D251" s="65">
        <f t="shared" si="59"/>
        <v>226</v>
      </c>
      <c r="E251" s="65">
        <f t="shared" si="60"/>
        <v>0</v>
      </c>
      <c r="F251" s="65">
        <f>IF(OR(L$73=0,DG!$A$251&gt;16),0,F250+1)</f>
        <v>0</v>
      </c>
      <c r="G251" s="65">
        <f t="shared" si="61"/>
        <v>0</v>
      </c>
      <c r="H251" s="65">
        <f t="shared" si="62"/>
        <v>0</v>
      </c>
      <c r="I251" s="65">
        <f t="shared" si="63"/>
        <v>0</v>
      </c>
      <c r="J251" s="203">
        <f>IF(DG!$A$130&lt;=11,$M$17,0)</f>
        <v>0</v>
      </c>
      <c r="K251" s="65">
        <f t="shared" si="64"/>
        <v>0</v>
      </c>
      <c r="L251" s="473">
        <f t="shared" si="68"/>
        <v>0</v>
      </c>
      <c r="M251" s="204">
        <f t="shared" si="69"/>
        <v>0</v>
      </c>
      <c r="N251" s="505">
        <f t="shared" si="70"/>
        <v>0</v>
      </c>
      <c r="O251" s="204">
        <f>IF(DG!$A$130&gt;12,0,IF(J251-J250&gt;0,MROUND((L251/12*Q250),1),MROUND(L251/12*P250,1)))</f>
        <v>0</v>
      </c>
      <c r="P251" s="204">
        <f t="shared" si="71"/>
        <v>0</v>
      </c>
      <c r="Q251" s="204">
        <f t="shared" si="66"/>
        <v>0</v>
      </c>
      <c r="R251" s="476">
        <v>0</v>
      </c>
      <c r="S251" s="511">
        <f t="shared" si="65"/>
        <v>0</v>
      </c>
    </row>
    <row r="252" spans="1:19" ht="14" thickTop="1" thickBot="1">
      <c r="A252" s="202">
        <f t="shared" si="67"/>
        <v>52171</v>
      </c>
      <c r="B252" s="65">
        <f t="shared" si="57"/>
        <v>0</v>
      </c>
      <c r="C252" s="65">
        <f t="shared" si="58"/>
        <v>0</v>
      </c>
      <c r="D252" s="65">
        <f t="shared" si="59"/>
        <v>227</v>
      </c>
      <c r="E252" s="65">
        <f t="shared" si="60"/>
        <v>0</v>
      </c>
      <c r="F252" s="65">
        <f>IF(OR(L$73=0,DG!$A$251&gt;16),0,F251+1)</f>
        <v>0</v>
      </c>
      <c r="G252" s="65">
        <f t="shared" si="61"/>
        <v>0</v>
      </c>
      <c r="H252" s="65">
        <f t="shared" si="62"/>
        <v>0</v>
      </c>
      <c r="I252" s="65">
        <f t="shared" si="63"/>
        <v>0</v>
      </c>
      <c r="J252" s="203">
        <f>IF(DG!$A$130&lt;=11,$M$17,0)</f>
        <v>0</v>
      </c>
      <c r="K252" s="65">
        <f t="shared" si="64"/>
        <v>0</v>
      </c>
      <c r="L252" s="473">
        <f t="shared" si="68"/>
        <v>0</v>
      </c>
      <c r="M252" s="204">
        <f t="shared" si="69"/>
        <v>0</v>
      </c>
      <c r="N252" s="505">
        <f t="shared" si="70"/>
        <v>0</v>
      </c>
      <c r="O252" s="204">
        <f>IF(DG!$A$130&gt;12,0,IF(J252-J251&gt;0,MROUND((L252/12*Q251),1),MROUND(L252/12*P251,1)))</f>
        <v>0</v>
      </c>
      <c r="P252" s="204">
        <f t="shared" si="71"/>
        <v>0</v>
      </c>
      <c r="Q252" s="204">
        <f t="shared" si="66"/>
        <v>0</v>
      </c>
      <c r="R252" s="476">
        <v>0</v>
      </c>
      <c r="S252" s="511">
        <f t="shared" si="65"/>
        <v>0</v>
      </c>
    </row>
    <row r="253" spans="1:19" ht="14" thickTop="1" thickBot="1">
      <c r="A253" s="202">
        <f t="shared" si="67"/>
        <v>52201</v>
      </c>
      <c r="B253" s="65">
        <f t="shared" si="57"/>
        <v>0</v>
      </c>
      <c r="C253" s="65">
        <f t="shared" si="58"/>
        <v>0</v>
      </c>
      <c r="D253" s="65">
        <f t="shared" si="59"/>
        <v>228</v>
      </c>
      <c r="E253" s="65">
        <f t="shared" si="60"/>
        <v>0</v>
      </c>
      <c r="F253" s="65">
        <f>IF(OR(L$73=0,DG!$A$251&gt;16),0,F252+1)</f>
        <v>0</v>
      </c>
      <c r="G253" s="65">
        <f t="shared" si="61"/>
        <v>0</v>
      </c>
      <c r="H253" s="65">
        <f t="shared" si="62"/>
        <v>0</v>
      </c>
      <c r="I253" s="65">
        <f t="shared" si="63"/>
        <v>0</v>
      </c>
      <c r="J253" s="203">
        <f>IF(DG!$A$130&lt;=11,$M$17,0)</f>
        <v>0</v>
      </c>
      <c r="K253" s="65">
        <f t="shared" si="64"/>
        <v>0</v>
      </c>
      <c r="L253" s="473">
        <f t="shared" si="68"/>
        <v>0</v>
      </c>
      <c r="M253" s="204">
        <f t="shared" si="69"/>
        <v>0</v>
      </c>
      <c r="N253" s="505">
        <f t="shared" si="70"/>
        <v>0</v>
      </c>
      <c r="O253" s="204">
        <f>IF(DG!$A$130&gt;12,0,IF(J253-J252&gt;0,MROUND((L253/12*Q252),1),MROUND(L253/12*P252,1)))</f>
        <v>0</v>
      </c>
      <c r="P253" s="204">
        <f t="shared" si="71"/>
        <v>0</v>
      </c>
      <c r="Q253" s="204">
        <f t="shared" si="66"/>
        <v>0</v>
      </c>
      <c r="R253" s="476">
        <v>0</v>
      </c>
      <c r="S253" s="511">
        <f t="shared" si="65"/>
        <v>0</v>
      </c>
    </row>
    <row r="254" spans="1:19" ht="14" thickTop="1" thickBot="1">
      <c r="A254" s="202">
        <f t="shared" si="67"/>
        <v>52232</v>
      </c>
      <c r="B254" s="65">
        <f t="shared" si="57"/>
        <v>0</v>
      </c>
      <c r="C254" s="65">
        <f t="shared" si="58"/>
        <v>0</v>
      </c>
      <c r="D254" s="65">
        <f t="shared" si="59"/>
        <v>229</v>
      </c>
      <c r="E254" s="65">
        <f t="shared" si="60"/>
        <v>0</v>
      </c>
      <c r="F254" s="65">
        <f>IF(OR(L$73=0,DG!$A$251&gt;16),0,F253+1)</f>
        <v>0</v>
      </c>
      <c r="G254" s="65">
        <f t="shared" si="61"/>
        <v>0</v>
      </c>
      <c r="H254" s="65">
        <f t="shared" si="62"/>
        <v>0</v>
      </c>
      <c r="I254" s="65">
        <f t="shared" si="63"/>
        <v>0</v>
      </c>
      <c r="J254" s="203">
        <f>IF(DG!$A$130&lt;=11,$M$17,0)</f>
        <v>0</v>
      </c>
      <c r="K254" s="65">
        <f t="shared" si="64"/>
        <v>0</v>
      </c>
      <c r="L254" s="473">
        <f t="shared" si="68"/>
        <v>0</v>
      </c>
      <c r="M254" s="204">
        <f t="shared" si="69"/>
        <v>0</v>
      </c>
      <c r="N254" s="505">
        <f t="shared" si="70"/>
        <v>0</v>
      </c>
      <c r="O254" s="204">
        <f>IF(DG!$A$130&gt;12,0,IF(J254-J253&gt;0,MROUND((L254/12*Q253),1),MROUND(L254/12*P253,1)))</f>
        <v>0</v>
      </c>
      <c r="P254" s="204">
        <f t="shared" si="71"/>
        <v>0</v>
      </c>
      <c r="Q254" s="204">
        <f t="shared" si="66"/>
        <v>0</v>
      </c>
      <c r="R254" s="476">
        <v>0</v>
      </c>
      <c r="S254" s="511">
        <f t="shared" si="65"/>
        <v>0</v>
      </c>
    </row>
    <row r="255" spans="1:19" ht="14" thickTop="1" thickBot="1">
      <c r="A255" s="202">
        <f t="shared" si="67"/>
        <v>52263</v>
      </c>
      <c r="B255" s="65">
        <f t="shared" si="57"/>
        <v>0</v>
      </c>
      <c r="C255" s="65">
        <f t="shared" si="58"/>
        <v>0</v>
      </c>
      <c r="D255" s="65">
        <f t="shared" si="59"/>
        <v>230</v>
      </c>
      <c r="E255" s="65">
        <f t="shared" si="60"/>
        <v>0</v>
      </c>
      <c r="F255" s="65">
        <f>IF(OR(L$73=0,DG!$A$251&gt;16),0,F254+1)</f>
        <v>0</v>
      </c>
      <c r="G255" s="65">
        <f t="shared" si="61"/>
        <v>0</v>
      </c>
      <c r="H255" s="65">
        <f t="shared" si="62"/>
        <v>0</v>
      </c>
      <c r="I255" s="65">
        <f t="shared" si="63"/>
        <v>0</v>
      </c>
      <c r="J255" s="203">
        <f>IF(DG!$A$130&lt;=11,$M$17,0)</f>
        <v>0</v>
      </c>
      <c r="K255" s="65">
        <f t="shared" si="64"/>
        <v>0</v>
      </c>
      <c r="L255" s="473">
        <f t="shared" si="68"/>
        <v>0</v>
      </c>
      <c r="M255" s="204">
        <f t="shared" si="69"/>
        <v>0</v>
      </c>
      <c r="N255" s="505">
        <f t="shared" si="70"/>
        <v>0</v>
      </c>
      <c r="O255" s="204">
        <f>IF(DG!$A$130&gt;12,0,IF(J255-J254&gt;0,MROUND((L255/12*Q254),1),MROUND(L255/12*P254,1)))</f>
        <v>0</v>
      </c>
      <c r="P255" s="204">
        <f t="shared" si="71"/>
        <v>0</v>
      </c>
      <c r="Q255" s="204">
        <f t="shared" si="66"/>
        <v>0</v>
      </c>
      <c r="R255" s="476">
        <v>0</v>
      </c>
      <c r="S255" s="511">
        <f t="shared" si="65"/>
        <v>0</v>
      </c>
    </row>
    <row r="256" spans="1:19" ht="14" thickTop="1" thickBot="1">
      <c r="A256" s="202">
        <f t="shared" si="67"/>
        <v>52291</v>
      </c>
      <c r="B256" s="65">
        <f t="shared" si="57"/>
        <v>0</v>
      </c>
      <c r="C256" s="65">
        <f t="shared" si="58"/>
        <v>0</v>
      </c>
      <c r="D256" s="65">
        <f t="shared" si="59"/>
        <v>231</v>
      </c>
      <c r="E256" s="65">
        <f t="shared" si="60"/>
        <v>0</v>
      </c>
      <c r="F256" s="65">
        <f>IF(OR(L$73=0,DG!$A$251&gt;16),0,F255+1)</f>
        <v>0</v>
      </c>
      <c r="G256" s="65">
        <f t="shared" si="61"/>
        <v>0</v>
      </c>
      <c r="H256" s="65">
        <f t="shared" si="62"/>
        <v>0</v>
      </c>
      <c r="I256" s="65">
        <f t="shared" si="63"/>
        <v>0</v>
      </c>
      <c r="J256" s="203">
        <f>IF(DG!$A$130&lt;=11,$M$17,0)</f>
        <v>0</v>
      </c>
      <c r="K256" s="65">
        <f t="shared" si="64"/>
        <v>0</v>
      </c>
      <c r="L256" s="473">
        <f t="shared" si="68"/>
        <v>0</v>
      </c>
      <c r="M256" s="204">
        <f t="shared" si="69"/>
        <v>0</v>
      </c>
      <c r="N256" s="505">
        <f t="shared" si="70"/>
        <v>0</v>
      </c>
      <c r="O256" s="204">
        <f>IF(DG!$A$130&gt;12,0,IF(J256-J255&gt;0,MROUND((L256/12*Q255),1),MROUND(L256/12*P255,1)))</f>
        <v>0</v>
      </c>
      <c r="P256" s="204">
        <f t="shared" si="71"/>
        <v>0</v>
      </c>
      <c r="Q256" s="204">
        <f t="shared" si="66"/>
        <v>0</v>
      </c>
      <c r="R256" s="476">
        <v>0</v>
      </c>
      <c r="S256" s="511">
        <f t="shared" si="65"/>
        <v>0</v>
      </c>
    </row>
    <row r="257" spans="1:19" ht="14" thickTop="1" thickBot="1">
      <c r="A257" s="202">
        <f t="shared" si="67"/>
        <v>52322</v>
      </c>
      <c r="B257" s="65">
        <f t="shared" si="57"/>
        <v>0</v>
      </c>
      <c r="C257" s="65">
        <f t="shared" si="58"/>
        <v>0</v>
      </c>
      <c r="D257" s="65">
        <f t="shared" si="59"/>
        <v>232</v>
      </c>
      <c r="E257" s="65">
        <f t="shared" si="60"/>
        <v>0</v>
      </c>
      <c r="F257" s="65">
        <f>IF(OR(L$73=0,DG!$A$251&gt;16),0,F256+1)</f>
        <v>0</v>
      </c>
      <c r="G257" s="65">
        <f t="shared" si="61"/>
        <v>0</v>
      </c>
      <c r="H257" s="65">
        <f t="shared" si="62"/>
        <v>0</v>
      </c>
      <c r="I257" s="65">
        <f t="shared" si="63"/>
        <v>0</v>
      </c>
      <c r="J257" s="203">
        <f>IF(DG!$A$130&lt;=11,$M$17,0)</f>
        <v>0</v>
      </c>
      <c r="K257" s="65">
        <f t="shared" si="64"/>
        <v>0</v>
      </c>
      <c r="L257" s="473">
        <f t="shared" si="68"/>
        <v>0</v>
      </c>
      <c r="M257" s="204">
        <f t="shared" si="69"/>
        <v>0</v>
      </c>
      <c r="N257" s="505">
        <f t="shared" si="70"/>
        <v>0</v>
      </c>
      <c r="O257" s="204">
        <f>IF(DG!$A$130&gt;12,0,IF(J257-J256&gt;0,MROUND((L257/12*Q256),1),MROUND(L257/12*P256,1)))</f>
        <v>0</v>
      </c>
      <c r="P257" s="204">
        <f t="shared" si="71"/>
        <v>0</v>
      </c>
      <c r="Q257" s="204">
        <f t="shared" si="66"/>
        <v>0</v>
      </c>
      <c r="R257" s="476">
        <v>0</v>
      </c>
      <c r="S257" s="511">
        <f t="shared" si="65"/>
        <v>0</v>
      </c>
    </row>
    <row r="258" spans="1:19" ht="14" thickTop="1" thickBot="1">
      <c r="A258" s="202">
        <f t="shared" si="67"/>
        <v>52352</v>
      </c>
      <c r="B258" s="65">
        <f t="shared" si="57"/>
        <v>0</v>
      </c>
      <c r="C258" s="65">
        <f t="shared" si="58"/>
        <v>0</v>
      </c>
      <c r="D258" s="65">
        <f t="shared" si="59"/>
        <v>233</v>
      </c>
      <c r="E258" s="65">
        <f t="shared" si="60"/>
        <v>0</v>
      </c>
      <c r="F258" s="65">
        <f>IF(OR(L$73=0,DG!$A$251&gt;16),0,F257+1)</f>
        <v>0</v>
      </c>
      <c r="G258" s="65">
        <f t="shared" si="61"/>
        <v>0</v>
      </c>
      <c r="H258" s="65">
        <f t="shared" si="62"/>
        <v>0</v>
      </c>
      <c r="I258" s="65">
        <f t="shared" si="63"/>
        <v>0</v>
      </c>
      <c r="J258" s="203">
        <f>IF(DG!$A$130&lt;=11,$M$17,0)</f>
        <v>0</v>
      </c>
      <c r="K258" s="65">
        <f t="shared" si="64"/>
        <v>0</v>
      </c>
      <c r="L258" s="473">
        <f t="shared" si="68"/>
        <v>0</v>
      </c>
      <c r="M258" s="204">
        <f t="shared" si="69"/>
        <v>0</v>
      </c>
      <c r="N258" s="505">
        <f t="shared" si="70"/>
        <v>0</v>
      </c>
      <c r="O258" s="204">
        <f>IF(DG!$A$130&gt;12,0,IF(J258-J257&gt;0,MROUND((L258/12*Q257),1),MROUND(L258/12*P257,1)))</f>
        <v>0</v>
      </c>
      <c r="P258" s="204">
        <f t="shared" si="71"/>
        <v>0</v>
      </c>
      <c r="Q258" s="204">
        <f t="shared" si="66"/>
        <v>0</v>
      </c>
      <c r="R258" s="476">
        <v>0</v>
      </c>
      <c r="S258" s="511">
        <f t="shared" si="65"/>
        <v>0</v>
      </c>
    </row>
    <row r="259" spans="1:19" ht="14" thickTop="1" thickBot="1">
      <c r="A259" s="202">
        <f t="shared" si="67"/>
        <v>52383</v>
      </c>
      <c r="B259" s="65">
        <f t="shared" si="57"/>
        <v>0</v>
      </c>
      <c r="C259" s="65">
        <f t="shared" si="58"/>
        <v>0</v>
      </c>
      <c r="D259" s="65">
        <f t="shared" si="59"/>
        <v>234</v>
      </c>
      <c r="E259" s="65">
        <f t="shared" si="60"/>
        <v>0</v>
      </c>
      <c r="F259" s="65">
        <f>IF(OR(L$73=0,DG!$A$251&gt;16),0,F258+1)</f>
        <v>0</v>
      </c>
      <c r="G259" s="65">
        <f t="shared" si="61"/>
        <v>0</v>
      </c>
      <c r="H259" s="65">
        <f t="shared" si="62"/>
        <v>0</v>
      </c>
      <c r="I259" s="65">
        <f t="shared" si="63"/>
        <v>0</v>
      </c>
      <c r="J259" s="203">
        <f>IF(DG!$A$130&lt;=11,$M$17,0)</f>
        <v>0</v>
      </c>
      <c r="K259" s="65">
        <f t="shared" si="64"/>
        <v>0</v>
      </c>
      <c r="L259" s="473">
        <f t="shared" si="68"/>
        <v>0</v>
      </c>
      <c r="M259" s="204">
        <f t="shared" si="69"/>
        <v>0</v>
      </c>
      <c r="N259" s="505">
        <f t="shared" si="70"/>
        <v>0</v>
      </c>
      <c r="O259" s="204">
        <f>IF(DG!$A$130&gt;12,0,IF(J259-J258&gt;0,MROUND((L259/12*Q258),1),MROUND(L259/12*P258,1)))</f>
        <v>0</v>
      </c>
      <c r="P259" s="204">
        <f t="shared" si="71"/>
        <v>0</v>
      </c>
      <c r="Q259" s="204">
        <f t="shared" si="66"/>
        <v>0</v>
      </c>
      <c r="R259" s="476">
        <v>0</v>
      </c>
      <c r="S259" s="511">
        <f t="shared" si="65"/>
        <v>0</v>
      </c>
    </row>
    <row r="260" spans="1:19" ht="14" thickTop="1" thickBot="1">
      <c r="A260" s="202">
        <f t="shared" si="67"/>
        <v>52413</v>
      </c>
      <c r="B260" s="65">
        <f t="shared" si="57"/>
        <v>0</v>
      </c>
      <c r="C260" s="65">
        <f t="shared" si="58"/>
        <v>0</v>
      </c>
      <c r="D260" s="65">
        <f t="shared" si="59"/>
        <v>235</v>
      </c>
      <c r="E260" s="65">
        <f t="shared" si="60"/>
        <v>0</v>
      </c>
      <c r="F260" s="65">
        <f>IF(OR(L$73=0,DG!$A$251&gt;16),0,F259+1)</f>
        <v>0</v>
      </c>
      <c r="G260" s="65">
        <f t="shared" si="61"/>
        <v>0</v>
      </c>
      <c r="H260" s="65">
        <f t="shared" si="62"/>
        <v>0</v>
      </c>
      <c r="I260" s="65">
        <f t="shared" si="63"/>
        <v>0</v>
      </c>
      <c r="J260" s="203">
        <f>IF(DG!$A$130&lt;=11,$M$17,0)</f>
        <v>0</v>
      </c>
      <c r="K260" s="65">
        <f t="shared" si="64"/>
        <v>0</v>
      </c>
      <c r="L260" s="473">
        <f t="shared" si="68"/>
        <v>0</v>
      </c>
      <c r="M260" s="204">
        <f t="shared" si="69"/>
        <v>0</v>
      </c>
      <c r="N260" s="505">
        <f t="shared" si="70"/>
        <v>0</v>
      </c>
      <c r="O260" s="204">
        <f>IF(DG!$A$130&gt;12,0,IF(J260-J259&gt;0,MROUND((L260/12*Q259),1),MROUND(L260/12*P259,1)))</f>
        <v>0</v>
      </c>
      <c r="P260" s="204">
        <f t="shared" si="71"/>
        <v>0</v>
      </c>
      <c r="Q260" s="204">
        <f t="shared" si="66"/>
        <v>0</v>
      </c>
      <c r="R260" s="476">
        <v>0</v>
      </c>
      <c r="S260" s="511">
        <f t="shared" si="65"/>
        <v>0</v>
      </c>
    </row>
    <row r="261" spans="1:19" ht="14" thickTop="1" thickBot="1">
      <c r="A261" s="202">
        <f t="shared" si="67"/>
        <v>52444</v>
      </c>
      <c r="B261" s="65">
        <f t="shared" si="57"/>
        <v>0</v>
      </c>
      <c r="C261" s="65">
        <f t="shared" si="58"/>
        <v>0</v>
      </c>
      <c r="D261" s="65">
        <f t="shared" si="59"/>
        <v>236</v>
      </c>
      <c r="E261" s="65">
        <f t="shared" si="60"/>
        <v>0</v>
      </c>
      <c r="F261" s="65">
        <f>IF(OR(L$73=0,DG!$A$251&gt;16),0,F260+1)</f>
        <v>0</v>
      </c>
      <c r="G261" s="65">
        <f t="shared" si="61"/>
        <v>0</v>
      </c>
      <c r="H261" s="65">
        <f t="shared" si="62"/>
        <v>0</v>
      </c>
      <c r="I261" s="65">
        <f t="shared" si="63"/>
        <v>0</v>
      </c>
      <c r="J261" s="203">
        <f>IF(DG!$A$130&lt;=11,$M$17,0)</f>
        <v>0</v>
      </c>
      <c r="K261" s="65">
        <f t="shared" si="64"/>
        <v>0</v>
      </c>
      <c r="L261" s="473">
        <f t="shared" si="68"/>
        <v>0</v>
      </c>
      <c r="M261" s="204">
        <f t="shared" si="69"/>
        <v>0</v>
      </c>
      <c r="N261" s="505">
        <f t="shared" si="70"/>
        <v>0</v>
      </c>
      <c r="O261" s="204">
        <f>IF(DG!$A$130&gt;12,0,IF(J261-J260&gt;0,MROUND((L261/12*Q260),1),MROUND(L261/12*P260,1)))</f>
        <v>0</v>
      </c>
      <c r="P261" s="204">
        <f t="shared" si="71"/>
        <v>0</v>
      </c>
      <c r="Q261" s="204">
        <f t="shared" si="66"/>
        <v>0</v>
      </c>
      <c r="R261" s="476">
        <v>0</v>
      </c>
      <c r="S261" s="511">
        <f t="shared" si="65"/>
        <v>0</v>
      </c>
    </row>
    <row r="262" spans="1:19" ht="14" thickTop="1" thickBot="1">
      <c r="A262" s="202">
        <f t="shared" si="67"/>
        <v>52475</v>
      </c>
      <c r="B262" s="65">
        <f t="shared" si="57"/>
        <v>0</v>
      </c>
      <c r="C262" s="65">
        <f t="shared" si="58"/>
        <v>0</v>
      </c>
      <c r="D262" s="65">
        <f t="shared" si="59"/>
        <v>237</v>
      </c>
      <c r="E262" s="65">
        <f t="shared" si="60"/>
        <v>0</v>
      </c>
      <c r="F262" s="65">
        <f>IF(OR(L$73=0,DG!$A$251&gt;16),0,F261+1)</f>
        <v>0</v>
      </c>
      <c r="G262" s="65">
        <f t="shared" si="61"/>
        <v>0</v>
      </c>
      <c r="H262" s="65">
        <f t="shared" si="62"/>
        <v>0</v>
      </c>
      <c r="I262" s="65">
        <f t="shared" si="63"/>
        <v>0</v>
      </c>
      <c r="J262" s="203">
        <f>IF(DG!$A$130&lt;=11,$M$17,0)</f>
        <v>0</v>
      </c>
      <c r="K262" s="65">
        <f t="shared" si="64"/>
        <v>0</v>
      </c>
      <c r="L262" s="473">
        <f t="shared" si="68"/>
        <v>0</v>
      </c>
      <c r="M262" s="204">
        <f t="shared" si="69"/>
        <v>0</v>
      </c>
      <c r="N262" s="505">
        <f t="shared" si="70"/>
        <v>0</v>
      </c>
      <c r="O262" s="204">
        <f>IF(DG!$A$130&gt;12,0,IF(J262-J261&gt;0,MROUND((L262/12*Q261),1),MROUND(L262/12*P261,1)))</f>
        <v>0</v>
      </c>
      <c r="P262" s="204">
        <f t="shared" si="71"/>
        <v>0</v>
      </c>
      <c r="Q262" s="204">
        <f t="shared" si="66"/>
        <v>0</v>
      </c>
      <c r="R262" s="476">
        <v>0</v>
      </c>
      <c r="S262" s="511">
        <f t="shared" si="65"/>
        <v>0</v>
      </c>
    </row>
    <row r="263" spans="1:19" ht="14" thickTop="1" thickBot="1">
      <c r="A263" s="202">
        <f t="shared" si="67"/>
        <v>52505</v>
      </c>
      <c r="B263" s="65">
        <f t="shared" si="57"/>
        <v>0</v>
      </c>
      <c r="C263" s="65">
        <f t="shared" si="58"/>
        <v>0</v>
      </c>
      <c r="D263" s="65">
        <f t="shared" si="59"/>
        <v>238</v>
      </c>
      <c r="E263" s="65">
        <f t="shared" si="60"/>
        <v>0</v>
      </c>
      <c r="F263" s="65">
        <f>IF(OR(L$73=0,DG!$A$251&gt;16),0,F262+1)</f>
        <v>0</v>
      </c>
      <c r="G263" s="65">
        <f t="shared" si="61"/>
        <v>0</v>
      </c>
      <c r="H263" s="65">
        <f t="shared" si="62"/>
        <v>0</v>
      </c>
      <c r="I263" s="65">
        <f t="shared" si="63"/>
        <v>0</v>
      </c>
      <c r="J263" s="203">
        <f>IF(DG!$A$130&lt;=11,$M$17,0)</f>
        <v>0</v>
      </c>
      <c r="K263" s="65">
        <f t="shared" si="64"/>
        <v>0</v>
      </c>
      <c r="L263" s="473">
        <f t="shared" si="68"/>
        <v>0</v>
      </c>
      <c r="M263" s="204">
        <f t="shared" si="69"/>
        <v>0</v>
      </c>
      <c r="N263" s="505">
        <f t="shared" si="70"/>
        <v>0</v>
      </c>
      <c r="O263" s="204">
        <f>IF(DG!$A$130&gt;12,0,IF(J263-J262&gt;0,MROUND((L263/12*Q262),1),MROUND(L263/12*P262,1)))</f>
        <v>0</v>
      </c>
      <c r="P263" s="204">
        <f t="shared" si="71"/>
        <v>0</v>
      </c>
      <c r="Q263" s="204">
        <f t="shared" si="66"/>
        <v>0</v>
      </c>
      <c r="R263" s="476">
        <v>0</v>
      </c>
      <c r="S263" s="511">
        <f t="shared" si="65"/>
        <v>0</v>
      </c>
    </row>
    <row r="264" spans="1:19" ht="14" thickTop="1" thickBot="1">
      <c r="A264" s="202">
        <f t="shared" si="67"/>
        <v>52536</v>
      </c>
      <c r="B264" s="65">
        <f t="shared" si="57"/>
        <v>0</v>
      </c>
      <c r="C264" s="65">
        <f t="shared" si="58"/>
        <v>0</v>
      </c>
      <c r="D264" s="65">
        <f t="shared" si="59"/>
        <v>239</v>
      </c>
      <c r="E264" s="65">
        <f t="shared" si="60"/>
        <v>0</v>
      </c>
      <c r="F264" s="65">
        <f>IF(OR(L$73=0,DG!$A$251&gt;16),0,F263+1)</f>
        <v>0</v>
      </c>
      <c r="G264" s="65">
        <f t="shared" si="61"/>
        <v>0</v>
      </c>
      <c r="H264" s="65">
        <f t="shared" si="62"/>
        <v>0</v>
      </c>
      <c r="I264" s="65">
        <f t="shared" si="63"/>
        <v>0</v>
      </c>
      <c r="J264" s="203">
        <f>IF(DG!$A$130&lt;=11,$M$17,0)</f>
        <v>0</v>
      </c>
      <c r="K264" s="65">
        <f t="shared" si="64"/>
        <v>0</v>
      </c>
      <c r="L264" s="473">
        <f t="shared" si="68"/>
        <v>0</v>
      </c>
      <c r="M264" s="204">
        <f t="shared" si="69"/>
        <v>0</v>
      </c>
      <c r="N264" s="505">
        <f t="shared" si="70"/>
        <v>0</v>
      </c>
      <c r="O264" s="204">
        <f>IF(DG!$A$130&gt;12,0,IF(J264-J263&gt;0,MROUND((L264/12*Q263),1),MROUND(L264/12*P263,1)))</f>
        <v>0</v>
      </c>
      <c r="P264" s="204">
        <f t="shared" si="71"/>
        <v>0</v>
      </c>
      <c r="Q264" s="204">
        <f t="shared" si="66"/>
        <v>0</v>
      </c>
      <c r="R264" s="476">
        <v>0</v>
      </c>
      <c r="S264" s="511">
        <f t="shared" si="65"/>
        <v>0</v>
      </c>
    </row>
    <row r="265" spans="1:19" ht="14" thickTop="1" thickBot="1">
      <c r="A265" s="202">
        <f t="shared" si="67"/>
        <v>52566</v>
      </c>
      <c r="B265" s="65">
        <f t="shared" si="57"/>
        <v>0</v>
      </c>
      <c r="C265" s="65">
        <f t="shared" si="58"/>
        <v>0</v>
      </c>
      <c r="D265" s="65">
        <f t="shared" si="59"/>
        <v>240</v>
      </c>
      <c r="E265" s="65">
        <f t="shared" si="60"/>
        <v>0</v>
      </c>
      <c r="F265" s="65">
        <f>IF(OR(L$73=0,DG!$A$251&gt;16),0,F264+1)</f>
        <v>0</v>
      </c>
      <c r="G265" s="65">
        <f t="shared" si="61"/>
        <v>0</v>
      </c>
      <c r="H265" s="65">
        <f t="shared" si="62"/>
        <v>0</v>
      </c>
      <c r="I265" s="65">
        <f t="shared" si="63"/>
        <v>0</v>
      </c>
      <c r="J265" s="203">
        <f>IF(DG!$A$130&lt;=11,$M$17,0)</f>
        <v>0</v>
      </c>
      <c r="K265" s="65">
        <f t="shared" si="64"/>
        <v>0</v>
      </c>
      <c r="L265" s="473">
        <f t="shared" si="68"/>
        <v>0</v>
      </c>
      <c r="M265" s="204">
        <f t="shared" si="69"/>
        <v>0</v>
      </c>
      <c r="N265" s="505">
        <f t="shared" si="70"/>
        <v>0</v>
      </c>
      <c r="O265" s="204">
        <f>IF(DG!$A$130&gt;12,0,IF(J265-J264&gt;0,MROUND((L265/12*Q264),1),MROUND(L265/12*P264,1)))</f>
        <v>0</v>
      </c>
      <c r="P265" s="204">
        <f t="shared" si="71"/>
        <v>0</v>
      </c>
      <c r="Q265" s="204">
        <f t="shared" si="66"/>
        <v>0</v>
      </c>
      <c r="R265" s="476">
        <v>0</v>
      </c>
      <c r="S265" s="511">
        <f t="shared" si="65"/>
        <v>0</v>
      </c>
    </row>
    <row r="266" spans="1:19" ht="13.5" thickTop="1">
      <c r="H266" s="65">
        <f>IF(B266&gt;0,1,0)</f>
        <v>0</v>
      </c>
      <c r="I266" s="65">
        <f>SUM(E266:H266)</f>
        <v>0</v>
      </c>
      <c r="M266" s="205"/>
      <c r="N266" s="505">
        <f t="shared" si="70"/>
        <v>0</v>
      </c>
      <c r="O266" s="204">
        <f>IF(DG!$A$130&gt;12,0,IF(J266-J265&gt;0,MROUND((L266/12*Q265),1),MROUND(L266/12*P265,1)))</f>
        <v>0</v>
      </c>
    </row>
    <row r="267" spans="1:19">
      <c r="H267" s="65">
        <f>IF(B267&gt;0,1,0)</f>
        <v>0</v>
      </c>
      <c r="I267" s="65">
        <f>SUM(E267:H267)</f>
        <v>0</v>
      </c>
      <c r="M267" s="205"/>
      <c r="N267" s="505">
        <f t="shared" si="70"/>
        <v>0</v>
      </c>
      <c r="O267" s="204">
        <f>IF(DG!$A$130&gt;12,0,IF(J267-J266&gt;0,MROUND((L267/12*Q266),1),MROUND(L267/12*P266,1)))</f>
        <v>0</v>
      </c>
    </row>
    <row r="268" spans="1:19">
      <c r="O268" s="205">
        <f>SUM(O74:O85)</f>
        <v>0</v>
      </c>
    </row>
    <row r="269" spans="1:19">
      <c r="E269" s="43">
        <f>D73-E73</f>
        <v>48</v>
      </c>
      <c r="G269" s="43">
        <f>SUM(G26:G73)</f>
        <v>0</v>
      </c>
      <c r="O269"/>
    </row>
    <row r="270" spans="1:19">
      <c r="O270"/>
    </row>
  </sheetData>
  <sheetProtection password="E242" sheet="1" objects="1" scenarios="1"/>
  <customSheetViews>
    <customSheetView guid="{30D0538C-360A-4CDF-8D89-584CED1967CC}" showGridLines="0" outlineSymbols="0" fitToPage="1" hiddenColumns="1">
      <selection activeCell="M13" sqref="M13"/>
      <pageMargins left="1.29" right="0.78740157499999996" top="0.984251969" bottom="0.984251969" header="0.4921259845" footer="0.4921259845"/>
      <pageSetup scale="90" fitToHeight="5" orientation="portrait" r:id="rId1"/>
      <headerFooter alignWithMargins="0"/>
    </customSheetView>
    <customSheetView guid="{4F3169C3-3348-49DE-A6DC-8AA4D2A9D7A1}" showGridLines="0" outlineSymbols="0" fitToPage="1" hiddenColumns="1">
      <selection activeCell="M13" sqref="M13"/>
      <pageMargins left="1.29" right="0.78740157499999996" top="0.984251969" bottom="0.984251969" header="0.4921259845" footer="0.4921259845"/>
      <pageSetup scale="90" fitToHeight="5" orientation="portrait" r:id="rId2"/>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74" fitToHeight="5"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529" r:id="rId6" name="Drop Down 25">
              <controlPr defaultSize="0" autoFill="0" autoLine="0" autoPict="0">
                <anchor moveWithCells="1">
                  <from>
                    <xdr:col>15</xdr:col>
                    <xdr:colOff>0</xdr:colOff>
                    <xdr:row>15</xdr:row>
                    <xdr:rowOff>63500</xdr:rowOff>
                  </from>
                  <to>
                    <xdr:col>16</xdr:col>
                    <xdr:colOff>63500</xdr:colOff>
                    <xdr:row>17</xdr:row>
                    <xdr:rowOff>25400</xdr:rowOff>
                  </to>
                </anchor>
              </controlPr>
            </control>
          </mc:Choice>
        </mc:AlternateContent>
        <mc:AlternateContent xmlns:mc="http://schemas.openxmlformats.org/markup-compatibility/2006">
          <mc:Choice Requires="x14">
            <control shapeId="21533" r:id="rId7" name="Drop Down 29">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21538" r:id="rId8" name="Drop Down 34">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20">
    <pageSetUpPr fitToPage="1"/>
  </sheetPr>
  <dimension ref="A4:WVV269"/>
  <sheetViews>
    <sheetView showGridLines="0" showOutlineSymbols="0" zoomScale="120" zoomScaleNormal="120" workbookViewId="0">
      <selection activeCell="R10" sqref="R10"/>
    </sheetView>
  </sheetViews>
  <sheetFormatPr baseColWidth="10" defaultColWidth="0" defaultRowHeight="13"/>
  <cols>
    <col min="1" max="1" width="18.6328125" style="541" customWidth="1"/>
    <col min="2" max="2" width="18.6328125" style="43" hidden="1" customWidth="1"/>
    <col min="3" max="8" width="5" style="43" hidden="1" customWidth="1"/>
    <col min="9" max="9" width="9.45312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6142" width="11.453125" style="43" hidden="1"/>
    <col min="16143" max="16384" width="0" style="43" hidden="1"/>
  </cols>
  <sheetData>
    <row r="4" spans="1:18">
      <c r="A4" s="43"/>
    </row>
    <row r="5" spans="1:18">
      <c r="A5" s="43"/>
    </row>
    <row r="6" spans="1:18">
      <c r="A6" s="43"/>
    </row>
    <row r="8" spans="1:18" ht="25">
      <c r="A8" s="538" t="str">
        <f>RG!D17</f>
        <v>Jhon Wesly inc.</v>
      </c>
    </row>
    <row r="10" spans="1:18" s="58" customFormat="1" ht="15" customHeight="1">
      <c r="A10" s="539" t="s">
        <v>97</v>
      </c>
      <c r="B10" s="196"/>
      <c r="C10" s="196"/>
      <c r="D10" s="196"/>
      <c r="E10" s="196"/>
      <c r="F10" s="196"/>
      <c r="G10" s="196"/>
      <c r="H10" s="196"/>
      <c r="I10" s="196"/>
      <c r="J10" s="196"/>
      <c r="K10" s="196"/>
      <c r="L10" s="196"/>
      <c r="M10" s="196"/>
    </row>
    <row r="11" spans="1:18" s="58" customFormat="1" ht="15" customHeight="1">
      <c r="A11" s="539"/>
      <c r="B11" s="196"/>
      <c r="C11" s="196"/>
      <c r="D11" s="196"/>
      <c r="E11" s="196"/>
      <c r="F11" s="196"/>
      <c r="G11" s="196"/>
      <c r="H11" s="196"/>
      <c r="I11" s="196"/>
      <c r="J11" s="196"/>
      <c r="K11" s="196"/>
      <c r="L11" s="196"/>
      <c r="M11" s="196"/>
    </row>
    <row r="12" spans="1:18" ht="15" customHeight="1" thickBot="1">
      <c r="A12" s="540"/>
      <c r="B12" s="197"/>
      <c r="C12" s="197"/>
      <c r="D12" s="197"/>
      <c r="E12" s="197"/>
      <c r="F12" s="197"/>
      <c r="G12" s="197"/>
      <c r="H12" s="197"/>
      <c r="I12" s="197"/>
      <c r="J12" s="197"/>
      <c r="K12" s="197"/>
      <c r="L12" s="197"/>
      <c r="M12" s="197"/>
    </row>
    <row r="13" spans="1:18" ht="13.5" thickBot="1">
      <c r="A13" s="43" t="s">
        <v>288</v>
      </c>
      <c r="M13" s="1226" t="s">
        <v>936</v>
      </c>
      <c r="N13" s="1228"/>
      <c r="O13" s="643" t="s">
        <v>154</v>
      </c>
      <c r="P13" s="508"/>
      <c r="Q13" s="508"/>
      <c r="R13" s="343">
        <v>2</v>
      </c>
    </row>
    <row r="14" spans="1:18" ht="13.5" thickBot="1">
      <c r="A14" s="43"/>
    </row>
    <row r="15" spans="1:18" ht="13.5" thickBot="1">
      <c r="A15" s="541" t="s">
        <v>593</v>
      </c>
      <c r="M15" s="1226" t="s">
        <v>937</v>
      </c>
      <c r="N15" s="1227"/>
      <c r="O15" s="1227"/>
      <c r="P15" s="1228"/>
      <c r="Q15" s="508"/>
    </row>
    <row r="16" spans="1:18" ht="6" customHeight="1" thickBot="1">
      <c r="L16" s="198"/>
      <c r="M16" s="198"/>
      <c r="N16" s="198"/>
      <c r="O16" s="198"/>
    </row>
    <row r="17" spans="1:18" ht="13.5" thickBot="1">
      <c r="A17" s="541" t="s">
        <v>594</v>
      </c>
      <c r="K17" s="511"/>
      <c r="M17" s="383">
        <v>20000</v>
      </c>
      <c r="N17" s="1230" t="s">
        <v>254</v>
      </c>
      <c r="O17" s="1231"/>
    </row>
    <row r="18" spans="1:18" ht="6" customHeight="1" thickBot="1">
      <c r="M18" s="199"/>
    </row>
    <row r="19" spans="1:18" ht="13.5" thickBot="1">
      <c r="A19" s="541" t="s">
        <v>595</v>
      </c>
      <c r="M19" s="382">
        <v>0.05</v>
      </c>
      <c r="N19" s="1230" t="s">
        <v>107</v>
      </c>
      <c r="O19" s="1231"/>
    </row>
    <row r="20" spans="1:18" ht="6" customHeight="1" thickBot="1">
      <c r="M20" s="200"/>
    </row>
    <row r="21" spans="1:18" ht="13.5" thickBot="1">
      <c r="A21" s="541" t="s">
        <v>596</v>
      </c>
      <c r="M21" s="381">
        <v>60</v>
      </c>
      <c r="N21" s="48" t="s">
        <v>597</v>
      </c>
    </row>
    <row r="22" spans="1:18" ht="13.5" thickBot="1">
      <c r="O22" s="43" t="s">
        <v>876</v>
      </c>
      <c r="P22" s="383">
        <f>M26</f>
        <v>377.42476450902444</v>
      </c>
    </row>
    <row r="23" spans="1:18" ht="13.5" thickBot="1">
      <c r="A23" s="541" t="s">
        <v>183</v>
      </c>
      <c r="M23" s="537"/>
      <c r="N23" s="43" t="s">
        <v>17</v>
      </c>
    </row>
    <row r="24" spans="1:18" ht="13.5" thickBot="1">
      <c r="A24" s="542"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20000</v>
      </c>
      <c r="Q25" s="509">
        <f>P26</f>
        <v>19706</v>
      </c>
    </row>
    <row r="26" spans="1:18" ht="14" thickTop="1" thickBot="1">
      <c r="A26" s="202">
        <f>EDATE(A25,1)</f>
        <v>45292</v>
      </c>
      <c r="B26" s="65">
        <f>IF(OR(J$26=0,DG!$A$131&gt;1),0,B25+1)</f>
        <v>1</v>
      </c>
      <c r="C26" s="65">
        <f t="shared" ref="C26:C49" si="0">IF(F26-$E$269&gt;0,F26-$E$269,0)</f>
        <v>1</v>
      </c>
      <c r="D26" s="65">
        <v>1</v>
      </c>
      <c r="E26" s="65">
        <f>B26</f>
        <v>1</v>
      </c>
      <c r="F26" s="65">
        <f>IF(OR(L$26=0,DG!$A$252&gt;1),0,F25+1)</f>
        <v>1</v>
      </c>
      <c r="G26" s="65">
        <f t="shared" ref="G26:G89" si="1">IF(E26=0,0,IF(D26-E26-F26&gt;=0,1,0))</f>
        <v>0</v>
      </c>
      <c r="H26" s="65">
        <f t="shared" ref="H26:H89" si="2">IF(I26&gt;=0,0,H25+1)</f>
        <v>1</v>
      </c>
      <c r="I26" s="65">
        <f t="shared" ref="I26:I63" si="3">IF(OR(G26=1,C26=0),0,IF(K26-C26&lt;$G$269,1,-1))</f>
        <v>-1</v>
      </c>
      <c r="J26" s="203">
        <f>IF(DG!$A$131&lt;=1,$M$17,0)</f>
        <v>20000</v>
      </c>
      <c r="K26" s="65">
        <f>M21</f>
        <v>60</v>
      </c>
      <c r="L26" s="473">
        <f>IF($M$17&gt;0,$M$19+0.0000001,0)</f>
        <v>5.0000100000000006E-2</v>
      </c>
      <c r="M26" s="204">
        <f>IF(H26=0,0,IF($R$13=1,N26+O26,IF(N26=0,O26,-PMT(L26/12,K26-$G$269,J26))))</f>
        <v>377.42476450902444</v>
      </c>
      <c r="N26" s="505">
        <f>IF(OR(H26-K26&gt;0,I26&gt;=0),0,MROUND(-PPMT(L26/12,H26,K26-G269,J26),1)+R26)</f>
        <v>294</v>
      </c>
      <c r="O26" s="204">
        <f>IF(DG!$A$131&gt;1,0,IF(J26-J25&gt;0,MROUND((L26/12*Q25),1),MROUND(L26/12*P25,1)))</f>
        <v>82</v>
      </c>
      <c r="P26" s="204">
        <f>IF(OR(G26+H26=0,J26-N26&lt;1),0,IF(P25&gt;1,P25-N26,J27-N26))</f>
        <v>19706</v>
      </c>
      <c r="Q26" s="204">
        <f t="shared" ref="Q26:Q89" si="4">IF(AND(P26=0,P27&gt;0),J27,P26)</f>
        <v>19706</v>
      </c>
      <c r="R26" s="748">
        <v>0</v>
      </c>
    </row>
    <row r="27" spans="1:18" ht="14" thickTop="1" thickBot="1">
      <c r="A27" s="202">
        <f t="shared" ref="A27:A90" si="5">EDATE(A26,1)</f>
        <v>45323</v>
      </c>
      <c r="B27" s="65">
        <f>IF(OR(J$27=0,DG!$A$131&gt;1),0,B26+1)</f>
        <v>2</v>
      </c>
      <c r="C27" s="65">
        <f t="shared" si="0"/>
        <v>2</v>
      </c>
      <c r="D27" s="65">
        <f>D26+1</f>
        <v>2</v>
      </c>
      <c r="E27" s="65">
        <f t="shared" ref="E27:E90" si="6">B27</f>
        <v>2</v>
      </c>
      <c r="F27" s="65">
        <f>IF(OR(L$27=0,DG!$A$252&gt;1),0,F26+1)</f>
        <v>2</v>
      </c>
      <c r="G27" s="65">
        <f t="shared" si="1"/>
        <v>0</v>
      </c>
      <c r="H27" s="65">
        <f t="shared" si="2"/>
        <v>2</v>
      </c>
      <c r="I27" s="65">
        <f t="shared" si="3"/>
        <v>-1</v>
      </c>
      <c r="J27" s="203">
        <f>IF(DG!$A$131&lt;=1,$M$17,0)</f>
        <v>20000</v>
      </c>
      <c r="K27" s="65">
        <f t="shared" ref="K27:K90" si="7">K26</f>
        <v>60</v>
      </c>
      <c r="L27" s="473">
        <f t="shared" ref="L27:L90" si="8">IF($M$17&gt;0,$M$19+0.0000001,0)</f>
        <v>5.0000100000000006E-2</v>
      </c>
      <c r="M27" s="204">
        <f t="shared" ref="M27:M31" si="9">IF(H27=0,0,IF($R$13=1,N27+O27,IF(N27=0,O27,-PMT(L27/12,K27-$G$269,J27))))</f>
        <v>377.42476450902444</v>
      </c>
      <c r="N27" s="505">
        <f t="shared" ref="N27:N90" si="10">IF(OR(H27-K27&gt;0,I27&gt;=0),0,MROUND(-PPMT(L27/12,H27,K27-G270,J27),1)+R27)</f>
        <v>295</v>
      </c>
      <c r="O27" s="204">
        <f>IF(DG!$A$131&gt;1,0,IF(J27-J26&gt;0,MROUND((L27/12*Q26),1),MROUND(L27/12*P26,1)))</f>
        <v>82</v>
      </c>
      <c r="P27" s="204">
        <f t="shared" ref="P27:P90" si="11">IF(OR(G27+H27=0,J27-N27&lt;1),0,IF(P26&gt;1,P26-N27,J28-N27))</f>
        <v>19411</v>
      </c>
      <c r="Q27" s="204">
        <f t="shared" si="4"/>
        <v>19411</v>
      </c>
      <c r="R27" s="748">
        <v>0</v>
      </c>
    </row>
    <row r="28" spans="1:18" ht="14" thickTop="1" thickBot="1">
      <c r="A28" s="202">
        <f t="shared" si="5"/>
        <v>45352</v>
      </c>
      <c r="B28" s="65">
        <f>IF(OR(J$28=0,DG!$A$131&gt;1),0,B27+1)</f>
        <v>3</v>
      </c>
      <c r="C28" s="65">
        <f t="shared" si="0"/>
        <v>3</v>
      </c>
      <c r="D28" s="65">
        <f t="shared" ref="D28:D91" si="12">D27+1</f>
        <v>3</v>
      </c>
      <c r="E28" s="65">
        <f t="shared" si="6"/>
        <v>3</v>
      </c>
      <c r="F28" s="65">
        <f>IF(OR(L$28=0,DG!$A$252&gt;1),0,F27+1)</f>
        <v>3</v>
      </c>
      <c r="G28" s="65">
        <f t="shared" si="1"/>
        <v>0</v>
      </c>
      <c r="H28" s="65">
        <f t="shared" si="2"/>
        <v>3</v>
      </c>
      <c r="I28" s="65">
        <f t="shared" si="3"/>
        <v>-1</v>
      </c>
      <c r="J28" s="203">
        <f>IF(DG!$A$131&lt;=1,$M$17,0)</f>
        <v>20000</v>
      </c>
      <c r="K28" s="65">
        <f t="shared" si="7"/>
        <v>60</v>
      </c>
      <c r="L28" s="473">
        <f t="shared" si="8"/>
        <v>5.0000100000000006E-2</v>
      </c>
      <c r="M28" s="204">
        <f t="shared" si="9"/>
        <v>377.42476450902444</v>
      </c>
      <c r="N28" s="505">
        <f t="shared" si="10"/>
        <v>297</v>
      </c>
      <c r="O28" s="204">
        <f>IF(DG!$A$131&gt;1,0,IF(J28-J27&gt;0,MROUND((L28/12*Q27),1),MROUND(L28/12*P27,1)))</f>
        <v>81</v>
      </c>
      <c r="P28" s="204">
        <f t="shared" si="11"/>
        <v>19114</v>
      </c>
      <c r="Q28" s="204">
        <f t="shared" si="4"/>
        <v>19114</v>
      </c>
      <c r="R28" s="748">
        <v>0</v>
      </c>
    </row>
    <row r="29" spans="1:18" ht="14" thickTop="1" thickBot="1">
      <c r="A29" s="202">
        <f t="shared" si="5"/>
        <v>45383</v>
      </c>
      <c r="B29" s="65">
        <f>IF(OR(J$29=0,DG!$A$131&gt;2),0,B28+1)</f>
        <v>4</v>
      </c>
      <c r="C29" s="65">
        <f t="shared" si="0"/>
        <v>4</v>
      </c>
      <c r="D29" s="65">
        <f t="shared" si="12"/>
        <v>4</v>
      </c>
      <c r="E29" s="65">
        <f t="shared" si="6"/>
        <v>4</v>
      </c>
      <c r="F29" s="65">
        <f>IF(OR(L$29=0,DG!$A$252&gt;2),0,F28+1)</f>
        <v>4</v>
      </c>
      <c r="G29" s="65">
        <f t="shared" si="1"/>
        <v>0</v>
      </c>
      <c r="H29" s="65">
        <f t="shared" si="2"/>
        <v>4</v>
      </c>
      <c r="I29" s="65">
        <f t="shared" si="3"/>
        <v>-1</v>
      </c>
      <c r="J29" s="203">
        <f>IF(DG!$A$131&lt;=2,$M$17,0)</f>
        <v>20000</v>
      </c>
      <c r="K29" s="65">
        <f t="shared" si="7"/>
        <v>60</v>
      </c>
      <c r="L29" s="473">
        <f t="shared" si="8"/>
        <v>5.0000100000000006E-2</v>
      </c>
      <c r="M29" s="204">
        <f t="shared" si="9"/>
        <v>377.42476450902444</v>
      </c>
      <c r="N29" s="505">
        <f t="shared" si="10"/>
        <v>298</v>
      </c>
      <c r="O29" s="204">
        <f>IF(DG!$A$131&gt;2,0,IF(J29-J28&gt;0,MROUND((L29/12*Q28),1),MROUND(L29/12*P28,1)))</f>
        <v>80</v>
      </c>
      <c r="P29" s="204">
        <f t="shared" si="11"/>
        <v>18816</v>
      </c>
      <c r="Q29" s="204">
        <f t="shared" si="4"/>
        <v>18816</v>
      </c>
      <c r="R29" s="748">
        <v>0</v>
      </c>
    </row>
    <row r="30" spans="1:18" ht="14" thickTop="1" thickBot="1">
      <c r="A30" s="202">
        <f t="shared" si="5"/>
        <v>45413</v>
      </c>
      <c r="B30" s="65">
        <f>IF(OR(J$30=0,DG!$A$131&gt;2),0,B29+1)</f>
        <v>5</v>
      </c>
      <c r="C30" s="65">
        <f t="shared" si="0"/>
        <v>5</v>
      </c>
      <c r="D30" s="65">
        <f t="shared" si="12"/>
        <v>5</v>
      </c>
      <c r="E30" s="65">
        <f t="shared" si="6"/>
        <v>5</v>
      </c>
      <c r="F30" s="65">
        <f>IF(OR(L$30=0,DG!$A$252&gt;2),0,F29+1)</f>
        <v>5</v>
      </c>
      <c r="G30" s="65">
        <f t="shared" si="1"/>
        <v>0</v>
      </c>
      <c r="H30" s="65">
        <f t="shared" si="2"/>
        <v>5</v>
      </c>
      <c r="I30" s="65">
        <f t="shared" si="3"/>
        <v>-1</v>
      </c>
      <c r="J30" s="203">
        <f>IF(DG!$A$131&lt;=2,$M$17,0)</f>
        <v>20000</v>
      </c>
      <c r="K30" s="65">
        <f t="shared" si="7"/>
        <v>60</v>
      </c>
      <c r="L30" s="473">
        <f t="shared" si="8"/>
        <v>5.0000100000000006E-2</v>
      </c>
      <c r="M30" s="204">
        <f t="shared" si="9"/>
        <v>377.42476450902444</v>
      </c>
      <c r="N30" s="505">
        <f t="shared" si="10"/>
        <v>299</v>
      </c>
      <c r="O30" s="204">
        <f>IF(DG!$A$131&gt;2,0,IF(J30-J29&gt;0,MROUND((L30/12*Q29),1),MROUND(L30/12*P29,1)))</f>
        <v>78</v>
      </c>
      <c r="P30" s="204">
        <f t="shared" si="11"/>
        <v>18517</v>
      </c>
      <c r="Q30" s="204">
        <f t="shared" si="4"/>
        <v>18517</v>
      </c>
      <c r="R30" s="748">
        <v>0</v>
      </c>
    </row>
    <row r="31" spans="1:18" ht="14" thickTop="1" thickBot="1">
      <c r="A31" s="202">
        <f t="shared" si="5"/>
        <v>45444</v>
      </c>
      <c r="B31" s="65">
        <f>IF(OR(J$31=0,DG!$A$131&gt;2),0,B30+1)</f>
        <v>6</v>
      </c>
      <c r="C31" s="65">
        <f t="shared" si="0"/>
        <v>6</v>
      </c>
      <c r="D31" s="65">
        <f t="shared" si="12"/>
        <v>6</v>
      </c>
      <c r="E31" s="65">
        <f t="shared" si="6"/>
        <v>6</v>
      </c>
      <c r="F31" s="65">
        <f>IF(OR(L$31=0,DG!$A$252&gt;2),0,F30+1)</f>
        <v>6</v>
      </c>
      <c r="G31" s="65">
        <f t="shared" si="1"/>
        <v>0</v>
      </c>
      <c r="H31" s="65">
        <f t="shared" si="2"/>
        <v>6</v>
      </c>
      <c r="I31" s="65">
        <f t="shared" si="3"/>
        <v>-1</v>
      </c>
      <c r="J31" s="203">
        <f>IF(DG!$A$131&lt;=2,$M$17,0)</f>
        <v>20000</v>
      </c>
      <c r="K31" s="65">
        <f t="shared" si="7"/>
        <v>60</v>
      </c>
      <c r="L31" s="473">
        <f t="shared" si="8"/>
        <v>5.0000100000000006E-2</v>
      </c>
      <c r="M31" s="204">
        <f t="shared" si="9"/>
        <v>377.42476450902444</v>
      </c>
      <c r="N31" s="505">
        <f t="shared" si="10"/>
        <v>300</v>
      </c>
      <c r="O31" s="204">
        <f>IF(DG!$A$131&gt;2,0,IF(J31-J30&gt;0,MROUND((L31/12*Q30),1),MROUND(L31/12*P30,1)))</f>
        <v>77</v>
      </c>
      <c r="P31" s="204">
        <f t="shared" si="11"/>
        <v>18217</v>
      </c>
      <c r="Q31" s="204">
        <f t="shared" si="4"/>
        <v>18217</v>
      </c>
      <c r="R31" s="748">
        <v>0</v>
      </c>
    </row>
    <row r="32" spans="1:18" ht="14" thickTop="1" thickBot="1">
      <c r="A32" s="202">
        <f t="shared" si="5"/>
        <v>45474</v>
      </c>
      <c r="B32" s="65">
        <f>IF(OR(J$32=0,DG!$A$131&gt;3),0,B31+1)</f>
        <v>7</v>
      </c>
      <c r="C32" s="65">
        <f t="shared" si="0"/>
        <v>7</v>
      </c>
      <c r="D32" s="65">
        <f t="shared" si="12"/>
        <v>7</v>
      </c>
      <c r="E32" s="65">
        <f t="shared" si="6"/>
        <v>7</v>
      </c>
      <c r="F32" s="65">
        <f>IF(OR(L$32=0,DG!$A$252&gt;3),0,F31+1)</f>
        <v>7</v>
      </c>
      <c r="G32" s="65">
        <f t="shared" si="1"/>
        <v>0</v>
      </c>
      <c r="H32" s="65">
        <f t="shared" si="2"/>
        <v>7</v>
      </c>
      <c r="I32" s="65">
        <f t="shared" si="3"/>
        <v>-1</v>
      </c>
      <c r="J32" s="203">
        <f>IF(DG!$A$131&lt;=3,$M$17,0)</f>
        <v>20000</v>
      </c>
      <c r="K32" s="65">
        <f t="shared" si="7"/>
        <v>60</v>
      </c>
      <c r="L32" s="473">
        <f t="shared" si="8"/>
        <v>5.0000100000000006E-2</v>
      </c>
      <c r="M32" s="204">
        <f>IF(H32=0,0,IF($R$13=1,N32+O32,IF(N32=0,O32,-PMT(L32/12,K32-$G$269,J32))))</f>
        <v>377.42476450902444</v>
      </c>
      <c r="N32" s="505">
        <f t="shared" si="10"/>
        <v>302</v>
      </c>
      <c r="O32" s="204">
        <f>IF(DG!$A$131&gt;3,0,IF(J32-J31&gt;0,MROUND((L32/12*Q31),1),MROUND(L32/12*P31,1)))</f>
        <v>76</v>
      </c>
      <c r="P32" s="204">
        <f t="shared" si="11"/>
        <v>17915</v>
      </c>
      <c r="Q32" s="204">
        <f t="shared" si="4"/>
        <v>17915</v>
      </c>
      <c r="R32" s="748">
        <v>0</v>
      </c>
    </row>
    <row r="33" spans="1:19" ht="14" thickTop="1" thickBot="1">
      <c r="A33" s="202">
        <f t="shared" si="5"/>
        <v>45505</v>
      </c>
      <c r="B33" s="65">
        <f>IF(OR(J$33=0,DG!$A$131&gt;3),0,B32+1)</f>
        <v>8</v>
      </c>
      <c r="C33" s="65">
        <f t="shared" si="0"/>
        <v>8</v>
      </c>
      <c r="D33" s="65">
        <f t="shared" si="12"/>
        <v>8</v>
      </c>
      <c r="E33" s="65">
        <f t="shared" si="6"/>
        <v>8</v>
      </c>
      <c r="F33" s="65">
        <f>IF(OR(L$33=0,DG!$A$252&gt;3),0,F32+1)</f>
        <v>8</v>
      </c>
      <c r="G33" s="65">
        <f t="shared" si="1"/>
        <v>0</v>
      </c>
      <c r="H33" s="65">
        <f t="shared" si="2"/>
        <v>8</v>
      </c>
      <c r="I33" s="65">
        <f t="shared" si="3"/>
        <v>-1</v>
      </c>
      <c r="J33" s="203">
        <f>IF(DG!$A$131&lt;=3,$M$17,0)</f>
        <v>20000</v>
      </c>
      <c r="K33" s="65">
        <f t="shared" si="7"/>
        <v>60</v>
      </c>
      <c r="L33" s="473">
        <f t="shared" si="8"/>
        <v>5.0000100000000006E-2</v>
      </c>
      <c r="M33" s="204">
        <f t="shared" ref="M33:M96" si="13">IF(H33=0,0,IF($R$13=1,N33+O33,IF(N33=0,O33,-PMT(L33/12,K33-$G$269,J33))))</f>
        <v>377.42476450902444</v>
      </c>
      <c r="N33" s="505">
        <f t="shared" si="10"/>
        <v>303</v>
      </c>
      <c r="O33" s="204">
        <f>IF(DG!$A$131&gt;3,0,IF(J33-J32&gt;0,MROUND((L33/12*Q32),1),MROUND(L33/12*P32,1)))</f>
        <v>75</v>
      </c>
      <c r="P33" s="204">
        <f t="shared" si="11"/>
        <v>17612</v>
      </c>
      <c r="Q33" s="204">
        <f t="shared" si="4"/>
        <v>17612</v>
      </c>
      <c r="R33" s="748">
        <v>0</v>
      </c>
    </row>
    <row r="34" spans="1:19" ht="14" thickTop="1" thickBot="1">
      <c r="A34" s="202">
        <f t="shared" si="5"/>
        <v>45536</v>
      </c>
      <c r="B34" s="65">
        <f>IF(OR(J$34=0,DG!$A$131&gt;3),0,B33+1)</f>
        <v>9</v>
      </c>
      <c r="C34" s="65">
        <f t="shared" si="0"/>
        <v>9</v>
      </c>
      <c r="D34" s="65">
        <f t="shared" si="12"/>
        <v>9</v>
      </c>
      <c r="E34" s="65">
        <f t="shared" si="6"/>
        <v>9</v>
      </c>
      <c r="F34" s="65">
        <f>IF(OR(L$34=0,DG!$A$252&gt;3),0,F33+1)</f>
        <v>9</v>
      </c>
      <c r="G34" s="65">
        <f t="shared" si="1"/>
        <v>0</v>
      </c>
      <c r="H34" s="65">
        <f t="shared" si="2"/>
        <v>9</v>
      </c>
      <c r="I34" s="65">
        <f t="shared" si="3"/>
        <v>-1</v>
      </c>
      <c r="J34" s="203">
        <f>IF(DG!$A$131&lt;=3,$M$17,0)</f>
        <v>20000</v>
      </c>
      <c r="K34" s="65">
        <f t="shared" si="7"/>
        <v>60</v>
      </c>
      <c r="L34" s="473">
        <f t="shared" si="8"/>
        <v>5.0000100000000006E-2</v>
      </c>
      <c r="M34" s="204">
        <f t="shared" si="13"/>
        <v>377.42476450902444</v>
      </c>
      <c r="N34" s="505">
        <f t="shared" si="10"/>
        <v>304</v>
      </c>
      <c r="O34" s="204">
        <f>IF(DG!$A$131&gt;3,0,IF(J34-J33&gt;0,MROUND((L34/12*Q33),1),MROUND(L34/12*P33,1)))</f>
        <v>73</v>
      </c>
      <c r="P34" s="204">
        <f t="shared" si="11"/>
        <v>17308</v>
      </c>
      <c r="Q34" s="204">
        <f t="shared" si="4"/>
        <v>17308</v>
      </c>
      <c r="R34" s="748">
        <v>0</v>
      </c>
    </row>
    <row r="35" spans="1:19" ht="14" thickTop="1" thickBot="1">
      <c r="A35" s="202">
        <f t="shared" si="5"/>
        <v>45566</v>
      </c>
      <c r="B35" s="65">
        <f>IF(OR(J$35=0,DG!$A$131&gt;4),0,B34+1)</f>
        <v>10</v>
      </c>
      <c r="C35" s="65">
        <f t="shared" si="0"/>
        <v>10</v>
      </c>
      <c r="D35" s="65">
        <f t="shared" si="12"/>
        <v>10</v>
      </c>
      <c r="E35" s="65">
        <f t="shared" si="6"/>
        <v>10</v>
      </c>
      <c r="F35" s="65">
        <f>IF(OR(L$35=0,DG!$A$252&gt;4),0,F34+1)</f>
        <v>10</v>
      </c>
      <c r="G35" s="65">
        <f t="shared" si="1"/>
        <v>0</v>
      </c>
      <c r="H35" s="65">
        <f t="shared" si="2"/>
        <v>10</v>
      </c>
      <c r="I35" s="65">
        <f t="shared" si="3"/>
        <v>-1</v>
      </c>
      <c r="J35" s="203">
        <f>IF(DG!$A$131&lt;=4,$M$17,0)</f>
        <v>20000</v>
      </c>
      <c r="K35" s="65">
        <f t="shared" si="7"/>
        <v>60</v>
      </c>
      <c r="L35" s="473">
        <f t="shared" si="8"/>
        <v>5.0000100000000006E-2</v>
      </c>
      <c r="M35" s="204">
        <f t="shared" si="13"/>
        <v>377.42476450902444</v>
      </c>
      <c r="N35" s="505">
        <f t="shared" si="10"/>
        <v>305</v>
      </c>
      <c r="O35" s="204">
        <f>IF(DG!$A$131&gt;4,0,IF(J35-J34&gt;0,MROUND((L35/12*Q34),1),MROUND(L35/12*P34,1)))</f>
        <v>72</v>
      </c>
      <c r="P35" s="204">
        <f t="shared" si="11"/>
        <v>17003</v>
      </c>
      <c r="Q35" s="204">
        <f t="shared" si="4"/>
        <v>17003</v>
      </c>
      <c r="R35" s="748">
        <v>0</v>
      </c>
    </row>
    <row r="36" spans="1:19" ht="14" thickTop="1" thickBot="1">
      <c r="A36" s="202">
        <f t="shared" si="5"/>
        <v>45597</v>
      </c>
      <c r="B36" s="65">
        <f>IF(OR(J$36=0,DG!$A$131&gt;4),0,B35+1)</f>
        <v>11</v>
      </c>
      <c r="C36" s="65">
        <f t="shared" si="0"/>
        <v>11</v>
      </c>
      <c r="D36" s="65">
        <f t="shared" si="12"/>
        <v>11</v>
      </c>
      <c r="E36" s="65">
        <f t="shared" si="6"/>
        <v>11</v>
      </c>
      <c r="F36" s="65">
        <f>IF(OR(L$36=0,DG!$A$252&gt;4),0,F35+1)</f>
        <v>11</v>
      </c>
      <c r="G36" s="65">
        <f t="shared" si="1"/>
        <v>0</v>
      </c>
      <c r="H36" s="65">
        <f t="shared" si="2"/>
        <v>11</v>
      </c>
      <c r="I36" s="65">
        <f t="shared" si="3"/>
        <v>-1</v>
      </c>
      <c r="J36" s="203">
        <f>IF(DG!$A$131&lt;=4,$M$17,0)</f>
        <v>20000</v>
      </c>
      <c r="K36" s="65">
        <f t="shared" si="7"/>
        <v>60</v>
      </c>
      <c r="L36" s="473">
        <f t="shared" si="8"/>
        <v>5.0000100000000006E-2</v>
      </c>
      <c r="M36" s="204">
        <f t="shared" si="13"/>
        <v>377.42476450902444</v>
      </c>
      <c r="N36" s="505">
        <f t="shared" si="10"/>
        <v>307</v>
      </c>
      <c r="O36" s="204">
        <f>IF(DG!$A$131&gt;4,0,IF(J36-J35&gt;0,MROUND((L36/12*Q35),1),MROUND(L36/12*P35,1)))</f>
        <v>71</v>
      </c>
      <c r="P36" s="204">
        <f t="shared" si="11"/>
        <v>16696</v>
      </c>
      <c r="Q36" s="204">
        <f t="shared" si="4"/>
        <v>16696</v>
      </c>
      <c r="R36" s="748">
        <v>0</v>
      </c>
    </row>
    <row r="37" spans="1:19" ht="14" thickTop="1" thickBot="1">
      <c r="A37" s="202">
        <f t="shared" si="5"/>
        <v>45627</v>
      </c>
      <c r="B37" s="65">
        <f>IF(OR(J$37=0,DG!$A$131&gt;4),0,B36+1)</f>
        <v>12</v>
      </c>
      <c r="C37" s="65">
        <f t="shared" si="0"/>
        <v>12</v>
      </c>
      <c r="D37" s="65">
        <f t="shared" si="12"/>
        <v>12</v>
      </c>
      <c r="E37" s="65">
        <f t="shared" si="6"/>
        <v>12</v>
      </c>
      <c r="F37" s="65">
        <f>IF(OR(L$37=0,DG!$A$252&gt;4),0,F36+1)</f>
        <v>12</v>
      </c>
      <c r="G37" s="65">
        <f t="shared" si="1"/>
        <v>0</v>
      </c>
      <c r="H37" s="65">
        <f t="shared" si="2"/>
        <v>12</v>
      </c>
      <c r="I37" s="65">
        <f t="shared" si="3"/>
        <v>-1</v>
      </c>
      <c r="J37" s="203">
        <f>IF(DG!$A$131&lt;=4,$M$17,0)</f>
        <v>20000</v>
      </c>
      <c r="K37" s="65">
        <f t="shared" si="7"/>
        <v>60</v>
      </c>
      <c r="L37" s="473">
        <f t="shared" si="8"/>
        <v>5.0000100000000006E-2</v>
      </c>
      <c r="M37" s="204">
        <f t="shared" si="13"/>
        <v>377.42476450902444</v>
      </c>
      <c r="N37" s="505">
        <f t="shared" si="10"/>
        <v>308</v>
      </c>
      <c r="O37" s="204">
        <f>IF(DG!$A$131&gt;4,0,IF(J37-J36&gt;0,MROUND((L37/12*Q36),1),MROUND(L37/12*P36,1)))</f>
        <v>70</v>
      </c>
      <c r="P37" s="204">
        <f t="shared" si="11"/>
        <v>16388</v>
      </c>
      <c r="Q37" s="204">
        <f t="shared" si="4"/>
        <v>16388</v>
      </c>
      <c r="R37" s="748">
        <v>0</v>
      </c>
      <c r="S37" s="511">
        <f>SUM(N26:N37)</f>
        <v>3612</v>
      </c>
    </row>
    <row r="38" spans="1:19" ht="14" thickTop="1" thickBot="1">
      <c r="A38" s="202">
        <f t="shared" si="5"/>
        <v>45658</v>
      </c>
      <c r="B38" s="65">
        <f>IF(OR(J$38=0,DG!$A$131&gt;5),0,B37+1)</f>
        <v>13</v>
      </c>
      <c r="C38" s="65">
        <f t="shared" si="0"/>
        <v>13</v>
      </c>
      <c r="D38" s="65">
        <f t="shared" si="12"/>
        <v>13</v>
      </c>
      <c r="E38" s="65">
        <f t="shared" si="6"/>
        <v>13</v>
      </c>
      <c r="F38" s="65">
        <f>IF(OR(L$38=0,DG!$A$252&gt;5),0,F37+1)</f>
        <v>13</v>
      </c>
      <c r="G38" s="65">
        <f t="shared" si="1"/>
        <v>0</v>
      </c>
      <c r="H38" s="65">
        <f t="shared" si="2"/>
        <v>13</v>
      </c>
      <c r="I38" s="65">
        <f t="shared" si="3"/>
        <v>-1</v>
      </c>
      <c r="J38" s="203">
        <f>IF(DG!$A$131&lt;=5,$M$17,0)</f>
        <v>20000</v>
      </c>
      <c r="K38" s="65">
        <f t="shared" si="7"/>
        <v>60</v>
      </c>
      <c r="L38" s="473">
        <f t="shared" si="8"/>
        <v>5.0000100000000006E-2</v>
      </c>
      <c r="M38" s="204">
        <f t="shared" si="13"/>
        <v>377.42476450902444</v>
      </c>
      <c r="N38" s="505">
        <f t="shared" si="10"/>
        <v>309</v>
      </c>
      <c r="O38" s="204">
        <f>IF(DG!$A$131&gt;5,0,IF(J38-J37&gt;0,MROUND((L38/12*Q37),1),MROUND(L38/12*P37,1)))</f>
        <v>68</v>
      </c>
      <c r="P38" s="204">
        <f t="shared" si="11"/>
        <v>16079</v>
      </c>
      <c r="Q38" s="204">
        <f t="shared" si="4"/>
        <v>16079</v>
      </c>
      <c r="R38" s="748">
        <v>0</v>
      </c>
    </row>
    <row r="39" spans="1:19" ht="14" thickTop="1" thickBot="1">
      <c r="A39" s="202">
        <f t="shared" si="5"/>
        <v>45689</v>
      </c>
      <c r="B39" s="65">
        <f>IF(OR(J$39=0,DG!$A$131&gt;5),0,B38+1)</f>
        <v>14</v>
      </c>
      <c r="C39" s="65">
        <f t="shared" si="0"/>
        <v>14</v>
      </c>
      <c r="D39" s="65">
        <f t="shared" si="12"/>
        <v>14</v>
      </c>
      <c r="E39" s="65">
        <f t="shared" si="6"/>
        <v>14</v>
      </c>
      <c r="F39" s="65">
        <f>IF(OR(L$39=0,DG!$A$252&gt;5),0,F38+1)</f>
        <v>14</v>
      </c>
      <c r="G39" s="65">
        <f t="shared" si="1"/>
        <v>0</v>
      </c>
      <c r="H39" s="65">
        <f t="shared" si="2"/>
        <v>14</v>
      </c>
      <c r="I39" s="65">
        <f t="shared" si="3"/>
        <v>-1</v>
      </c>
      <c r="J39" s="203">
        <f>IF(DG!$A$131&lt;=5,$M$17,0)</f>
        <v>20000</v>
      </c>
      <c r="K39" s="65">
        <f t="shared" si="7"/>
        <v>60</v>
      </c>
      <c r="L39" s="473">
        <f t="shared" si="8"/>
        <v>5.0000100000000006E-2</v>
      </c>
      <c r="M39" s="204">
        <f t="shared" si="13"/>
        <v>377.42476450902444</v>
      </c>
      <c r="N39" s="505">
        <f t="shared" si="10"/>
        <v>310</v>
      </c>
      <c r="O39" s="204">
        <f>IF(DG!$A$131&gt;5,0,IF(J39-J38&gt;0,MROUND((L39/12*Q38),1),MROUND(L39/12*P38,1)))</f>
        <v>67</v>
      </c>
      <c r="P39" s="204">
        <f t="shared" si="11"/>
        <v>15769</v>
      </c>
      <c r="Q39" s="204">
        <f t="shared" si="4"/>
        <v>15769</v>
      </c>
      <c r="R39" s="748">
        <v>0</v>
      </c>
    </row>
    <row r="40" spans="1:19" ht="14" thickTop="1" thickBot="1">
      <c r="A40" s="202">
        <f t="shared" si="5"/>
        <v>45717</v>
      </c>
      <c r="B40" s="65">
        <f>IF(OR(J$40=0,DG!$A$131&gt;5),0,B39+1)</f>
        <v>15</v>
      </c>
      <c r="C40" s="65">
        <f t="shared" si="0"/>
        <v>15</v>
      </c>
      <c r="D40" s="65">
        <f t="shared" si="12"/>
        <v>15</v>
      </c>
      <c r="E40" s="65">
        <f t="shared" si="6"/>
        <v>15</v>
      </c>
      <c r="F40" s="65">
        <f>IF(OR(L$40=0,DG!$A$252&gt;5),0,F39+1)</f>
        <v>15</v>
      </c>
      <c r="G40" s="65">
        <f t="shared" si="1"/>
        <v>0</v>
      </c>
      <c r="H40" s="65">
        <f t="shared" si="2"/>
        <v>15</v>
      </c>
      <c r="I40" s="65">
        <f t="shared" si="3"/>
        <v>-1</v>
      </c>
      <c r="J40" s="203">
        <f>IF(DG!$A$131&lt;=5,$M$17,0)</f>
        <v>20000</v>
      </c>
      <c r="K40" s="65">
        <f t="shared" si="7"/>
        <v>60</v>
      </c>
      <c r="L40" s="473">
        <f t="shared" si="8"/>
        <v>5.0000100000000006E-2</v>
      </c>
      <c r="M40" s="204">
        <f t="shared" si="13"/>
        <v>377.42476450902444</v>
      </c>
      <c r="N40" s="505">
        <f t="shared" si="10"/>
        <v>312</v>
      </c>
      <c r="O40" s="204">
        <f>IF(DG!$A$131&gt;5,0,IF(J40-J39&gt;0,MROUND((L40/12*Q39),1),MROUND(L40/12*P39,1)))</f>
        <v>66</v>
      </c>
      <c r="P40" s="204">
        <f t="shared" si="11"/>
        <v>15457</v>
      </c>
      <c r="Q40" s="204">
        <f t="shared" si="4"/>
        <v>15457</v>
      </c>
      <c r="R40" s="748">
        <v>0</v>
      </c>
    </row>
    <row r="41" spans="1:19" ht="14" thickTop="1" thickBot="1">
      <c r="A41" s="202">
        <f t="shared" si="5"/>
        <v>45748</v>
      </c>
      <c r="B41" s="65">
        <f>IF(OR(J$41=0,DG!$A$131&gt;6),0,B40+1)</f>
        <v>16</v>
      </c>
      <c r="C41" s="65">
        <f t="shared" si="0"/>
        <v>16</v>
      </c>
      <c r="D41" s="65">
        <f t="shared" si="12"/>
        <v>16</v>
      </c>
      <c r="E41" s="65">
        <f t="shared" si="6"/>
        <v>16</v>
      </c>
      <c r="F41" s="65">
        <f>IF(OR(L$41=0,DG!$A$252&gt;6),0,F40+1)</f>
        <v>16</v>
      </c>
      <c r="G41" s="65">
        <f t="shared" si="1"/>
        <v>0</v>
      </c>
      <c r="H41" s="65">
        <f t="shared" si="2"/>
        <v>16</v>
      </c>
      <c r="I41" s="65">
        <f t="shared" si="3"/>
        <v>-1</v>
      </c>
      <c r="J41" s="203">
        <f>IF(DG!$A$131&lt;=6,$M$17,0)</f>
        <v>20000</v>
      </c>
      <c r="K41" s="65">
        <f t="shared" si="7"/>
        <v>60</v>
      </c>
      <c r="L41" s="473">
        <f t="shared" si="8"/>
        <v>5.0000100000000006E-2</v>
      </c>
      <c r="M41" s="204">
        <f t="shared" si="13"/>
        <v>377.42476450902444</v>
      </c>
      <c r="N41" s="505">
        <f t="shared" si="10"/>
        <v>313</v>
      </c>
      <c r="O41" s="204">
        <f>IF(DG!$A$131&gt;6,0,IF(J41-J40&gt;0,MROUND((L41/12*Q40),1),MROUND(L41/12*P40,1)))</f>
        <v>64</v>
      </c>
      <c r="P41" s="204">
        <f t="shared" si="11"/>
        <v>15144</v>
      </c>
      <c r="Q41" s="204">
        <f t="shared" si="4"/>
        <v>15144</v>
      </c>
      <c r="R41" s="748">
        <v>0</v>
      </c>
    </row>
    <row r="42" spans="1:19" ht="14" thickTop="1" thickBot="1">
      <c r="A42" s="202">
        <f t="shared" si="5"/>
        <v>45778</v>
      </c>
      <c r="B42" s="65">
        <f>IF(OR(J$42=0,DG!$A$131&gt;6),0,B41+1)</f>
        <v>17</v>
      </c>
      <c r="C42" s="65">
        <f t="shared" si="0"/>
        <v>17</v>
      </c>
      <c r="D42" s="65">
        <f t="shared" si="12"/>
        <v>17</v>
      </c>
      <c r="E42" s="65">
        <f t="shared" si="6"/>
        <v>17</v>
      </c>
      <c r="F42" s="65">
        <f>IF(OR(L$42=0,DG!$A$252&gt;6),0,F41+1)</f>
        <v>17</v>
      </c>
      <c r="G42" s="65">
        <f t="shared" si="1"/>
        <v>0</v>
      </c>
      <c r="H42" s="65">
        <f t="shared" si="2"/>
        <v>17</v>
      </c>
      <c r="I42" s="65">
        <f t="shared" si="3"/>
        <v>-1</v>
      </c>
      <c r="J42" s="203">
        <f>IF(DG!$A$131&lt;=6,$M$17,0)</f>
        <v>20000</v>
      </c>
      <c r="K42" s="65">
        <f t="shared" si="7"/>
        <v>60</v>
      </c>
      <c r="L42" s="473">
        <f t="shared" si="8"/>
        <v>5.0000100000000006E-2</v>
      </c>
      <c r="M42" s="204">
        <f t="shared" si="13"/>
        <v>377.42476450902444</v>
      </c>
      <c r="N42" s="505">
        <f t="shared" si="10"/>
        <v>314</v>
      </c>
      <c r="O42" s="204">
        <f>IF(DG!$A$131&gt;6,0,IF(J42-J41&gt;0,MROUND((L42/12*Q41),1),MROUND(L42/12*P41,1)))</f>
        <v>63</v>
      </c>
      <c r="P42" s="204">
        <f t="shared" si="11"/>
        <v>14830</v>
      </c>
      <c r="Q42" s="204">
        <f t="shared" si="4"/>
        <v>14830</v>
      </c>
      <c r="R42" s="748">
        <v>0</v>
      </c>
    </row>
    <row r="43" spans="1:19" ht="14" thickTop="1" thickBot="1">
      <c r="A43" s="202">
        <f t="shared" si="5"/>
        <v>45809</v>
      </c>
      <c r="B43" s="65">
        <f>IF(OR(J$43=0,DG!$A$131&gt;6),0,B42+1)</f>
        <v>18</v>
      </c>
      <c r="C43" s="65">
        <f t="shared" si="0"/>
        <v>18</v>
      </c>
      <c r="D43" s="65">
        <f t="shared" si="12"/>
        <v>18</v>
      </c>
      <c r="E43" s="65">
        <f t="shared" si="6"/>
        <v>18</v>
      </c>
      <c r="F43" s="65">
        <f>IF(OR(L$43=0,DG!$A$252&gt;6),0,F42+1)</f>
        <v>18</v>
      </c>
      <c r="G43" s="65">
        <f t="shared" si="1"/>
        <v>0</v>
      </c>
      <c r="H43" s="65">
        <f t="shared" si="2"/>
        <v>18</v>
      </c>
      <c r="I43" s="65">
        <f t="shared" si="3"/>
        <v>-1</v>
      </c>
      <c r="J43" s="203">
        <f>IF(DG!$A$131&lt;=6,$M$17,0)</f>
        <v>20000</v>
      </c>
      <c r="K43" s="65">
        <f t="shared" si="7"/>
        <v>60</v>
      </c>
      <c r="L43" s="473">
        <f t="shared" si="8"/>
        <v>5.0000100000000006E-2</v>
      </c>
      <c r="M43" s="204">
        <f t="shared" si="13"/>
        <v>377.42476450902444</v>
      </c>
      <c r="N43" s="505">
        <f t="shared" si="10"/>
        <v>316</v>
      </c>
      <c r="O43" s="204">
        <f>IF(DG!$A$131&gt;6,0,IF(J43-J42&gt;0,MROUND((L43/12*Q42),1),MROUND(L43/12*P42,1)))</f>
        <v>62</v>
      </c>
      <c r="P43" s="204">
        <f t="shared" si="11"/>
        <v>14514</v>
      </c>
      <c r="Q43" s="204">
        <f t="shared" si="4"/>
        <v>14514</v>
      </c>
      <c r="R43" s="748">
        <v>0</v>
      </c>
    </row>
    <row r="44" spans="1:19" ht="14" thickTop="1" thickBot="1">
      <c r="A44" s="202">
        <f t="shared" si="5"/>
        <v>45839</v>
      </c>
      <c r="B44" s="65">
        <f>IF(OR(J$44=0,DG!$A$131&gt;7),0,B43+1)</f>
        <v>19</v>
      </c>
      <c r="C44" s="65">
        <f t="shared" si="0"/>
        <v>19</v>
      </c>
      <c r="D44" s="65">
        <f t="shared" si="12"/>
        <v>19</v>
      </c>
      <c r="E44" s="65">
        <f t="shared" si="6"/>
        <v>19</v>
      </c>
      <c r="F44" s="65">
        <f>IF(OR(L$44=0,DG!$A$252&gt;7),0,F43+1)</f>
        <v>19</v>
      </c>
      <c r="G44" s="65">
        <f t="shared" si="1"/>
        <v>0</v>
      </c>
      <c r="H44" s="65">
        <f t="shared" si="2"/>
        <v>19</v>
      </c>
      <c r="I44" s="65">
        <f t="shared" si="3"/>
        <v>-1</v>
      </c>
      <c r="J44" s="203">
        <f>IF(DG!$A$131&lt;=7,$M$17,0)</f>
        <v>20000</v>
      </c>
      <c r="K44" s="65">
        <f t="shared" si="7"/>
        <v>60</v>
      </c>
      <c r="L44" s="473">
        <f t="shared" si="8"/>
        <v>5.0000100000000006E-2</v>
      </c>
      <c r="M44" s="204">
        <f t="shared" si="13"/>
        <v>377.42476450902444</v>
      </c>
      <c r="N44" s="505">
        <f t="shared" si="10"/>
        <v>317</v>
      </c>
      <c r="O44" s="204">
        <f>IF(DG!$A$131&gt;7,0,IF(J44-J43&gt;0,MROUND((L44/12*Q43),1),MROUND(L44/12*P43,1)))</f>
        <v>60</v>
      </c>
      <c r="P44" s="204">
        <f t="shared" si="11"/>
        <v>14197</v>
      </c>
      <c r="Q44" s="204">
        <f t="shared" si="4"/>
        <v>14197</v>
      </c>
      <c r="R44" s="748">
        <v>0</v>
      </c>
    </row>
    <row r="45" spans="1:19" ht="14" thickTop="1" thickBot="1">
      <c r="A45" s="202">
        <f t="shared" si="5"/>
        <v>45870</v>
      </c>
      <c r="B45" s="65">
        <f>IF(OR(J$45=0,DG!$A$131&gt;7),0,B44+1)</f>
        <v>20</v>
      </c>
      <c r="C45" s="65">
        <f t="shared" si="0"/>
        <v>20</v>
      </c>
      <c r="D45" s="65">
        <f t="shared" si="12"/>
        <v>20</v>
      </c>
      <c r="E45" s="65">
        <f t="shared" si="6"/>
        <v>20</v>
      </c>
      <c r="F45" s="65">
        <f>IF(OR(L$45=0,DG!$A$252&gt;7),0,F44+1)</f>
        <v>20</v>
      </c>
      <c r="G45" s="65">
        <f t="shared" si="1"/>
        <v>0</v>
      </c>
      <c r="H45" s="65">
        <f t="shared" si="2"/>
        <v>20</v>
      </c>
      <c r="I45" s="65">
        <f t="shared" si="3"/>
        <v>-1</v>
      </c>
      <c r="J45" s="203">
        <f>IF(DG!$A$131&lt;=7,$M$17,0)</f>
        <v>20000</v>
      </c>
      <c r="K45" s="65">
        <f t="shared" si="7"/>
        <v>60</v>
      </c>
      <c r="L45" s="473">
        <f t="shared" si="8"/>
        <v>5.0000100000000006E-2</v>
      </c>
      <c r="M45" s="204">
        <f t="shared" si="13"/>
        <v>377.42476450902444</v>
      </c>
      <c r="N45" s="505">
        <f t="shared" si="10"/>
        <v>318</v>
      </c>
      <c r="O45" s="204">
        <f>IF(DG!$A$131&gt;7,0,IF(J45-J44&gt;0,MROUND((L45/12*Q44),1),MROUND(L45/12*P44,1)))</f>
        <v>59</v>
      </c>
      <c r="P45" s="204">
        <f t="shared" si="11"/>
        <v>13879</v>
      </c>
      <c r="Q45" s="204">
        <f t="shared" si="4"/>
        <v>13879</v>
      </c>
      <c r="R45" s="748">
        <v>0</v>
      </c>
    </row>
    <row r="46" spans="1:19" ht="14" thickTop="1" thickBot="1">
      <c r="A46" s="202">
        <f t="shared" si="5"/>
        <v>45901</v>
      </c>
      <c r="B46" s="65">
        <f>IF(OR(J$46=0,DG!$A$131&gt;7),0,B45+1)</f>
        <v>21</v>
      </c>
      <c r="C46" s="65">
        <f t="shared" si="0"/>
        <v>21</v>
      </c>
      <c r="D46" s="65">
        <f t="shared" si="12"/>
        <v>21</v>
      </c>
      <c r="E46" s="65">
        <f t="shared" si="6"/>
        <v>21</v>
      </c>
      <c r="F46" s="65">
        <f>IF(OR(L$46=0,DG!$A$252&gt;7),0,F45+1)</f>
        <v>21</v>
      </c>
      <c r="G46" s="65">
        <f t="shared" si="1"/>
        <v>0</v>
      </c>
      <c r="H46" s="65">
        <f t="shared" si="2"/>
        <v>21</v>
      </c>
      <c r="I46" s="65">
        <f t="shared" si="3"/>
        <v>-1</v>
      </c>
      <c r="J46" s="203">
        <f>IF(DG!$A$131&lt;=7,$M$17,0)</f>
        <v>20000</v>
      </c>
      <c r="K46" s="65">
        <f t="shared" si="7"/>
        <v>60</v>
      </c>
      <c r="L46" s="473">
        <f t="shared" si="8"/>
        <v>5.0000100000000006E-2</v>
      </c>
      <c r="M46" s="204">
        <f t="shared" si="13"/>
        <v>377.42476450902444</v>
      </c>
      <c r="N46" s="505">
        <f t="shared" si="10"/>
        <v>320</v>
      </c>
      <c r="O46" s="204">
        <f>IF(DG!$A$131&gt;7,0,IF(J46-J45&gt;0,MROUND((L46/12*Q45),1),MROUND(L46/12*P45,1)))</f>
        <v>58</v>
      </c>
      <c r="P46" s="204">
        <f t="shared" si="11"/>
        <v>13559</v>
      </c>
      <c r="Q46" s="204">
        <f t="shared" si="4"/>
        <v>13559</v>
      </c>
      <c r="R46" s="748">
        <v>0</v>
      </c>
    </row>
    <row r="47" spans="1:19" ht="14" thickTop="1" thickBot="1">
      <c r="A47" s="202">
        <f t="shared" si="5"/>
        <v>45931</v>
      </c>
      <c r="B47" s="65">
        <f>IF(OR(J$47=0,DG!$A$131&gt;8),0,B46+1)</f>
        <v>22</v>
      </c>
      <c r="C47" s="65">
        <f t="shared" si="0"/>
        <v>22</v>
      </c>
      <c r="D47" s="65">
        <f t="shared" si="12"/>
        <v>22</v>
      </c>
      <c r="E47" s="65">
        <f t="shared" si="6"/>
        <v>22</v>
      </c>
      <c r="F47" s="65">
        <f>IF(OR(L$47=0,DG!$A$252&gt;8),0,F46+1)</f>
        <v>22</v>
      </c>
      <c r="G47" s="65">
        <f t="shared" si="1"/>
        <v>0</v>
      </c>
      <c r="H47" s="65">
        <f t="shared" si="2"/>
        <v>22</v>
      </c>
      <c r="I47" s="65">
        <f t="shared" si="3"/>
        <v>-1</v>
      </c>
      <c r="J47" s="203">
        <f>IF(DG!$A$131&lt;=8,$M$17,0)</f>
        <v>20000</v>
      </c>
      <c r="K47" s="65">
        <f t="shared" si="7"/>
        <v>60</v>
      </c>
      <c r="L47" s="473">
        <f t="shared" si="8"/>
        <v>5.0000100000000006E-2</v>
      </c>
      <c r="M47" s="204">
        <f t="shared" si="13"/>
        <v>377.42476450902444</v>
      </c>
      <c r="N47" s="505">
        <f t="shared" si="10"/>
        <v>321</v>
      </c>
      <c r="O47" s="204">
        <f>IF(DG!$A$131&gt;8,0,IF(J47-J46&gt;0,MROUND((L47/12*Q46),1),MROUND(L47/12*P46,1)))</f>
        <v>56</v>
      </c>
      <c r="P47" s="204">
        <f t="shared" si="11"/>
        <v>13238</v>
      </c>
      <c r="Q47" s="204">
        <f t="shared" si="4"/>
        <v>13238</v>
      </c>
      <c r="R47" s="748">
        <v>0</v>
      </c>
    </row>
    <row r="48" spans="1:19" ht="14" thickTop="1" thickBot="1">
      <c r="A48" s="202">
        <f t="shared" si="5"/>
        <v>45962</v>
      </c>
      <c r="B48" s="65">
        <f>IF(OR(J$48=0,DG!$A$131&gt;8),0,B47+1)</f>
        <v>23</v>
      </c>
      <c r="C48" s="65">
        <f t="shared" si="0"/>
        <v>23</v>
      </c>
      <c r="D48" s="65">
        <f t="shared" si="12"/>
        <v>23</v>
      </c>
      <c r="E48" s="65">
        <f t="shared" si="6"/>
        <v>23</v>
      </c>
      <c r="F48" s="65">
        <f>IF(OR(L$48=0,DG!$A$252&gt;8),0,F47+1)</f>
        <v>23</v>
      </c>
      <c r="G48" s="65">
        <f t="shared" si="1"/>
        <v>0</v>
      </c>
      <c r="H48" s="65">
        <f t="shared" si="2"/>
        <v>23</v>
      </c>
      <c r="I48" s="65">
        <f t="shared" si="3"/>
        <v>-1</v>
      </c>
      <c r="J48" s="203">
        <f>IF(DG!$A$131&lt;=8,$M$17,0)</f>
        <v>20000</v>
      </c>
      <c r="K48" s="65">
        <f t="shared" si="7"/>
        <v>60</v>
      </c>
      <c r="L48" s="473">
        <f t="shared" si="8"/>
        <v>5.0000100000000006E-2</v>
      </c>
      <c r="M48" s="204">
        <f t="shared" si="13"/>
        <v>377.42476450902444</v>
      </c>
      <c r="N48" s="505">
        <f t="shared" si="10"/>
        <v>322</v>
      </c>
      <c r="O48" s="204">
        <f>IF(DG!$A$131&gt;8,0,IF(J48-J47&gt;0,MROUND((L48/12*Q47),1),MROUND(L48/12*P47,1)))</f>
        <v>55</v>
      </c>
      <c r="P48" s="204">
        <f t="shared" si="11"/>
        <v>12916</v>
      </c>
      <c r="Q48" s="204">
        <f t="shared" si="4"/>
        <v>12916</v>
      </c>
      <c r="R48" s="748">
        <v>0</v>
      </c>
    </row>
    <row r="49" spans="1:19" ht="14" thickTop="1" thickBot="1">
      <c r="A49" s="202">
        <f t="shared" si="5"/>
        <v>45992</v>
      </c>
      <c r="B49" s="65">
        <f>IF(OR(J$49=0,DG!$A$131&gt;8),0,B48+1)</f>
        <v>24</v>
      </c>
      <c r="C49" s="65">
        <f t="shared" si="0"/>
        <v>24</v>
      </c>
      <c r="D49" s="65">
        <f t="shared" si="12"/>
        <v>24</v>
      </c>
      <c r="E49" s="65">
        <f t="shared" si="6"/>
        <v>24</v>
      </c>
      <c r="F49" s="65">
        <f>IF(OR(L$49=0,DG!$A$252&gt;8),0,F48+1)</f>
        <v>24</v>
      </c>
      <c r="G49" s="65">
        <f t="shared" si="1"/>
        <v>0</v>
      </c>
      <c r="H49" s="65">
        <f t="shared" si="2"/>
        <v>24</v>
      </c>
      <c r="I49" s="65">
        <f t="shared" si="3"/>
        <v>-1</v>
      </c>
      <c r="J49" s="203">
        <f>IF(DG!$A$131&lt;=8,$M$17,0)</f>
        <v>20000</v>
      </c>
      <c r="K49" s="65">
        <f t="shared" si="7"/>
        <v>60</v>
      </c>
      <c r="L49" s="473">
        <f t="shared" si="8"/>
        <v>5.0000100000000006E-2</v>
      </c>
      <c r="M49" s="204">
        <f t="shared" si="13"/>
        <v>377.42476450902444</v>
      </c>
      <c r="N49" s="505">
        <f t="shared" si="10"/>
        <v>324</v>
      </c>
      <c r="O49" s="204">
        <f>IF(DG!$A$131&gt;8,0,IF(J49-J48&gt;0,MROUND((L49/12*Q48),1),MROUND(L49/12*P48,1)))</f>
        <v>54</v>
      </c>
      <c r="P49" s="204">
        <f t="shared" si="11"/>
        <v>12592</v>
      </c>
      <c r="Q49" s="204">
        <f t="shared" si="4"/>
        <v>12592</v>
      </c>
      <c r="R49" s="748">
        <v>0</v>
      </c>
      <c r="S49" s="511">
        <f>SUM(N38:N49)</f>
        <v>3796</v>
      </c>
    </row>
    <row r="50" spans="1:19" ht="14" thickTop="1" thickBot="1">
      <c r="A50" s="202">
        <f t="shared" si="5"/>
        <v>46023</v>
      </c>
      <c r="B50" s="65">
        <f>IF(OR(J$50=0,DG!$A$131&gt;9),0,B49+1)</f>
        <v>25</v>
      </c>
      <c r="C50" s="65">
        <f>IF(F50-$E$269&gt;0,F50-$E$269,0)</f>
        <v>25</v>
      </c>
      <c r="D50" s="65">
        <f t="shared" si="12"/>
        <v>25</v>
      </c>
      <c r="E50" s="65">
        <f t="shared" si="6"/>
        <v>25</v>
      </c>
      <c r="F50" s="65">
        <f>IF(OR(L$50=0,DG!$A$252&gt;9),0,F49+1)</f>
        <v>25</v>
      </c>
      <c r="G50" s="65">
        <f t="shared" si="1"/>
        <v>0</v>
      </c>
      <c r="H50" s="65">
        <f t="shared" si="2"/>
        <v>25</v>
      </c>
      <c r="I50" s="65">
        <f t="shared" si="3"/>
        <v>-1</v>
      </c>
      <c r="J50" s="203">
        <f>IF(DG!$A$131&lt;=9,$M$17,0)</f>
        <v>20000</v>
      </c>
      <c r="K50" s="65">
        <f t="shared" si="7"/>
        <v>60</v>
      </c>
      <c r="L50" s="473">
        <f t="shared" si="8"/>
        <v>5.0000100000000006E-2</v>
      </c>
      <c r="M50" s="204">
        <f t="shared" si="13"/>
        <v>377.42476450902444</v>
      </c>
      <c r="N50" s="505">
        <f t="shared" si="10"/>
        <v>325</v>
      </c>
      <c r="O50" s="204">
        <f>IF(DG!$A$131&gt;9,0,IF(J50-J49&gt;0,MROUND((L50/12*Q49),1),MROUND(L50/12*P49,1)))</f>
        <v>52</v>
      </c>
      <c r="P50" s="204">
        <f t="shared" si="11"/>
        <v>12267</v>
      </c>
      <c r="Q50" s="204">
        <f t="shared" si="4"/>
        <v>12267</v>
      </c>
      <c r="R50" s="748">
        <v>0</v>
      </c>
    </row>
    <row r="51" spans="1:19" ht="14" thickTop="1" thickBot="1">
      <c r="A51" s="202">
        <f t="shared" si="5"/>
        <v>46054</v>
      </c>
      <c r="B51" s="65">
        <f>IF(OR(J$50=0,DG!$A$131&gt;10),0,B50+1)</f>
        <v>26</v>
      </c>
      <c r="C51" s="65">
        <f t="shared" ref="C51:C114" si="14">IF(F51-$E$269&gt;0,F51-$E$269,0)</f>
        <v>26</v>
      </c>
      <c r="D51" s="65">
        <f t="shared" si="12"/>
        <v>26</v>
      </c>
      <c r="E51" s="65">
        <f t="shared" si="6"/>
        <v>26</v>
      </c>
      <c r="F51" s="65">
        <f>IF(OR(L$51=0,DG!$A$252&gt;9),0,F50+1)</f>
        <v>26</v>
      </c>
      <c r="G51" s="65">
        <f t="shared" si="1"/>
        <v>0</v>
      </c>
      <c r="H51" s="65">
        <f t="shared" si="2"/>
        <v>26</v>
      </c>
      <c r="I51" s="65">
        <f t="shared" si="3"/>
        <v>-1</v>
      </c>
      <c r="J51" s="203">
        <f>IF(DG!$A$131&lt;=10,$M$17,0)</f>
        <v>20000</v>
      </c>
      <c r="K51" s="65">
        <f t="shared" si="7"/>
        <v>60</v>
      </c>
      <c r="L51" s="473">
        <f t="shared" si="8"/>
        <v>5.0000100000000006E-2</v>
      </c>
      <c r="M51" s="204">
        <f t="shared" si="13"/>
        <v>377.42476450902444</v>
      </c>
      <c r="N51" s="505">
        <f t="shared" si="10"/>
        <v>326</v>
      </c>
      <c r="O51" s="204">
        <f>IF(DG!$A$131&gt;9,0,IF(J51-J50&gt;0,MROUND((L51/12*Q50),1),MROUND(L51/12*P50,1)))</f>
        <v>51</v>
      </c>
      <c r="P51" s="204">
        <f t="shared" si="11"/>
        <v>11941</v>
      </c>
      <c r="Q51" s="204">
        <f t="shared" si="4"/>
        <v>11941</v>
      </c>
      <c r="R51" s="748">
        <v>0</v>
      </c>
    </row>
    <row r="52" spans="1:19" ht="14" thickTop="1" thickBot="1">
      <c r="A52" s="202">
        <f t="shared" si="5"/>
        <v>46082</v>
      </c>
      <c r="B52" s="65">
        <f t="shared" ref="B52:B61" si="15">IF(J$51=0,0,B51+1)</f>
        <v>27</v>
      </c>
      <c r="C52" s="65">
        <f t="shared" si="14"/>
        <v>27</v>
      </c>
      <c r="D52" s="65">
        <f t="shared" si="12"/>
        <v>27</v>
      </c>
      <c r="E52" s="65">
        <f t="shared" si="6"/>
        <v>27</v>
      </c>
      <c r="F52" s="65">
        <f>IF(OR(L$52=0,DG!$A$252&gt;9),0,F51+1)</f>
        <v>27</v>
      </c>
      <c r="G52" s="65">
        <f t="shared" si="1"/>
        <v>0</v>
      </c>
      <c r="H52" s="65">
        <f t="shared" si="2"/>
        <v>27</v>
      </c>
      <c r="I52" s="65">
        <f t="shared" si="3"/>
        <v>-1</v>
      </c>
      <c r="J52" s="203">
        <f>IF(DG!$A$131&lt;=10,$M$17,0)</f>
        <v>20000</v>
      </c>
      <c r="K52" s="65">
        <f t="shared" si="7"/>
        <v>60</v>
      </c>
      <c r="L52" s="473">
        <f t="shared" si="8"/>
        <v>5.0000100000000006E-2</v>
      </c>
      <c r="M52" s="204">
        <f t="shared" si="13"/>
        <v>377.42476450902444</v>
      </c>
      <c r="N52" s="505">
        <f t="shared" si="10"/>
        <v>328</v>
      </c>
      <c r="O52" s="204">
        <f>IF(DG!$A$131&gt;9,0,IF(J52-J51&gt;0,MROUND((L52/12*Q51),1),MROUND(L52/12*P51,1)))</f>
        <v>50</v>
      </c>
      <c r="P52" s="204">
        <f t="shared" si="11"/>
        <v>11613</v>
      </c>
      <c r="Q52" s="204">
        <f t="shared" si="4"/>
        <v>11613</v>
      </c>
      <c r="R52" s="748">
        <v>0</v>
      </c>
    </row>
    <row r="53" spans="1:19" ht="14" thickTop="1" thickBot="1">
      <c r="A53" s="202">
        <f t="shared" si="5"/>
        <v>46113</v>
      </c>
      <c r="B53" s="65">
        <f t="shared" si="15"/>
        <v>28</v>
      </c>
      <c r="C53" s="65">
        <f t="shared" si="14"/>
        <v>28</v>
      </c>
      <c r="D53" s="65">
        <f t="shared" si="12"/>
        <v>28</v>
      </c>
      <c r="E53" s="65">
        <f t="shared" si="6"/>
        <v>28</v>
      </c>
      <c r="F53" s="65">
        <f>IF(OR(L$53=0,DG!$A$252&gt;10),0,F52+1)</f>
        <v>28</v>
      </c>
      <c r="G53" s="65">
        <f t="shared" si="1"/>
        <v>0</v>
      </c>
      <c r="H53" s="65">
        <f t="shared" si="2"/>
        <v>28</v>
      </c>
      <c r="I53" s="65">
        <f t="shared" si="3"/>
        <v>-1</v>
      </c>
      <c r="J53" s="203">
        <f>IF(DG!$A$131&lt;=10,$M$17,0)</f>
        <v>20000</v>
      </c>
      <c r="K53" s="65">
        <f t="shared" si="7"/>
        <v>60</v>
      </c>
      <c r="L53" s="473">
        <f t="shared" si="8"/>
        <v>5.0000100000000006E-2</v>
      </c>
      <c r="M53" s="204">
        <f t="shared" si="13"/>
        <v>377.42476450902444</v>
      </c>
      <c r="N53" s="505">
        <f t="shared" si="10"/>
        <v>329</v>
      </c>
      <c r="O53" s="204">
        <f>IF(DG!$A$131&gt;10,0,IF(J53-J52&gt;0,MROUND((L53/12*Q52),1),MROUND(L53/12*P52,1)))</f>
        <v>48</v>
      </c>
      <c r="P53" s="204">
        <f t="shared" si="11"/>
        <v>11284</v>
      </c>
      <c r="Q53" s="204">
        <f t="shared" si="4"/>
        <v>11284</v>
      </c>
      <c r="R53" s="748">
        <v>0</v>
      </c>
    </row>
    <row r="54" spans="1:19" ht="14" thickTop="1" thickBot="1">
      <c r="A54" s="202">
        <f t="shared" si="5"/>
        <v>46143</v>
      </c>
      <c r="B54" s="65">
        <f t="shared" si="15"/>
        <v>29</v>
      </c>
      <c r="C54" s="65">
        <f t="shared" si="14"/>
        <v>29</v>
      </c>
      <c r="D54" s="65">
        <f t="shared" si="12"/>
        <v>29</v>
      </c>
      <c r="E54" s="65">
        <f t="shared" si="6"/>
        <v>29</v>
      </c>
      <c r="F54" s="65">
        <f>IF(OR(L$54=0,DG!$A$252&gt;10),0,F53+1)</f>
        <v>29</v>
      </c>
      <c r="G54" s="65">
        <f t="shared" si="1"/>
        <v>0</v>
      </c>
      <c r="H54" s="65">
        <f t="shared" si="2"/>
        <v>29</v>
      </c>
      <c r="I54" s="65">
        <f t="shared" si="3"/>
        <v>-1</v>
      </c>
      <c r="J54" s="203">
        <f>IF(DG!$A$131&lt;=10,$M$17,0)</f>
        <v>20000</v>
      </c>
      <c r="K54" s="65">
        <f t="shared" si="7"/>
        <v>60</v>
      </c>
      <c r="L54" s="473">
        <f t="shared" si="8"/>
        <v>5.0000100000000006E-2</v>
      </c>
      <c r="M54" s="204">
        <f t="shared" si="13"/>
        <v>377.42476450902444</v>
      </c>
      <c r="N54" s="505">
        <f t="shared" si="10"/>
        <v>330</v>
      </c>
      <c r="O54" s="204">
        <f>IF(DG!$A$131&gt;10,0,IF(J54-J53&gt;0,MROUND((L54/12*Q53),1),MROUND(L54/12*P53,1)))</f>
        <v>47</v>
      </c>
      <c r="P54" s="204">
        <f t="shared" si="11"/>
        <v>10954</v>
      </c>
      <c r="Q54" s="204">
        <f t="shared" si="4"/>
        <v>10954</v>
      </c>
      <c r="R54" s="748">
        <v>0</v>
      </c>
    </row>
    <row r="55" spans="1:19" ht="14" thickTop="1" thickBot="1">
      <c r="A55" s="202">
        <f t="shared" si="5"/>
        <v>46174</v>
      </c>
      <c r="B55" s="65">
        <f t="shared" si="15"/>
        <v>30</v>
      </c>
      <c r="C55" s="65">
        <f t="shared" si="14"/>
        <v>30</v>
      </c>
      <c r="D55" s="65">
        <f t="shared" si="12"/>
        <v>30</v>
      </c>
      <c r="E55" s="65">
        <f t="shared" si="6"/>
        <v>30</v>
      </c>
      <c r="F55" s="65">
        <f>IF(OR(L$55=0,DG!$A$252&gt;10),0,F54+1)</f>
        <v>30</v>
      </c>
      <c r="G55" s="65">
        <f t="shared" si="1"/>
        <v>0</v>
      </c>
      <c r="H55" s="65">
        <f t="shared" si="2"/>
        <v>30</v>
      </c>
      <c r="I55" s="65">
        <f t="shared" si="3"/>
        <v>-1</v>
      </c>
      <c r="J55" s="203">
        <f>IF(DG!$A$131&lt;=10,$M$17,0)</f>
        <v>20000</v>
      </c>
      <c r="K55" s="65">
        <f t="shared" si="7"/>
        <v>60</v>
      </c>
      <c r="L55" s="473">
        <f t="shared" si="8"/>
        <v>5.0000100000000006E-2</v>
      </c>
      <c r="M55" s="204">
        <f t="shared" si="13"/>
        <v>377.42476450902444</v>
      </c>
      <c r="N55" s="505">
        <f t="shared" si="10"/>
        <v>332</v>
      </c>
      <c r="O55" s="204">
        <f>IF(DG!$A$131&gt;10,0,IF(J55-J54&gt;0,MROUND((L55/12*Q54),1),MROUND(L55/12*P54,1)))</f>
        <v>46</v>
      </c>
      <c r="P55" s="204">
        <f t="shared" si="11"/>
        <v>10622</v>
      </c>
      <c r="Q55" s="204">
        <f t="shared" si="4"/>
        <v>10622</v>
      </c>
      <c r="R55" s="748">
        <v>0</v>
      </c>
    </row>
    <row r="56" spans="1:19" ht="14" thickTop="1" thickBot="1">
      <c r="A56" s="202">
        <f t="shared" si="5"/>
        <v>46204</v>
      </c>
      <c r="B56" s="65">
        <f t="shared" si="15"/>
        <v>31</v>
      </c>
      <c r="C56" s="65">
        <f t="shared" si="14"/>
        <v>31</v>
      </c>
      <c r="D56" s="65">
        <f t="shared" si="12"/>
        <v>31</v>
      </c>
      <c r="E56" s="65">
        <f t="shared" si="6"/>
        <v>31</v>
      </c>
      <c r="F56" s="65">
        <f>IF(OR(L$56=0,DG!$A$252&gt;11),0,F55+1)</f>
        <v>31</v>
      </c>
      <c r="G56" s="65">
        <f t="shared" si="1"/>
        <v>0</v>
      </c>
      <c r="H56" s="65">
        <f t="shared" si="2"/>
        <v>31</v>
      </c>
      <c r="I56" s="65">
        <f t="shared" si="3"/>
        <v>-1</v>
      </c>
      <c r="J56" s="203">
        <f>IF(DG!$A$131&lt;=10,$M$17,0)</f>
        <v>20000</v>
      </c>
      <c r="K56" s="65">
        <f t="shared" si="7"/>
        <v>60</v>
      </c>
      <c r="L56" s="473">
        <f t="shared" si="8"/>
        <v>5.0000100000000006E-2</v>
      </c>
      <c r="M56" s="204">
        <f t="shared" si="13"/>
        <v>377.42476450902444</v>
      </c>
      <c r="N56" s="505">
        <f t="shared" si="10"/>
        <v>333</v>
      </c>
      <c r="O56" s="204">
        <f>IF(DG!$A$131&gt;10,0,IF(J56-J55&gt;0,MROUND((L56/12*Q55),1),MROUND(L56/12*P55,1)))</f>
        <v>44</v>
      </c>
      <c r="P56" s="204">
        <f t="shared" si="11"/>
        <v>10289</v>
      </c>
      <c r="Q56" s="204">
        <f t="shared" si="4"/>
        <v>10289</v>
      </c>
      <c r="R56" s="748">
        <v>0</v>
      </c>
    </row>
    <row r="57" spans="1:19" ht="14" thickTop="1" thickBot="1">
      <c r="A57" s="202">
        <f t="shared" si="5"/>
        <v>46235</v>
      </c>
      <c r="B57" s="65">
        <f t="shared" si="15"/>
        <v>32</v>
      </c>
      <c r="C57" s="65">
        <f t="shared" si="14"/>
        <v>32</v>
      </c>
      <c r="D57" s="65">
        <f t="shared" si="12"/>
        <v>32</v>
      </c>
      <c r="E57" s="65">
        <f t="shared" si="6"/>
        <v>32</v>
      </c>
      <c r="F57" s="65">
        <f>IF(OR(L$57=0,DG!$A$252&gt;11),0,F56+1)</f>
        <v>32</v>
      </c>
      <c r="G57" s="65">
        <f t="shared" si="1"/>
        <v>0</v>
      </c>
      <c r="H57" s="65">
        <f t="shared" si="2"/>
        <v>32</v>
      </c>
      <c r="I57" s="65">
        <f t="shared" si="3"/>
        <v>-1</v>
      </c>
      <c r="J57" s="203">
        <f>IF(DG!$A$131&lt;=10,$M$17,0)</f>
        <v>20000</v>
      </c>
      <c r="K57" s="65">
        <f t="shared" si="7"/>
        <v>60</v>
      </c>
      <c r="L57" s="473">
        <f t="shared" si="8"/>
        <v>5.0000100000000006E-2</v>
      </c>
      <c r="M57" s="204">
        <f t="shared" si="13"/>
        <v>377.42476450902444</v>
      </c>
      <c r="N57" s="505">
        <f t="shared" si="10"/>
        <v>335</v>
      </c>
      <c r="O57" s="204">
        <f>IF(DG!$A$131&gt;10,0,IF(J57-J56&gt;0,MROUND((L57/12*Q56),1),MROUND(L57/12*P56,1)))</f>
        <v>43</v>
      </c>
      <c r="P57" s="204">
        <f t="shared" si="11"/>
        <v>9954</v>
      </c>
      <c r="Q57" s="204">
        <f t="shared" si="4"/>
        <v>9954</v>
      </c>
      <c r="R57" s="748">
        <v>0</v>
      </c>
    </row>
    <row r="58" spans="1:19" ht="14" thickTop="1" thickBot="1">
      <c r="A58" s="202">
        <f t="shared" si="5"/>
        <v>46266</v>
      </c>
      <c r="B58" s="65">
        <f t="shared" si="15"/>
        <v>33</v>
      </c>
      <c r="C58" s="65">
        <f t="shared" si="14"/>
        <v>33</v>
      </c>
      <c r="D58" s="65">
        <f t="shared" si="12"/>
        <v>33</v>
      </c>
      <c r="E58" s="65">
        <f t="shared" si="6"/>
        <v>33</v>
      </c>
      <c r="F58" s="65">
        <f>IF(OR(L$58=0,DG!$A$252&gt;11),0,F57+1)</f>
        <v>33</v>
      </c>
      <c r="G58" s="65">
        <f t="shared" si="1"/>
        <v>0</v>
      </c>
      <c r="H58" s="65">
        <f t="shared" si="2"/>
        <v>33</v>
      </c>
      <c r="I58" s="65">
        <f t="shared" si="3"/>
        <v>-1</v>
      </c>
      <c r="J58" s="203">
        <f>IF(DG!$A$131&lt;=10,$M$17,0)</f>
        <v>20000</v>
      </c>
      <c r="K58" s="65">
        <f t="shared" si="7"/>
        <v>60</v>
      </c>
      <c r="L58" s="473">
        <f t="shared" si="8"/>
        <v>5.0000100000000006E-2</v>
      </c>
      <c r="M58" s="204">
        <f t="shared" si="13"/>
        <v>377.42476450902444</v>
      </c>
      <c r="N58" s="505">
        <f t="shared" si="10"/>
        <v>336</v>
      </c>
      <c r="O58" s="204">
        <f>IF(DG!$A$131&gt;10,0,IF(J58-J57&gt;0,MROUND((L58/12*Q57),1),MROUND(L58/12*P57,1)))</f>
        <v>41</v>
      </c>
      <c r="P58" s="204">
        <f t="shared" si="11"/>
        <v>9618</v>
      </c>
      <c r="Q58" s="204">
        <f t="shared" si="4"/>
        <v>9618</v>
      </c>
      <c r="R58" s="748">
        <v>0</v>
      </c>
    </row>
    <row r="59" spans="1:19" ht="14" thickTop="1" thickBot="1">
      <c r="A59" s="202">
        <f t="shared" si="5"/>
        <v>46296</v>
      </c>
      <c r="B59" s="65">
        <f t="shared" si="15"/>
        <v>34</v>
      </c>
      <c r="C59" s="65">
        <f t="shared" si="14"/>
        <v>34</v>
      </c>
      <c r="D59" s="65">
        <f t="shared" si="12"/>
        <v>34</v>
      </c>
      <c r="E59" s="65">
        <f t="shared" si="6"/>
        <v>34</v>
      </c>
      <c r="F59" s="65">
        <f>IF(OR(L$59=0,DG!$A$252&gt;12),0,F58+1)</f>
        <v>34</v>
      </c>
      <c r="G59" s="65">
        <f t="shared" si="1"/>
        <v>0</v>
      </c>
      <c r="H59" s="65">
        <f t="shared" si="2"/>
        <v>34</v>
      </c>
      <c r="I59" s="65">
        <f t="shared" si="3"/>
        <v>-1</v>
      </c>
      <c r="J59" s="203">
        <f>IF(DG!$A$131&lt;=10,$M$17,0)</f>
        <v>20000</v>
      </c>
      <c r="K59" s="65">
        <f t="shared" si="7"/>
        <v>60</v>
      </c>
      <c r="L59" s="473">
        <f t="shared" si="8"/>
        <v>5.0000100000000006E-2</v>
      </c>
      <c r="M59" s="204">
        <f t="shared" si="13"/>
        <v>377.42476450902444</v>
      </c>
      <c r="N59" s="505">
        <f t="shared" si="10"/>
        <v>337</v>
      </c>
      <c r="O59" s="204">
        <f>IF(DG!$A$131&gt;10,0,IF(J59-J58&gt;0,MROUND((L59/12*Q58),1),MROUND(L59/12*P58,1)))</f>
        <v>40</v>
      </c>
      <c r="P59" s="204">
        <f t="shared" si="11"/>
        <v>9281</v>
      </c>
      <c r="Q59" s="204">
        <f t="shared" si="4"/>
        <v>9281</v>
      </c>
      <c r="R59" s="748">
        <v>0</v>
      </c>
    </row>
    <row r="60" spans="1:19" ht="14" thickTop="1" thickBot="1">
      <c r="A60" s="202">
        <f t="shared" si="5"/>
        <v>46327</v>
      </c>
      <c r="B60" s="65">
        <f t="shared" si="15"/>
        <v>35</v>
      </c>
      <c r="C60" s="65">
        <f t="shared" si="14"/>
        <v>35</v>
      </c>
      <c r="D60" s="65">
        <f t="shared" si="12"/>
        <v>35</v>
      </c>
      <c r="E60" s="65">
        <f t="shared" si="6"/>
        <v>35</v>
      </c>
      <c r="F60" s="65">
        <f>IF(OR(L$60=0,DG!$A$252&gt;12),0,F59+1)</f>
        <v>35</v>
      </c>
      <c r="G60" s="65">
        <f t="shared" si="1"/>
        <v>0</v>
      </c>
      <c r="H60" s="65">
        <f t="shared" si="2"/>
        <v>35</v>
      </c>
      <c r="I60" s="65">
        <f t="shared" si="3"/>
        <v>-1</v>
      </c>
      <c r="J60" s="203">
        <f>IF(DG!$A$131&lt;=10,$M$17,0)</f>
        <v>20000</v>
      </c>
      <c r="K60" s="65">
        <f t="shared" si="7"/>
        <v>60</v>
      </c>
      <c r="L60" s="473">
        <f t="shared" si="8"/>
        <v>5.0000100000000006E-2</v>
      </c>
      <c r="M60" s="204">
        <f t="shared" si="13"/>
        <v>377.42476450902444</v>
      </c>
      <c r="N60" s="505">
        <f t="shared" si="10"/>
        <v>339</v>
      </c>
      <c r="O60" s="204">
        <f>IF(DG!$A$131&gt;10,0,IF(J60-J59&gt;0,MROUND((L60/12*Q59),1),MROUND(L60/12*P59,1)))</f>
        <v>39</v>
      </c>
      <c r="P60" s="204">
        <f t="shared" si="11"/>
        <v>8942</v>
      </c>
      <c r="Q60" s="204">
        <f t="shared" si="4"/>
        <v>8942</v>
      </c>
      <c r="R60" s="748">
        <v>0</v>
      </c>
    </row>
    <row r="61" spans="1:19" ht="14" thickTop="1" thickBot="1">
      <c r="A61" s="202">
        <f t="shared" si="5"/>
        <v>46357</v>
      </c>
      <c r="B61" s="65">
        <f t="shared" si="15"/>
        <v>36</v>
      </c>
      <c r="C61" s="65">
        <f t="shared" si="14"/>
        <v>36</v>
      </c>
      <c r="D61" s="65">
        <f t="shared" si="12"/>
        <v>36</v>
      </c>
      <c r="E61" s="65">
        <f t="shared" si="6"/>
        <v>36</v>
      </c>
      <c r="F61" s="65">
        <f>IF(OR(L$61=0,DG!$A$252&gt;12),0,F60+1)</f>
        <v>36</v>
      </c>
      <c r="G61" s="65">
        <f t="shared" si="1"/>
        <v>0</v>
      </c>
      <c r="H61" s="65">
        <f t="shared" si="2"/>
        <v>36</v>
      </c>
      <c r="I61" s="65">
        <f t="shared" si="3"/>
        <v>-1</v>
      </c>
      <c r="J61" s="203">
        <f>IF(DG!$A$131&lt;=10,$M$17,0)</f>
        <v>20000</v>
      </c>
      <c r="K61" s="65">
        <f t="shared" si="7"/>
        <v>60</v>
      </c>
      <c r="L61" s="473">
        <f t="shared" si="8"/>
        <v>5.0000100000000006E-2</v>
      </c>
      <c r="M61" s="204">
        <f t="shared" si="13"/>
        <v>377.42476450902444</v>
      </c>
      <c r="N61" s="505">
        <f t="shared" si="10"/>
        <v>340</v>
      </c>
      <c r="O61" s="204">
        <f>IF(DG!$A$131&gt;10,0,IF(J61-J60&gt;0,MROUND((L61/12*Q60),1),MROUND(L61/12*P60,1)))</f>
        <v>37</v>
      </c>
      <c r="P61" s="204">
        <f t="shared" si="11"/>
        <v>8602</v>
      </c>
      <c r="Q61" s="204">
        <f t="shared" si="4"/>
        <v>8602</v>
      </c>
      <c r="R61" s="748">
        <v>0</v>
      </c>
      <c r="S61" s="511">
        <f>SUM(N50:N61)</f>
        <v>3990</v>
      </c>
    </row>
    <row r="62" spans="1:19" ht="14" thickTop="1" thickBot="1">
      <c r="A62" s="202">
        <f t="shared" si="5"/>
        <v>46388</v>
      </c>
      <c r="B62" s="65">
        <f>IF(OR(J$62=0,DG!$A$131&gt;11),0,B61+1)</f>
        <v>37</v>
      </c>
      <c r="C62" s="65">
        <f t="shared" si="14"/>
        <v>37</v>
      </c>
      <c r="D62" s="65">
        <f t="shared" si="12"/>
        <v>37</v>
      </c>
      <c r="E62" s="65">
        <f t="shared" si="6"/>
        <v>37</v>
      </c>
      <c r="F62" s="65">
        <f>IF(OR(L$62=0,DG!$A$252&gt;13),0,F61+1)</f>
        <v>37</v>
      </c>
      <c r="G62" s="65">
        <f t="shared" si="1"/>
        <v>0</v>
      </c>
      <c r="H62" s="65">
        <f t="shared" si="2"/>
        <v>37</v>
      </c>
      <c r="I62" s="65">
        <f t="shared" si="3"/>
        <v>-1</v>
      </c>
      <c r="J62" s="203">
        <f>IF(DG!$A$131&lt;=11,$M$17,0)</f>
        <v>20000</v>
      </c>
      <c r="K62" s="65">
        <f t="shared" si="7"/>
        <v>60</v>
      </c>
      <c r="L62" s="473">
        <f t="shared" si="8"/>
        <v>5.0000100000000006E-2</v>
      </c>
      <c r="M62" s="204">
        <f t="shared" si="13"/>
        <v>377.42476450902444</v>
      </c>
      <c r="N62" s="505">
        <f t="shared" si="10"/>
        <v>342</v>
      </c>
      <c r="O62" s="204">
        <f>IF(DG!$A$131&gt;10,0,IF(J62-J61&gt;0,MROUND((L62/12*Q61),1),MROUND(L62/12*P61,1)))</f>
        <v>36</v>
      </c>
      <c r="P62" s="204">
        <f t="shared" si="11"/>
        <v>8260</v>
      </c>
      <c r="Q62" s="204">
        <f t="shared" si="4"/>
        <v>8260</v>
      </c>
      <c r="R62" s="748">
        <v>0</v>
      </c>
    </row>
    <row r="63" spans="1:19" ht="14" thickTop="1" thickBot="1">
      <c r="A63" s="202">
        <f t="shared" si="5"/>
        <v>46419</v>
      </c>
      <c r="B63" s="65">
        <f>IF(J$63=0,0,B62+1)</f>
        <v>38</v>
      </c>
      <c r="C63" s="65">
        <f t="shared" si="14"/>
        <v>38</v>
      </c>
      <c r="D63" s="65">
        <f t="shared" si="12"/>
        <v>38</v>
      </c>
      <c r="E63" s="65">
        <f t="shared" si="6"/>
        <v>38</v>
      </c>
      <c r="F63" s="65">
        <f>IF(OR(L$63=0,DG!$A$252&gt;13),0,F62+1)</f>
        <v>38</v>
      </c>
      <c r="G63" s="65">
        <f t="shared" si="1"/>
        <v>0</v>
      </c>
      <c r="H63" s="65">
        <f t="shared" si="2"/>
        <v>38</v>
      </c>
      <c r="I63" s="65">
        <f t="shared" si="3"/>
        <v>-1</v>
      </c>
      <c r="J63" s="203">
        <f>IF(DG!$A$131&lt;=11,$M$17,0)</f>
        <v>20000</v>
      </c>
      <c r="K63" s="65">
        <f t="shared" si="7"/>
        <v>60</v>
      </c>
      <c r="L63" s="473">
        <f t="shared" si="8"/>
        <v>5.0000100000000006E-2</v>
      </c>
      <c r="M63" s="204">
        <f t="shared" si="13"/>
        <v>377.42476450902444</v>
      </c>
      <c r="N63" s="505">
        <f t="shared" si="10"/>
        <v>343</v>
      </c>
      <c r="O63" s="204">
        <f>IF(DG!$A$131&gt;10,0,IF(J63-J62&gt;0,MROUND((L63/12*Q62),1),MROUND(L63/12*P62,1)))</f>
        <v>34</v>
      </c>
      <c r="P63" s="204">
        <f t="shared" si="11"/>
        <v>7917</v>
      </c>
      <c r="Q63" s="204">
        <f t="shared" si="4"/>
        <v>7917</v>
      </c>
      <c r="R63" s="748">
        <v>0</v>
      </c>
    </row>
    <row r="64" spans="1:19" ht="14" thickTop="1" thickBot="1">
      <c r="A64" s="202">
        <f t="shared" si="5"/>
        <v>46447</v>
      </c>
      <c r="B64" s="65">
        <f t="shared" ref="B64:B73" si="16">IF(J$63=0,0,B63+1)</f>
        <v>39</v>
      </c>
      <c r="C64" s="65">
        <f t="shared" si="14"/>
        <v>39</v>
      </c>
      <c r="D64" s="65">
        <f t="shared" si="12"/>
        <v>39</v>
      </c>
      <c r="E64" s="65">
        <f t="shared" si="6"/>
        <v>39</v>
      </c>
      <c r="F64" s="65">
        <f>IF(OR(L$64=0,DG!$A$252&gt;13),0,F63+1)</f>
        <v>39</v>
      </c>
      <c r="G64" s="65">
        <f t="shared" si="1"/>
        <v>0</v>
      </c>
      <c r="H64" s="65">
        <f t="shared" si="2"/>
        <v>39</v>
      </c>
      <c r="I64" s="65">
        <f>IF(OR(G64=1,C64=0),0,IF(K64-C64&lt;$G$269,1,-1))</f>
        <v>-1</v>
      </c>
      <c r="J64" s="203">
        <f>IF(DG!$A$131&lt;=11,$M$17,0)</f>
        <v>20000</v>
      </c>
      <c r="K64" s="65">
        <f t="shared" si="7"/>
        <v>60</v>
      </c>
      <c r="L64" s="473">
        <f t="shared" si="8"/>
        <v>5.0000100000000006E-2</v>
      </c>
      <c r="M64" s="204">
        <f t="shared" si="13"/>
        <v>377.42476450902444</v>
      </c>
      <c r="N64" s="505">
        <f t="shared" si="10"/>
        <v>344</v>
      </c>
      <c r="O64" s="204">
        <f>IF(DG!$A$131&gt;10,0,IF(J64-J63&gt;0,MROUND((L64/12*Q63),1),MROUND(L64/12*P63,1)))</f>
        <v>33</v>
      </c>
      <c r="P64" s="204">
        <f t="shared" si="11"/>
        <v>7573</v>
      </c>
      <c r="Q64" s="204">
        <f t="shared" si="4"/>
        <v>7573</v>
      </c>
      <c r="R64" s="748">
        <v>0</v>
      </c>
    </row>
    <row r="65" spans="1:19" ht="14" thickTop="1" thickBot="1">
      <c r="A65" s="202">
        <f t="shared" si="5"/>
        <v>46478</v>
      </c>
      <c r="B65" s="65">
        <f t="shared" si="16"/>
        <v>40</v>
      </c>
      <c r="C65" s="65">
        <f t="shared" si="14"/>
        <v>40</v>
      </c>
      <c r="D65" s="65">
        <f t="shared" si="12"/>
        <v>40</v>
      </c>
      <c r="E65" s="65">
        <f t="shared" si="6"/>
        <v>40</v>
      </c>
      <c r="F65" s="65">
        <f>IF(OR(L$65=0,DG!$A$252&gt;14),0,F64+1)</f>
        <v>40</v>
      </c>
      <c r="G65" s="65">
        <f t="shared" si="1"/>
        <v>0</v>
      </c>
      <c r="H65" s="65">
        <f t="shared" si="2"/>
        <v>40</v>
      </c>
      <c r="I65" s="65">
        <f t="shared" ref="I65:I128" si="17">IF(OR(G65=1,C65=0),0,IF(K65-C65&lt;$G$269,1,-1))</f>
        <v>-1</v>
      </c>
      <c r="J65" s="203">
        <f>IF(DG!$A$131&lt;=11,$M$17,0)</f>
        <v>20000</v>
      </c>
      <c r="K65" s="65">
        <f t="shared" si="7"/>
        <v>60</v>
      </c>
      <c r="L65" s="473">
        <f t="shared" si="8"/>
        <v>5.0000100000000006E-2</v>
      </c>
      <c r="M65" s="204">
        <f t="shared" si="13"/>
        <v>377.42476450902444</v>
      </c>
      <c r="N65" s="505">
        <f t="shared" si="10"/>
        <v>346</v>
      </c>
      <c r="O65" s="204">
        <f>IF(DG!$A$131&gt;11,0,IF(J65-J64&gt;0,MROUND((L65/12*Q64),1),MROUND(L65/12*P64,1)))</f>
        <v>32</v>
      </c>
      <c r="P65" s="204">
        <f t="shared" si="11"/>
        <v>7227</v>
      </c>
      <c r="Q65" s="204">
        <f t="shared" si="4"/>
        <v>7227</v>
      </c>
      <c r="R65" s="748">
        <v>0</v>
      </c>
    </row>
    <row r="66" spans="1:19" ht="14" thickTop="1" thickBot="1">
      <c r="A66" s="202">
        <f t="shared" si="5"/>
        <v>46508</v>
      </c>
      <c r="B66" s="65">
        <f t="shared" si="16"/>
        <v>41</v>
      </c>
      <c r="C66" s="65">
        <f t="shared" si="14"/>
        <v>41</v>
      </c>
      <c r="D66" s="65">
        <f t="shared" si="12"/>
        <v>41</v>
      </c>
      <c r="E66" s="65">
        <f t="shared" si="6"/>
        <v>41</v>
      </c>
      <c r="F66" s="65">
        <f>IF(OR(L$66=0,DG!$A$252&gt;14),0,F65+1)</f>
        <v>41</v>
      </c>
      <c r="G66" s="65">
        <f t="shared" si="1"/>
        <v>0</v>
      </c>
      <c r="H66" s="65">
        <f t="shared" si="2"/>
        <v>41</v>
      </c>
      <c r="I66" s="65">
        <f t="shared" si="17"/>
        <v>-1</v>
      </c>
      <c r="J66" s="203">
        <f>IF(DG!$A$131&lt;=11,$M$17,0)</f>
        <v>20000</v>
      </c>
      <c r="K66" s="65">
        <f t="shared" si="7"/>
        <v>60</v>
      </c>
      <c r="L66" s="473">
        <f t="shared" si="8"/>
        <v>5.0000100000000006E-2</v>
      </c>
      <c r="M66" s="204">
        <f t="shared" si="13"/>
        <v>377.42476450902444</v>
      </c>
      <c r="N66" s="505">
        <f t="shared" si="10"/>
        <v>347</v>
      </c>
      <c r="O66" s="204">
        <f>IF(DG!$A$131&gt;11,0,IF(J66-J65&gt;0,MROUND((L66/12*Q65),1),MROUND(L66/12*P65,1)))</f>
        <v>30</v>
      </c>
      <c r="P66" s="204">
        <f t="shared" si="11"/>
        <v>6880</v>
      </c>
      <c r="Q66" s="204">
        <f t="shared" si="4"/>
        <v>6880</v>
      </c>
      <c r="R66" s="748">
        <v>0</v>
      </c>
    </row>
    <row r="67" spans="1:19" ht="14" thickTop="1" thickBot="1">
      <c r="A67" s="202">
        <f t="shared" si="5"/>
        <v>46539</v>
      </c>
      <c r="B67" s="65">
        <f t="shared" si="16"/>
        <v>42</v>
      </c>
      <c r="C67" s="65">
        <f t="shared" si="14"/>
        <v>42</v>
      </c>
      <c r="D67" s="65">
        <f t="shared" si="12"/>
        <v>42</v>
      </c>
      <c r="E67" s="65">
        <f t="shared" si="6"/>
        <v>42</v>
      </c>
      <c r="F67" s="65">
        <f>IF(OR(L$67=0,DG!$A$252&gt;14),0,F66+1)</f>
        <v>42</v>
      </c>
      <c r="G67" s="65">
        <f t="shared" si="1"/>
        <v>0</v>
      </c>
      <c r="H67" s="65">
        <f t="shared" si="2"/>
        <v>42</v>
      </c>
      <c r="I67" s="65">
        <f t="shared" si="17"/>
        <v>-1</v>
      </c>
      <c r="J67" s="203">
        <f>IF(DG!$A$131&lt;=11,$M$17,0)</f>
        <v>20000</v>
      </c>
      <c r="K67" s="65">
        <f t="shared" si="7"/>
        <v>60</v>
      </c>
      <c r="L67" s="473">
        <f t="shared" si="8"/>
        <v>5.0000100000000006E-2</v>
      </c>
      <c r="M67" s="204">
        <f t="shared" si="13"/>
        <v>377.42476450902444</v>
      </c>
      <c r="N67" s="505">
        <f t="shared" si="10"/>
        <v>349</v>
      </c>
      <c r="O67" s="204">
        <f>IF(DG!$A$131&gt;11,0,IF(J67-J66&gt;0,MROUND((L67/12*Q66),1),MROUND(L67/12*P66,1)))</f>
        <v>29</v>
      </c>
      <c r="P67" s="204">
        <f t="shared" si="11"/>
        <v>6531</v>
      </c>
      <c r="Q67" s="204">
        <f t="shared" si="4"/>
        <v>6531</v>
      </c>
      <c r="R67" s="748">
        <v>0</v>
      </c>
    </row>
    <row r="68" spans="1:19" ht="14" thickTop="1" thickBot="1">
      <c r="A68" s="202">
        <f t="shared" si="5"/>
        <v>46569</v>
      </c>
      <c r="B68" s="65">
        <f t="shared" si="16"/>
        <v>43</v>
      </c>
      <c r="C68" s="65">
        <f t="shared" si="14"/>
        <v>43</v>
      </c>
      <c r="D68" s="65">
        <f t="shared" si="12"/>
        <v>43</v>
      </c>
      <c r="E68" s="65">
        <f t="shared" si="6"/>
        <v>43</v>
      </c>
      <c r="F68" s="65">
        <f>IF(OR(L$68=0,DG!$A$252&gt;15),0,F67+1)</f>
        <v>43</v>
      </c>
      <c r="G68" s="65">
        <f t="shared" si="1"/>
        <v>0</v>
      </c>
      <c r="H68" s="65">
        <f t="shared" si="2"/>
        <v>43</v>
      </c>
      <c r="I68" s="65">
        <f t="shared" si="17"/>
        <v>-1</v>
      </c>
      <c r="J68" s="203">
        <f>IF(DG!$A$131&lt;=11,$M$17,0)</f>
        <v>20000</v>
      </c>
      <c r="K68" s="65">
        <f t="shared" si="7"/>
        <v>60</v>
      </c>
      <c r="L68" s="473">
        <f t="shared" si="8"/>
        <v>5.0000100000000006E-2</v>
      </c>
      <c r="M68" s="204">
        <f t="shared" si="13"/>
        <v>377.42476450902444</v>
      </c>
      <c r="N68" s="505">
        <f t="shared" si="10"/>
        <v>350</v>
      </c>
      <c r="O68" s="204">
        <f>IF(DG!$A$131&gt;11,0,IF(J68-J67&gt;0,MROUND((L68/12*Q67),1),MROUND(L68/12*P67,1)))</f>
        <v>27</v>
      </c>
      <c r="P68" s="204">
        <f t="shared" si="11"/>
        <v>6181</v>
      </c>
      <c r="Q68" s="204">
        <f t="shared" si="4"/>
        <v>6181</v>
      </c>
      <c r="R68" s="748">
        <v>0</v>
      </c>
    </row>
    <row r="69" spans="1:19" ht="14" thickTop="1" thickBot="1">
      <c r="A69" s="202">
        <f t="shared" si="5"/>
        <v>46600</v>
      </c>
      <c r="B69" s="65">
        <f t="shared" si="16"/>
        <v>44</v>
      </c>
      <c r="C69" s="65">
        <f t="shared" si="14"/>
        <v>44</v>
      </c>
      <c r="D69" s="65">
        <f t="shared" si="12"/>
        <v>44</v>
      </c>
      <c r="E69" s="65">
        <f t="shared" si="6"/>
        <v>44</v>
      </c>
      <c r="F69" s="65">
        <f>IF(OR(L$69=0,DG!$A$252&gt;15),0,F68+1)</f>
        <v>44</v>
      </c>
      <c r="G69" s="65">
        <f t="shared" si="1"/>
        <v>0</v>
      </c>
      <c r="H69" s="65">
        <f t="shared" si="2"/>
        <v>44</v>
      </c>
      <c r="I69" s="65">
        <f t="shared" si="17"/>
        <v>-1</v>
      </c>
      <c r="J69" s="203">
        <f>IF(DG!$A$131&lt;=11,$M$17,0)</f>
        <v>20000</v>
      </c>
      <c r="K69" s="65">
        <f t="shared" si="7"/>
        <v>60</v>
      </c>
      <c r="L69" s="473">
        <f t="shared" si="8"/>
        <v>5.0000100000000006E-2</v>
      </c>
      <c r="M69" s="204">
        <f t="shared" si="13"/>
        <v>377.42476450902444</v>
      </c>
      <c r="N69" s="505">
        <f t="shared" si="10"/>
        <v>352</v>
      </c>
      <c r="O69" s="204">
        <f>IF(DG!$A$131&gt;11,0,IF(J69-J68&gt;0,MROUND((L69/12*Q68),1),MROUND(L69/12*P68,1)))</f>
        <v>26</v>
      </c>
      <c r="P69" s="204">
        <f t="shared" si="11"/>
        <v>5829</v>
      </c>
      <c r="Q69" s="204">
        <f t="shared" si="4"/>
        <v>5829</v>
      </c>
      <c r="R69" s="748">
        <v>0</v>
      </c>
    </row>
    <row r="70" spans="1:19" ht="14" thickTop="1" thickBot="1">
      <c r="A70" s="202">
        <f t="shared" si="5"/>
        <v>46631</v>
      </c>
      <c r="B70" s="65">
        <f t="shared" si="16"/>
        <v>45</v>
      </c>
      <c r="C70" s="65">
        <f t="shared" si="14"/>
        <v>45</v>
      </c>
      <c r="D70" s="65">
        <f t="shared" si="12"/>
        <v>45</v>
      </c>
      <c r="E70" s="65">
        <f t="shared" si="6"/>
        <v>45</v>
      </c>
      <c r="F70" s="65">
        <f>IF(OR(L$70=0,DG!$A$252&gt;15),0,F69+1)</f>
        <v>45</v>
      </c>
      <c r="G70" s="65">
        <f t="shared" si="1"/>
        <v>0</v>
      </c>
      <c r="H70" s="65">
        <f t="shared" si="2"/>
        <v>45</v>
      </c>
      <c r="I70" s="65">
        <f t="shared" si="17"/>
        <v>-1</v>
      </c>
      <c r="J70" s="203">
        <f>IF(DG!$A$131&lt;=11,$M$17,0)</f>
        <v>20000</v>
      </c>
      <c r="K70" s="65">
        <f t="shared" si="7"/>
        <v>60</v>
      </c>
      <c r="L70" s="473">
        <f t="shared" si="8"/>
        <v>5.0000100000000006E-2</v>
      </c>
      <c r="M70" s="204">
        <f t="shared" si="13"/>
        <v>377.42476450902444</v>
      </c>
      <c r="N70" s="505">
        <f t="shared" si="10"/>
        <v>353</v>
      </c>
      <c r="O70" s="204">
        <f>IF(DG!$A$131&gt;11,0,IF(J70-J69&gt;0,MROUND((L70/12*Q69),1),MROUND(L70/12*P69,1)))</f>
        <v>24</v>
      </c>
      <c r="P70" s="204">
        <f t="shared" si="11"/>
        <v>5476</v>
      </c>
      <c r="Q70" s="204">
        <f t="shared" si="4"/>
        <v>5476</v>
      </c>
      <c r="R70" s="748">
        <v>0</v>
      </c>
    </row>
    <row r="71" spans="1:19" ht="14" thickTop="1" thickBot="1">
      <c r="A71" s="202">
        <f t="shared" si="5"/>
        <v>46661</v>
      </c>
      <c r="B71" s="65">
        <f t="shared" si="16"/>
        <v>46</v>
      </c>
      <c r="C71" s="65">
        <f t="shared" si="14"/>
        <v>46</v>
      </c>
      <c r="D71" s="65">
        <f t="shared" si="12"/>
        <v>46</v>
      </c>
      <c r="E71" s="65">
        <f t="shared" si="6"/>
        <v>46</v>
      </c>
      <c r="F71" s="65">
        <f>IF(OR(L$71=0,DG!$A$252&gt;16),0,F70+1)</f>
        <v>46</v>
      </c>
      <c r="G71" s="65">
        <f t="shared" si="1"/>
        <v>0</v>
      </c>
      <c r="H71" s="65">
        <f t="shared" si="2"/>
        <v>46</v>
      </c>
      <c r="I71" s="65">
        <f t="shared" si="17"/>
        <v>-1</v>
      </c>
      <c r="J71" s="203">
        <f>IF(DG!$A$131&lt;=11,$M$17,0)</f>
        <v>20000</v>
      </c>
      <c r="K71" s="65">
        <f t="shared" si="7"/>
        <v>60</v>
      </c>
      <c r="L71" s="473">
        <f t="shared" si="8"/>
        <v>5.0000100000000006E-2</v>
      </c>
      <c r="M71" s="204">
        <f t="shared" si="13"/>
        <v>377.42476450902444</v>
      </c>
      <c r="N71" s="505">
        <f t="shared" si="10"/>
        <v>355</v>
      </c>
      <c r="O71" s="204">
        <f>IF(DG!$A$131&gt;11,0,IF(J71-J70&gt;0,MROUND((L71/12*Q70),1),MROUND(L71/12*P70,1)))</f>
        <v>23</v>
      </c>
      <c r="P71" s="204">
        <f t="shared" si="11"/>
        <v>5121</v>
      </c>
      <c r="Q71" s="204">
        <f t="shared" si="4"/>
        <v>5121</v>
      </c>
      <c r="R71" s="748">
        <v>0</v>
      </c>
    </row>
    <row r="72" spans="1:19" ht="14" thickTop="1" thickBot="1">
      <c r="A72" s="202">
        <f t="shared" si="5"/>
        <v>46692</v>
      </c>
      <c r="B72" s="65">
        <f t="shared" si="16"/>
        <v>47</v>
      </c>
      <c r="C72" s="65">
        <f t="shared" si="14"/>
        <v>47</v>
      </c>
      <c r="D72" s="65">
        <f t="shared" si="12"/>
        <v>47</v>
      </c>
      <c r="E72" s="65">
        <f t="shared" si="6"/>
        <v>47</v>
      </c>
      <c r="F72" s="65">
        <f>IF(OR(L$72=0,DG!$A$252&gt;16),0,F71+1)</f>
        <v>47</v>
      </c>
      <c r="G72" s="65">
        <f t="shared" si="1"/>
        <v>0</v>
      </c>
      <c r="H72" s="65">
        <f t="shared" si="2"/>
        <v>47</v>
      </c>
      <c r="I72" s="65">
        <f t="shared" si="17"/>
        <v>-1</v>
      </c>
      <c r="J72" s="203">
        <f>IF(DG!$A$131&lt;=11,$M$17,0)</f>
        <v>20000</v>
      </c>
      <c r="K72" s="65">
        <f t="shared" si="7"/>
        <v>60</v>
      </c>
      <c r="L72" s="473">
        <f t="shared" si="8"/>
        <v>5.0000100000000006E-2</v>
      </c>
      <c r="M72" s="204">
        <f t="shared" si="13"/>
        <v>377.42476450902444</v>
      </c>
      <c r="N72" s="505">
        <f t="shared" si="10"/>
        <v>356</v>
      </c>
      <c r="O72" s="204">
        <f>IF(DG!$A$131&gt;11,0,IF(J72-J71&gt;0,MROUND((L72/12*Q71),1),MROUND(L72/12*P71,1)))</f>
        <v>21</v>
      </c>
      <c r="P72" s="204">
        <f t="shared" si="11"/>
        <v>4765</v>
      </c>
      <c r="Q72" s="204">
        <f t="shared" si="4"/>
        <v>4765</v>
      </c>
      <c r="R72" s="748">
        <v>0</v>
      </c>
    </row>
    <row r="73" spans="1:19" ht="14" thickTop="1" thickBot="1">
      <c r="A73" s="202">
        <f t="shared" si="5"/>
        <v>46722</v>
      </c>
      <c r="B73" s="65">
        <f t="shared" si="16"/>
        <v>48</v>
      </c>
      <c r="C73" s="65">
        <f t="shared" si="14"/>
        <v>48</v>
      </c>
      <c r="D73" s="65">
        <f t="shared" si="12"/>
        <v>48</v>
      </c>
      <c r="E73" s="65">
        <f t="shared" si="6"/>
        <v>48</v>
      </c>
      <c r="F73" s="65">
        <f>IF(OR(L$73=0,DG!$A$252&gt;16),0,F72+1)</f>
        <v>48</v>
      </c>
      <c r="G73" s="65">
        <f t="shared" si="1"/>
        <v>0</v>
      </c>
      <c r="H73" s="65">
        <f t="shared" si="2"/>
        <v>48</v>
      </c>
      <c r="I73" s="65">
        <f t="shared" si="17"/>
        <v>-1</v>
      </c>
      <c r="J73" s="203">
        <f>IF(DG!$A$131&lt;=11,$M$17,0)</f>
        <v>20000</v>
      </c>
      <c r="K73" s="65">
        <f t="shared" si="7"/>
        <v>60</v>
      </c>
      <c r="L73" s="473">
        <f t="shared" si="8"/>
        <v>5.0000100000000006E-2</v>
      </c>
      <c r="M73" s="204">
        <f t="shared" si="13"/>
        <v>377.42476450902444</v>
      </c>
      <c r="N73" s="505">
        <f t="shared" si="10"/>
        <v>358</v>
      </c>
      <c r="O73" s="204">
        <f>IF(DG!$A$131&gt;11,0,IF(J73-J72&gt;0,MROUND((L73/12*Q72),1),MROUND(L73/12*P72,1)))</f>
        <v>20</v>
      </c>
      <c r="P73" s="204">
        <f t="shared" si="11"/>
        <v>4407</v>
      </c>
      <c r="Q73" s="204">
        <f t="shared" si="4"/>
        <v>4407</v>
      </c>
      <c r="R73" s="748">
        <v>0</v>
      </c>
      <c r="S73" s="511">
        <f>SUM(N62:N73)</f>
        <v>4195</v>
      </c>
    </row>
    <row r="74" spans="1:19" ht="14" thickTop="1" thickBot="1">
      <c r="A74" s="202">
        <f t="shared" si="5"/>
        <v>46753</v>
      </c>
      <c r="B74" s="65">
        <f>IF(OR(J$73=0,DG!$A$131&gt;12),0,B73+1)</f>
        <v>49</v>
      </c>
      <c r="C74" s="65">
        <f t="shared" si="14"/>
        <v>49</v>
      </c>
      <c r="D74" s="65">
        <f t="shared" si="12"/>
        <v>49</v>
      </c>
      <c r="E74" s="65">
        <f t="shared" si="6"/>
        <v>49</v>
      </c>
      <c r="F74" s="65">
        <f>IF(OR(L$73=0,DG!$A$252&gt;16),0,F73+1)</f>
        <v>49</v>
      </c>
      <c r="G74" s="65">
        <f t="shared" si="1"/>
        <v>0</v>
      </c>
      <c r="H74" s="65">
        <f t="shared" si="2"/>
        <v>49</v>
      </c>
      <c r="I74" s="65">
        <f t="shared" si="17"/>
        <v>-1</v>
      </c>
      <c r="J74" s="203">
        <f>IF(DG!$A$131&lt;=12,$M$17,0)</f>
        <v>20000</v>
      </c>
      <c r="K74" s="65">
        <f t="shared" si="7"/>
        <v>60</v>
      </c>
      <c r="L74" s="473">
        <f t="shared" si="8"/>
        <v>5.0000100000000006E-2</v>
      </c>
      <c r="M74" s="204">
        <f t="shared" si="13"/>
        <v>377.42476450902444</v>
      </c>
      <c r="N74" s="505">
        <f t="shared" si="10"/>
        <v>359</v>
      </c>
      <c r="O74" s="204">
        <f>IF(DG!$A$131&gt;11,0,IF(J74-J73&gt;0,MROUND((L74/12*Q73),1),MROUND(L74/12*P73,1)))</f>
        <v>18</v>
      </c>
      <c r="P74" s="204">
        <f t="shared" si="11"/>
        <v>4048</v>
      </c>
      <c r="Q74" s="204">
        <f t="shared" si="4"/>
        <v>4048</v>
      </c>
      <c r="R74" s="748">
        <v>0</v>
      </c>
      <c r="S74" s="511">
        <f t="shared" ref="S74:S137" si="18">SUM(N63:N74)</f>
        <v>4212</v>
      </c>
    </row>
    <row r="75" spans="1:19" ht="14" thickTop="1" thickBot="1">
      <c r="A75" s="202">
        <f t="shared" si="5"/>
        <v>46784</v>
      </c>
      <c r="B75" s="65">
        <f>IF(J$73=0,0,B74+1)</f>
        <v>50</v>
      </c>
      <c r="C75" s="65">
        <f t="shared" si="14"/>
        <v>50</v>
      </c>
      <c r="D75" s="65">
        <f t="shared" si="12"/>
        <v>50</v>
      </c>
      <c r="E75" s="65">
        <f t="shared" si="6"/>
        <v>50</v>
      </c>
      <c r="F75" s="65">
        <f>IF(OR(L$73=0,DG!$A$252&gt;16),0,F74+1)</f>
        <v>50</v>
      </c>
      <c r="G75" s="65">
        <f t="shared" si="1"/>
        <v>0</v>
      </c>
      <c r="H75" s="65">
        <f t="shared" si="2"/>
        <v>50</v>
      </c>
      <c r="I75" s="65">
        <f t="shared" si="17"/>
        <v>-1</v>
      </c>
      <c r="J75" s="203">
        <f>IF(DG!$A$131&lt;=12,$M$17,0)</f>
        <v>20000</v>
      </c>
      <c r="K75" s="65">
        <f t="shared" si="7"/>
        <v>60</v>
      </c>
      <c r="L75" s="473">
        <f t="shared" si="8"/>
        <v>5.0000100000000006E-2</v>
      </c>
      <c r="M75" s="204">
        <f t="shared" si="13"/>
        <v>377.42476450902444</v>
      </c>
      <c r="N75" s="505">
        <f t="shared" si="10"/>
        <v>361</v>
      </c>
      <c r="O75" s="204">
        <f>IF(DG!$A$131&gt;11,0,IF(J75-J74&gt;0,MROUND((L75/12*Q74),1),MROUND(L75/12*P74,1)))</f>
        <v>17</v>
      </c>
      <c r="P75" s="204">
        <f t="shared" si="11"/>
        <v>3687</v>
      </c>
      <c r="Q75" s="204">
        <f t="shared" si="4"/>
        <v>3687</v>
      </c>
      <c r="R75" s="748">
        <v>0</v>
      </c>
      <c r="S75" s="511">
        <f t="shared" si="18"/>
        <v>4230</v>
      </c>
    </row>
    <row r="76" spans="1:19" ht="14" thickTop="1" thickBot="1">
      <c r="A76" s="202">
        <f t="shared" si="5"/>
        <v>46813</v>
      </c>
      <c r="B76" s="65">
        <f t="shared" ref="B76:B139" si="19">IF(J$73=0,0,B75+1)</f>
        <v>51</v>
      </c>
      <c r="C76" s="65">
        <f t="shared" si="14"/>
        <v>51</v>
      </c>
      <c r="D76" s="65">
        <f t="shared" si="12"/>
        <v>51</v>
      </c>
      <c r="E76" s="65">
        <f t="shared" si="6"/>
        <v>51</v>
      </c>
      <c r="F76" s="65">
        <f>IF(OR(L$73=0,DG!$A$252&gt;16),0,F75+1)</f>
        <v>51</v>
      </c>
      <c r="G76" s="65">
        <f t="shared" si="1"/>
        <v>0</v>
      </c>
      <c r="H76" s="65">
        <f t="shared" si="2"/>
        <v>51</v>
      </c>
      <c r="I76" s="65">
        <f t="shared" si="17"/>
        <v>-1</v>
      </c>
      <c r="J76" s="203">
        <f>IF(DG!$A$131&lt;=11,$M$17,0)</f>
        <v>20000</v>
      </c>
      <c r="K76" s="65">
        <f t="shared" si="7"/>
        <v>60</v>
      </c>
      <c r="L76" s="473">
        <f t="shared" si="8"/>
        <v>5.0000100000000006E-2</v>
      </c>
      <c r="M76" s="204">
        <f t="shared" si="13"/>
        <v>377.42476450902444</v>
      </c>
      <c r="N76" s="505">
        <f t="shared" si="10"/>
        <v>362</v>
      </c>
      <c r="O76" s="204">
        <f>IF(DG!$A$131&gt;11,0,IF(J76-J75&gt;0,MROUND((L76/12*Q75),1),MROUND(L76/12*P75,1)))</f>
        <v>15</v>
      </c>
      <c r="P76" s="204">
        <f t="shared" si="11"/>
        <v>3325</v>
      </c>
      <c r="Q76" s="204">
        <f t="shared" si="4"/>
        <v>3325</v>
      </c>
      <c r="R76" s="748">
        <v>0</v>
      </c>
      <c r="S76" s="511">
        <f t="shared" si="18"/>
        <v>4248</v>
      </c>
    </row>
    <row r="77" spans="1:19" ht="14" thickTop="1" thickBot="1">
      <c r="A77" s="202">
        <f t="shared" si="5"/>
        <v>46844</v>
      </c>
      <c r="B77" s="65">
        <f t="shared" si="19"/>
        <v>52</v>
      </c>
      <c r="C77" s="65">
        <f t="shared" si="14"/>
        <v>52</v>
      </c>
      <c r="D77" s="65">
        <f t="shared" si="12"/>
        <v>52</v>
      </c>
      <c r="E77" s="65">
        <f t="shared" si="6"/>
        <v>52</v>
      </c>
      <c r="F77" s="65">
        <f>IF(OR(L$73=0,DG!$A$252&gt;16),0,F76+1)</f>
        <v>52</v>
      </c>
      <c r="G77" s="65">
        <f t="shared" si="1"/>
        <v>0</v>
      </c>
      <c r="H77" s="65">
        <f t="shared" si="2"/>
        <v>52</v>
      </c>
      <c r="I77" s="65">
        <f t="shared" si="17"/>
        <v>-1</v>
      </c>
      <c r="J77" s="203">
        <f>IF(DG!$A$131&lt;=11,$M$17,0)</f>
        <v>20000</v>
      </c>
      <c r="K77" s="65">
        <f t="shared" si="7"/>
        <v>60</v>
      </c>
      <c r="L77" s="473">
        <f t="shared" si="8"/>
        <v>5.0000100000000006E-2</v>
      </c>
      <c r="M77" s="204">
        <f t="shared" si="13"/>
        <v>377.42476450902444</v>
      </c>
      <c r="N77" s="505">
        <f t="shared" si="10"/>
        <v>364</v>
      </c>
      <c r="O77" s="204">
        <f>IF(DG!$A$131&gt;12,0,IF(J77-J76&gt;0,MROUND((L77/12*Q76),1),MROUND(L77/12*P76,1)))</f>
        <v>14</v>
      </c>
      <c r="P77" s="204">
        <f t="shared" si="11"/>
        <v>2961</v>
      </c>
      <c r="Q77" s="204">
        <f t="shared" si="4"/>
        <v>2961</v>
      </c>
      <c r="R77" s="748">
        <v>0</v>
      </c>
      <c r="S77" s="511">
        <f t="shared" si="18"/>
        <v>4266</v>
      </c>
    </row>
    <row r="78" spans="1:19" ht="14" thickTop="1" thickBot="1">
      <c r="A78" s="202">
        <f t="shared" si="5"/>
        <v>46874</v>
      </c>
      <c r="B78" s="65">
        <f t="shared" si="19"/>
        <v>53</v>
      </c>
      <c r="C78" s="65">
        <f t="shared" si="14"/>
        <v>53</v>
      </c>
      <c r="D78" s="65">
        <f t="shared" si="12"/>
        <v>53</v>
      </c>
      <c r="E78" s="65">
        <f t="shared" si="6"/>
        <v>53</v>
      </c>
      <c r="F78" s="65">
        <f>IF(OR(L$73=0,DG!$A$252&gt;16),0,F77+1)</f>
        <v>53</v>
      </c>
      <c r="G78" s="65">
        <f t="shared" si="1"/>
        <v>0</v>
      </c>
      <c r="H78" s="65">
        <f t="shared" si="2"/>
        <v>53</v>
      </c>
      <c r="I78" s="65">
        <f t="shared" si="17"/>
        <v>-1</v>
      </c>
      <c r="J78" s="203">
        <f>IF(DG!$A$131&lt;=11,$M$17,0)</f>
        <v>20000</v>
      </c>
      <c r="K78" s="65">
        <f t="shared" si="7"/>
        <v>60</v>
      </c>
      <c r="L78" s="473">
        <f t="shared" si="8"/>
        <v>5.0000100000000006E-2</v>
      </c>
      <c r="M78" s="204">
        <f t="shared" si="13"/>
        <v>377.42476450902444</v>
      </c>
      <c r="N78" s="505">
        <f t="shared" si="10"/>
        <v>365</v>
      </c>
      <c r="O78" s="204">
        <f>IF(DG!$A$131&gt;12,0,IF(J78-J77&gt;0,MROUND((L78/12*Q77),1),MROUND(L78/12*P77,1)))</f>
        <v>12</v>
      </c>
      <c r="P78" s="204">
        <f t="shared" si="11"/>
        <v>2596</v>
      </c>
      <c r="Q78" s="204">
        <f t="shared" si="4"/>
        <v>2596</v>
      </c>
      <c r="R78" s="748">
        <v>0</v>
      </c>
      <c r="S78" s="511">
        <f t="shared" si="18"/>
        <v>4284</v>
      </c>
    </row>
    <row r="79" spans="1:19" ht="14" thickTop="1" thickBot="1">
      <c r="A79" s="202">
        <f t="shared" si="5"/>
        <v>46905</v>
      </c>
      <c r="B79" s="65">
        <f t="shared" si="19"/>
        <v>54</v>
      </c>
      <c r="C79" s="65">
        <f t="shared" si="14"/>
        <v>54</v>
      </c>
      <c r="D79" s="65">
        <f t="shared" si="12"/>
        <v>54</v>
      </c>
      <c r="E79" s="65">
        <f t="shared" si="6"/>
        <v>54</v>
      </c>
      <c r="F79" s="65">
        <f>IF(OR(L$73=0,DG!$A$252&gt;16),0,F78+1)</f>
        <v>54</v>
      </c>
      <c r="G79" s="65">
        <f t="shared" si="1"/>
        <v>0</v>
      </c>
      <c r="H79" s="65">
        <f t="shared" si="2"/>
        <v>54</v>
      </c>
      <c r="I79" s="65">
        <f t="shared" si="17"/>
        <v>-1</v>
      </c>
      <c r="J79" s="203">
        <f>IF(DG!$A$131&lt;=11,$M$17,0)</f>
        <v>20000</v>
      </c>
      <c r="K79" s="65">
        <f t="shared" si="7"/>
        <v>60</v>
      </c>
      <c r="L79" s="473">
        <f t="shared" si="8"/>
        <v>5.0000100000000006E-2</v>
      </c>
      <c r="M79" s="204">
        <f t="shared" si="13"/>
        <v>377.42476450902444</v>
      </c>
      <c r="N79" s="505">
        <f t="shared" si="10"/>
        <v>367</v>
      </c>
      <c r="O79" s="204">
        <f>IF(DG!$A$131&gt;12,0,IF(J79-J78&gt;0,MROUND((L79/12*Q78),1),MROUND(L79/12*P78,1)))</f>
        <v>11</v>
      </c>
      <c r="P79" s="204">
        <f t="shared" si="11"/>
        <v>2229</v>
      </c>
      <c r="Q79" s="204">
        <f t="shared" si="4"/>
        <v>2229</v>
      </c>
      <c r="R79" s="748">
        <v>0</v>
      </c>
      <c r="S79" s="511">
        <f t="shared" si="18"/>
        <v>4302</v>
      </c>
    </row>
    <row r="80" spans="1:19" ht="14" thickTop="1" thickBot="1">
      <c r="A80" s="202">
        <f t="shared" si="5"/>
        <v>46935</v>
      </c>
      <c r="B80" s="65">
        <f t="shared" si="19"/>
        <v>55</v>
      </c>
      <c r="C80" s="65">
        <f t="shared" si="14"/>
        <v>55</v>
      </c>
      <c r="D80" s="65">
        <f t="shared" si="12"/>
        <v>55</v>
      </c>
      <c r="E80" s="65">
        <f t="shared" si="6"/>
        <v>55</v>
      </c>
      <c r="F80" s="65">
        <f>IF(OR(L$73=0,DG!$A$252&gt;16),0,F79+1)</f>
        <v>55</v>
      </c>
      <c r="G80" s="65">
        <f t="shared" si="1"/>
        <v>0</v>
      </c>
      <c r="H80" s="65">
        <f t="shared" si="2"/>
        <v>55</v>
      </c>
      <c r="I80" s="65">
        <f t="shared" si="17"/>
        <v>-1</v>
      </c>
      <c r="J80" s="203">
        <f>IF(DG!$A$131&lt;=11,$M$17,0)</f>
        <v>20000</v>
      </c>
      <c r="K80" s="65">
        <f t="shared" si="7"/>
        <v>60</v>
      </c>
      <c r="L80" s="473">
        <f t="shared" si="8"/>
        <v>5.0000100000000006E-2</v>
      </c>
      <c r="M80" s="204">
        <f t="shared" si="13"/>
        <v>377.42476450902444</v>
      </c>
      <c r="N80" s="505">
        <f t="shared" si="10"/>
        <v>368</v>
      </c>
      <c r="O80" s="204">
        <f>IF(DG!$A$131&gt;12,0,IF(J80-J79&gt;0,MROUND((L80/12*Q79),1),MROUND(L80/12*P79,1)))</f>
        <v>9</v>
      </c>
      <c r="P80" s="204">
        <f t="shared" si="11"/>
        <v>1861</v>
      </c>
      <c r="Q80" s="204">
        <f t="shared" si="4"/>
        <v>1861</v>
      </c>
      <c r="R80" s="748">
        <v>0</v>
      </c>
      <c r="S80" s="511">
        <f t="shared" si="18"/>
        <v>4320</v>
      </c>
    </row>
    <row r="81" spans="1:19" ht="14" thickTop="1" thickBot="1">
      <c r="A81" s="202">
        <f t="shared" si="5"/>
        <v>46966</v>
      </c>
      <c r="B81" s="65">
        <f t="shared" si="19"/>
        <v>56</v>
      </c>
      <c r="C81" s="65">
        <f t="shared" si="14"/>
        <v>56</v>
      </c>
      <c r="D81" s="65">
        <f t="shared" si="12"/>
        <v>56</v>
      </c>
      <c r="E81" s="65">
        <f t="shared" si="6"/>
        <v>56</v>
      </c>
      <c r="F81" s="65">
        <f>IF(OR(L$73=0,DG!$A$252&gt;16),0,F80+1)</f>
        <v>56</v>
      </c>
      <c r="G81" s="65">
        <f t="shared" si="1"/>
        <v>0</v>
      </c>
      <c r="H81" s="65">
        <f t="shared" si="2"/>
        <v>56</v>
      </c>
      <c r="I81" s="65">
        <f t="shared" si="17"/>
        <v>-1</v>
      </c>
      <c r="J81" s="203">
        <f>IF(DG!$A$131&lt;=11,$M$17,0)</f>
        <v>20000</v>
      </c>
      <c r="K81" s="65">
        <f t="shared" si="7"/>
        <v>60</v>
      </c>
      <c r="L81" s="473">
        <f t="shared" si="8"/>
        <v>5.0000100000000006E-2</v>
      </c>
      <c r="M81" s="204">
        <f t="shared" si="13"/>
        <v>377.42476450902444</v>
      </c>
      <c r="N81" s="505">
        <f t="shared" si="10"/>
        <v>370</v>
      </c>
      <c r="O81" s="204">
        <f>IF(DG!$A$131&gt;12,0,IF(J81-J80&gt;0,MROUND((L81/12*Q80),1),MROUND(L81/12*P80,1)))</f>
        <v>8</v>
      </c>
      <c r="P81" s="204">
        <f t="shared" si="11"/>
        <v>1491</v>
      </c>
      <c r="Q81" s="204">
        <f t="shared" si="4"/>
        <v>1491</v>
      </c>
      <c r="R81" s="748">
        <v>0</v>
      </c>
      <c r="S81" s="511">
        <f t="shared" si="18"/>
        <v>4338</v>
      </c>
    </row>
    <row r="82" spans="1:19" ht="14" thickTop="1" thickBot="1">
      <c r="A82" s="202">
        <f t="shared" si="5"/>
        <v>46997</v>
      </c>
      <c r="B82" s="65">
        <f t="shared" si="19"/>
        <v>57</v>
      </c>
      <c r="C82" s="65">
        <f t="shared" si="14"/>
        <v>57</v>
      </c>
      <c r="D82" s="65">
        <f t="shared" si="12"/>
        <v>57</v>
      </c>
      <c r="E82" s="65">
        <f t="shared" si="6"/>
        <v>57</v>
      </c>
      <c r="F82" s="65">
        <f>IF(OR(L$73=0,DG!$A$252&gt;16),0,F81+1)</f>
        <v>57</v>
      </c>
      <c r="G82" s="65">
        <f t="shared" si="1"/>
        <v>0</v>
      </c>
      <c r="H82" s="65">
        <f t="shared" si="2"/>
        <v>57</v>
      </c>
      <c r="I82" s="65">
        <f t="shared" si="17"/>
        <v>-1</v>
      </c>
      <c r="J82" s="203">
        <f>IF(DG!$A$131&lt;=11,$M$17,0)</f>
        <v>20000</v>
      </c>
      <c r="K82" s="65">
        <f t="shared" si="7"/>
        <v>60</v>
      </c>
      <c r="L82" s="473">
        <f t="shared" si="8"/>
        <v>5.0000100000000006E-2</v>
      </c>
      <c r="M82" s="204">
        <f t="shared" si="13"/>
        <v>377.42476450902444</v>
      </c>
      <c r="N82" s="505">
        <f t="shared" si="10"/>
        <v>371</v>
      </c>
      <c r="O82" s="204">
        <f>IF(DG!$A$131&gt;12,0,IF(J82-J81&gt;0,MROUND((L82/12*Q81),1),MROUND(L82/12*P81,1)))</f>
        <v>6</v>
      </c>
      <c r="P82" s="204">
        <f t="shared" si="11"/>
        <v>1120</v>
      </c>
      <c r="Q82" s="204">
        <f t="shared" si="4"/>
        <v>1120</v>
      </c>
      <c r="R82" s="748">
        <v>0</v>
      </c>
      <c r="S82" s="511">
        <f t="shared" si="18"/>
        <v>4356</v>
      </c>
    </row>
    <row r="83" spans="1:19" ht="14" thickTop="1" thickBot="1">
      <c r="A83" s="202">
        <f t="shared" si="5"/>
        <v>47027</v>
      </c>
      <c r="B83" s="65">
        <f t="shared" si="19"/>
        <v>58</v>
      </c>
      <c r="C83" s="65">
        <f t="shared" si="14"/>
        <v>58</v>
      </c>
      <c r="D83" s="65">
        <f t="shared" si="12"/>
        <v>58</v>
      </c>
      <c r="E83" s="65">
        <f t="shared" si="6"/>
        <v>58</v>
      </c>
      <c r="F83" s="65">
        <f>IF(OR(L$73=0,DG!$A$252&gt;16),0,F82+1)</f>
        <v>58</v>
      </c>
      <c r="G83" s="65">
        <f t="shared" si="1"/>
        <v>0</v>
      </c>
      <c r="H83" s="65">
        <f t="shared" si="2"/>
        <v>58</v>
      </c>
      <c r="I83" s="65">
        <f t="shared" si="17"/>
        <v>-1</v>
      </c>
      <c r="J83" s="203">
        <f>IF(DG!$A$131&lt;=11,$M$17,0)</f>
        <v>20000</v>
      </c>
      <c r="K83" s="65">
        <f t="shared" si="7"/>
        <v>60</v>
      </c>
      <c r="L83" s="473">
        <f t="shared" si="8"/>
        <v>5.0000100000000006E-2</v>
      </c>
      <c r="M83" s="204">
        <f t="shared" si="13"/>
        <v>377.42476450902444</v>
      </c>
      <c r="N83" s="505">
        <f t="shared" si="10"/>
        <v>373</v>
      </c>
      <c r="O83" s="204">
        <f>IF(DG!$A$131&gt;12,0,IF(J83-J82&gt;0,MROUND((L83/12*Q82),1),MROUND(L83/12*P82,1)))</f>
        <v>5</v>
      </c>
      <c r="P83" s="204">
        <f t="shared" si="11"/>
        <v>747</v>
      </c>
      <c r="Q83" s="204">
        <f t="shared" si="4"/>
        <v>747</v>
      </c>
      <c r="R83" s="748">
        <v>0</v>
      </c>
      <c r="S83" s="511">
        <f t="shared" si="18"/>
        <v>4374</v>
      </c>
    </row>
    <row r="84" spans="1:19" ht="14" thickTop="1" thickBot="1">
      <c r="A84" s="202">
        <f t="shared" si="5"/>
        <v>47058</v>
      </c>
      <c r="B84" s="65">
        <f t="shared" si="19"/>
        <v>59</v>
      </c>
      <c r="C84" s="65">
        <f t="shared" si="14"/>
        <v>59</v>
      </c>
      <c r="D84" s="65">
        <f t="shared" si="12"/>
        <v>59</v>
      </c>
      <c r="E84" s="65">
        <f t="shared" si="6"/>
        <v>59</v>
      </c>
      <c r="F84" s="65">
        <f>IF(OR(L$73=0,DG!$A$252&gt;16),0,F83+1)</f>
        <v>59</v>
      </c>
      <c r="G84" s="65">
        <f t="shared" si="1"/>
        <v>0</v>
      </c>
      <c r="H84" s="65">
        <f t="shared" si="2"/>
        <v>59</v>
      </c>
      <c r="I84" s="65">
        <f t="shared" si="17"/>
        <v>-1</v>
      </c>
      <c r="J84" s="203">
        <f>IF(DG!$A$131&lt;=11,$M$17,0)</f>
        <v>20000</v>
      </c>
      <c r="K84" s="65">
        <f t="shared" si="7"/>
        <v>60</v>
      </c>
      <c r="L84" s="473">
        <f t="shared" si="8"/>
        <v>5.0000100000000006E-2</v>
      </c>
      <c r="M84" s="204">
        <f t="shared" si="13"/>
        <v>377.42476450902444</v>
      </c>
      <c r="N84" s="505">
        <f t="shared" si="10"/>
        <v>374</v>
      </c>
      <c r="O84" s="204">
        <f>IF(DG!$A$131&gt;12,0,IF(J84-J83&gt;0,MROUND((L84/12*Q83),1),MROUND(L84/12*P83,1)))</f>
        <v>3</v>
      </c>
      <c r="P84" s="204">
        <f t="shared" si="11"/>
        <v>373</v>
      </c>
      <c r="Q84" s="204">
        <f t="shared" si="4"/>
        <v>373</v>
      </c>
      <c r="R84" s="748">
        <v>0</v>
      </c>
      <c r="S84" s="511">
        <f t="shared" si="18"/>
        <v>4392</v>
      </c>
    </row>
    <row r="85" spans="1:19" ht="14" thickTop="1" thickBot="1">
      <c r="A85" s="202">
        <f t="shared" si="5"/>
        <v>47088</v>
      </c>
      <c r="B85" s="65">
        <f t="shared" si="19"/>
        <v>60</v>
      </c>
      <c r="C85" s="65">
        <f t="shared" si="14"/>
        <v>60</v>
      </c>
      <c r="D85" s="65">
        <f t="shared" si="12"/>
        <v>60</v>
      </c>
      <c r="E85" s="65">
        <f t="shared" si="6"/>
        <v>60</v>
      </c>
      <c r="F85" s="65">
        <f>IF(OR(L$73=0,DG!$A$252&gt;16),0,F84+1)</f>
        <v>60</v>
      </c>
      <c r="G85" s="65">
        <f t="shared" si="1"/>
        <v>0</v>
      </c>
      <c r="H85" s="65">
        <f t="shared" si="2"/>
        <v>60</v>
      </c>
      <c r="I85" s="65">
        <f t="shared" si="17"/>
        <v>-1</v>
      </c>
      <c r="J85" s="203">
        <f>IF(DG!$A$131&lt;=11,$M$17,0)</f>
        <v>20000</v>
      </c>
      <c r="K85" s="65">
        <f t="shared" si="7"/>
        <v>60</v>
      </c>
      <c r="L85" s="473">
        <f t="shared" si="8"/>
        <v>5.0000100000000006E-2</v>
      </c>
      <c r="M85" s="204">
        <f t="shared" si="13"/>
        <v>377.42476450902444</v>
      </c>
      <c r="N85" s="505">
        <f t="shared" si="10"/>
        <v>376</v>
      </c>
      <c r="O85" s="204">
        <f>IF(DG!$A$131&gt;12,0,IF(J85-J84&gt;0,MROUND((L85/12*Q84),1),MROUND(L85/12*P84,1)))</f>
        <v>2</v>
      </c>
      <c r="P85" s="204">
        <f t="shared" si="11"/>
        <v>-3</v>
      </c>
      <c r="Q85" s="204">
        <f t="shared" si="4"/>
        <v>-3</v>
      </c>
      <c r="R85" s="748">
        <v>0</v>
      </c>
      <c r="S85" s="511">
        <f t="shared" si="18"/>
        <v>4410</v>
      </c>
    </row>
    <row r="86" spans="1:19" ht="14" thickTop="1" thickBot="1">
      <c r="A86" s="202">
        <f t="shared" si="5"/>
        <v>47119</v>
      </c>
      <c r="B86" s="65">
        <f t="shared" si="19"/>
        <v>61</v>
      </c>
      <c r="C86" s="65">
        <f t="shared" si="14"/>
        <v>61</v>
      </c>
      <c r="D86" s="65">
        <f t="shared" si="12"/>
        <v>61</v>
      </c>
      <c r="E86" s="65">
        <f t="shared" si="6"/>
        <v>61</v>
      </c>
      <c r="F86" s="65">
        <f>IF(OR(L$73=0,DG!$A$252&gt;16),0,F85+1)</f>
        <v>61</v>
      </c>
      <c r="G86" s="65">
        <f t="shared" si="1"/>
        <v>0</v>
      </c>
      <c r="H86" s="65">
        <f t="shared" si="2"/>
        <v>0</v>
      </c>
      <c r="I86" s="65">
        <f t="shared" si="17"/>
        <v>1</v>
      </c>
      <c r="J86" s="203">
        <f>IF(DG!$A$131&lt;=11,$M$17,0)</f>
        <v>20000</v>
      </c>
      <c r="K86" s="65">
        <f t="shared" si="7"/>
        <v>60</v>
      </c>
      <c r="L86" s="473">
        <f t="shared" si="8"/>
        <v>5.0000100000000006E-2</v>
      </c>
      <c r="M86" s="204">
        <f t="shared" si="13"/>
        <v>0</v>
      </c>
      <c r="N86" s="505">
        <f t="shared" si="10"/>
        <v>0</v>
      </c>
      <c r="O86" s="204" t="e">
        <f>IF(DG!$A$131&gt;12,0,IF(J86-J85&gt;0,MROUND((L86/12*Q85),1),MROUND(L86/12*P85,1)))</f>
        <v>#NUM!</v>
      </c>
      <c r="P86" s="204">
        <f t="shared" si="11"/>
        <v>0</v>
      </c>
      <c r="Q86" s="204">
        <f t="shared" si="4"/>
        <v>0</v>
      </c>
      <c r="R86" s="748">
        <v>0</v>
      </c>
      <c r="S86" s="511">
        <f t="shared" si="18"/>
        <v>4051</v>
      </c>
    </row>
    <row r="87" spans="1:19" ht="14" thickTop="1" thickBot="1">
      <c r="A87" s="202">
        <f t="shared" si="5"/>
        <v>47150</v>
      </c>
      <c r="B87" s="65">
        <f t="shared" si="19"/>
        <v>62</v>
      </c>
      <c r="C87" s="65">
        <f t="shared" si="14"/>
        <v>62</v>
      </c>
      <c r="D87" s="65">
        <f t="shared" si="12"/>
        <v>62</v>
      </c>
      <c r="E87" s="65">
        <f t="shared" si="6"/>
        <v>62</v>
      </c>
      <c r="F87" s="65">
        <f>IF(OR(L$73=0,DG!$A$252&gt;16),0,F86+1)</f>
        <v>62</v>
      </c>
      <c r="G87" s="65">
        <f t="shared" si="1"/>
        <v>0</v>
      </c>
      <c r="H87" s="65">
        <f t="shared" si="2"/>
        <v>0</v>
      </c>
      <c r="I87" s="65">
        <f t="shared" si="17"/>
        <v>1</v>
      </c>
      <c r="J87" s="203">
        <f>IF(DG!$A$131&lt;=11,$M$17,0)</f>
        <v>20000</v>
      </c>
      <c r="K87" s="65">
        <f t="shared" si="7"/>
        <v>60</v>
      </c>
      <c r="L87" s="473">
        <f t="shared" si="8"/>
        <v>5.0000100000000006E-2</v>
      </c>
      <c r="M87" s="204">
        <f t="shared" si="13"/>
        <v>0</v>
      </c>
      <c r="N87" s="505">
        <f t="shared" si="10"/>
        <v>0</v>
      </c>
      <c r="O87" s="204">
        <f>IF(DG!$A$131&gt;12,0,IF(J87-J86&gt;0,MROUND((L87/12*Q86),1),MROUND(L87/12*P86,1)))</f>
        <v>0</v>
      </c>
      <c r="P87" s="204">
        <f t="shared" si="11"/>
        <v>0</v>
      </c>
      <c r="Q87" s="204">
        <f t="shared" si="4"/>
        <v>0</v>
      </c>
      <c r="R87" s="748">
        <v>0</v>
      </c>
      <c r="S87" s="511">
        <f t="shared" si="18"/>
        <v>3690</v>
      </c>
    </row>
    <row r="88" spans="1:19" ht="14" thickTop="1" thickBot="1">
      <c r="A88" s="202">
        <f t="shared" si="5"/>
        <v>47178</v>
      </c>
      <c r="B88" s="65">
        <f t="shared" si="19"/>
        <v>63</v>
      </c>
      <c r="C88" s="65">
        <f t="shared" si="14"/>
        <v>63</v>
      </c>
      <c r="D88" s="65">
        <f t="shared" si="12"/>
        <v>63</v>
      </c>
      <c r="E88" s="65">
        <f t="shared" si="6"/>
        <v>63</v>
      </c>
      <c r="F88" s="65">
        <f>IF(OR(L$73=0,DG!$A$252&gt;16),0,F87+1)</f>
        <v>63</v>
      </c>
      <c r="G88" s="65">
        <f t="shared" si="1"/>
        <v>0</v>
      </c>
      <c r="H88" s="65">
        <f t="shared" si="2"/>
        <v>0</v>
      </c>
      <c r="I88" s="65">
        <f t="shared" si="17"/>
        <v>1</v>
      </c>
      <c r="J88" s="203">
        <f>IF(DG!$A$131&lt;=11,$M$17,0)</f>
        <v>20000</v>
      </c>
      <c r="K88" s="65">
        <f t="shared" si="7"/>
        <v>60</v>
      </c>
      <c r="L88" s="473">
        <f t="shared" si="8"/>
        <v>5.0000100000000006E-2</v>
      </c>
      <c r="M88" s="204">
        <f t="shared" si="13"/>
        <v>0</v>
      </c>
      <c r="N88" s="505">
        <f t="shared" si="10"/>
        <v>0</v>
      </c>
      <c r="O88" s="204">
        <f>IF(DG!$A$131&gt;12,0,IF(J88-J87&gt;0,MROUND((L88/12*Q87),1),MROUND(L88/12*P87,1)))</f>
        <v>0</v>
      </c>
      <c r="P88" s="204">
        <f t="shared" si="11"/>
        <v>0</v>
      </c>
      <c r="Q88" s="204">
        <f t="shared" si="4"/>
        <v>0</v>
      </c>
      <c r="R88" s="748">
        <v>0</v>
      </c>
      <c r="S88" s="511">
        <f t="shared" si="18"/>
        <v>3328</v>
      </c>
    </row>
    <row r="89" spans="1:19" ht="14" thickTop="1" thickBot="1">
      <c r="A89" s="202">
        <f t="shared" si="5"/>
        <v>47209</v>
      </c>
      <c r="B89" s="65">
        <f t="shared" si="19"/>
        <v>64</v>
      </c>
      <c r="C89" s="65">
        <f t="shared" si="14"/>
        <v>64</v>
      </c>
      <c r="D89" s="65">
        <f t="shared" si="12"/>
        <v>64</v>
      </c>
      <c r="E89" s="65">
        <f t="shared" si="6"/>
        <v>64</v>
      </c>
      <c r="F89" s="65">
        <f>IF(OR(L$73=0,DG!$A$252&gt;16),0,F88+1)</f>
        <v>64</v>
      </c>
      <c r="G89" s="65">
        <f t="shared" si="1"/>
        <v>0</v>
      </c>
      <c r="H89" s="65">
        <f t="shared" si="2"/>
        <v>0</v>
      </c>
      <c r="I89" s="65">
        <f t="shared" si="17"/>
        <v>1</v>
      </c>
      <c r="J89" s="203">
        <f>IF(DG!$A$131&lt;=11,$M$17,0)</f>
        <v>20000</v>
      </c>
      <c r="K89" s="65">
        <f t="shared" si="7"/>
        <v>60</v>
      </c>
      <c r="L89" s="473">
        <f t="shared" si="8"/>
        <v>5.0000100000000006E-2</v>
      </c>
      <c r="M89" s="204">
        <f t="shared" si="13"/>
        <v>0</v>
      </c>
      <c r="N89" s="505">
        <f t="shared" si="10"/>
        <v>0</v>
      </c>
      <c r="O89" s="204">
        <f>IF(DG!$A$131&gt;12,0,IF(J89-J88&gt;0,MROUND((L89/12*Q88),1),MROUND(L89/12*P88,1)))</f>
        <v>0</v>
      </c>
      <c r="P89" s="204">
        <f t="shared" si="11"/>
        <v>0</v>
      </c>
      <c r="Q89" s="204">
        <f t="shared" si="4"/>
        <v>0</v>
      </c>
      <c r="R89" s="748">
        <v>0</v>
      </c>
      <c r="S89" s="511">
        <f t="shared" si="18"/>
        <v>2964</v>
      </c>
    </row>
    <row r="90" spans="1:19" ht="14" thickTop="1" thickBot="1">
      <c r="A90" s="202">
        <f t="shared" si="5"/>
        <v>47239</v>
      </c>
      <c r="B90" s="65">
        <f t="shared" si="19"/>
        <v>65</v>
      </c>
      <c r="C90" s="65">
        <f t="shared" si="14"/>
        <v>65</v>
      </c>
      <c r="D90" s="65">
        <f t="shared" si="12"/>
        <v>65</v>
      </c>
      <c r="E90" s="65">
        <f t="shared" si="6"/>
        <v>65</v>
      </c>
      <c r="F90" s="65">
        <f>IF(OR(L$73=0,DG!$A$252&gt;16),0,F89+1)</f>
        <v>65</v>
      </c>
      <c r="G90" s="65">
        <f t="shared" ref="G90:G153" si="20">IF(E90=0,0,IF(D90-E90-F90&gt;=0,1,0))</f>
        <v>0</v>
      </c>
      <c r="H90" s="65">
        <f t="shared" ref="H90:H150" si="21">IF(I90&gt;=0,0,H89+1)</f>
        <v>0</v>
      </c>
      <c r="I90" s="65">
        <f t="shared" si="17"/>
        <v>1</v>
      </c>
      <c r="J90" s="203">
        <f>IF(DG!$A$131&lt;=11,$M$17,0)</f>
        <v>20000</v>
      </c>
      <c r="K90" s="65">
        <f t="shared" si="7"/>
        <v>60</v>
      </c>
      <c r="L90" s="473">
        <f t="shared" si="8"/>
        <v>5.0000100000000006E-2</v>
      </c>
      <c r="M90" s="204">
        <f t="shared" si="13"/>
        <v>0</v>
      </c>
      <c r="N90" s="505">
        <f t="shared" si="10"/>
        <v>0</v>
      </c>
      <c r="O90" s="204">
        <f>IF(DG!$A$131&gt;12,0,IF(J90-J89&gt;0,MROUND((L90/12*Q89),1),MROUND(L90/12*P89,1)))</f>
        <v>0</v>
      </c>
      <c r="P90" s="204">
        <f t="shared" si="11"/>
        <v>0</v>
      </c>
      <c r="Q90" s="204">
        <f t="shared" ref="Q90:Q153" si="22">IF(AND(P90=0,P91&gt;0),J91,P90)</f>
        <v>0</v>
      </c>
      <c r="R90" s="748">
        <v>0</v>
      </c>
      <c r="S90" s="511">
        <f t="shared" si="18"/>
        <v>2599</v>
      </c>
    </row>
    <row r="91" spans="1:19" ht="14" thickTop="1" thickBot="1">
      <c r="A91" s="202">
        <f t="shared" ref="A91:A154" si="23">EDATE(A90,1)</f>
        <v>47270</v>
      </c>
      <c r="B91" s="65">
        <f t="shared" si="19"/>
        <v>66</v>
      </c>
      <c r="C91" s="65">
        <f t="shared" si="14"/>
        <v>66</v>
      </c>
      <c r="D91" s="65">
        <f t="shared" si="12"/>
        <v>66</v>
      </c>
      <c r="E91" s="65">
        <f t="shared" ref="E91:E154" si="24">B91</f>
        <v>66</v>
      </c>
      <c r="F91" s="65">
        <f>IF(OR(L$73=0,DG!$A$252&gt;16),0,F90+1)</f>
        <v>66</v>
      </c>
      <c r="G91" s="65">
        <f t="shared" si="20"/>
        <v>0</v>
      </c>
      <c r="H91" s="65">
        <f t="shared" si="21"/>
        <v>0</v>
      </c>
      <c r="I91" s="65">
        <f t="shared" si="17"/>
        <v>1</v>
      </c>
      <c r="J91" s="203">
        <f>IF(DG!$A$131&lt;=11,$M$17,0)</f>
        <v>20000</v>
      </c>
      <c r="K91" s="65">
        <f t="shared" ref="K91:K150" si="25">K90</f>
        <v>60</v>
      </c>
      <c r="L91" s="473">
        <f t="shared" ref="L91:L154" si="26">IF($M$17&gt;0,$M$19+0.0000001,0)</f>
        <v>5.0000100000000006E-2</v>
      </c>
      <c r="M91" s="204">
        <f t="shared" si="13"/>
        <v>0</v>
      </c>
      <c r="N91" s="505">
        <f t="shared" ref="N91:N154" si="27">IF(OR(H91-K91&gt;0,I91&gt;=0),0,MROUND(-PPMT(L91/12,H91,K91-G334,J91),1)+R91)</f>
        <v>0</v>
      </c>
      <c r="O91" s="204">
        <f>IF(DG!$A$131&gt;12,0,IF(J91-J90&gt;0,MROUND((L91/12*Q90),1),MROUND(L91/12*P90,1)))</f>
        <v>0</v>
      </c>
      <c r="P91" s="204">
        <f t="shared" ref="P91:P154" si="28">IF(OR(G91+H91=0,J91-N91&lt;1),0,IF(P90&gt;1,P90-N91,J92-N91))</f>
        <v>0</v>
      </c>
      <c r="Q91" s="204">
        <f t="shared" si="22"/>
        <v>0</v>
      </c>
      <c r="R91" s="748">
        <v>0</v>
      </c>
      <c r="S91" s="511">
        <f t="shared" si="18"/>
        <v>2232</v>
      </c>
    </row>
    <row r="92" spans="1:19" ht="14" thickTop="1" thickBot="1">
      <c r="A92" s="202">
        <f t="shared" si="23"/>
        <v>47300</v>
      </c>
      <c r="B92" s="65">
        <f t="shared" si="19"/>
        <v>67</v>
      </c>
      <c r="C92" s="65">
        <f t="shared" si="14"/>
        <v>67</v>
      </c>
      <c r="D92" s="65">
        <f t="shared" ref="D92:D150" si="29">D91+1</f>
        <v>67</v>
      </c>
      <c r="E92" s="65">
        <f t="shared" si="24"/>
        <v>67</v>
      </c>
      <c r="F92" s="65">
        <f>IF(OR(L$73=0,DG!$A$252&gt;16),0,F91+1)</f>
        <v>67</v>
      </c>
      <c r="G92" s="65">
        <f t="shared" si="20"/>
        <v>0</v>
      </c>
      <c r="H92" s="65">
        <f t="shared" si="21"/>
        <v>0</v>
      </c>
      <c r="I92" s="65">
        <f t="shared" si="17"/>
        <v>1</v>
      </c>
      <c r="J92" s="203">
        <f>IF(DG!$A$131&lt;=11,$M$17,0)</f>
        <v>20000</v>
      </c>
      <c r="K92" s="65">
        <f t="shared" si="25"/>
        <v>60</v>
      </c>
      <c r="L92" s="473">
        <f t="shared" si="26"/>
        <v>5.0000100000000006E-2</v>
      </c>
      <c r="M92" s="204">
        <f t="shared" si="13"/>
        <v>0</v>
      </c>
      <c r="N92" s="505">
        <f t="shared" si="27"/>
        <v>0</v>
      </c>
      <c r="O92" s="204">
        <f>IF(DG!$A$131&gt;12,0,IF(J92-J91&gt;0,MROUND((L92/12*Q91),1),MROUND(L92/12*P91,1)))</f>
        <v>0</v>
      </c>
      <c r="P92" s="204">
        <f t="shared" si="28"/>
        <v>0</v>
      </c>
      <c r="Q92" s="204">
        <f t="shared" si="22"/>
        <v>0</v>
      </c>
      <c r="R92" s="748">
        <v>0</v>
      </c>
      <c r="S92" s="511">
        <f t="shared" si="18"/>
        <v>1864</v>
      </c>
    </row>
    <row r="93" spans="1:19" ht="14" thickTop="1" thickBot="1">
      <c r="A93" s="202">
        <f t="shared" si="23"/>
        <v>47331</v>
      </c>
      <c r="B93" s="65">
        <f t="shared" si="19"/>
        <v>68</v>
      </c>
      <c r="C93" s="65">
        <f t="shared" si="14"/>
        <v>68</v>
      </c>
      <c r="D93" s="65">
        <f t="shared" si="29"/>
        <v>68</v>
      </c>
      <c r="E93" s="65">
        <f t="shared" si="24"/>
        <v>68</v>
      </c>
      <c r="F93" s="65">
        <f>IF(OR(L$73=0,DG!$A$252&gt;16),0,F92+1)</f>
        <v>68</v>
      </c>
      <c r="G93" s="65">
        <f t="shared" si="20"/>
        <v>0</v>
      </c>
      <c r="H93" s="65">
        <f t="shared" si="21"/>
        <v>0</v>
      </c>
      <c r="I93" s="65">
        <f t="shared" si="17"/>
        <v>1</v>
      </c>
      <c r="J93" s="203">
        <f>IF(DG!$A$131&lt;=11,$M$17,0)</f>
        <v>20000</v>
      </c>
      <c r="K93" s="65">
        <f t="shared" si="25"/>
        <v>60</v>
      </c>
      <c r="L93" s="473">
        <f t="shared" si="26"/>
        <v>5.0000100000000006E-2</v>
      </c>
      <c r="M93" s="204">
        <f t="shared" si="13"/>
        <v>0</v>
      </c>
      <c r="N93" s="505">
        <f t="shared" si="27"/>
        <v>0</v>
      </c>
      <c r="O93" s="204">
        <f>IF(DG!$A$131&gt;12,0,IF(J93-J92&gt;0,MROUND((L93/12*Q92),1),MROUND(L93/12*P92,1)))</f>
        <v>0</v>
      </c>
      <c r="P93" s="204">
        <f t="shared" si="28"/>
        <v>0</v>
      </c>
      <c r="Q93" s="204">
        <f t="shared" si="22"/>
        <v>0</v>
      </c>
      <c r="R93" s="748">
        <v>0</v>
      </c>
      <c r="S93" s="511">
        <f t="shared" si="18"/>
        <v>1494</v>
      </c>
    </row>
    <row r="94" spans="1:19" ht="14" thickTop="1" thickBot="1">
      <c r="A94" s="202">
        <f t="shared" si="23"/>
        <v>47362</v>
      </c>
      <c r="B94" s="65">
        <f t="shared" si="19"/>
        <v>69</v>
      </c>
      <c r="C94" s="65">
        <f t="shared" si="14"/>
        <v>69</v>
      </c>
      <c r="D94" s="65">
        <f t="shared" si="29"/>
        <v>69</v>
      </c>
      <c r="E94" s="65">
        <f t="shared" si="24"/>
        <v>69</v>
      </c>
      <c r="F94" s="65">
        <f>IF(OR(L$73=0,DG!$A$252&gt;16),0,F93+1)</f>
        <v>69</v>
      </c>
      <c r="G94" s="65">
        <f t="shared" si="20"/>
        <v>0</v>
      </c>
      <c r="H94" s="65">
        <f t="shared" si="21"/>
        <v>0</v>
      </c>
      <c r="I94" s="65">
        <f t="shared" si="17"/>
        <v>1</v>
      </c>
      <c r="J94" s="203">
        <f>IF(DG!$A$131&lt;=11,$M$17,0)</f>
        <v>20000</v>
      </c>
      <c r="K94" s="65">
        <f t="shared" si="25"/>
        <v>60</v>
      </c>
      <c r="L94" s="473">
        <f t="shared" si="26"/>
        <v>5.0000100000000006E-2</v>
      </c>
      <c r="M94" s="204">
        <f t="shared" si="13"/>
        <v>0</v>
      </c>
      <c r="N94" s="505">
        <f t="shared" si="27"/>
        <v>0</v>
      </c>
      <c r="O94" s="204">
        <f>IF(DG!$A$131&gt;12,0,IF(J94-J93&gt;0,MROUND((L94/12*Q93),1),MROUND(L94/12*P93,1)))</f>
        <v>0</v>
      </c>
      <c r="P94" s="204">
        <f t="shared" si="28"/>
        <v>0</v>
      </c>
      <c r="Q94" s="204">
        <f t="shared" si="22"/>
        <v>0</v>
      </c>
      <c r="R94" s="748">
        <v>0</v>
      </c>
      <c r="S94" s="511">
        <f t="shared" si="18"/>
        <v>1123</v>
      </c>
    </row>
    <row r="95" spans="1:19" ht="14" thickTop="1" thickBot="1">
      <c r="A95" s="202">
        <f t="shared" si="23"/>
        <v>47392</v>
      </c>
      <c r="B95" s="65">
        <f t="shared" si="19"/>
        <v>70</v>
      </c>
      <c r="C95" s="65">
        <f t="shared" si="14"/>
        <v>70</v>
      </c>
      <c r="D95" s="65">
        <f t="shared" si="29"/>
        <v>70</v>
      </c>
      <c r="E95" s="65">
        <f t="shared" si="24"/>
        <v>70</v>
      </c>
      <c r="F95" s="65">
        <f>IF(OR(L$73=0,DG!$A$252&gt;16),0,F94+1)</f>
        <v>70</v>
      </c>
      <c r="G95" s="65">
        <f t="shared" si="20"/>
        <v>0</v>
      </c>
      <c r="H95" s="65">
        <f t="shared" si="21"/>
        <v>0</v>
      </c>
      <c r="I95" s="65">
        <f t="shared" si="17"/>
        <v>1</v>
      </c>
      <c r="J95" s="203">
        <f>IF(DG!$A$131&lt;=11,$M$17,0)</f>
        <v>20000</v>
      </c>
      <c r="K95" s="65">
        <f t="shared" si="25"/>
        <v>60</v>
      </c>
      <c r="L95" s="473">
        <f t="shared" si="26"/>
        <v>5.0000100000000006E-2</v>
      </c>
      <c r="M95" s="204">
        <f t="shared" si="13"/>
        <v>0</v>
      </c>
      <c r="N95" s="505">
        <f t="shared" si="27"/>
        <v>0</v>
      </c>
      <c r="O95" s="204">
        <f>IF(DG!$A$131&gt;12,0,IF(J95-J94&gt;0,MROUND((L95/12*Q94),1),MROUND(L95/12*P94,1)))</f>
        <v>0</v>
      </c>
      <c r="P95" s="204">
        <f t="shared" si="28"/>
        <v>0</v>
      </c>
      <c r="Q95" s="204">
        <f t="shared" si="22"/>
        <v>0</v>
      </c>
      <c r="R95" s="748">
        <v>0</v>
      </c>
      <c r="S95" s="511">
        <f t="shared" si="18"/>
        <v>750</v>
      </c>
    </row>
    <row r="96" spans="1:19" ht="14" thickTop="1" thickBot="1">
      <c r="A96" s="202">
        <f t="shared" si="23"/>
        <v>47423</v>
      </c>
      <c r="B96" s="65">
        <f t="shared" si="19"/>
        <v>71</v>
      </c>
      <c r="C96" s="65">
        <f t="shared" si="14"/>
        <v>71</v>
      </c>
      <c r="D96" s="65">
        <f t="shared" si="29"/>
        <v>71</v>
      </c>
      <c r="E96" s="65">
        <f t="shared" si="24"/>
        <v>71</v>
      </c>
      <c r="F96" s="65">
        <f>IF(OR(L$73=0,DG!$A$252&gt;16),0,F95+1)</f>
        <v>71</v>
      </c>
      <c r="G96" s="65">
        <f t="shared" si="20"/>
        <v>0</v>
      </c>
      <c r="H96" s="65">
        <f t="shared" si="21"/>
        <v>0</v>
      </c>
      <c r="I96" s="65">
        <f t="shared" si="17"/>
        <v>1</v>
      </c>
      <c r="J96" s="203">
        <f>IF(DG!$A$131&lt;=11,$M$17,0)</f>
        <v>20000</v>
      </c>
      <c r="K96" s="65">
        <f t="shared" si="25"/>
        <v>60</v>
      </c>
      <c r="L96" s="473">
        <f t="shared" si="26"/>
        <v>5.0000100000000006E-2</v>
      </c>
      <c r="M96" s="204">
        <f t="shared" si="13"/>
        <v>0</v>
      </c>
      <c r="N96" s="505">
        <f t="shared" si="27"/>
        <v>0</v>
      </c>
      <c r="O96" s="204">
        <f>IF(DG!$A$131&gt;12,0,IF(J96-J95&gt;0,MROUND((L96/12*Q95),1),MROUND(L96/12*P95,1)))</f>
        <v>0</v>
      </c>
      <c r="P96" s="204">
        <f t="shared" si="28"/>
        <v>0</v>
      </c>
      <c r="Q96" s="204">
        <f t="shared" si="22"/>
        <v>0</v>
      </c>
      <c r="R96" s="748">
        <v>0</v>
      </c>
      <c r="S96" s="511">
        <f t="shared" si="18"/>
        <v>376</v>
      </c>
    </row>
    <row r="97" spans="1:19" ht="14" thickTop="1" thickBot="1">
      <c r="A97" s="202">
        <f t="shared" si="23"/>
        <v>47453</v>
      </c>
      <c r="B97" s="65">
        <f t="shared" si="19"/>
        <v>72</v>
      </c>
      <c r="C97" s="65">
        <f t="shared" si="14"/>
        <v>72</v>
      </c>
      <c r="D97" s="65">
        <f t="shared" si="29"/>
        <v>72</v>
      </c>
      <c r="E97" s="65">
        <f t="shared" si="24"/>
        <v>72</v>
      </c>
      <c r="F97" s="65">
        <f>IF(OR(L$73=0,DG!$A$252&gt;16),0,F96+1)</f>
        <v>72</v>
      </c>
      <c r="G97" s="65">
        <f t="shared" si="20"/>
        <v>0</v>
      </c>
      <c r="H97" s="65">
        <f t="shared" si="21"/>
        <v>0</v>
      </c>
      <c r="I97" s="65">
        <f t="shared" si="17"/>
        <v>1</v>
      </c>
      <c r="J97" s="203">
        <f>IF(DG!$A$131&lt;=11,$M$17,0)</f>
        <v>20000</v>
      </c>
      <c r="K97" s="65">
        <f t="shared" si="25"/>
        <v>60</v>
      </c>
      <c r="L97" s="473">
        <f t="shared" si="26"/>
        <v>5.0000100000000006E-2</v>
      </c>
      <c r="M97" s="204">
        <f t="shared" ref="M97:M160" si="30">IF(H97=0,0,IF($R$13=1,N97+O97,IF(N97=0,O97,-PMT(L97/12,K97-$G$269,J97))))</f>
        <v>0</v>
      </c>
      <c r="N97" s="505">
        <f t="shared" si="27"/>
        <v>0</v>
      </c>
      <c r="O97" s="204">
        <f>IF(DG!$A$131&gt;12,0,IF(J97-J96&gt;0,MROUND((L97/12*Q96),1),MROUND(L97/12*P96,1)))</f>
        <v>0</v>
      </c>
      <c r="P97" s="204">
        <f t="shared" si="28"/>
        <v>0</v>
      </c>
      <c r="Q97" s="204">
        <f t="shared" si="22"/>
        <v>0</v>
      </c>
      <c r="R97" s="748">
        <v>0</v>
      </c>
      <c r="S97" s="511">
        <f t="shared" si="18"/>
        <v>0</v>
      </c>
    </row>
    <row r="98" spans="1:19" ht="14" thickTop="1" thickBot="1">
      <c r="A98" s="202">
        <f t="shared" si="23"/>
        <v>47484</v>
      </c>
      <c r="B98" s="65">
        <f t="shared" si="19"/>
        <v>73</v>
      </c>
      <c r="C98" s="65">
        <f t="shared" si="14"/>
        <v>73</v>
      </c>
      <c r="D98" s="65">
        <f t="shared" si="29"/>
        <v>73</v>
      </c>
      <c r="E98" s="65">
        <f t="shared" si="24"/>
        <v>73</v>
      </c>
      <c r="F98" s="65">
        <f>IF(OR(L$73=0,DG!$A$252&gt;16),0,F97+1)</f>
        <v>73</v>
      </c>
      <c r="G98" s="65">
        <f t="shared" si="20"/>
        <v>0</v>
      </c>
      <c r="H98" s="65">
        <f t="shared" si="21"/>
        <v>0</v>
      </c>
      <c r="I98" s="65">
        <f t="shared" si="17"/>
        <v>1</v>
      </c>
      <c r="J98" s="203">
        <f>IF(DG!$A$131&lt;=11,$M$17,0)</f>
        <v>20000</v>
      </c>
      <c r="K98" s="65">
        <f t="shared" si="25"/>
        <v>60</v>
      </c>
      <c r="L98" s="473">
        <f t="shared" si="26"/>
        <v>5.0000100000000006E-2</v>
      </c>
      <c r="M98" s="204">
        <f t="shared" si="30"/>
        <v>0</v>
      </c>
      <c r="N98" s="505">
        <f t="shared" si="27"/>
        <v>0</v>
      </c>
      <c r="O98" s="204">
        <f>IF(DG!$A$131&gt;12,0,IF(J98-J97&gt;0,MROUND((L98/12*Q97),1),MROUND(L98/12*P97,1)))</f>
        <v>0</v>
      </c>
      <c r="P98" s="204">
        <f t="shared" si="28"/>
        <v>0</v>
      </c>
      <c r="Q98" s="204">
        <f t="shared" si="22"/>
        <v>0</v>
      </c>
      <c r="R98" s="748">
        <v>0</v>
      </c>
      <c r="S98" s="511">
        <f t="shared" si="18"/>
        <v>0</v>
      </c>
    </row>
    <row r="99" spans="1:19" ht="14" thickTop="1" thickBot="1">
      <c r="A99" s="202">
        <f t="shared" si="23"/>
        <v>47515</v>
      </c>
      <c r="B99" s="65">
        <f t="shared" si="19"/>
        <v>74</v>
      </c>
      <c r="C99" s="65">
        <f t="shared" si="14"/>
        <v>74</v>
      </c>
      <c r="D99" s="65">
        <f t="shared" si="29"/>
        <v>74</v>
      </c>
      <c r="E99" s="65">
        <f t="shared" si="24"/>
        <v>74</v>
      </c>
      <c r="F99" s="65">
        <f>IF(OR(L$73=0,DG!$A$252&gt;16),0,F98+1)</f>
        <v>74</v>
      </c>
      <c r="G99" s="65">
        <f t="shared" si="20"/>
        <v>0</v>
      </c>
      <c r="H99" s="65">
        <f t="shared" si="21"/>
        <v>0</v>
      </c>
      <c r="I99" s="65">
        <f t="shared" si="17"/>
        <v>1</v>
      </c>
      <c r="J99" s="203">
        <f>IF(DG!$A$131&lt;=11,$M$17,0)</f>
        <v>20000</v>
      </c>
      <c r="K99" s="65">
        <f t="shared" si="25"/>
        <v>60</v>
      </c>
      <c r="L99" s="473">
        <f t="shared" si="26"/>
        <v>5.0000100000000006E-2</v>
      </c>
      <c r="M99" s="204">
        <f t="shared" si="30"/>
        <v>0</v>
      </c>
      <c r="N99" s="505">
        <f t="shared" si="27"/>
        <v>0</v>
      </c>
      <c r="O99" s="204">
        <f>IF(DG!$A$131&gt;12,0,IF(J99-J98&gt;0,MROUND((L99/12*Q98),1),MROUND(L99/12*P98,1)))</f>
        <v>0</v>
      </c>
      <c r="P99" s="204">
        <f t="shared" si="28"/>
        <v>0</v>
      </c>
      <c r="Q99" s="204">
        <f t="shared" si="22"/>
        <v>0</v>
      </c>
      <c r="R99" s="748">
        <v>0</v>
      </c>
      <c r="S99" s="511">
        <f t="shared" si="18"/>
        <v>0</v>
      </c>
    </row>
    <row r="100" spans="1:19" ht="14" thickTop="1" thickBot="1">
      <c r="A100" s="202">
        <f t="shared" si="23"/>
        <v>47543</v>
      </c>
      <c r="B100" s="65">
        <f t="shared" si="19"/>
        <v>75</v>
      </c>
      <c r="C100" s="65">
        <f t="shared" si="14"/>
        <v>75</v>
      </c>
      <c r="D100" s="65">
        <f t="shared" si="29"/>
        <v>75</v>
      </c>
      <c r="E100" s="65">
        <f t="shared" si="24"/>
        <v>75</v>
      </c>
      <c r="F100" s="65">
        <f>IF(OR(L$73=0,DG!$A$252&gt;16),0,F99+1)</f>
        <v>75</v>
      </c>
      <c r="G100" s="65">
        <f t="shared" si="20"/>
        <v>0</v>
      </c>
      <c r="H100" s="65">
        <f t="shared" si="21"/>
        <v>0</v>
      </c>
      <c r="I100" s="65">
        <f t="shared" si="17"/>
        <v>1</v>
      </c>
      <c r="J100" s="203">
        <f>IF(DG!$A$131&lt;=11,$M$17,0)</f>
        <v>20000</v>
      </c>
      <c r="K100" s="65">
        <f t="shared" si="25"/>
        <v>60</v>
      </c>
      <c r="L100" s="473">
        <f t="shared" si="26"/>
        <v>5.0000100000000006E-2</v>
      </c>
      <c r="M100" s="204">
        <f t="shared" si="30"/>
        <v>0</v>
      </c>
      <c r="N100" s="505">
        <f t="shared" si="27"/>
        <v>0</v>
      </c>
      <c r="O100" s="204">
        <f>IF(DG!$A$131&gt;12,0,IF(J100-J99&gt;0,MROUND((L100/12*Q99),1),MROUND(L100/12*P99,1)))</f>
        <v>0</v>
      </c>
      <c r="P100" s="204">
        <f t="shared" si="28"/>
        <v>0</v>
      </c>
      <c r="Q100" s="204">
        <f t="shared" si="22"/>
        <v>0</v>
      </c>
      <c r="R100" s="748">
        <v>0</v>
      </c>
      <c r="S100" s="511">
        <f t="shared" si="18"/>
        <v>0</v>
      </c>
    </row>
    <row r="101" spans="1:19" ht="14" thickTop="1" thickBot="1">
      <c r="A101" s="202">
        <f t="shared" si="23"/>
        <v>47574</v>
      </c>
      <c r="B101" s="65">
        <f t="shared" si="19"/>
        <v>76</v>
      </c>
      <c r="C101" s="65">
        <f t="shared" si="14"/>
        <v>76</v>
      </c>
      <c r="D101" s="65">
        <f t="shared" si="29"/>
        <v>76</v>
      </c>
      <c r="E101" s="65">
        <f t="shared" si="24"/>
        <v>76</v>
      </c>
      <c r="F101" s="65">
        <f>IF(OR(L$73=0,DG!$A$252&gt;16),0,F100+1)</f>
        <v>76</v>
      </c>
      <c r="G101" s="65">
        <f t="shared" si="20"/>
        <v>0</v>
      </c>
      <c r="H101" s="65">
        <f t="shared" si="21"/>
        <v>0</v>
      </c>
      <c r="I101" s="65">
        <f t="shared" si="17"/>
        <v>1</v>
      </c>
      <c r="J101" s="203">
        <f>IF(DG!$A$131&lt;=11,$M$17,0)</f>
        <v>20000</v>
      </c>
      <c r="K101" s="65">
        <f t="shared" si="25"/>
        <v>60</v>
      </c>
      <c r="L101" s="473">
        <f t="shared" si="26"/>
        <v>5.0000100000000006E-2</v>
      </c>
      <c r="M101" s="204">
        <f t="shared" si="30"/>
        <v>0</v>
      </c>
      <c r="N101" s="505">
        <f t="shared" si="27"/>
        <v>0</v>
      </c>
      <c r="O101" s="204">
        <f>IF(DG!$A$131&gt;12,0,IF(J101-J100&gt;0,MROUND((L101/12*Q100),1),MROUND(L101/12*P100,1)))</f>
        <v>0</v>
      </c>
      <c r="P101" s="204">
        <f t="shared" si="28"/>
        <v>0</v>
      </c>
      <c r="Q101" s="204">
        <f t="shared" si="22"/>
        <v>0</v>
      </c>
      <c r="R101" s="748">
        <v>0</v>
      </c>
      <c r="S101" s="511">
        <f t="shared" si="18"/>
        <v>0</v>
      </c>
    </row>
    <row r="102" spans="1:19" ht="14" thickTop="1" thickBot="1">
      <c r="A102" s="202">
        <f t="shared" si="23"/>
        <v>47604</v>
      </c>
      <c r="B102" s="65">
        <f t="shared" si="19"/>
        <v>77</v>
      </c>
      <c r="C102" s="65">
        <f t="shared" si="14"/>
        <v>77</v>
      </c>
      <c r="D102" s="65">
        <f t="shared" si="29"/>
        <v>77</v>
      </c>
      <c r="E102" s="65">
        <f t="shared" si="24"/>
        <v>77</v>
      </c>
      <c r="F102" s="65">
        <f>IF(OR(L$73=0,DG!$A$252&gt;16),0,F101+1)</f>
        <v>77</v>
      </c>
      <c r="G102" s="65">
        <f t="shared" si="20"/>
        <v>0</v>
      </c>
      <c r="H102" s="65">
        <f t="shared" si="21"/>
        <v>0</v>
      </c>
      <c r="I102" s="65">
        <f t="shared" si="17"/>
        <v>1</v>
      </c>
      <c r="J102" s="203">
        <f>IF(DG!$A$131&lt;=11,$M$17,0)</f>
        <v>20000</v>
      </c>
      <c r="K102" s="65">
        <f t="shared" si="25"/>
        <v>60</v>
      </c>
      <c r="L102" s="473">
        <f t="shared" si="26"/>
        <v>5.0000100000000006E-2</v>
      </c>
      <c r="M102" s="204">
        <f t="shared" si="30"/>
        <v>0</v>
      </c>
      <c r="N102" s="505">
        <f t="shared" si="27"/>
        <v>0</v>
      </c>
      <c r="O102" s="204">
        <f>IF(DG!$A$131&gt;12,0,IF(J102-J101&gt;0,MROUND((L102/12*Q101),1),MROUND(L102/12*P101,1)))</f>
        <v>0</v>
      </c>
      <c r="P102" s="204">
        <f t="shared" si="28"/>
        <v>0</v>
      </c>
      <c r="Q102" s="204">
        <f t="shared" si="22"/>
        <v>0</v>
      </c>
      <c r="R102" s="748">
        <v>0</v>
      </c>
      <c r="S102" s="511">
        <f t="shared" si="18"/>
        <v>0</v>
      </c>
    </row>
    <row r="103" spans="1:19" ht="14" thickTop="1" thickBot="1">
      <c r="A103" s="202">
        <f t="shared" si="23"/>
        <v>47635</v>
      </c>
      <c r="B103" s="65">
        <f t="shared" si="19"/>
        <v>78</v>
      </c>
      <c r="C103" s="65">
        <f t="shared" si="14"/>
        <v>78</v>
      </c>
      <c r="D103" s="65">
        <f t="shared" si="29"/>
        <v>78</v>
      </c>
      <c r="E103" s="65">
        <f t="shared" si="24"/>
        <v>78</v>
      </c>
      <c r="F103" s="65">
        <f>IF(OR(L$73=0,DG!$A$252&gt;16),0,F102+1)</f>
        <v>78</v>
      </c>
      <c r="G103" s="65">
        <f t="shared" si="20"/>
        <v>0</v>
      </c>
      <c r="H103" s="65">
        <f t="shared" si="21"/>
        <v>0</v>
      </c>
      <c r="I103" s="65">
        <f t="shared" si="17"/>
        <v>1</v>
      </c>
      <c r="J103" s="203">
        <f>IF(DG!$A$131&lt;=11,$M$17,0)</f>
        <v>20000</v>
      </c>
      <c r="K103" s="65">
        <f t="shared" si="25"/>
        <v>60</v>
      </c>
      <c r="L103" s="473">
        <f t="shared" si="26"/>
        <v>5.0000100000000006E-2</v>
      </c>
      <c r="M103" s="204">
        <f t="shared" si="30"/>
        <v>0</v>
      </c>
      <c r="N103" s="505">
        <f t="shared" si="27"/>
        <v>0</v>
      </c>
      <c r="O103" s="204">
        <f>IF(DG!$A$131&gt;12,0,IF(J103-J102&gt;0,MROUND((L103/12*Q102),1),MROUND(L103/12*P102,1)))</f>
        <v>0</v>
      </c>
      <c r="P103" s="204">
        <f t="shared" si="28"/>
        <v>0</v>
      </c>
      <c r="Q103" s="204">
        <f t="shared" si="22"/>
        <v>0</v>
      </c>
      <c r="R103" s="748">
        <v>0</v>
      </c>
      <c r="S103" s="511">
        <f t="shared" si="18"/>
        <v>0</v>
      </c>
    </row>
    <row r="104" spans="1:19" ht="14" thickTop="1" thickBot="1">
      <c r="A104" s="202">
        <f t="shared" si="23"/>
        <v>47665</v>
      </c>
      <c r="B104" s="65">
        <f t="shared" si="19"/>
        <v>79</v>
      </c>
      <c r="C104" s="65">
        <f t="shared" si="14"/>
        <v>79</v>
      </c>
      <c r="D104" s="65">
        <f t="shared" si="29"/>
        <v>79</v>
      </c>
      <c r="E104" s="65">
        <f t="shared" si="24"/>
        <v>79</v>
      </c>
      <c r="F104" s="65">
        <f>IF(OR(L$73=0,DG!$A$252&gt;16),0,F103+1)</f>
        <v>79</v>
      </c>
      <c r="G104" s="65">
        <f t="shared" si="20"/>
        <v>0</v>
      </c>
      <c r="H104" s="65">
        <f t="shared" si="21"/>
        <v>0</v>
      </c>
      <c r="I104" s="65">
        <f t="shared" si="17"/>
        <v>1</v>
      </c>
      <c r="J104" s="203">
        <f>IF(DG!$A$131&lt;=11,$M$17,0)</f>
        <v>20000</v>
      </c>
      <c r="K104" s="65">
        <f t="shared" si="25"/>
        <v>60</v>
      </c>
      <c r="L104" s="473">
        <f t="shared" si="26"/>
        <v>5.0000100000000006E-2</v>
      </c>
      <c r="M104" s="204">
        <f t="shared" si="30"/>
        <v>0</v>
      </c>
      <c r="N104" s="505">
        <f t="shared" si="27"/>
        <v>0</v>
      </c>
      <c r="O104" s="204">
        <f>IF(DG!$A$131&gt;12,0,IF(J104-J103&gt;0,MROUND((L104/12*Q103),1),MROUND(L104/12*P103,1)))</f>
        <v>0</v>
      </c>
      <c r="P104" s="204">
        <f t="shared" si="28"/>
        <v>0</v>
      </c>
      <c r="Q104" s="204">
        <f t="shared" si="22"/>
        <v>0</v>
      </c>
      <c r="R104" s="748">
        <v>0</v>
      </c>
      <c r="S104" s="511">
        <f t="shared" si="18"/>
        <v>0</v>
      </c>
    </row>
    <row r="105" spans="1:19" ht="14" thickTop="1" thickBot="1">
      <c r="A105" s="202">
        <f t="shared" si="23"/>
        <v>47696</v>
      </c>
      <c r="B105" s="65">
        <f t="shared" si="19"/>
        <v>80</v>
      </c>
      <c r="C105" s="65">
        <f t="shared" si="14"/>
        <v>80</v>
      </c>
      <c r="D105" s="65">
        <f t="shared" si="29"/>
        <v>80</v>
      </c>
      <c r="E105" s="65">
        <f t="shared" si="24"/>
        <v>80</v>
      </c>
      <c r="F105" s="65">
        <f>IF(OR(L$73=0,DG!$A$252&gt;16),0,F104+1)</f>
        <v>80</v>
      </c>
      <c r="G105" s="65">
        <f t="shared" si="20"/>
        <v>0</v>
      </c>
      <c r="H105" s="65">
        <f t="shared" si="21"/>
        <v>0</v>
      </c>
      <c r="I105" s="65">
        <f t="shared" si="17"/>
        <v>1</v>
      </c>
      <c r="J105" s="203">
        <f>IF(DG!$A$131&lt;=11,$M$17,0)</f>
        <v>20000</v>
      </c>
      <c r="K105" s="65">
        <f t="shared" si="25"/>
        <v>60</v>
      </c>
      <c r="L105" s="473">
        <f t="shared" si="26"/>
        <v>5.0000100000000006E-2</v>
      </c>
      <c r="M105" s="204">
        <f t="shared" si="30"/>
        <v>0</v>
      </c>
      <c r="N105" s="505">
        <f t="shared" si="27"/>
        <v>0</v>
      </c>
      <c r="O105" s="204">
        <f>IF(DG!$A$131&gt;12,0,IF(J105-J104&gt;0,MROUND((L105/12*Q104),1),MROUND(L105/12*P104,1)))</f>
        <v>0</v>
      </c>
      <c r="P105" s="204">
        <f t="shared" si="28"/>
        <v>0</v>
      </c>
      <c r="Q105" s="204">
        <f t="shared" si="22"/>
        <v>0</v>
      </c>
      <c r="R105" s="748">
        <v>0</v>
      </c>
      <c r="S105" s="511">
        <f t="shared" si="18"/>
        <v>0</v>
      </c>
    </row>
    <row r="106" spans="1:19" ht="14" thickTop="1" thickBot="1">
      <c r="A106" s="202">
        <f t="shared" si="23"/>
        <v>47727</v>
      </c>
      <c r="B106" s="65">
        <f t="shared" si="19"/>
        <v>81</v>
      </c>
      <c r="C106" s="65">
        <f t="shared" si="14"/>
        <v>81</v>
      </c>
      <c r="D106" s="65">
        <f t="shared" si="29"/>
        <v>81</v>
      </c>
      <c r="E106" s="65">
        <f t="shared" si="24"/>
        <v>81</v>
      </c>
      <c r="F106" s="65">
        <f>IF(OR(L$73=0,DG!$A$252&gt;16),0,F105+1)</f>
        <v>81</v>
      </c>
      <c r="G106" s="65">
        <f t="shared" si="20"/>
        <v>0</v>
      </c>
      <c r="H106" s="65">
        <f t="shared" si="21"/>
        <v>0</v>
      </c>
      <c r="I106" s="65">
        <f t="shared" si="17"/>
        <v>1</v>
      </c>
      <c r="J106" s="203">
        <f>IF(DG!$A$131&lt;=11,$M$17,0)</f>
        <v>20000</v>
      </c>
      <c r="K106" s="65">
        <f t="shared" si="25"/>
        <v>60</v>
      </c>
      <c r="L106" s="473">
        <f t="shared" si="26"/>
        <v>5.0000100000000006E-2</v>
      </c>
      <c r="M106" s="204">
        <f t="shared" si="30"/>
        <v>0</v>
      </c>
      <c r="N106" s="505">
        <f t="shared" si="27"/>
        <v>0</v>
      </c>
      <c r="O106" s="204">
        <f>IF(DG!$A$131&gt;12,0,IF(J106-J105&gt;0,MROUND((L106/12*Q105),1),MROUND(L106/12*P105,1)))</f>
        <v>0</v>
      </c>
      <c r="P106" s="204">
        <f t="shared" si="28"/>
        <v>0</v>
      </c>
      <c r="Q106" s="204">
        <f t="shared" si="22"/>
        <v>0</v>
      </c>
      <c r="R106" s="748">
        <v>0</v>
      </c>
      <c r="S106" s="511">
        <f t="shared" si="18"/>
        <v>0</v>
      </c>
    </row>
    <row r="107" spans="1:19" ht="14" thickTop="1" thickBot="1">
      <c r="A107" s="202">
        <f t="shared" si="23"/>
        <v>47757</v>
      </c>
      <c r="B107" s="65">
        <f t="shared" si="19"/>
        <v>82</v>
      </c>
      <c r="C107" s="65">
        <f t="shared" si="14"/>
        <v>82</v>
      </c>
      <c r="D107" s="65">
        <f t="shared" si="29"/>
        <v>82</v>
      </c>
      <c r="E107" s="65">
        <f t="shared" si="24"/>
        <v>82</v>
      </c>
      <c r="F107" s="65">
        <f>IF(OR(L$73=0,DG!$A$252&gt;16),0,F106+1)</f>
        <v>82</v>
      </c>
      <c r="G107" s="65">
        <f t="shared" si="20"/>
        <v>0</v>
      </c>
      <c r="H107" s="65">
        <f t="shared" si="21"/>
        <v>0</v>
      </c>
      <c r="I107" s="65">
        <f t="shared" si="17"/>
        <v>1</v>
      </c>
      <c r="J107" s="203">
        <f>IF(DG!$A$131&lt;=11,$M$17,0)</f>
        <v>20000</v>
      </c>
      <c r="K107" s="65">
        <f t="shared" si="25"/>
        <v>60</v>
      </c>
      <c r="L107" s="473">
        <f t="shared" si="26"/>
        <v>5.0000100000000006E-2</v>
      </c>
      <c r="M107" s="204">
        <f t="shared" si="30"/>
        <v>0</v>
      </c>
      <c r="N107" s="505">
        <f t="shared" si="27"/>
        <v>0</v>
      </c>
      <c r="O107" s="204">
        <f>IF(DG!$A$131&gt;12,0,IF(J107-J106&gt;0,MROUND((L107/12*Q106),1),MROUND(L107/12*P106,1)))</f>
        <v>0</v>
      </c>
      <c r="P107" s="204">
        <f t="shared" si="28"/>
        <v>0</v>
      </c>
      <c r="Q107" s="204">
        <f t="shared" si="22"/>
        <v>0</v>
      </c>
      <c r="R107" s="748">
        <v>0</v>
      </c>
      <c r="S107" s="511">
        <f t="shared" si="18"/>
        <v>0</v>
      </c>
    </row>
    <row r="108" spans="1:19" ht="14" thickTop="1" thickBot="1">
      <c r="A108" s="202">
        <f t="shared" si="23"/>
        <v>47788</v>
      </c>
      <c r="B108" s="65">
        <f t="shared" si="19"/>
        <v>83</v>
      </c>
      <c r="C108" s="65">
        <f t="shared" si="14"/>
        <v>83</v>
      </c>
      <c r="D108" s="65">
        <f t="shared" si="29"/>
        <v>83</v>
      </c>
      <c r="E108" s="65">
        <f t="shared" si="24"/>
        <v>83</v>
      </c>
      <c r="F108" s="65">
        <f>IF(OR(L$73=0,DG!$A$252&gt;16),0,F107+1)</f>
        <v>83</v>
      </c>
      <c r="G108" s="65">
        <f t="shared" si="20"/>
        <v>0</v>
      </c>
      <c r="H108" s="65">
        <f t="shared" si="21"/>
        <v>0</v>
      </c>
      <c r="I108" s="65">
        <f t="shared" si="17"/>
        <v>1</v>
      </c>
      <c r="J108" s="203">
        <f>IF(DG!$A$131&lt;=11,$M$17,0)</f>
        <v>20000</v>
      </c>
      <c r="K108" s="65">
        <f t="shared" si="25"/>
        <v>60</v>
      </c>
      <c r="L108" s="473">
        <f t="shared" si="26"/>
        <v>5.0000100000000006E-2</v>
      </c>
      <c r="M108" s="204">
        <f t="shared" si="30"/>
        <v>0</v>
      </c>
      <c r="N108" s="505">
        <f t="shared" si="27"/>
        <v>0</v>
      </c>
      <c r="O108" s="204">
        <f>IF(DG!$A$131&gt;12,0,IF(J108-J107&gt;0,MROUND((L108/12*Q107),1),MROUND(L108/12*P107,1)))</f>
        <v>0</v>
      </c>
      <c r="P108" s="204">
        <f t="shared" si="28"/>
        <v>0</v>
      </c>
      <c r="Q108" s="204">
        <f t="shared" si="22"/>
        <v>0</v>
      </c>
      <c r="R108" s="748">
        <v>0</v>
      </c>
      <c r="S108" s="511">
        <f t="shared" si="18"/>
        <v>0</v>
      </c>
    </row>
    <row r="109" spans="1:19" ht="14" thickTop="1" thickBot="1">
      <c r="A109" s="202">
        <f t="shared" si="23"/>
        <v>47818</v>
      </c>
      <c r="B109" s="65">
        <f t="shared" si="19"/>
        <v>84</v>
      </c>
      <c r="C109" s="65">
        <f t="shared" si="14"/>
        <v>84</v>
      </c>
      <c r="D109" s="65">
        <f t="shared" si="29"/>
        <v>84</v>
      </c>
      <c r="E109" s="65">
        <f t="shared" si="24"/>
        <v>84</v>
      </c>
      <c r="F109" s="65">
        <f>IF(OR(L$73=0,DG!$A$252&gt;16),0,F108+1)</f>
        <v>84</v>
      </c>
      <c r="G109" s="65">
        <f t="shared" si="20"/>
        <v>0</v>
      </c>
      <c r="H109" s="65">
        <f t="shared" si="21"/>
        <v>0</v>
      </c>
      <c r="I109" s="65">
        <f t="shared" si="17"/>
        <v>1</v>
      </c>
      <c r="J109" s="203">
        <f>IF(DG!$A$131&lt;=11,$M$17,0)</f>
        <v>20000</v>
      </c>
      <c r="K109" s="65">
        <f t="shared" si="25"/>
        <v>60</v>
      </c>
      <c r="L109" s="473">
        <f t="shared" si="26"/>
        <v>5.0000100000000006E-2</v>
      </c>
      <c r="M109" s="204">
        <f t="shared" si="30"/>
        <v>0</v>
      </c>
      <c r="N109" s="505">
        <f t="shared" si="27"/>
        <v>0</v>
      </c>
      <c r="O109" s="204">
        <f>IF(DG!$A$131&gt;12,0,IF(J109-J108&gt;0,MROUND((L109/12*Q108),1),MROUND(L109/12*P108,1)))</f>
        <v>0</v>
      </c>
      <c r="P109" s="204">
        <f t="shared" si="28"/>
        <v>0</v>
      </c>
      <c r="Q109" s="204">
        <f t="shared" si="22"/>
        <v>0</v>
      </c>
      <c r="R109" s="748">
        <v>0</v>
      </c>
      <c r="S109" s="511">
        <f t="shared" si="18"/>
        <v>0</v>
      </c>
    </row>
    <row r="110" spans="1:19" ht="14" thickTop="1" thickBot="1">
      <c r="A110" s="202">
        <f t="shared" si="23"/>
        <v>47849</v>
      </c>
      <c r="B110" s="65">
        <f t="shared" si="19"/>
        <v>85</v>
      </c>
      <c r="C110" s="65">
        <f t="shared" si="14"/>
        <v>85</v>
      </c>
      <c r="D110" s="65">
        <f t="shared" si="29"/>
        <v>85</v>
      </c>
      <c r="E110" s="65">
        <f t="shared" si="24"/>
        <v>85</v>
      </c>
      <c r="F110" s="65">
        <f>IF(OR(L$73=0,DG!$A$252&gt;16),0,F109+1)</f>
        <v>85</v>
      </c>
      <c r="G110" s="65">
        <f t="shared" si="20"/>
        <v>0</v>
      </c>
      <c r="H110" s="65">
        <f t="shared" si="21"/>
        <v>0</v>
      </c>
      <c r="I110" s="65">
        <f t="shared" si="17"/>
        <v>1</v>
      </c>
      <c r="J110" s="203">
        <f>IF(DG!$A$131&lt;=11,$M$17,0)</f>
        <v>20000</v>
      </c>
      <c r="K110" s="65">
        <f t="shared" si="25"/>
        <v>60</v>
      </c>
      <c r="L110" s="473">
        <f t="shared" si="26"/>
        <v>5.0000100000000006E-2</v>
      </c>
      <c r="M110" s="204">
        <f t="shared" si="30"/>
        <v>0</v>
      </c>
      <c r="N110" s="505">
        <f t="shared" si="27"/>
        <v>0</v>
      </c>
      <c r="O110" s="204">
        <f>IF(DG!$A$131&gt;12,0,IF(J110-J109&gt;0,MROUND((L110/12*Q109),1),MROUND(L110/12*P109,1)))</f>
        <v>0</v>
      </c>
      <c r="P110" s="204">
        <f t="shared" si="28"/>
        <v>0</v>
      </c>
      <c r="Q110" s="204">
        <f t="shared" si="22"/>
        <v>0</v>
      </c>
      <c r="R110" s="748">
        <v>0</v>
      </c>
      <c r="S110" s="511">
        <f t="shared" si="18"/>
        <v>0</v>
      </c>
    </row>
    <row r="111" spans="1:19" ht="14" thickTop="1" thickBot="1">
      <c r="A111" s="202">
        <f t="shared" si="23"/>
        <v>47880</v>
      </c>
      <c r="B111" s="65">
        <f t="shared" si="19"/>
        <v>86</v>
      </c>
      <c r="C111" s="65">
        <f t="shared" si="14"/>
        <v>86</v>
      </c>
      <c r="D111" s="65">
        <f t="shared" si="29"/>
        <v>86</v>
      </c>
      <c r="E111" s="65">
        <f t="shared" si="24"/>
        <v>86</v>
      </c>
      <c r="F111" s="65">
        <f>IF(OR(L$73=0,DG!$A$252&gt;16),0,F110+1)</f>
        <v>86</v>
      </c>
      <c r="G111" s="65">
        <f t="shared" si="20"/>
        <v>0</v>
      </c>
      <c r="H111" s="65">
        <f t="shared" si="21"/>
        <v>0</v>
      </c>
      <c r="I111" s="65">
        <f t="shared" si="17"/>
        <v>1</v>
      </c>
      <c r="J111" s="203">
        <f>IF(DG!$A$131&lt;=11,$M$17,0)</f>
        <v>20000</v>
      </c>
      <c r="K111" s="65">
        <f t="shared" si="25"/>
        <v>60</v>
      </c>
      <c r="L111" s="473">
        <f t="shared" si="26"/>
        <v>5.0000100000000006E-2</v>
      </c>
      <c r="M111" s="204">
        <f t="shared" si="30"/>
        <v>0</v>
      </c>
      <c r="N111" s="505">
        <f t="shared" si="27"/>
        <v>0</v>
      </c>
      <c r="O111" s="204">
        <f>IF(DG!$A$131&gt;12,0,IF(J111-J110&gt;0,MROUND((L111/12*Q110),1),MROUND(L111/12*P110,1)))</f>
        <v>0</v>
      </c>
      <c r="P111" s="204">
        <f t="shared" si="28"/>
        <v>0</v>
      </c>
      <c r="Q111" s="204">
        <f t="shared" si="22"/>
        <v>0</v>
      </c>
      <c r="R111" s="748">
        <v>0</v>
      </c>
      <c r="S111" s="511">
        <f t="shared" si="18"/>
        <v>0</v>
      </c>
    </row>
    <row r="112" spans="1:19" ht="14" thickTop="1" thickBot="1">
      <c r="A112" s="202">
        <f t="shared" si="23"/>
        <v>47908</v>
      </c>
      <c r="B112" s="65">
        <f t="shared" si="19"/>
        <v>87</v>
      </c>
      <c r="C112" s="65">
        <f t="shared" si="14"/>
        <v>87</v>
      </c>
      <c r="D112" s="65">
        <f t="shared" si="29"/>
        <v>87</v>
      </c>
      <c r="E112" s="65">
        <f t="shared" si="24"/>
        <v>87</v>
      </c>
      <c r="F112" s="65">
        <f>IF(OR(L$73=0,DG!$A$252&gt;16),0,F111+1)</f>
        <v>87</v>
      </c>
      <c r="G112" s="65">
        <f t="shared" si="20"/>
        <v>0</v>
      </c>
      <c r="H112" s="65">
        <f t="shared" si="21"/>
        <v>0</v>
      </c>
      <c r="I112" s="65">
        <f t="shared" si="17"/>
        <v>1</v>
      </c>
      <c r="J112" s="203">
        <f>IF(DG!$A$131&lt;=11,$M$17,0)</f>
        <v>20000</v>
      </c>
      <c r="K112" s="65">
        <f t="shared" si="25"/>
        <v>60</v>
      </c>
      <c r="L112" s="473">
        <f t="shared" si="26"/>
        <v>5.0000100000000006E-2</v>
      </c>
      <c r="M112" s="204">
        <f t="shared" si="30"/>
        <v>0</v>
      </c>
      <c r="N112" s="505">
        <f t="shared" si="27"/>
        <v>0</v>
      </c>
      <c r="O112" s="204">
        <f>IF(DG!$A$131&gt;12,0,IF(J112-J111&gt;0,MROUND((L112/12*Q111),1),MROUND(L112/12*P111,1)))</f>
        <v>0</v>
      </c>
      <c r="P112" s="204">
        <f t="shared" si="28"/>
        <v>0</v>
      </c>
      <c r="Q112" s="204">
        <f t="shared" si="22"/>
        <v>0</v>
      </c>
      <c r="R112" s="748">
        <v>0</v>
      </c>
      <c r="S112" s="511">
        <f t="shared" si="18"/>
        <v>0</v>
      </c>
    </row>
    <row r="113" spans="1:19" ht="14" thickTop="1" thickBot="1">
      <c r="A113" s="202">
        <f t="shared" si="23"/>
        <v>47939</v>
      </c>
      <c r="B113" s="65">
        <f t="shared" si="19"/>
        <v>88</v>
      </c>
      <c r="C113" s="65">
        <f t="shared" si="14"/>
        <v>88</v>
      </c>
      <c r="D113" s="65">
        <f t="shared" si="29"/>
        <v>88</v>
      </c>
      <c r="E113" s="65">
        <f t="shared" si="24"/>
        <v>88</v>
      </c>
      <c r="F113" s="65">
        <f>IF(OR(L$73=0,DG!$A$252&gt;16),0,F112+1)</f>
        <v>88</v>
      </c>
      <c r="G113" s="65">
        <f t="shared" si="20"/>
        <v>0</v>
      </c>
      <c r="H113" s="65">
        <f t="shared" si="21"/>
        <v>0</v>
      </c>
      <c r="I113" s="65">
        <f t="shared" si="17"/>
        <v>1</v>
      </c>
      <c r="J113" s="203">
        <f>IF(DG!$A$131&lt;=11,$M$17,0)</f>
        <v>20000</v>
      </c>
      <c r="K113" s="65">
        <f t="shared" si="25"/>
        <v>60</v>
      </c>
      <c r="L113" s="473">
        <f t="shared" si="26"/>
        <v>5.0000100000000006E-2</v>
      </c>
      <c r="M113" s="204">
        <f t="shared" si="30"/>
        <v>0</v>
      </c>
      <c r="N113" s="505">
        <f t="shared" si="27"/>
        <v>0</v>
      </c>
      <c r="O113" s="204">
        <f>IF(DG!$A$131&gt;12,0,IF(J113-J112&gt;0,MROUND((L113/12*Q112),1),MROUND(L113/12*P112,1)))</f>
        <v>0</v>
      </c>
      <c r="P113" s="204">
        <f t="shared" si="28"/>
        <v>0</v>
      </c>
      <c r="Q113" s="204">
        <f t="shared" si="22"/>
        <v>0</v>
      </c>
      <c r="R113" s="748">
        <v>0</v>
      </c>
      <c r="S113" s="511">
        <f t="shared" si="18"/>
        <v>0</v>
      </c>
    </row>
    <row r="114" spans="1:19" ht="14" thickTop="1" thickBot="1">
      <c r="A114" s="202">
        <f t="shared" si="23"/>
        <v>47969</v>
      </c>
      <c r="B114" s="65">
        <f t="shared" si="19"/>
        <v>89</v>
      </c>
      <c r="C114" s="65">
        <f t="shared" si="14"/>
        <v>89</v>
      </c>
      <c r="D114" s="65">
        <f t="shared" si="29"/>
        <v>89</v>
      </c>
      <c r="E114" s="65">
        <f t="shared" si="24"/>
        <v>89</v>
      </c>
      <c r="F114" s="65">
        <f>IF(OR(L$73=0,DG!$A$252&gt;16),0,F113+1)</f>
        <v>89</v>
      </c>
      <c r="G114" s="65">
        <f t="shared" si="20"/>
        <v>0</v>
      </c>
      <c r="H114" s="65">
        <f t="shared" si="21"/>
        <v>0</v>
      </c>
      <c r="I114" s="65">
        <f t="shared" si="17"/>
        <v>1</v>
      </c>
      <c r="J114" s="203">
        <f>IF(DG!$A$131&lt;=11,$M$17,0)</f>
        <v>20000</v>
      </c>
      <c r="K114" s="65">
        <f t="shared" si="25"/>
        <v>60</v>
      </c>
      <c r="L114" s="473">
        <f t="shared" si="26"/>
        <v>5.0000100000000006E-2</v>
      </c>
      <c r="M114" s="204">
        <f t="shared" si="30"/>
        <v>0</v>
      </c>
      <c r="N114" s="505">
        <f t="shared" si="27"/>
        <v>0</v>
      </c>
      <c r="O114" s="204">
        <f>IF(DG!$A$131&gt;12,0,IF(J114-J113&gt;0,MROUND((L114/12*Q113),1),MROUND(L114/12*P113,1)))</f>
        <v>0</v>
      </c>
      <c r="P114" s="204">
        <f t="shared" si="28"/>
        <v>0</v>
      </c>
      <c r="Q114" s="204">
        <f t="shared" si="22"/>
        <v>0</v>
      </c>
      <c r="R114" s="748">
        <v>0</v>
      </c>
      <c r="S114" s="511">
        <f t="shared" si="18"/>
        <v>0</v>
      </c>
    </row>
    <row r="115" spans="1:19" ht="14" thickTop="1" thickBot="1">
      <c r="A115" s="202">
        <f t="shared" si="23"/>
        <v>48000</v>
      </c>
      <c r="B115" s="65">
        <f t="shared" si="19"/>
        <v>90</v>
      </c>
      <c r="C115" s="65">
        <f t="shared" ref="C115:C178" si="31">IF(F115-$E$269&gt;0,F115-$E$269,0)</f>
        <v>90</v>
      </c>
      <c r="D115" s="65">
        <f t="shared" si="29"/>
        <v>90</v>
      </c>
      <c r="E115" s="65">
        <f t="shared" si="24"/>
        <v>90</v>
      </c>
      <c r="F115" s="65">
        <f>IF(OR(L$73=0,DG!$A$252&gt;16),0,F114+1)</f>
        <v>90</v>
      </c>
      <c r="G115" s="65">
        <f t="shared" si="20"/>
        <v>0</v>
      </c>
      <c r="H115" s="65">
        <f t="shared" si="21"/>
        <v>0</v>
      </c>
      <c r="I115" s="65">
        <f t="shared" si="17"/>
        <v>1</v>
      </c>
      <c r="J115" s="203">
        <f>IF(DG!$A$131&lt;=11,$M$17,0)</f>
        <v>20000</v>
      </c>
      <c r="K115" s="65">
        <f t="shared" si="25"/>
        <v>60</v>
      </c>
      <c r="L115" s="473">
        <f t="shared" si="26"/>
        <v>5.0000100000000006E-2</v>
      </c>
      <c r="M115" s="204">
        <f t="shared" si="30"/>
        <v>0</v>
      </c>
      <c r="N115" s="505">
        <f t="shared" si="27"/>
        <v>0</v>
      </c>
      <c r="O115" s="204">
        <f>IF(DG!$A$131&gt;12,0,IF(J115-J114&gt;0,MROUND((L115/12*Q114),1),MROUND(L115/12*P114,1)))</f>
        <v>0</v>
      </c>
      <c r="P115" s="204">
        <f t="shared" si="28"/>
        <v>0</v>
      </c>
      <c r="Q115" s="204">
        <f t="shared" si="22"/>
        <v>0</v>
      </c>
      <c r="R115" s="748">
        <v>0</v>
      </c>
      <c r="S115" s="511">
        <f t="shared" si="18"/>
        <v>0</v>
      </c>
    </row>
    <row r="116" spans="1:19" ht="14" thickTop="1" thickBot="1">
      <c r="A116" s="202">
        <f t="shared" si="23"/>
        <v>48030</v>
      </c>
      <c r="B116" s="65">
        <f t="shared" si="19"/>
        <v>91</v>
      </c>
      <c r="C116" s="65">
        <f t="shared" si="31"/>
        <v>91</v>
      </c>
      <c r="D116" s="65">
        <f t="shared" si="29"/>
        <v>91</v>
      </c>
      <c r="E116" s="65">
        <f t="shared" si="24"/>
        <v>91</v>
      </c>
      <c r="F116" s="65">
        <f>IF(OR(L$73=0,DG!$A$252&gt;16),0,F115+1)</f>
        <v>91</v>
      </c>
      <c r="G116" s="65">
        <f t="shared" si="20"/>
        <v>0</v>
      </c>
      <c r="H116" s="65">
        <f t="shared" si="21"/>
        <v>0</v>
      </c>
      <c r="I116" s="65">
        <f t="shared" si="17"/>
        <v>1</v>
      </c>
      <c r="J116" s="203">
        <f>IF(DG!$A$131&lt;=11,$M$17,0)</f>
        <v>20000</v>
      </c>
      <c r="K116" s="65">
        <f t="shared" si="25"/>
        <v>60</v>
      </c>
      <c r="L116" s="473">
        <f t="shared" si="26"/>
        <v>5.0000100000000006E-2</v>
      </c>
      <c r="M116" s="204">
        <f t="shared" si="30"/>
        <v>0</v>
      </c>
      <c r="N116" s="505">
        <f t="shared" si="27"/>
        <v>0</v>
      </c>
      <c r="O116" s="204">
        <f>IF(DG!$A$131&gt;12,0,IF(J116-J115&gt;0,MROUND((L116/12*Q115),1),MROUND(L116/12*P115,1)))</f>
        <v>0</v>
      </c>
      <c r="P116" s="204">
        <f t="shared" si="28"/>
        <v>0</v>
      </c>
      <c r="Q116" s="204">
        <f t="shared" si="22"/>
        <v>0</v>
      </c>
      <c r="R116" s="748">
        <v>0</v>
      </c>
      <c r="S116" s="511">
        <f t="shared" si="18"/>
        <v>0</v>
      </c>
    </row>
    <row r="117" spans="1:19" ht="14" thickTop="1" thickBot="1">
      <c r="A117" s="202">
        <f t="shared" si="23"/>
        <v>48061</v>
      </c>
      <c r="B117" s="65">
        <f t="shared" si="19"/>
        <v>92</v>
      </c>
      <c r="C117" s="65">
        <f t="shared" si="31"/>
        <v>92</v>
      </c>
      <c r="D117" s="65">
        <f t="shared" si="29"/>
        <v>92</v>
      </c>
      <c r="E117" s="65">
        <f t="shared" si="24"/>
        <v>92</v>
      </c>
      <c r="F117" s="65">
        <f>IF(OR(L$73=0,DG!$A$252&gt;16),0,F116+1)</f>
        <v>92</v>
      </c>
      <c r="G117" s="65">
        <f t="shared" si="20"/>
        <v>0</v>
      </c>
      <c r="H117" s="65">
        <f t="shared" si="21"/>
        <v>0</v>
      </c>
      <c r="I117" s="65">
        <f t="shared" si="17"/>
        <v>1</v>
      </c>
      <c r="J117" s="203">
        <f>IF(DG!$A$131&lt;=11,$M$17,0)</f>
        <v>20000</v>
      </c>
      <c r="K117" s="65">
        <f t="shared" si="25"/>
        <v>60</v>
      </c>
      <c r="L117" s="473">
        <f t="shared" si="26"/>
        <v>5.0000100000000006E-2</v>
      </c>
      <c r="M117" s="204">
        <f t="shared" si="30"/>
        <v>0</v>
      </c>
      <c r="N117" s="505">
        <f t="shared" si="27"/>
        <v>0</v>
      </c>
      <c r="O117" s="204">
        <f>IF(DG!$A$131&gt;12,0,IF(J117-J116&gt;0,MROUND((L117/12*Q116),1),MROUND(L117/12*P116,1)))</f>
        <v>0</v>
      </c>
      <c r="P117" s="204">
        <f t="shared" si="28"/>
        <v>0</v>
      </c>
      <c r="Q117" s="204">
        <f t="shared" si="22"/>
        <v>0</v>
      </c>
      <c r="R117" s="748">
        <v>0</v>
      </c>
      <c r="S117" s="511">
        <f t="shared" si="18"/>
        <v>0</v>
      </c>
    </row>
    <row r="118" spans="1:19" ht="14" thickTop="1" thickBot="1">
      <c r="A118" s="202">
        <f t="shared" si="23"/>
        <v>48092</v>
      </c>
      <c r="B118" s="65">
        <f t="shared" si="19"/>
        <v>93</v>
      </c>
      <c r="C118" s="65">
        <f t="shared" si="31"/>
        <v>93</v>
      </c>
      <c r="D118" s="65">
        <f t="shared" si="29"/>
        <v>93</v>
      </c>
      <c r="E118" s="65">
        <f t="shared" si="24"/>
        <v>93</v>
      </c>
      <c r="F118" s="65">
        <f>IF(OR(L$73=0,DG!$A$252&gt;16),0,F117+1)</f>
        <v>93</v>
      </c>
      <c r="G118" s="65">
        <f t="shared" si="20"/>
        <v>0</v>
      </c>
      <c r="H118" s="65">
        <f t="shared" si="21"/>
        <v>0</v>
      </c>
      <c r="I118" s="65">
        <f t="shared" si="17"/>
        <v>1</v>
      </c>
      <c r="J118" s="203">
        <f>IF(DG!$A$131&lt;=11,$M$17,0)</f>
        <v>20000</v>
      </c>
      <c r="K118" s="65">
        <f t="shared" si="25"/>
        <v>60</v>
      </c>
      <c r="L118" s="473">
        <f t="shared" si="26"/>
        <v>5.0000100000000006E-2</v>
      </c>
      <c r="M118" s="204">
        <f t="shared" si="30"/>
        <v>0</v>
      </c>
      <c r="N118" s="505">
        <f t="shared" si="27"/>
        <v>0</v>
      </c>
      <c r="O118" s="204">
        <f>IF(DG!$A$131&gt;12,0,IF(J118-J117&gt;0,MROUND((L118/12*Q117),1),MROUND(L118/12*P117,1)))</f>
        <v>0</v>
      </c>
      <c r="P118" s="204">
        <f t="shared" si="28"/>
        <v>0</v>
      </c>
      <c r="Q118" s="204">
        <f t="shared" si="22"/>
        <v>0</v>
      </c>
      <c r="R118" s="748">
        <v>0</v>
      </c>
      <c r="S118" s="511">
        <f t="shared" si="18"/>
        <v>0</v>
      </c>
    </row>
    <row r="119" spans="1:19" ht="14" thickTop="1" thickBot="1">
      <c r="A119" s="202">
        <f t="shared" si="23"/>
        <v>48122</v>
      </c>
      <c r="B119" s="65">
        <f t="shared" si="19"/>
        <v>94</v>
      </c>
      <c r="C119" s="65">
        <f t="shared" si="31"/>
        <v>94</v>
      </c>
      <c r="D119" s="65">
        <f t="shared" si="29"/>
        <v>94</v>
      </c>
      <c r="E119" s="65">
        <f t="shared" si="24"/>
        <v>94</v>
      </c>
      <c r="F119" s="65">
        <f>IF(OR(L$73=0,DG!$A$252&gt;16),0,F118+1)</f>
        <v>94</v>
      </c>
      <c r="G119" s="65">
        <f t="shared" si="20"/>
        <v>0</v>
      </c>
      <c r="H119" s="65">
        <f t="shared" si="21"/>
        <v>0</v>
      </c>
      <c r="I119" s="65">
        <f t="shared" si="17"/>
        <v>1</v>
      </c>
      <c r="J119" s="203">
        <f>IF(DG!$A$131&lt;=11,$M$17,0)</f>
        <v>20000</v>
      </c>
      <c r="K119" s="65">
        <f t="shared" si="25"/>
        <v>60</v>
      </c>
      <c r="L119" s="473">
        <f t="shared" si="26"/>
        <v>5.0000100000000006E-2</v>
      </c>
      <c r="M119" s="204">
        <f t="shared" si="30"/>
        <v>0</v>
      </c>
      <c r="N119" s="505">
        <f t="shared" si="27"/>
        <v>0</v>
      </c>
      <c r="O119" s="204">
        <f>IF(DG!$A$131&gt;12,0,IF(J119-J118&gt;0,MROUND((L119/12*Q118),1),MROUND(L119/12*P118,1)))</f>
        <v>0</v>
      </c>
      <c r="P119" s="204">
        <f t="shared" si="28"/>
        <v>0</v>
      </c>
      <c r="Q119" s="204">
        <f t="shared" si="22"/>
        <v>0</v>
      </c>
      <c r="R119" s="748">
        <v>0</v>
      </c>
      <c r="S119" s="511">
        <f t="shared" si="18"/>
        <v>0</v>
      </c>
    </row>
    <row r="120" spans="1:19" ht="14" thickTop="1" thickBot="1">
      <c r="A120" s="202">
        <f t="shared" si="23"/>
        <v>48153</v>
      </c>
      <c r="B120" s="65">
        <f t="shared" si="19"/>
        <v>95</v>
      </c>
      <c r="C120" s="65">
        <f t="shared" si="31"/>
        <v>95</v>
      </c>
      <c r="D120" s="65">
        <f t="shared" si="29"/>
        <v>95</v>
      </c>
      <c r="E120" s="65">
        <f t="shared" si="24"/>
        <v>95</v>
      </c>
      <c r="F120" s="65">
        <f>IF(OR(L$73=0,DG!$A$252&gt;16),0,F119+1)</f>
        <v>95</v>
      </c>
      <c r="G120" s="65">
        <f t="shared" si="20"/>
        <v>0</v>
      </c>
      <c r="H120" s="65">
        <f t="shared" si="21"/>
        <v>0</v>
      </c>
      <c r="I120" s="65">
        <f t="shared" si="17"/>
        <v>1</v>
      </c>
      <c r="J120" s="203">
        <f>IF(DG!$A$131&lt;=11,$M$17,0)</f>
        <v>20000</v>
      </c>
      <c r="K120" s="65">
        <f t="shared" si="25"/>
        <v>60</v>
      </c>
      <c r="L120" s="473">
        <f t="shared" si="26"/>
        <v>5.0000100000000006E-2</v>
      </c>
      <c r="M120" s="204">
        <f t="shared" si="30"/>
        <v>0</v>
      </c>
      <c r="N120" s="505">
        <f t="shared" si="27"/>
        <v>0</v>
      </c>
      <c r="O120" s="204">
        <f>IF(DG!$A$131&gt;12,0,IF(J120-J119&gt;0,MROUND((L120/12*Q119),1),MROUND(L120/12*P119,1)))</f>
        <v>0</v>
      </c>
      <c r="P120" s="204">
        <f t="shared" si="28"/>
        <v>0</v>
      </c>
      <c r="Q120" s="204">
        <f t="shared" si="22"/>
        <v>0</v>
      </c>
      <c r="R120" s="748">
        <v>0</v>
      </c>
      <c r="S120" s="511">
        <f t="shared" si="18"/>
        <v>0</v>
      </c>
    </row>
    <row r="121" spans="1:19" ht="14" thickTop="1" thickBot="1">
      <c r="A121" s="202">
        <f t="shared" si="23"/>
        <v>48183</v>
      </c>
      <c r="B121" s="65">
        <f t="shared" si="19"/>
        <v>96</v>
      </c>
      <c r="C121" s="65">
        <f t="shared" si="31"/>
        <v>96</v>
      </c>
      <c r="D121" s="65">
        <f t="shared" si="29"/>
        <v>96</v>
      </c>
      <c r="E121" s="65">
        <f t="shared" si="24"/>
        <v>96</v>
      </c>
      <c r="F121" s="65">
        <f>IF(OR(L$73=0,DG!$A$252&gt;16),0,F120+1)</f>
        <v>96</v>
      </c>
      <c r="G121" s="65">
        <f t="shared" si="20"/>
        <v>0</v>
      </c>
      <c r="H121" s="65">
        <f t="shared" si="21"/>
        <v>0</v>
      </c>
      <c r="I121" s="65">
        <f t="shared" si="17"/>
        <v>1</v>
      </c>
      <c r="J121" s="203">
        <f>IF(DG!$A$131&lt;=11,$M$17,0)</f>
        <v>20000</v>
      </c>
      <c r="K121" s="65">
        <f t="shared" si="25"/>
        <v>60</v>
      </c>
      <c r="L121" s="473">
        <f t="shared" si="26"/>
        <v>5.0000100000000006E-2</v>
      </c>
      <c r="M121" s="204">
        <f t="shared" si="30"/>
        <v>0</v>
      </c>
      <c r="N121" s="505">
        <f t="shared" si="27"/>
        <v>0</v>
      </c>
      <c r="O121" s="204">
        <f>IF(DG!$A$131&gt;12,0,IF(J121-J120&gt;0,MROUND((L121/12*Q120),1),MROUND(L121/12*P120,1)))</f>
        <v>0</v>
      </c>
      <c r="P121" s="204">
        <f t="shared" si="28"/>
        <v>0</v>
      </c>
      <c r="Q121" s="204">
        <f t="shared" si="22"/>
        <v>0</v>
      </c>
      <c r="R121" s="748">
        <v>0</v>
      </c>
      <c r="S121" s="511">
        <f t="shared" si="18"/>
        <v>0</v>
      </c>
    </row>
    <row r="122" spans="1:19" ht="14" thickTop="1" thickBot="1">
      <c r="A122" s="202">
        <f t="shared" si="23"/>
        <v>48214</v>
      </c>
      <c r="B122" s="65">
        <f t="shared" si="19"/>
        <v>97</v>
      </c>
      <c r="C122" s="65">
        <f t="shared" si="31"/>
        <v>97</v>
      </c>
      <c r="D122" s="65">
        <f t="shared" si="29"/>
        <v>97</v>
      </c>
      <c r="E122" s="65">
        <f t="shared" si="24"/>
        <v>97</v>
      </c>
      <c r="F122" s="65">
        <f>IF(OR(L$73=0,DG!$A$252&gt;16),0,F121+1)</f>
        <v>97</v>
      </c>
      <c r="G122" s="65">
        <f t="shared" si="20"/>
        <v>0</v>
      </c>
      <c r="H122" s="65">
        <f t="shared" si="21"/>
        <v>0</v>
      </c>
      <c r="I122" s="65">
        <f t="shared" si="17"/>
        <v>1</v>
      </c>
      <c r="J122" s="203">
        <f>IF(DG!$A$131&lt;=11,$M$17,0)</f>
        <v>20000</v>
      </c>
      <c r="K122" s="65">
        <f t="shared" si="25"/>
        <v>60</v>
      </c>
      <c r="L122" s="473">
        <f t="shared" si="26"/>
        <v>5.0000100000000006E-2</v>
      </c>
      <c r="M122" s="204">
        <f t="shared" si="30"/>
        <v>0</v>
      </c>
      <c r="N122" s="505">
        <f t="shared" si="27"/>
        <v>0</v>
      </c>
      <c r="O122" s="204">
        <f>IF(DG!$A$131&gt;12,0,IF(J122-J121&gt;0,MROUND((L122/12*Q121),1),MROUND(L122/12*P121,1)))</f>
        <v>0</v>
      </c>
      <c r="P122" s="204">
        <f t="shared" si="28"/>
        <v>0</v>
      </c>
      <c r="Q122" s="204">
        <f t="shared" si="22"/>
        <v>0</v>
      </c>
      <c r="R122" s="748">
        <v>0</v>
      </c>
      <c r="S122" s="511">
        <f t="shared" si="18"/>
        <v>0</v>
      </c>
    </row>
    <row r="123" spans="1:19" ht="14" thickTop="1" thickBot="1">
      <c r="A123" s="202">
        <f t="shared" si="23"/>
        <v>48245</v>
      </c>
      <c r="B123" s="65">
        <f t="shared" si="19"/>
        <v>98</v>
      </c>
      <c r="C123" s="65">
        <f t="shared" si="31"/>
        <v>98</v>
      </c>
      <c r="D123" s="65">
        <f t="shared" si="29"/>
        <v>98</v>
      </c>
      <c r="E123" s="65">
        <f t="shared" si="24"/>
        <v>98</v>
      </c>
      <c r="F123" s="65">
        <f>IF(OR(L$73=0,DG!$A$252&gt;16),0,F122+1)</f>
        <v>98</v>
      </c>
      <c r="G123" s="65">
        <f t="shared" si="20"/>
        <v>0</v>
      </c>
      <c r="H123" s="65">
        <f t="shared" si="21"/>
        <v>0</v>
      </c>
      <c r="I123" s="65">
        <f t="shared" si="17"/>
        <v>1</v>
      </c>
      <c r="J123" s="203">
        <f>IF(DG!$A$131&lt;=11,$M$17,0)</f>
        <v>20000</v>
      </c>
      <c r="K123" s="65">
        <f t="shared" si="25"/>
        <v>60</v>
      </c>
      <c r="L123" s="473">
        <f t="shared" si="26"/>
        <v>5.0000100000000006E-2</v>
      </c>
      <c r="M123" s="204">
        <f t="shared" si="30"/>
        <v>0</v>
      </c>
      <c r="N123" s="505">
        <f t="shared" si="27"/>
        <v>0</v>
      </c>
      <c r="O123" s="204">
        <f>IF(DG!$A$131&gt;12,0,IF(J123-J122&gt;0,MROUND((L123/12*Q122),1),MROUND(L123/12*P122,1)))</f>
        <v>0</v>
      </c>
      <c r="P123" s="204">
        <f t="shared" si="28"/>
        <v>0</v>
      </c>
      <c r="Q123" s="204">
        <f t="shared" si="22"/>
        <v>0</v>
      </c>
      <c r="R123" s="748">
        <v>0</v>
      </c>
      <c r="S123" s="511">
        <f t="shared" si="18"/>
        <v>0</v>
      </c>
    </row>
    <row r="124" spans="1:19" ht="14" thickTop="1" thickBot="1">
      <c r="A124" s="202">
        <f t="shared" si="23"/>
        <v>48274</v>
      </c>
      <c r="B124" s="65">
        <f t="shared" si="19"/>
        <v>99</v>
      </c>
      <c r="C124" s="65">
        <f t="shared" si="31"/>
        <v>99</v>
      </c>
      <c r="D124" s="65">
        <f t="shared" si="29"/>
        <v>99</v>
      </c>
      <c r="E124" s="65">
        <f t="shared" si="24"/>
        <v>99</v>
      </c>
      <c r="F124" s="65">
        <f>IF(OR(L$73=0,DG!$A$252&gt;16),0,F123+1)</f>
        <v>99</v>
      </c>
      <c r="G124" s="65">
        <f t="shared" si="20"/>
        <v>0</v>
      </c>
      <c r="H124" s="65">
        <f t="shared" si="21"/>
        <v>0</v>
      </c>
      <c r="I124" s="65">
        <f t="shared" si="17"/>
        <v>1</v>
      </c>
      <c r="J124" s="203">
        <f>IF(DG!$A$131&lt;=11,$M$17,0)</f>
        <v>20000</v>
      </c>
      <c r="K124" s="65">
        <f t="shared" si="25"/>
        <v>60</v>
      </c>
      <c r="L124" s="473">
        <f t="shared" si="26"/>
        <v>5.0000100000000006E-2</v>
      </c>
      <c r="M124" s="204">
        <f t="shared" si="30"/>
        <v>0</v>
      </c>
      <c r="N124" s="505">
        <f t="shared" si="27"/>
        <v>0</v>
      </c>
      <c r="O124" s="204">
        <f>IF(DG!$A$131&gt;12,0,IF(J124-J123&gt;0,MROUND((L124/12*Q123),1),MROUND(L124/12*P123,1)))</f>
        <v>0</v>
      </c>
      <c r="P124" s="204">
        <f t="shared" si="28"/>
        <v>0</v>
      </c>
      <c r="Q124" s="204">
        <f t="shared" si="22"/>
        <v>0</v>
      </c>
      <c r="R124" s="748">
        <v>0</v>
      </c>
      <c r="S124" s="511">
        <f t="shared" si="18"/>
        <v>0</v>
      </c>
    </row>
    <row r="125" spans="1:19" ht="14" thickTop="1" thickBot="1">
      <c r="A125" s="202">
        <f t="shared" si="23"/>
        <v>48305</v>
      </c>
      <c r="B125" s="65">
        <f t="shared" si="19"/>
        <v>100</v>
      </c>
      <c r="C125" s="65">
        <f t="shared" si="31"/>
        <v>100</v>
      </c>
      <c r="D125" s="65">
        <f t="shared" si="29"/>
        <v>100</v>
      </c>
      <c r="E125" s="65">
        <f t="shared" si="24"/>
        <v>100</v>
      </c>
      <c r="F125" s="65">
        <f>IF(OR(L$73=0,DG!$A$252&gt;16),0,F124+1)</f>
        <v>100</v>
      </c>
      <c r="G125" s="65">
        <f t="shared" si="20"/>
        <v>0</v>
      </c>
      <c r="H125" s="65">
        <f t="shared" si="21"/>
        <v>0</v>
      </c>
      <c r="I125" s="65">
        <f t="shared" si="17"/>
        <v>1</v>
      </c>
      <c r="J125" s="203">
        <f>IF(DG!$A$131&lt;=11,$M$17,0)</f>
        <v>20000</v>
      </c>
      <c r="K125" s="65">
        <f t="shared" si="25"/>
        <v>60</v>
      </c>
      <c r="L125" s="473">
        <f t="shared" si="26"/>
        <v>5.0000100000000006E-2</v>
      </c>
      <c r="M125" s="204">
        <f t="shared" si="30"/>
        <v>0</v>
      </c>
      <c r="N125" s="505">
        <f t="shared" si="27"/>
        <v>0</v>
      </c>
      <c r="O125" s="204">
        <f>IF(DG!$A$131&gt;12,0,IF(J125-J124&gt;0,MROUND((L125/12*Q124),1),MROUND(L125/12*P124,1)))</f>
        <v>0</v>
      </c>
      <c r="P125" s="204">
        <f t="shared" si="28"/>
        <v>0</v>
      </c>
      <c r="Q125" s="204">
        <f t="shared" si="22"/>
        <v>0</v>
      </c>
      <c r="R125" s="476">
        <v>0</v>
      </c>
      <c r="S125" s="511">
        <f t="shared" si="18"/>
        <v>0</v>
      </c>
    </row>
    <row r="126" spans="1:19" ht="14" thickTop="1" thickBot="1">
      <c r="A126" s="202">
        <f t="shared" si="23"/>
        <v>48335</v>
      </c>
      <c r="B126" s="65">
        <f t="shared" si="19"/>
        <v>101</v>
      </c>
      <c r="C126" s="65">
        <f t="shared" si="31"/>
        <v>101</v>
      </c>
      <c r="D126" s="65">
        <f t="shared" si="29"/>
        <v>101</v>
      </c>
      <c r="E126" s="65">
        <f t="shared" si="24"/>
        <v>101</v>
      </c>
      <c r="F126" s="65">
        <f>IF(OR(L$73=0,DG!$A$252&gt;16),0,F125+1)</f>
        <v>101</v>
      </c>
      <c r="G126" s="65">
        <f t="shared" si="20"/>
        <v>0</v>
      </c>
      <c r="H126" s="65">
        <f t="shared" si="21"/>
        <v>0</v>
      </c>
      <c r="I126" s="65">
        <f t="shared" si="17"/>
        <v>1</v>
      </c>
      <c r="J126" s="203">
        <f>IF(DG!$A$131&lt;=11,$M$17,0)</f>
        <v>20000</v>
      </c>
      <c r="K126" s="65">
        <f t="shared" si="25"/>
        <v>60</v>
      </c>
      <c r="L126" s="473">
        <f t="shared" si="26"/>
        <v>5.0000100000000006E-2</v>
      </c>
      <c r="M126" s="204">
        <f t="shared" si="30"/>
        <v>0</v>
      </c>
      <c r="N126" s="505">
        <f t="shared" si="27"/>
        <v>0</v>
      </c>
      <c r="O126" s="204">
        <f>IF(DG!$A$131&gt;12,0,IF(J126-J125&gt;0,MROUND((L126/12*Q125),1),MROUND(L126/12*P125,1)))</f>
        <v>0</v>
      </c>
      <c r="P126" s="204">
        <f t="shared" si="28"/>
        <v>0</v>
      </c>
      <c r="Q126" s="204">
        <f t="shared" si="22"/>
        <v>0</v>
      </c>
      <c r="R126" s="476">
        <v>0</v>
      </c>
      <c r="S126" s="511">
        <f t="shared" si="18"/>
        <v>0</v>
      </c>
    </row>
    <row r="127" spans="1:19" ht="14" thickTop="1" thickBot="1">
      <c r="A127" s="202">
        <f t="shared" si="23"/>
        <v>48366</v>
      </c>
      <c r="B127" s="65">
        <f t="shared" si="19"/>
        <v>102</v>
      </c>
      <c r="C127" s="65">
        <f t="shared" si="31"/>
        <v>102</v>
      </c>
      <c r="D127" s="65">
        <f t="shared" si="29"/>
        <v>102</v>
      </c>
      <c r="E127" s="65">
        <f t="shared" si="24"/>
        <v>102</v>
      </c>
      <c r="F127" s="65">
        <f>IF(OR(L$73=0,DG!$A$252&gt;16),0,F126+1)</f>
        <v>102</v>
      </c>
      <c r="G127" s="65">
        <f t="shared" si="20"/>
        <v>0</v>
      </c>
      <c r="H127" s="65">
        <f t="shared" si="21"/>
        <v>0</v>
      </c>
      <c r="I127" s="65">
        <f t="shared" si="17"/>
        <v>1</v>
      </c>
      <c r="J127" s="203">
        <f>IF(DG!$A$131&lt;=11,$M$17,0)</f>
        <v>20000</v>
      </c>
      <c r="K127" s="65">
        <f t="shared" si="25"/>
        <v>60</v>
      </c>
      <c r="L127" s="473">
        <f t="shared" si="26"/>
        <v>5.0000100000000006E-2</v>
      </c>
      <c r="M127" s="204">
        <f t="shared" si="30"/>
        <v>0</v>
      </c>
      <c r="N127" s="505">
        <f t="shared" si="27"/>
        <v>0</v>
      </c>
      <c r="O127" s="204">
        <f>IF(DG!$A$131&gt;12,0,IF(J127-J126&gt;0,MROUND((L127/12*Q126),1),MROUND(L127/12*P126,1)))</f>
        <v>0</v>
      </c>
      <c r="P127" s="204">
        <f t="shared" si="28"/>
        <v>0</v>
      </c>
      <c r="Q127" s="204">
        <f t="shared" si="22"/>
        <v>0</v>
      </c>
      <c r="R127" s="476">
        <v>0</v>
      </c>
      <c r="S127" s="511">
        <f t="shared" si="18"/>
        <v>0</v>
      </c>
    </row>
    <row r="128" spans="1:19" ht="14" thickTop="1" thickBot="1">
      <c r="A128" s="202">
        <f t="shared" si="23"/>
        <v>48396</v>
      </c>
      <c r="B128" s="65">
        <f t="shared" si="19"/>
        <v>103</v>
      </c>
      <c r="C128" s="65">
        <f t="shared" si="31"/>
        <v>103</v>
      </c>
      <c r="D128" s="65">
        <f t="shared" si="29"/>
        <v>103</v>
      </c>
      <c r="E128" s="65">
        <f t="shared" si="24"/>
        <v>103</v>
      </c>
      <c r="F128" s="65">
        <f>IF(OR(L$73=0,DG!$A$252&gt;16),0,F127+1)</f>
        <v>103</v>
      </c>
      <c r="G128" s="65">
        <f t="shared" si="20"/>
        <v>0</v>
      </c>
      <c r="H128" s="65">
        <f t="shared" si="21"/>
        <v>0</v>
      </c>
      <c r="I128" s="65">
        <f t="shared" si="17"/>
        <v>1</v>
      </c>
      <c r="J128" s="203">
        <f>IF(DG!$A$131&lt;=11,$M$17,0)</f>
        <v>20000</v>
      </c>
      <c r="K128" s="65">
        <f t="shared" si="25"/>
        <v>60</v>
      </c>
      <c r="L128" s="473">
        <f t="shared" si="26"/>
        <v>5.0000100000000006E-2</v>
      </c>
      <c r="M128" s="204">
        <f t="shared" si="30"/>
        <v>0</v>
      </c>
      <c r="N128" s="505">
        <f t="shared" si="27"/>
        <v>0</v>
      </c>
      <c r="O128" s="204">
        <f>IF(DG!$A$131&gt;12,0,IF(J128-J127&gt;0,MROUND((L128/12*Q127),1),MROUND(L128/12*P127,1)))</f>
        <v>0</v>
      </c>
      <c r="P128" s="204">
        <f t="shared" si="28"/>
        <v>0</v>
      </c>
      <c r="Q128" s="204">
        <f t="shared" si="22"/>
        <v>0</v>
      </c>
      <c r="R128" s="476">
        <v>0</v>
      </c>
      <c r="S128" s="511">
        <f t="shared" si="18"/>
        <v>0</v>
      </c>
    </row>
    <row r="129" spans="1:19" ht="14" thickTop="1" thickBot="1">
      <c r="A129" s="202">
        <f t="shared" si="23"/>
        <v>48427</v>
      </c>
      <c r="B129" s="65">
        <f t="shared" si="19"/>
        <v>104</v>
      </c>
      <c r="C129" s="65">
        <f t="shared" si="31"/>
        <v>104</v>
      </c>
      <c r="D129" s="65">
        <f t="shared" si="29"/>
        <v>104</v>
      </c>
      <c r="E129" s="65">
        <f t="shared" si="24"/>
        <v>104</v>
      </c>
      <c r="F129" s="65">
        <f>IF(OR(L$73=0,DG!$A$252&gt;16),0,F128+1)</f>
        <v>104</v>
      </c>
      <c r="G129" s="65">
        <f t="shared" si="20"/>
        <v>0</v>
      </c>
      <c r="H129" s="65">
        <f t="shared" si="21"/>
        <v>0</v>
      </c>
      <c r="I129" s="65">
        <f t="shared" ref="I129:I192" si="32">IF(OR(G129=1,C129=0),0,IF(K129-C129&lt;$G$269,1,-1))</f>
        <v>1</v>
      </c>
      <c r="J129" s="203">
        <f>IF(DG!$A$131&lt;=11,$M$17,0)</f>
        <v>20000</v>
      </c>
      <c r="K129" s="65">
        <f t="shared" si="25"/>
        <v>60</v>
      </c>
      <c r="L129" s="473">
        <f t="shared" si="26"/>
        <v>5.0000100000000006E-2</v>
      </c>
      <c r="M129" s="204">
        <f t="shared" si="30"/>
        <v>0</v>
      </c>
      <c r="N129" s="505">
        <f t="shared" si="27"/>
        <v>0</v>
      </c>
      <c r="O129" s="204">
        <f>IF(DG!$A$131&gt;12,0,IF(J129-J128&gt;0,MROUND((L129/12*Q128),1),MROUND(L129/12*P128,1)))</f>
        <v>0</v>
      </c>
      <c r="P129" s="204">
        <f t="shared" si="28"/>
        <v>0</v>
      </c>
      <c r="Q129" s="204">
        <f t="shared" si="22"/>
        <v>0</v>
      </c>
      <c r="R129" s="476">
        <v>0</v>
      </c>
      <c r="S129" s="511">
        <f t="shared" si="18"/>
        <v>0</v>
      </c>
    </row>
    <row r="130" spans="1:19" ht="14" thickTop="1" thickBot="1">
      <c r="A130" s="202">
        <f t="shared" si="23"/>
        <v>48458</v>
      </c>
      <c r="B130" s="65">
        <f t="shared" si="19"/>
        <v>105</v>
      </c>
      <c r="C130" s="65">
        <f t="shared" si="31"/>
        <v>105</v>
      </c>
      <c r="D130" s="65">
        <f t="shared" si="29"/>
        <v>105</v>
      </c>
      <c r="E130" s="65">
        <f t="shared" si="24"/>
        <v>105</v>
      </c>
      <c r="F130" s="65">
        <f>IF(OR(L$73=0,DG!$A$252&gt;16),0,F129+1)</f>
        <v>105</v>
      </c>
      <c r="G130" s="65">
        <f t="shared" si="20"/>
        <v>0</v>
      </c>
      <c r="H130" s="65">
        <f t="shared" si="21"/>
        <v>0</v>
      </c>
      <c r="I130" s="65">
        <f t="shared" si="32"/>
        <v>1</v>
      </c>
      <c r="J130" s="203">
        <f>IF(DG!$A$131&lt;=11,$M$17,0)</f>
        <v>20000</v>
      </c>
      <c r="K130" s="65">
        <f t="shared" si="25"/>
        <v>60</v>
      </c>
      <c r="L130" s="473">
        <f t="shared" si="26"/>
        <v>5.0000100000000006E-2</v>
      </c>
      <c r="M130" s="204">
        <f t="shared" si="30"/>
        <v>0</v>
      </c>
      <c r="N130" s="505">
        <f t="shared" si="27"/>
        <v>0</v>
      </c>
      <c r="O130" s="204">
        <f>IF(DG!$A$131&gt;12,0,IF(J130-J129&gt;0,MROUND((L130/12*Q129),1),MROUND(L130/12*P129,1)))</f>
        <v>0</v>
      </c>
      <c r="P130" s="204">
        <f t="shared" si="28"/>
        <v>0</v>
      </c>
      <c r="Q130" s="204">
        <f t="shared" si="22"/>
        <v>0</v>
      </c>
      <c r="R130" s="476">
        <v>0</v>
      </c>
      <c r="S130" s="511">
        <f t="shared" si="18"/>
        <v>0</v>
      </c>
    </row>
    <row r="131" spans="1:19" ht="14" thickTop="1" thickBot="1">
      <c r="A131" s="202">
        <f t="shared" si="23"/>
        <v>48488</v>
      </c>
      <c r="B131" s="65">
        <f t="shared" si="19"/>
        <v>106</v>
      </c>
      <c r="C131" s="65">
        <f t="shared" si="31"/>
        <v>106</v>
      </c>
      <c r="D131" s="65">
        <f t="shared" si="29"/>
        <v>106</v>
      </c>
      <c r="E131" s="65">
        <f t="shared" si="24"/>
        <v>106</v>
      </c>
      <c r="F131" s="65">
        <f>IF(OR(L$73=0,DG!$A$252&gt;16),0,F130+1)</f>
        <v>106</v>
      </c>
      <c r="G131" s="65">
        <f t="shared" si="20"/>
        <v>0</v>
      </c>
      <c r="H131" s="65">
        <f t="shared" si="21"/>
        <v>0</v>
      </c>
      <c r="I131" s="65">
        <f t="shared" si="32"/>
        <v>1</v>
      </c>
      <c r="J131" s="203">
        <f>IF(DG!$A$131&lt;=11,$M$17,0)</f>
        <v>20000</v>
      </c>
      <c r="K131" s="65">
        <f t="shared" si="25"/>
        <v>60</v>
      </c>
      <c r="L131" s="473">
        <f t="shared" si="26"/>
        <v>5.0000100000000006E-2</v>
      </c>
      <c r="M131" s="204">
        <f t="shared" si="30"/>
        <v>0</v>
      </c>
      <c r="N131" s="505">
        <f t="shared" si="27"/>
        <v>0</v>
      </c>
      <c r="O131" s="204">
        <f>IF(DG!$A$131&gt;12,0,IF(J131-J130&gt;0,MROUND((L131/12*Q130),1),MROUND(L131/12*P130,1)))</f>
        <v>0</v>
      </c>
      <c r="P131" s="204">
        <f t="shared" si="28"/>
        <v>0</v>
      </c>
      <c r="Q131" s="204">
        <f t="shared" si="22"/>
        <v>0</v>
      </c>
      <c r="R131" s="476">
        <v>0</v>
      </c>
      <c r="S131" s="511">
        <f t="shared" si="18"/>
        <v>0</v>
      </c>
    </row>
    <row r="132" spans="1:19" ht="14" thickTop="1" thickBot="1">
      <c r="A132" s="202">
        <f t="shared" si="23"/>
        <v>48519</v>
      </c>
      <c r="B132" s="65">
        <f t="shared" si="19"/>
        <v>107</v>
      </c>
      <c r="C132" s="65">
        <f t="shared" si="31"/>
        <v>107</v>
      </c>
      <c r="D132" s="65">
        <f t="shared" si="29"/>
        <v>107</v>
      </c>
      <c r="E132" s="65">
        <f t="shared" si="24"/>
        <v>107</v>
      </c>
      <c r="F132" s="65">
        <f>IF(OR(L$73=0,DG!$A$252&gt;16),0,F131+1)</f>
        <v>107</v>
      </c>
      <c r="G132" s="65">
        <f t="shared" si="20"/>
        <v>0</v>
      </c>
      <c r="H132" s="65">
        <f t="shared" si="21"/>
        <v>0</v>
      </c>
      <c r="I132" s="65">
        <f t="shared" si="32"/>
        <v>1</v>
      </c>
      <c r="J132" s="203">
        <f>IF(DG!$A$131&lt;=11,$M$17,0)</f>
        <v>20000</v>
      </c>
      <c r="K132" s="65">
        <f t="shared" si="25"/>
        <v>60</v>
      </c>
      <c r="L132" s="473">
        <f t="shared" si="26"/>
        <v>5.0000100000000006E-2</v>
      </c>
      <c r="M132" s="204">
        <f t="shared" si="30"/>
        <v>0</v>
      </c>
      <c r="N132" s="505">
        <f t="shared" si="27"/>
        <v>0</v>
      </c>
      <c r="O132" s="204">
        <f>IF(DG!$A$131&gt;12,0,IF(J132-J131&gt;0,MROUND((L132/12*Q131),1),MROUND(L132/12*P131,1)))</f>
        <v>0</v>
      </c>
      <c r="P132" s="204">
        <f t="shared" si="28"/>
        <v>0</v>
      </c>
      <c r="Q132" s="204">
        <f t="shared" si="22"/>
        <v>0</v>
      </c>
      <c r="R132" s="476">
        <v>0</v>
      </c>
      <c r="S132" s="511">
        <f t="shared" si="18"/>
        <v>0</v>
      </c>
    </row>
    <row r="133" spans="1:19" ht="14" thickTop="1" thickBot="1">
      <c r="A133" s="202">
        <f t="shared" si="23"/>
        <v>48549</v>
      </c>
      <c r="B133" s="65">
        <f t="shared" si="19"/>
        <v>108</v>
      </c>
      <c r="C133" s="65">
        <f t="shared" si="31"/>
        <v>108</v>
      </c>
      <c r="D133" s="65">
        <f t="shared" si="29"/>
        <v>108</v>
      </c>
      <c r="E133" s="65">
        <f t="shared" si="24"/>
        <v>108</v>
      </c>
      <c r="F133" s="65">
        <f>IF(OR(L$73=0,DG!$A$252&gt;16),0,F132+1)</f>
        <v>108</v>
      </c>
      <c r="G133" s="65">
        <f t="shared" si="20"/>
        <v>0</v>
      </c>
      <c r="H133" s="65">
        <f t="shared" si="21"/>
        <v>0</v>
      </c>
      <c r="I133" s="65">
        <f t="shared" si="32"/>
        <v>1</v>
      </c>
      <c r="J133" s="203">
        <f>IF(DG!$A$131&lt;=11,$M$17,0)</f>
        <v>20000</v>
      </c>
      <c r="K133" s="65">
        <f t="shared" si="25"/>
        <v>60</v>
      </c>
      <c r="L133" s="473">
        <f t="shared" si="26"/>
        <v>5.0000100000000006E-2</v>
      </c>
      <c r="M133" s="204">
        <f t="shared" si="30"/>
        <v>0</v>
      </c>
      <c r="N133" s="505">
        <f t="shared" si="27"/>
        <v>0</v>
      </c>
      <c r="O133" s="204">
        <f>IF(DG!$A$131&gt;12,0,IF(J133-J132&gt;0,MROUND((L133/12*Q132),1),MROUND(L133/12*P132,1)))</f>
        <v>0</v>
      </c>
      <c r="P133" s="204">
        <f t="shared" si="28"/>
        <v>0</v>
      </c>
      <c r="Q133" s="204">
        <f t="shared" si="22"/>
        <v>0</v>
      </c>
      <c r="R133" s="476">
        <v>0</v>
      </c>
      <c r="S133" s="511">
        <f t="shared" si="18"/>
        <v>0</v>
      </c>
    </row>
    <row r="134" spans="1:19" ht="14" thickTop="1" thickBot="1">
      <c r="A134" s="202">
        <f t="shared" si="23"/>
        <v>48580</v>
      </c>
      <c r="B134" s="65">
        <f t="shared" si="19"/>
        <v>109</v>
      </c>
      <c r="C134" s="65">
        <f t="shared" si="31"/>
        <v>109</v>
      </c>
      <c r="D134" s="65">
        <f t="shared" si="29"/>
        <v>109</v>
      </c>
      <c r="E134" s="65">
        <f t="shared" si="24"/>
        <v>109</v>
      </c>
      <c r="F134" s="65">
        <f>IF(OR(L$73=0,DG!$A$252&gt;16),0,F133+1)</f>
        <v>109</v>
      </c>
      <c r="G134" s="65">
        <f t="shared" si="20"/>
        <v>0</v>
      </c>
      <c r="H134" s="65">
        <f t="shared" si="21"/>
        <v>0</v>
      </c>
      <c r="I134" s="65">
        <f t="shared" si="32"/>
        <v>1</v>
      </c>
      <c r="J134" s="203">
        <f>IF(DG!$A$131&lt;=11,$M$17,0)</f>
        <v>20000</v>
      </c>
      <c r="K134" s="65">
        <f t="shared" si="25"/>
        <v>60</v>
      </c>
      <c r="L134" s="473">
        <f t="shared" si="26"/>
        <v>5.0000100000000006E-2</v>
      </c>
      <c r="M134" s="204">
        <f t="shared" si="30"/>
        <v>0</v>
      </c>
      <c r="N134" s="505">
        <f t="shared" si="27"/>
        <v>0</v>
      </c>
      <c r="O134" s="204">
        <f>IF(DG!$A$131&gt;12,0,IF(J134-J133&gt;0,MROUND((L134/12*Q133),1),MROUND(L134/12*P133,1)))</f>
        <v>0</v>
      </c>
      <c r="P134" s="204">
        <f t="shared" si="28"/>
        <v>0</v>
      </c>
      <c r="Q134" s="204">
        <f t="shared" si="22"/>
        <v>0</v>
      </c>
      <c r="R134" s="476">
        <v>0</v>
      </c>
      <c r="S134" s="511">
        <f t="shared" si="18"/>
        <v>0</v>
      </c>
    </row>
    <row r="135" spans="1:19" ht="14" thickTop="1" thickBot="1">
      <c r="A135" s="202">
        <f t="shared" si="23"/>
        <v>48611</v>
      </c>
      <c r="B135" s="65">
        <f t="shared" si="19"/>
        <v>110</v>
      </c>
      <c r="C135" s="65">
        <f t="shared" si="31"/>
        <v>110</v>
      </c>
      <c r="D135" s="65">
        <f t="shared" si="29"/>
        <v>110</v>
      </c>
      <c r="E135" s="65">
        <f t="shared" si="24"/>
        <v>110</v>
      </c>
      <c r="F135" s="65">
        <f>IF(OR(L$73=0,DG!$A$252&gt;16),0,F134+1)</f>
        <v>110</v>
      </c>
      <c r="G135" s="65">
        <f t="shared" si="20"/>
        <v>0</v>
      </c>
      <c r="H135" s="65">
        <f t="shared" si="21"/>
        <v>0</v>
      </c>
      <c r="I135" s="65">
        <f t="shared" si="32"/>
        <v>1</v>
      </c>
      <c r="J135" s="203">
        <f>IF(DG!$A$131&lt;=11,$M$17,0)</f>
        <v>20000</v>
      </c>
      <c r="K135" s="65">
        <f t="shared" si="25"/>
        <v>60</v>
      </c>
      <c r="L135" s="473">
        <f t="shared" si="26"/>
        <v>5.0000100000000006E-2</v>
      </c>
      <c r="M135" s="204">
        <f t="shared" si="30"/>
        <v>0</v>
      </c>
      <c r="N135" s="505">
        <f t="shared" si="27"/>
        <v>0</v>
      </c>
      <c r="O135" s="204">
        <f>IF(DG!$A$131&gt;12,0,IF(J135-J134&gt;0,MROUND((L135/12*Q134),1),MROUND(L135/12*P134,1)))</f>
        <v>0</v>
      </c>
      <c r="P135" s="204">
        <f t="shared" si="28"/>
        <v>0</v>
      </c>
      <c r="Q135" s="204">
        <f t="shared" si="22"/>
        <v>0</v>
      </c>
      <c r="R135" s="476">
        <v>0</v>
      </c>
      <c r="S135" s="511">
        <f t="shared" si="18"/>
        <v>0</v>
      </c>
    </row>
    <row r="136" spans="1:19" ht="14" thickTop="1" thickBot="1">
      <c r="A136" s="202">
        <f t="shared" si="23"/>
        <v>48639</v>
      </c>
      <c r="B136" s="65">
        <f t="shared" si="19"/>
        <v>111</v>
      </c>
      <c r="C136" s="65">
        <f t="shared" si="31"/>
        <v>111</v>
      </c>
      <c r="D136" s="65">
        <f t="shared" si="29"/>
        <v>111</v>
      </c>
      <c r="E136" s="65">
        <f t="shared" si="24"/>
        <v>111</v>
      </c>
      <c r="F136" s="65">
        <f>IF(OR(L$73=0,DG!$A$252&gt;16),0,F135+1)</f>
        <v>111</v>
      </c>
      <c r="G136" s="65">
        <f t="shared" si="20"/>
        <v>0</v>
      </c>
      <c r="H136" s="65">
        <f t="shared" si="21"/>
        <v>0</v>
      </c>
      <c r="I136" s="65">
        <f t="shared" si="32"/>
        <v>1</v>
      </c>
      <c r="J136" s="203">
        <f>IF(DG!$A$131&lt;=11,$M$17,0)</f>
        <v>20000</v>
      </c>
      <c r="K136" s="65">
        <f t="shared" si="25"/>
        <v>60</v>
      </c>
      <c r="L136" s="473">
        <f t="shared" si="26"/>
        <v>5.0000100000000006E-2</v>
      </c>
      <c r="M136" s="204">
        <f t="shared" si="30"/>
        <v>0</v>
      </c>
      <c r="N136" s="505">
        <f t="shared" si="27"/>
        <v>0</v>
      </c>
      <c r="O136" s="204">
        <f>IF(DG!$A$131&gt;12,0,IF(J136-J135&gt;0,MROUND((L136/12*Q135),1),MROUND(L136/12*P135,1)))</f>
        <v>0</v>
      </c>
      <c r="P136" s="204">
        <f t="shared" si="28"/>
        <v>0</v>
      </c>
      <c r="Q136" s="204">
        <f t="shared" si="22"/>
        <v>0</v>
      </c>
      <c r="R136" s="476">
        <v>0</v>
      </c>
      <c r="S136" s="511">
        <f t="shared" si="18"/>
        <v>0</v>
      </c>
    </row>
    <row r="137" spans="1:19" ht="14" thickTop="1" thickBot="1">
      <c r="A137" s="202">
        <f t="shared" si="23"/>
        <v>48670</v>
      </c>
      <c r="B137" s="65">
        <f t="shared" si="19"/>
        <v>112</v>
      </c>
      <c r="C137" s="65">
        <f t="shared" si="31"/>
        <v>112</v>
      </c>
      <c r="D137" s="65">
        <f t="shared" si="29"/>
        <v>112</v>
      </c>
      <c r="E137" s="65">
        <f t="shared" si="24"/>
        <v>112</v>
      </c>
      <c r="F137" s="65">
        <f>IF(OR(L$73=0,DG!$A$252&gt;16),0,F136+1)</f>
        <v>112</v>
      </c>
      <c r="G137" s="65">
        <f t="shared" si="20"/>
        <v>0</v>
      </c>
      <c r="H137" s="65">
        <f t="shared" si="21"/>
        <v>0</v>
      </c>
      <c r="I137" s="65">
        <f t="shared" si="32"/>
        <v>1</v>
      </c>
      <c r="J137" s="203">
        <f>IF(DG!$A$131&lt;=11,$M$17,0)</f>
        <v>20000</v>
      </c>
      <c r="K137" s="65">
        <f t="shared" si="25"/>
        <v>60</v>
      </c>
      <c r="L137" s="473">
        <f t="shared" si="26"/>
        <v>5.0000100000000006E-2</v>
      </c>
      <c r="M137" s="204">
        <f t="shared" si="30"/>
        <v>0</v>
      </c>
      <c r="N137" s="505">
        <f t="shared" si="27"/>
        <v>0</v>
      </c>
      <c r="O137" s="204">
        <f>IF(DG!$A$131&gt;12,0,IF(J137-J136&gt;0,MROUND((L137/12*Q136),1),MROUND(L137/12*P136,1)))</f>
        <v>0</v>
      </c>
      <c r="P137" s="204">
        <f t="shared" si="28"/>
        <v>0</v>
      </c>
      <c r="Q137" s="204">
        <f t="shared" si="22"/>
        <v>0</v>
      </c>
      <c r="R137" s="476">
        <v>0</v>
      </c>
      <c r="S137" s="511">
        <f t="shared" si="18"/>
        <v>0</v>
      </c>
    </row>
    <row r="138" spans="1:19" ht="14" thickTop="1" thickBot="1">
      <c r="A138" s="202">
        <f t="shared" si="23"/>
        <v>48700</v>
      </c>
      <c r="B138" s="65">
        <f t="shared" si="19"/>
        <v>113</v>
      </c>
      <c r="C138" s="65">
        <f t="shared" si="31"/>
        <v>113</v>
      </c>
      <c r="D138" s="65">
        <f t="shared" si="29"/>
        <v>113</v>
      </c>
      <c r="E138" s="65">
        <f t="shared" si="24"/>
        <v>113</v>
      </c>
      <c r="F138" s="65">
        <f>IF(OR(L$73=0,DG!$A$252&gt;16),0,F137+1)</f>
        <v>113</v>
      </c>
      <c r="G138" s="65">
        <f t="shared" si="20"/>
        <v>0</v>
      </c>
      <c r="H138" s="65">
        <f t="shared" si="21"/>
        <v>0</v>
      </c>
      <c r="I138" s="65">
        <f t="shared" si="32"/>
        <v>1</v>
      </c>
      <c r="J138" s="203">
        <f>IF(DG!$A$131&lt;=11,$M$17,0)</f>
        <v>20000</v>
      </c>
      <c r="K138" s="65">
        <f t="shared" si="25"/>
        <v>60</v>
      </c>
      <c r="L138" s="473">
        <f t="shared" si="26"/>
        <v>5.0000100000000006E-2</v>
      </c>
      <c r="M138" s="204">
        <f t="shared" si="30"/>
        <v>0</v>
      </c>
      <c r="N138" s="505">
        <f t="shared" si="27"/>
        <v>0</v>
      </c>
      <c r="O138" s="204">
        <f>IF(DG!$A$131&gt;12,0,IF(J138-J137&gt;0,MROUND((L138/12*Q137),1),MROUND(L138/12*P137,1)))</f>
        <v>0</v>
      </c>
      <c r="P138" s="204">
        <f t="shared" si="28"/>
        <v>0</v>
      </c>
      <c r="Q138" s="204">
        <f t="shared" si="22"/>
        <v>0</v>
      </c>
      <c r="R138" s="476">
        <v>0</v>
      </c>
      <c r="S138" s="511">
        <f t="shared" ref="S138:S151" si="33">SUM(N127:N138)</f>
        <v>0</v>
      </c>
    </row>
    <row r="139" spans="1:19" ht="14" thickTop="1" thickBot="1">
      <c r="A139" s="202">
        <f t="shared" si="23"/>
        <v>48731</v>
      </c>
      <c r="B139" s="65">
        <f t="shared" si="19"/>
        <v>114</v>
      </c>
      <c r="C139" s="65">
        <f t="shared" si="31"/>
        <v>114</v>
      </c>
      <c r="D139" s="65">
        <f t="shared" si="29"/>
        <v>114</v>
      </c>
      <c r="E139" s="65">
        <f t="shared" si="24"/>
        <v>114</v>
      </c>
      <c r="F139" s="65">
        <f>IF(OR(L$73=0,DG!$A$252&gt;16),0,F138+1)</f>
        <v>114</v>
      </c>
      <c r="G139" s="65">
        <f t="shared" si="20"/>
        <v>0</v>
      </c>
      <c r="H139" s="65">
        <f t="shared" si="21"/>
        <v>0</v>
      </c>
      <c r="I139" s="65">
        <f t="shared" si="32"/>
        <v>1</v>
      </c>
      <c r="J139" s="203">
        <f>IF(DG!$A$131&lt;=11,$M$17,0)</f>
        <v>20000</v>
      </c>
      <c r="K139" s="65">
        <f t="shared" si="25"/>
        <v>60</v>
      </c>
      <c r="L139" s="473">
        <f t="shared" si="26"/>
        <v>5.0000100000000006E-2</v>
      </c>
      <c r="M139" s="204">
        <f t="shared" si="30"/>
        <v>0</v>
      </c>
      <c r="N139" s="505">
        <f t="shared" si="27"/>
        <v>0</v>
      </c>
      <c r="O139" s="204">
        <f>IF(DG!$A$131&gt;12,0,IF(J139-J138&gt;0,MROUND((L139/12*Q138),1),MROUND(L139/12*P138,1)))</f>
        <v>0</v>
      </c>
      <c r="P139" s="204">
        <f t="shared" si="28"/>
        <v>0</v>
      </c>
      <c r="Q139" s="204">
        <f t="shared" si="22"/>
        <v>0</v>
      </c>
      <c r="R139" s="476">
        <v>0</v>
      </c>
      <c r="S139" s="511">
        <f t="shared" si="33"/>
        <v>0</v>
      </c>
    </row>
    <row r="140" spans="1:19" ht="14" thickTop="1" thickBot="1">
      <c r="A140" s="202">
        <f t="shared" si="23"/>
        <v>48761</v>
      </c>
      <c r="B140" s="65">
        <f t="shared" ref="B140:B203" si="34">IF(J$73=0,0,B139+1)</f>
        <v>115</v>
      </c>
      <c r="C140" s="65">
        <f t="shared" si="31"/>
        <v>115</v>
      </c>
      <c r="D140" s="65">
        <f t="shared" si="29"/>
        <v>115</v>
      </c>
      <c r="E140" s="65">
        <f t="shared" si="24"/>
        <v>115</v>
      </c>
      <c r="F140" s="65">
        <f>IF(OR(L$73=0,DG!$A$252&gt;16),0,F139+1)</f>
        <v>115</v>
      </c>
      <c r="G140" s="65">
        <f t="shared" si="20"/>
        <v>0</v>
      </c>
      <c r="H140" s="65">
        <f t="shared" si="21"/>
        <v>0</v>
      </c>
      <c r="I140" s="65">
        <f t="shared" si="32"/>
        <v>1</v>
      </c>
      <c r="J140" s="203">
        <f>IF(DG!$A$131&lt;=11,$M$17,0)</f>
        <v>20000</v>
      </c>
      <c r="K140" s="65">
        <f t="shared" si="25"/>
        <v>60</v>
      </c>
      <c r="L140" s="473">
        <f t="shared" si="26"/>
        <v>5.0000100000000006E-2</v>
      </c>
      <c r="M140" s="204">
        <f t="shared" si="30"/>
        <v>0</v>
      </c>
      <c r="N140" s="505">
        <f t="shared" si="27"/>
        <v>0</v>
      </c>
      <c r="O140" s="204">
        <f>IF(DG!$A$131&gt;12,0,IF(J140-J139&gt;0,MROUND((L140/12*Q139),1),MROUND(L140/12*P139,1)))</f>
        <v>0</v>
      </c>
      <c r="P140" s="204">
        <f t="shared" si="28"/>
        <v>0</v>
      </c>
      <c r="Q140" s="204">
        <f t="shared" si="22"/>
        <v>0</v>
      </c>
      <c r="R140" s="476">
        <v>0</v>
      </c>
      <c r="S140" s="511">
        <f t="shared" si="33"/>
        <v>0</v>
      </c>
    </row>
    <row r="141" spans="1:19" ht="14" thickTop="1" thickBot="1">
      <c r="A141" s="202">
        <f t="shared" si="23"/>
        <v>48792</v>
      </c>
      <c r="B141" s="65">
        <f t="shared" si="34"/>
        <v>116</v>
      </c>
      <c r="C141" s="65">
        <f t="shared" si="31"/>
        <v>116</v>
      </c>
      <c r="D141" s="65">
        <f t="shared" si="29"/>
        <v>116</v>
      </c>
      <c r="E141" s="65">
        <f t="shared" si="24"/>
        <v>116</v>
      </c>
      <c r="F141" s="65">
        <f>IF(OR(L$73=0,DG!$A$252&gt;16),0,F140+1)</f>
        <v>116</v>
      </c>
      <c r="G141" s="65">
        <f t="shared" si="20"/>
        <v>0</v>
      </c>
      <c r="H141" s="65">
        <f t="shared" si="21"/>
        <v>0</v>
      </c>
      <c r="I141" s="65">
        <f t="shared" si="32"/>
        <v>1</v>
      </c>
      <c r="J141" s="203">
        <f>IF(DG!$A$131&lt;=11,$M$17,0)</f>
        <v>20000</v>
      </c>
      <c r="K141" s="65">
        <f t="shared" si="25"/>
        <v>60</v>
      </c>
      <c r="L141" s="473">
        <f t="shared" si="26"/>
        <v>5.0000100000000006E-2</v>
      </c>
      <c r="M141" s="204">
        <f t="shared" si="30"/>
        <v>0</v>
      </c>
      <c r="N141" s="505">
        <f t="shared" si="27"/>
        <v>0</v>
      </c>
      <c r="O141" s="204">
        <f>IF(DG!$A$131&gt;12,0,IF(J141-J140&gt;0,MROUND((L141/12*Q140),1),MROUND(L141/12*P140,1)))</f>
        <v>0</v>
      </c>
      <c r="P141" s="204">
        <f t="shared" si="28"/>
        <v>0</v>
      </c>
      <c r="Q141" s="204">
        <f t="shared" si="22"/>
        <v>0</v>
      </c>
      <c r="R141" s="476">
        <v>0</v>
      </c>
      <c r="S141" s="511">
        <f t="shared" si="33"/>
        <v>0</v>
      </c>
    </row>
    <row r="142" spans="1:19" ht="14" thickTop="1" thickBot="1">
      <c r="A142" s="202">
        <f t="shared" si="23"/>
        <v>48823</v>
      </c>
      <c r="B142" s="65">
        <f t="shared" si="34"/>
        <v>117</v>
      </c>
      <c r="C142" s="65">
        <f t="shared" si="31"/>
        <v>117</v>
      </c>
      <c r="D142" s="65">
        <f t="shared" si="29"/>
        <v>117</v>
      </c>
      <c r="E142" s="65">
        <f t="shared" si="24"/>
        <v>117</v>
      </c>
      <c r="F142" s="65">
        <f>IF(OR(L$73=0,DG!$A$252&gt;16),0,F141+1)</f>
        <v>117</v>
      </c>
      <c r="G142" s="65">
        <f t="shared" si="20"/>
        <v>0</v>
      </c>
      <c r="H142" s="65">
        <f t="shared" si="21"/>
        <v>0</v>
      </c>
      <c r="I142" s="65">
        <f t="shared" si="32"/>
        <v>1</v>
      </c>
      <c r="J142" s="203">
        <f>IF(DG!$A$131&lt;=11,$M$17,0)</f>
        <v>20000</v>
      </c>
      <c r="K142" s="65">
        <f t="shared" si="25"/>
        <v>60</v>
      </c>
      <c r="L142" s="473">
        <f t="shared" si="26"/>
        <v>5.0000100000000006E-2</v>
      </c>
      <c r="M142" s="204">
        <f t="shared" si="30"/>
        <v>0</v>
      </c>
      <c r="N142" s="505">
        <f t="shared" si="27"/>
        <v>0</v>
      </c>
      <c r="O142" s="204">
        <f>IF(DG!$A$131&gt;12,0,IF(J142-J141&gt;0,MROUND((L142/12*Q141),1),MROUND(L142/12*P141,1)))</f>
        <v>0</v>
      </c>
      <c r="P142" s="204">
        <f t="shared" si="28"/>
        <v>0</v>
      </c>
      <c r="Q142" s="204">
        <f t="shared" si="22"/>
        <v>0</v>
      </c>
      <c r="R142" s="476">
        <v>0</v>
      </c>
      <c r="S142" s="511">
        <f t="shared" si="33"/>
        <v>0</v>
      </c>
    </row>
    <row r="143" spans="1:19" ht="14" thickTop="1" thickBot="1">
      <c r="A143" s="202">
        <f t="shared" si="23"/>
        <v>48853</v>
      </c>
      <c r="B143" s="65">
        <f t="shared" si="34"/>
        <v>118</v>
      </c>
      <c r="C143" s="65">
        <f t="shared" si="31"/>
        <v>118</v>
      </c>
      <c r="D143" s="65">
        <f t="shared" si="29"/>
        <v>118</v>
      </c>
      <c r="E143" s="65">
        <f t="shared" si="24"/>
        <v>118</v>
      </c>
      <c r="F143" s="65">
        <f>IF(OR(L$73=0,DG!$A$252&gt;16),0,F142+1)</f>
        <v>118</v>
      </c>
      <c r="G143" s="65">
        <f t="shared" si="20"/>
        <v>0</v>
      </c>
      <c r="H143" s="65">
        <f t="shared" si="21"/>
        <v>0</v>
      </c>
      <c r="I143" s="65">
        <f t="shared" si="32"/>
        <v>1</v>
      </c>
      <c r="J143" s="203">
        <f>IF(DG!$A$131&lt;=11,$M$17,0)</f>
        <v>20000</v>
      </c>
      <c r="K143" s="65">
        <f t="shared" si="25"/>
        <v>60</v>
      </c>
      <c r="L143" s="473">
        <f t="shared" si="26"/>
        <v>5.0000100000000006E-2</v>
      </c>
      <c r="M143" s="204">
        <f t="shared" si="30"/>
        <v>0</v>
      </c>
      <c r="N143" s="505">
        <f t="shared" si="27"/>
        <v>0</v>
      </c>
      <c r="O143" s="204">
        <f>IF(DG!$A$131&gt;12,0,IF(J143-J142&gt;0,MROUND((L143/12*Q142),1),MROUND(L143/12*P142,1)))</f>
        <v>0</v>
      </c>
      <c r="P143" s="204">
        <f t="shared" si="28"/>
        <v>0</v>
      </c>
      <c r="Q143" s="204">
        <f t="shared" si="22"/>
        <v>0</v>
      </c>
      <c r="R143" s="476">
        <v>0</v>
      </c>
      <c r="S143" s="511">
        <f t="shared" si="33"/>
        <v>0</v>
      </c>
    </row>
    <row r="144" spans="1:19" ht="14" thickTop="1" thickBot="1">
      <c r="A144" s="202">
        <f t="shared" si="23"/>
        <v>48884</v>
      </c>
      <c r="B144" s="65">
        <f t="shared" si="34"/>
        <v>119</v>
      </c>
      <c r="C144" s="65">
        <f t="shared" si="31"/>
        <v>119</v>
      </c>
      <c r="D144" s="65">
        <f t="shared" si="29"/>
        <v>119</v>
      </c>
      <c r="E144" s="65">
        <f t="shared" si="24"/>
        <v>119</v>
      </c>
      <c r="F144" s="65">
        <f>IF(OR(L$73=0,DG!$A$252&gt;16),0,F143+1)</f>
        <v>119</v>
      </c>
      <c r="G144" s="65">
        <f t="shared" si="20"/>
        <v>0</v>
      </c>
      <c r="H144" s="65">
        <f t="shared" si="21"/>
        <v>0</v>
      </c>
      <c r="I144" s="65">
        <f t="shared" si="32"/>
        <v>1</v>
      </c>
      <c r="J144" s="203">
        <f>IF(DG!$A$131&lt;=11,$M$17,0)</f>
        <v>20000</v>
      </c>
      <c r="K144" s="65">
        <f t="shared" si="25"/>
        <v>60</v>
      </c>
      <c r="L144" s="473">
        <f t="shared" si="26"/>
        <v>5.0000100000000006E-2</v>
      </c>
      <c r="M144" s="204">
        <f t="shared" si="30"/>
        <v>0</v>
      </c>
      <c r="N144" s="505">
        <f t="shared" si="27"/>
        <v>0</v>
      </c>
      <c r="O144" s="204">
        <f>IF(DG!$A$131&gt;12,0,IF(J144-J143&gt;0,MROUND((L144/12*Q143),1),MROUND(L144/12*P143,1)))</f>
        <v>0</v>
      </c>
      <c r="P144" s="204">
        <f t="shared" si="28"/>
        <v>0</v>
      </c>
      <c r="Q144" s="204">
        <f t="shared" si="22"/>
        <v>0</v>
      </c>
      <c r="R144" s="476">
        <v>0</v>
      </c>
      <c r="S144" s="511">
        <f t="shared" si="33"/>
        <v>0</v>
      </c>
    </row>
    <row r="145" spans="1:19" ht="14" thickTop="1" thickBot="1">
      <c r="A145" s="202">
        <f t="shared" si="23"/>
        <v>48914</v>
      </c>
      <c r="B145" s="65">
        <f t="shared" si="34"/>
        <v>120</v>
      </c>
      <c r="C145" s="65">
        <f t="shared" si="31"/>
        <v>120</v>
      </c>
      <c r="D145" s="65">
        <f t="shared" si="29"/>
        <v>120</v>
      </c>
      <c r="E145" s="65">
        <f t="shared" si="24"/>
        <v>120</v>
      </c>
      <c r="F145" s="65">
        <f>IF(OR(L$73=0,DG!$A$252&gt;16),0,F144+1)</f>
        <v>120</v>
      </c>
      <c r="G145" s="65">
        <f t="shared" si="20"/>
        <v>0</v>
      </c>
      <c r="H145" s="65">
        <f t="shared" si="21"/>
        <v>0</v>
      </c>
      <c r="I145" s="65">
        <f t="shared" si="32"/>
        <v>1</v>
      </c>
      <c r="J145" s="203">
        <f>IF(DG!$A$131&lt;=11,$M$17,0)</f>
        <v>20000</v>
      </c>
      <c r="K145" s="65">
        <f t="shared" si="25"/>
        <v>60</v>
      </c>
      <c r="L145" s="473">
        <f t="shared" si="26"/>
        <v>5.0000100000000006E-2</v>
      </c>
      <c r="M145" s="204">
        <f t="shared" si="30"/>
        <v>0</v>
      </c>
      <c r="N145" s="505">
        <f t="shared" si="27"/>
        <v>0</v>
      </c>
      <c r="O145" s="204">
        <f>IF(DG!$A$131&gt;12,0,IF(J145-J144&gt;0,MROUND((L145/12*Q144),1),MROUND(L145/12*P144,1)))</f>
        <v>0</v>
      </c>
      <c r="P145" s="204">
        <f t="shared" si="28"/>
        <v>0</v>
      </c>
      <c r="Q145" s="204">
        <f t="shared" si="22"/>
        <v>0</v>
      </c>
      <c r="R145" s="476">
        <v>0</v>
      </c>
      <c r="S145" s="511">
        <f t="shared" si="33"/>
        <v>0</v>
      </c>
    </row>
    <row r="146" spans="1:19" ht="14" thickTop="1" thickBot="1">
      <c r="A146" s="202">
        <f t="shared" si="23"/>
        <v>48945</v>
      </c>
      <c r="B146" s="65">
        <f t="shared" si="34"/>
        <v>121</v>
      </c>
      <c r="C146" s="65">
        <f t="shared" si="31"/>
        <v>121</v>
      </c>
      <c r="D146" s="65">
        <f t="shared" si="29"/>
        <v>121</v>
      </c>
      <c r="E146" s="65">
        <f t="shared" si="24"/>
        <v>121</v>
      </c>
      <c r="F146" s="65">
        <f>IF(OR(L$73=0,DG!$A$252&gt;16),0,F145+1)</f>
        <v>121</v>
      </c>
      <c r="G146" s="65">
        <f t="shared" si="20"/>
        <v>0</v>
      </c>
      <c r="H146" s="65">
        <f t="shared" si="21"/>
        <v>0</v>
      </c>
      <c r="I146" s="65">
        <f t="shared" si="32"/>
        <v>1</v>
      </c>
      <c r="J146" s="203">
        <f>IF(DG!$A$131&lt;=11,$M$17,0)</f>
        <v>20000</v>
      </c>
      <c r="K146" s="65">
        <f t="shared" si="25"/>
        <v>60</v>
      </c>
      <c r="L146" s="473">
        <f t="shared" si="26"/>
        <v>5.0000100000000006E-2</v>
      </c>
      <c r="M146" s="204">
        <f t="shared" si="30"/>
        <v>0</v>
      </c>
      <c r="N146" s="505">
        <f t="shared" si="27"/>
        <v>0</v>
      </c>
      <c r="O146" s="204">
        <f>IF(DG!$A$131&gt;12,0,IF(J146-J145&gt;0,MROUND((L146/12*Q145),1),MROUND(L146/12*P145,1)))</f>
        <v>0</v>
      </c>
      <c r="P146" s="204">
        <f t="shared" si="28"/>
        <v>0</v>
      </c>
      <c r="Q146" s="204">
        <f t="shared" si="22"/>
        <v>0</v>
      </c>
      <c r="R146" s="476">
        <v>0</v>
      </c>
      <c r="S146" s="511">
        <f t="shared" si="33"/>
        <v>0</v>
      </c>
    </row>
    <row r="147" spans="1:19" ht="14" thickTop="1" thickBot="1">
      <c r="A147" s="202">
        <f t="shared" si="23"/>
        <v>48976</v>
      </c>
      <c r="B147" s="65">
        <f t="shared" si="34"/>
        <v>122</v>
      </c>
      <c r="C147" s="65">
        <f t="shared" si="31"/>
        <v>122</v>
      </c>
      <c r="D147" s="65">
        <f t="shared" si="29"/>
        <v>122</v>
      </c>
      <c r="E147" s="65">
        <f t="shared" si="24"/>
        <v>122</v>
      </c>
      <c r="F147" s="65">
        <f>IF(OR(L$73=0,DG!$A$252&gt;16),0,F146+1)</f>
        <v>122</v>
      </c>
      <c r="G147" s="65">
        <f t="shared" si="20"/>
        <v>0</v>
      </c>
      <c r="H147" s="65">
        <f t="shared" si="21"/>
        <v>0</v>
      </c>
      <c r="I147" s="65">
        <f t="shared" si="32"/>
        <v>1</v>
      </c>
      <c r="J147" s="203">
        <f>IF(DG!$A$131&lt;=11,$M$17,0)</f>
        <v>20000</v>
      </c>
      <c r="K147" s="65">
        <f t="shared" si="25"/>
        <v>60</v>
      </c>
      <c r="L147" s="473">
        <f t="shared" si="26"/>
        <v>5.0000100000000006E-2</v>
      </c>
      <c r="M147" s="204">
        <f t="shared" si="30"/>
        <v>0</v>
      </c>
      <c r="N147" s="505">
        <f t="shared" si="27"/>
        <v>0</v>
      </c>
      <c r="O147" s="204">
        <f>IF(DG!$A$131&gt;12,0,IF(J147-J146&gt;0,MROUND((L147/12*Q146),1),MROUND(L147/12*P146,1)))</f>
        <v>0</v>
      </c>
      <c r="P147" s="204">
        <f t="shared" si="28"/>
        <v>0</v>
      </c>
      <c r="Q147" s="204">
        <f t="shared" si="22"/>
        <v>0</v>
      </c>
      <c r="R147" s="476">
        <v>0</v>
      </c>
      <c r="S147" s="511">
        <f t="shared" si="33"/>
        <v>0</v>
      </c>
    </row>
    <row r="148" spans="1:19" ht="14" thickTop="1" thickBot="1">
      <c r="A148" s="202">
        <f t="shared" si="23"/>
        <v>49004</v>
      </c>
      <c r="B148" s="65">
        <f t="shared" si="34"/>
        <v>123</v>
      </c>
      <c r="C148" s="65">
        <f t="shared" si="31"/>
        <v>123</v>
      </c>
      <c r="D148" s="65">
        <f t="shared" si="29"/>
        <v>123</v>
      </c>
      <c r="E148" s="65">
        <f t="shared" si="24"/>
        <v>123</v>
      </c>
      <c r="F148" s="65">
        <f>IF(OR(L$73=0,DG!$A$252&gt;16),0,F147+1)</f>
        <v>123</v>
      </c>
      <c r="G148" s="65">
        <f t="shared" si="20"/>
        <v>0</v>
      </c>
      <c r="H148" s="65">
        <f t="shared" si="21"/>
        <v>0</v>
      </c>
      <c r="I148" s="65">
        <f t="shared" si="32"/>
        <v>1</v>
      </c>
      <c r="J148" s="203">
        <f>IF(DG!$A$131&lt;=11,$M$17,0)</f>
        <v>20000</v>
      </c>
      <c r="K148" s="65">
        <f t="shared" si="25"/>
        <v>60</v>
      </c>
      <c r="L148" s="473">
        <f t="shared" si="26"/>
        <v>5.0000100000000006E-2</v>
      </c>
      <c r="M148" s="204">
        <f t="shared" si="30"/>
        <v>0</v>
      </c>
      <c r="N148" s="505">
        <f t="shared" si="27"/>
        <v>0</v>
      </c>
      <c r="O148" s="204">
        <f>IF(DG!$A$131&gt;12,0,IF(J148-J147&gt;0,MROUND((L148/12*Q147),1),MROUND(L148/12*P147,1)))</f>
        <v>0</v>
      </c>
      <c r="P148" s="204">
        <f t="shared" si="28"/>
        <v>0</v>
      </c>
      <c r="Q148" s="204">
        <f t="shared" si="22"/>
        <v>0</v>
      </c>
      <c r="R148" s="476">
        <v>0</v>
      </c>
      <c r="S148" s="511">
        <f t="shared" si="33"/>
        <v>0</v>
      </c>
    </row>
    <row r="149" spans="1:19" ht="14" thickTop="1" thickBot="1">
      <c r="A149" s="202">
        <f t="shared" si="23"/>
        <v>49035</v>
      </c>
      <c r="B149" s="65">
        <f t="shared" si="34"/>
        <v>124</v>
      </c>
      <c r="C149" s="65">
        <f t="shared" si="31"/>
        <v>124</v>
      </c>
      <c r="D149" s="65">
        <f t="shared" si="29"/>
        <v>124</v>
      </c>
      <c r="E149" s="65">
        <f t="shared" si="24"/>
        <v>124</v>
      </c>
      <c r="F149" s="65">
        <f>IF(OR(L$73=0,DG!$A$252&gt;16),0,F148+1)</f>
        <v>124</v>
      </c>
      <c r="G149" s="65">
        <f t="shared" si="20"/>
        <v>0</v>
      </c>
      <c r="H149" s="65">
        <f t="shared" si="21"/>
        <v>0</v>
      </c>
      <c r="I149" s="65">
        <f t="shared" si="32"/>
        <v>1</v>
      </c>
      <c r="J149" s="203">
        <f>IF(DG!$A$131&lt;=11,$M$17,0)</f>
        <v>20000</v>
      </c>
      <c r="K149" s="65">
        <f t="shared" si="25"/>
        <v>60</v>
      </c>
      <c r="L149" s="473">
        <f t="shared" si="26"/>
        <v>5.0000100000000006E-2</v>
      </c>
      <c r="M149" s="204">
        <f t="shared" si="30"/>
        <v>0</v>
      </c>
      <c r="N149" s="505">
        <f t="shared" si="27"/>
        <v>0</v>
      </c>
      <c r="O149" s="204">
        <f>IF(DG!$A$131&gt;12,0,IF(J149-J148&gt;0,MROUND((L149/12*Q148),1),MROUND(L149/12*P148,1)))</f>
        <v>0</v>
      </c>
      <c r="P149" s="204">
        <f t="shared" si="28"/>
        <v>0</v>
      </c>
      <c r="Q149" s="204">
        <f t="shared" si="22"/>
        <v>0</v>
      </c>
      <c r="R149" s="476">
        <v>0</v>
      </c>
      <c r="S149" s="511">
        <f t="shared" si="33"/>
        <v>0</v>
      </c>
    </row>
    <row r="150" spans="1:19" ht="14" thickTop="1" thickBot="1">
      <c r="A150" s="202">
        <f t="shared" si="23"/>
        <v>49065</v>
      </c>
      <c r="B150" s="65">
        <f t="shared" si="34"/>
        <v>125</v>
      </c>
      <c r="C150" s="65">
        <f t="shared" si="31"/>
        <v>125</v>
      </c>
      <c r="D150" s="65">
        <f t="shared" si="29"/>
        <v>125</v>
      </c>
      <c r="E150" s="65">
        <f t="shared" si="24"/>
        <v>125</v>
      </c>
      <c r="F150" s="65">
        <f>IF(OR(L$73=0,DG!$A$252&gt;16),0,F149+1)</f>
        <v>125</v>
      </c>
      <c r="G150" s="65">
        <f t="shared" si="20"/>
        <v>0</v>
      </c>
      <c r="H150" s="65">
        <f t="shared" si="21"/>
        <v>0</v>
      </c>
      <c r="I150" s="65">
        <f t="shared" si="32"/>
        <v>1</v>
      </c>
      <c r="J150" s="203">
        <f>IF(DG!$A$131&lt;=11,$M$17,0)</f>
        <v>20000</v>
      </c>
      <c r="K150" s="65">
        <f t="shared" si="25"/>
        <v>60</v>
      </c>
      <c r="L150" s="473">
        <f t="shared" si="26"/>
        <v>5.0000100000000006E-2</v>
      </c>
      <c r="M150" s="204">
        <f t="shared" si="30"/>
        <v>0</v>
      </c>
      <c r="N150" s="505">
        <f t="shared" si="27"/>
        <v>0</v>
      </c>
      <c r="O150" s="204">
        <f>IF(DG!$A$131&gt;12,0,IF(J150-J149&gt;0,MROUND((L150/12*Q149),1),MROUND(L150/12*P149,1)))</f>
        <v>0</v>
      </c>
      <c r="P150" s="204">
        <f t="shared" si="28"/>
        <v>0</v>
      </c>
      <c r="Q150" s="204">
        <f t="shared" si="22"/>
        <v>0</v>
      </c>
      <c r="R150" s="476">
        <v>0</v>
      </c>
      <c r="S150" s="511">
        <f t="shared" si="33"/>
        <v>0</v>
      </c>
    </row>
    <row r="151" spans="1:19" ht="14" thickTop="1" thickBot="1">
      <c r="A151" s="202">
        <f t="shared" si="23"/>
        <v>49096</v>
      </c>
      <c r="B151" s="65">
        <f t="shared" si="34"/>
        <v>126</v>
      </c>
      <c r="C151" s="65">
        <f t="shared" si="31"/>
        <v>126</v>
      </c>
      <c r="D151" s="65">
        <f>D150+1</f>
        <v>126</v>
      </c>
      <c r="E151" s="65">
        <f t="shared" si="24"/>
        <v>126</v>
      </c>
      <c r="F151" s="65">
        <f>IF(OR(L$73=0,DG!$A$252&gt;16),0,F150+1)</f>
        <v>126</v>
      </c>
      <c r="G151" s="65">
        <f t="shared" si="20"/>
        <v>0</v>
      </c>
      <c r="H151" s="65">
        <f>IF(I151&gt;=0,0,H150+1)</f>
        <v>0</v>
      </c>
      <c r="I151" s="65">
        <f t="shared" si="32"/>
        <v>1</v>
      </c>
      <c r="J151" s="203">
        <f>IF(DG!$A$131&lt;=11,$M$17,0)</f>
        <v>20000</v>
      </c>
      <c r="K151" s="65">
        <f>K150</f>
        <v>60</v>
      </c>
      <c r="L151" s="473">
        <f t="shared" si="26"/>
        <v>5.0000100000000006E-2</v>
      </c>
      <c r="M151" s="204">
        <f t="shared" si="30"/>
        <v>0</v>
      </c>
      <c r="N151" s="505">
        <f t="shared" si="27"/>
        <v>0</v>
      </c>
      <c r="O151" s="204">
        <f>IF(DG!$A$131&gt;12,0,IF(J151-J150&gt;0,MROUND((L151/12*Q150),1),MROUND(L151/12*P150,1)))</f>
        <v>0</v>
      </c>
      <c r="P151" s="204">
        <f t="shared" si="28"/>
        <v>0</v>
      </c>
      <c r="Q151" s="204">
        <f t="shared" si="22"/>
        <v>0</v>
      </c>
      <c r="R151" s="476">
        <v>0</v>
      </c>
      <c r="S151" s="511">
        <f t="shared" si="33"/>
        <v>0</v>
      </c>
    </row>
    <row r="152" spans="1:19" ht="14" thickTop="1" thickBot="1">
      <c r="A152" s="202">
        <f t="shared" si="23"/>
        <v>49126</v>
      </c>
      <c r="B152" s="65">
        <f t="shared" si="34"/>
        <v>127</v>
      </c>
      <c r="C152" s="65">
        <f t="shared" si="31"/>
        <v>127</v>
      </c>
      <c r="D152" s="65">
        <f t="shared" ref="D152:D215" si="35">D151+1</f>
        <v>127</v>
      </c>
      <c r="E152" s="65">
        <f t="shared" si="24"/>
        <v>127</v>
      </c>
      <c r="F152" s="65">
        <f>IF(OR(L$73=0,DG!$A$252&gt;16),0,F151+1)</f>
        <v>127</v>
      </c>
      <c r="G152" s="65">
        <f t="shared" si="20"/>
        <v>0</v>
      </c>
      <c r="H152" s="65">
        <f t="shared" ref="H152:H215" si="36">IF(I152&gt;=0,0,H151+1)</f>
        <v>0</v>
      </c>
      <c r="I152" s="65">
        <f t="shared" si="32"/>
        <v>1</v>
      </c>
      <c r="J152" s="203">
        <f>IF(DG!$A$131&lt;=11,$M$17,0)</f>
        <v>20000</v>
      </c>
      <c r="K152" s="65">
        <f t="shared" ref="K152:K215" si="37">K151</f>
        <v>60</v>
      </c>
      <c r="L152" s="473">
        <f t="shared" si="26"/>
        <v>5.0000100000000006E-2</v>
      </c>
      <c r="M152" s="204">
        <f t="shared" si="30"/>
        <v>0</v>
      </c>
      <c r="N152" s="505">
        <f t="shared" si="27"/>
        <v>0</v>
      </c>
      <c r="O152" s="204">
        <f>IF(DG!$A$131&gt;12,0,IF(J152-J151&gt;0,MROUND((L152/12*Q151),1),MROUND(L152/12*P151,1)))</f>
        <v>0</v>
      </c>
      <c r="P152" s="204">
        <f t="shared" si="28"/>
        <v>0</v>
      </c>
      <c r="Q152" s="204">
        <f t="shared" si="22"/>
        <v>0</v>
      </c>
      <c r="R152" s="476">
        <v>0</v>
      </c>
      <c r="S152" s="511">
        <f t="shared" ref="S152:S215" si="38">SUM(N141:N152)</f>
        <v>0</v>
      </c>
    </row>
    <row r="153" spans="1:19" ht="14" thickTop="1" thickBot="1">
      <c r="A153" s="202">
        <f t="shared" si="23"/>
        <v>49157</v>
      </c>
      <c r="B153" s="65">
        <f t="shared" si="34"/>
        <v>128</v>
      </c>
      <c r="C153" s="65">
        <f t="shared" si="31"/>
        <v>128</v>
      </c>
      <c r="D153" s="65">
        <f t="shared" si="35"/>
        <v>128</v>
      </c>
      <c r="E153" s="65">
        <f t="shared" si="24"/>
        <v>128</v>
      </c>
      <c r="F153" s="65">
        <f>IF(OR(L$73=0,DG!$A$252&gt;16),0,F152+1)</f>
        <v>128</v>
      </c>
      <c r="G153" s="65">
        <f t="shared" si="20"/>
        <v>0</v>
      </c>
      <c r="H153" s="65">
        <f t="shared" si="36"/>
        <v>0</v>
      </c>
      <c r="I153" s="65">
        <f t="shared" si="32"/>
        <v>1</v>
      </c>
      <c r="J153" s="203">
        <f>IF(DG!$A$131&lt;=11,$M$17,0)</f>
        <v>20000</v>
      </c>
      <c r="K153" s="65">
        <f t="shared" si="37"/>
        <v>60</v>
      </c>
      <c r="L153" s="473">
        <f t="shared" si="26"/>
        <v>5.0000100000000006E-2</v>
      </c>
      <c r="M153" s="204">
        <f t="shared" si="30"/>
        <v>0</v>
      </c>
      <c r="N153" s="505">
        <f t="shared" si="27"/>
        <v>0</v>
      </c>
      <c r="O153" s="204">
        <f>IF(DG!$A$131&gt;12,0,IF(J153-J152&gt;0,MROUND((L153/12*Q152),1),MROUND(L153/12*P152,1)))</f>
        <v>0</v>
      </c>
      <c r="P153" s="204">
        <f t="shared" si="28"/>
        <v>0</v>
      </c>
      <c r="Q153" s="204">
        <f t="shared" si="22"/>
        <v>0</v>
      </c>
      <c r="R153" s="476">
        <v>0</v>
      </c>
      <c r="S153" s="511">
        <f t="shared" si="38"/>
        <v>0</v>
      </c>
    </row>
    <row r="154" spans="1:19" ht="14" thickTop="1" thickBot="1">
      <c r="A154" s="202">
        <f t="shared" si="23"/>
        <v>49188</v>
      </c>
      <c r="B154" s="65">
        <f t="shared" si="34"/>
        <v>129</v>
      </c>
      <c r="C154" s="65">
        <f t="shared" si="31"/>
        <v>129</v>
      </c>
      <c r="D154" s="65">
        <f t="shared" si="35"/>
        <v>129</v>
      </c>
      <c r="E154" s="65">
        <f t="shared" si="24"/>
        <v>129</v>
      </c>
      <c r="F154" s="65">
        <f>IF(OR(L$73=0,DG!$A$252&gt;16),0,F153+1)</f>
        <v>129</v>
      </c>
      <c r="G154" s="65">
        <f t="shared" ref="G154:G217" si="39">IF(E154=0,0,IF(D154-E154-F154&gt;=0,1,0))</f>
        <v>0</v>
      </c>
      <c r="H154" s="65">
        <f t="shared" si="36"/>
        <v>0</v>
      </c>
      <c r="I154" s="65">
        <f t="shared" si="32"/>
        <v>1</v>
      </c>
      <c r="J154" s="203">
        <f>IF(DG!$A$131&lt;=11,$M$17,0)</f>
        <v>20000</v>
      </c>
      <c r="K154" s="65">
        <f t="shared" si="37"/>
        <v>60</v>
      </c>
      <c r="L154" s="473">
        <f t="shared" si="26"/>
        <v>5.0000100000000006E-2</v>
      </c>
      <c r="M154" s="204">
        <f t="shared" si="30"/>
        <v>0</v>
      </c>
      <c r="N154" s="505">
        <f t="shared" si="27"/>
        <v>0</v>
      </c>
      <c r="O154" s="204">
        <f>IF(DG!$A$131&gt;12,0,IF(J154-J153&gt;0,MROUND((L154/12*Q153),1),MROUND(L154/12*P153,1)))</f>
        <v>0</v>
      </c>
      <c r="P154" s="204">
        <f t="shared" si="28"/>
        <v>0</v>
      </c>
      <c r="Q154" s="204">
        <f t="shared" ref="Q154:Q217" si="40">IF(AND(P154=0,P155&gt;0),J155,P154)</f>
        <v>0</v>
      </c>
      <c r="R154" s="476">
        <v>0</v>
      </c>
      <c r="S154" s="511">
        <f t="shared" si="38"/>
        <v>0</v>
      </c>
    </row>
    <row r="155" spans="1:19" ht="14" thickTop="1" thickBot="1">
      <c r="A155" s="202">
        <f t="shared" ref="A155:A218" si="41">EDATE(A154,1)</f>
        <v>49218</v>
      </c>
      <c r="B155" s="65">
        <f t="shared" si="34"/>
        <v>130</v>
      </c>
      <c r="C155" s="65">
        <f t="shared" si="31"/>
        <v>130</v>
      </c>
      <c r="D155" s="65">
        <f t="shared" si="35"/>
        <v>130</v>
      </c>
      <c r="E155" s="65">
        <f t="shared" ref="E155:E218" si="42">B155</f>
        <v>130</v>
      </c>
      <c r="F155" s="65">
        <f>IF(OR(L$73=0,DG!$A$252&gt;16),0,F154+1)</f>
        <v>130</v>
      </c>
      <c r="G155" s="65">
        <f t="shared" si="39"/>
        <v>0</v>
      </c>
      <c r="H155" s="65">
        <f t="shared" si="36"/>
        <v>0</v>
      </c>
      <c r="I155" s="65">
        <f t="shared" si="32"/>
        <v>1</v>
      </c>
      <c r="J155" s="203">
        <f>IF(DG!$A$131&lt;=11,$M$17,0)</f>
        <v>20000</v>
      </c>
      <c r="K155" s="65">
        <f t="shared" si="37"/>
        <v>60</v>
      </c>
      <c r="L155" s="473">
        <f t="shared" ref="L155:L218" si="43">IF($M$17&gt;0,$M$19+0.0000001,0)</f>
        <v>5.0000100000000006E-2</v>
      </c>
      <c r="M155" s="204">
        <f t="shared" si="30"/>
        <v>0</v>
      </c>
      <c r="N155" s="505">
        <f t="shared" ref="N155:N218" si="44">IF(OR(H155-K155&gt;0,I155&gt;=0),0,MROUND(-PPMT(L155/12,H155,K155-G398,J155),1)+R155)</f>
        <v>0</v>
      </c>
      <c r="O155" s="204">
        <f>IF(DG!$A$131&gt;12,0,IF(J155-J154&gt;0,MROUND((L155/12*Q154),1),MROUND(L155/12*P154,1)))</f>
        <v>0</v>
      </c>
      <c r="P155" s="204">
        <f t="shared" ref="P155:P218" si="45">IF(OR(G155+H155=0,J155-N155&lt;1),0,IF(P154&gt;1,P154-N155,J156-N155))</f>
        <v>0</v>
      </c>
      <c r="Q155" s="204">
        <f t="shared" si="40"/>
        <v>0</v>
      </c>
      <c r="R155" s="476">
        <v>0</v>
      </c>
      <c r="S155" s="511">
        <f t="shared" si="38"/>
        <v>0</v>
      </c>
    </row>
    <row r="156" spans="1:19" ht="14" thickTop="1" thickBot="1">
      <c r="A156" s="202">
        <f t="shared" si="41"/>
        <v>49249</v>
      </c>
      <c r="B156" s="65">
        <f t="shared" si="34"/>
        <v>131</v>
      </c>
      <c r="C156" s="65">
        <f t="shared" si="31"/>
        <v>131</v>
      </c>
      <c r="D156" s="65">
        <f t="shared" si="35"/>
        <v>131</v>
      </c>
      <c r="E156" s="65">
        <f t="shared" si="42"/>
        <v>131</v>
      </c>
      <c r="F156" s="65">
        <f>IF(OR(L$73=0,DG!$A$252&gt;16),0,F155+1)</f>
        <v>131</v>
      </c>
      <c r="G156" s="65">
        <f t="shared" si="39"/>
        <v>0</v>
      </c>
      <c r="H156" s="65">
        <f t="shared" si="36"/>
        <v>0</v>
      </c>
      <c r="I156" s="65">
        <f t="shared" si="32"/>
        <v>1</v>
      </c>
      <c r="J156" s="203">
        <f>IF(DG!$A$131&lt;=11,$M$17,0)</f>
        <v>20000</v>
      </c>
      <c r="K156" s="65">
        <f t="shared" si="37"/>
        <v>60</v>
      </c>
      <c r="L156" s="473">
        <f t="shared" si="43"/>
        <v>5.0000100000000006E-2</v>
      </c>
      <c r="M156" s="204">
        <f t="shared" si="30"/>
        <v>0</v>
      </c>
      <c r="N156" s="505">
        <f t="shared" si="44"/>
        <v>0</v>
      </c>
      <c r="O156" s="204">
        <f>IF(DG!$A$131&gt;12,0,IF(J156-J155&gt;0,MROUND((L156/12*Q155),1),MROUND(L156/12*P155,1)))</f>
        <v>0</v>
      </c>
      <c r="P156" s="204">
        <f t="shared" si="45"/>
        <v>0</v>
      </c>
      <c r="Q156" s="204">
        <f t="shared" si="40"/>
        <v>0</v>
      </c>
      <c r="R156" s="476">
        <v>0</v>
      </c>
      <c r="S156" s="511">
        <f t="shared" si="38"/>
        <v>0</v>
      </c>
    </row>
    <row r="157" spans="1:19" ht="14" thickTop="1" thickBot="1">
      <c r="A157" s="202">
        <f t="shared" si="41"/>
        <v>49279</v>
      </c>
      <c r="B157" s="65">
        <f t="shared" si="34"/>
        <v>132</v>
      </c>
      <c r="C157" s="65">
        <f t="shared" si="31"/>
        <v>132</v>
      </c>
      <c r="D157" s="65">
        <f t="shared" si="35"/>
        <v>132</v>
      </c>
      <c r="E157" s="65">
        <f t="shared" si="42"/>
        <v>132</v>
      </c>
      <c r="F157" s="65">
        <f>IF(OR(L$73=0,DG!$A$252&gt;16),0,F156+1)</f>
        <v>132</v>
      </c>
      <c r="G157" s="65">
        <f t="shared" si="39"/>
        <v>0</v>
      </c>
      <c r="H157" s="65">
        <f t="shared" si="36"/>
        <v>0</v>
      </c>
      <c r="I157" s="65">
        <f t="shared" si="32"/>
        <v>1</v>
      </c>
      <c r="J157" s="203">
        <f>IF(DG!$A$131&lt;=11,$M$17,0)</f>
        <v>20000</v>
      </c>
      <c r="K157" s="65">
        <f t="shared" si="37"/>
        <v>60</v>
      </c>
      <c r="L157" s="473">
        <f t="shared" si="43"/>
        <v>5.0000100000000006E-2</v>
      </c>
      <c r="M157" s="204">
        <f t="shared" si="30"/>
        <v>0</v>
      </c>
      <c r="N157" s="505">
        <f t="shared" si="44"/>
        <v>0</v>
      </c>
      <c r="O157" s="204">
        <f>IF(DG!$A$131&gt;12,0,IF(J157-J156&gt;0,MROUND((L157/12*Q156),1),MROUND(L157/12*P156,1)))</f>
        <v>0</v>
      </c>
      <c r="P157" s="204">
        <f t="shared" si="45"/>
        <v>0</v>
      </c>
      <c r="Q157" s="204">
        <f t="shared" si="40"/>
        <v>0</v>
      </c>
      <c r="R157" s="476">
        <v>0</v>
      </c>
      <c r="S157" s="511">
        <f t="shared" si="38"/>
        <v>0</v>
      </c>
    </row>
    <row r="158" spans="1:19" ht="14" thickTop="1" thickBot="1">
      <c r="A158" s="202">
        <f t="shared" si="41"/>
        <v>49310</v>
      </c>
      <c r="B158" s="65">
        <f t="shared" si="34"/>
        <v>133</v>
      </c>
      <c r="C158" s="65">
        <f t="shared" si="31"/>
        <v>133</v>
      </c>
      <c r="D158" s="65">
        <f t="shared" si="35"/>
        <v>133</v>
      </c>
      <c r="E158" s="65">
        <f t="shared" si="42"/>
        <v>133</v>
      </c>
      <c r="F158" s="65">
        <f>IF(OR(L$73=0,DG!$A$252&gt;16),0,F157+1)</f>
        <v>133</v>
      </c>
      <c r="G158" s="65">
        <f t="shared" si="39"/>
        <v>0</v>
      </c>
      <c r="H158" s="65">
        <f t="shared" si="36"/>
        <v>0</v>
      </c>
      <c r="I158" s="65">
        <f t="shared" si="32"/>
        <v>1</v>
      </c>
      <c r="J158" s="203">
        <f>IF(DG!$A$131&lt;=11,$M$17,0)</f>
        <v>20000</v>
      </c>
      <c r="K158" s="65">
        <f t="shared" si="37"/>
        <v>60</v>
      </c>
      <c r="L158" s="473">
        <f t="shared" si="43"/>
        <v>5.0000100000000006E-2</v>
      </c>
      <c r="M158" s="204">
        <f t="shared" si="30"/>
        <v>0</v>
      </c>
      <c r="N158" s="505">
        <f t="shared" si="44"/>
        <v>0</v>
      </c>
      <c r="O158" s="204">
        <f>IF(DG!$A$131&gt;12,0,IF(J158-J157&gt;0,MROUND((L158/12*Q157),1),MROUND(L158/12*P157,1)))</f>
        <v>0</v>
      </c>
      <c r="P158" s="204">
        <f t="shared" si="45"/>
        <v>0</v>
      </c>
      <c r="Q158" s="204">
        <f t="shared" si="40"/>
        <v>0</v>
      </c>
      <c r="R158" s="476">
        <v>0</v>
      </c>
      <c r="S158" s="511">
        <f t="shared" si="38"/>
        <v>0</v>
      </c>
    </row>
    <row r="159" spans="1:19" ht="14" thickTop="1" thickBot="1">
      <c r="A159" s="202">
        <f t="shared" si="41"/>
        <v>49341</v>
      </c>
      <c r="B159" s="65">
        <f t="shared" si="34"/>
        <v>134</v>
      </c>
      <c r="C159" s="65">
        <f t="shared" si="31"/>
        <v>134</v>
      </c>
      <c r="D159" s="65">
        <f t="shared" si="35"/>
        <v>134</v>
      </c>
      <c r="E159" s="65">
        <f t="shared" si="42"/>
        <v>134</v>
      </c>
      <c r="F159" s="65">
        <f>IF(OR(L$73=0,DG!$A$252&gt;16),0,F158+1)</f>
        <v>134</v>
      </c>
      <c r="G159" s="65">
        <f t="shared" si="39"/>
        <v>0</v>
      </c>
      <c r="H159" s="65">
        <f t="shared" si="36"/>
        <v>0</v>
      </c>
      <c r="I159" s="65">
        <f t="shared" si="32"/>
        <v>1</v>
      </c>
      <c r="J159" s="203">
        <f>IF(DG!$A$131&lt;=11,$M$17,0)</f>
        <v>20000</v>
      </c>
      <c r="K159" s="65">
        <f t="shared" si="37"/>
        <v>60</v>
      </c>
      <c r="L159" s="473">
        <f t="shared" si="43"/>
        <v>5.0000100000000006E-2</v>
      </c>
      <c r="M159" s="204">
        <f t="shared" si="30"/>
        <v>0</v>
      </c>
      <c r="N159" s="505">
        <f t="shared" si="44"/>
        <v>0</v>
      </c>
      <c r="O159" s="204">
        <f>IF(DG!$A$131&gt;12,0,IF(J159-J158&gt;0,MROUND((L159/12*Q158),1),MROUND(L159/12*P158,1)))</f>
        <v>0</v>
      </c>
      <c r="P159" s="204">
        <f t="shared" si="45"/>
        <v>0</v>
      </c>
      <c r="Q159" s="204">
        <f t="shared" si="40"/>
        <v>0</v>
      </c>
      <c r="R159" s="476">
        <v>0</v>
      </c>
      <c r="S159" s="511">
        <f t="shared" si="38"/>
        <v>0</v>
      </c>
    </row>
    <row r="160" spans="1:19" ht="14" thickTop="1" thickBot="1">
      <c r="A160" s="202">
        <f t="shared" si="41"/>
        <v>49369</v>
      </c>
      <c r="B160" s="65">
        <f t="shared" si="34"/>
        <v>135</v>
      </c>
      <c r="C160" s="65">
        <f t="shared" si="31"/>
        <v>135</v>
      </c>
      <c r="D160" s="65">
        <f t="shared" si="35"/>
        <v>135</v>
      </c>
      <c r="E160" s="65">
        <f t="shared" si="42"/>
        <v>135</v>
      </c>
      <c r="F160" s="65">
        <f>IF(OR(L$73=0,DG!$A$252&gt;16),0,F159+1)</f>
        <v>135</v>
      </c>
      <c r="G160" s="65">
        <f t="shared" si="39"/>
        <v>0</v>
      </c>
      <c r="H160" s="65">
        <f t="shared" si="36"/>
        <v>0</v>
      </c>
      <c r="I160" s="65">
        <f t="shared" si="32"/>
        <v>1</v>
      </c>
      <c r="J160" s="203">
        <f>IF(DG!$A$131&lt;=11,$M$17,0)</f>
        <v>20000</v>
      </c>
      <c r="K160" s="65">
        <f t="shared" si="37"/>
        <v>60</v>
      </c>
      <c r="L160" s="473">
        <f t="shared" si="43"/>
        <v>5.0000100000000006E-2</v>
      </c>
      <c r="M160" s="204">
        <f t="shared" si="30"/>
        <v>0</v>
      </c>
      <c r="N160" s="505">
        <f t="shared" si="44"/>
        <v>0</v>
      </c>
      <c r="O160" s="204">
        <f>IF(DG!$A$131&gt;12,0,IF(J160-J159&gt;0,MROUND((L160/12*Q159),1),MROUND(L160/12*P159,1)))</f>
        <v>0</v>
      </c>
      <c r="P160" s="204">
        <f t="shared" si="45"/>
        <v>0</v>
      </c>
      <c r="Q160" s="204">
        <f t="shared" si="40"/>
        <v>0</v>
      </c>
      <c r="R160" s="476">
        <v>0</v>
      </c>
      <c r="S160" s="511">
        <f t="shared" si="38"/>
        <v>0</v>
      </c>
    </row>
    <row r="161" spans="1:19" ht="14" thickTop="1" thickBot="1">
      <c r="A161" s="202">
        <f t="shared" si="41"/>
        <v>49400</v>
      </c>
      <c r="B161" s="65">
        <f t="shared" si="34"/>
        <v>136</v>
      </c>
      <c r="C161" s="65">
        <f t="shared" si="31"/>
        <v>136</v>
      </c>
      <c r="D161" s="65">
        <f t="shared" si="35"/>
        <v>136</v>
      </c>
      <c r="E161" s="65">
        <f t="shared" si="42"/>
        <v>136</v>
      </c>
      <c r="F161" s="65">
        <f>IF(OR(L$73=0,DG!$A$252&gt;16),0,F160+1)</f>
        <v>136</v>
      </c>
      <c r="G161" s="65">
        <f t="shared" si="39"/>
        <v>0</v>
      </c>
      <c r="H161" s="65">
        <f t="shared" si="36"/>
        <v>0</v>
      </c>
      <c r="I161" s="65">
        <f t="shared" si="32"/>
        <v>1</v>
      </c>
      <c r="J161" s="203">
        <f>IF(DG!$A$131&lt;=11,$M$17,0)</f>
        <v>20000</v>
      </c>
      <c r="K161" s="65">
        <f t="shared" si="37"/>
        <v>60</v>
      </c>
      <c r="L161" s="473">
        <f t="shared" si="43"/>
        <v>5.0000100000000006E-2</v>
      </c>
      <c r="M161" s="204">
        <f t="shared" ref="M161:M224" si="46">IF(H161=0,0,IF($R$13=1,N161+O161,IF(N161=0,O161,-PMT(L161/12,K161-$G$269,J161))))</f>
        <v>0</v>
      </c>
      <c r="N161" s="505">
        <f t="shared" si="44"/>
        <v>0</v>
      </c>
      <c r="O161" s="204">
        <f>IF(DG!$A$131&gt;12,0,IF(J161-J160&gt;0,MROUND((L161/12*Q160),1),MROUND(L161/12*P160,1)))</f>
        <v>0</v>
      </c>
      <c r="P161" s="204">
        <f t="shared" si="45"/>
        <v>0</v>
      </c>
      <c r="Q161" s="204">
        <f t="shared" si="40"/>
        <v>0</v>
      </c>
      <c r="R161" s="476">
        <v>0</v>
      </c>
      <c r="S161" s="511">
        <f t="shared" si="38"/>
        <v>0</v>
      </c>
    </row>
    <row r="162" spans="1:19" ht="14" thickTop="1" thickBot="1">
      <c r="A162" s="202">
        <f t="shared" si="41"/>
        <v>49430</v>
      </c>
      <c r="B162" s="65">
        <f t="shared" si="34"/>
        <v>137</v>
      </c>
      <c r="C162" s="65">
        <f t="shared" si="31"/>
        <v>137</v>
      </c>
      <c r="D162" s="65">
        <f t="shared" si="35"/>
        <v>137</v>
      </c>
      <c r="E162" s="65">
        <f t="shared" si="42"/>
        <v>137</v>
      </c>
      <c r="F162" s="65">
        <f>IF(OR(L$73=0,DG!$A$252&gt;16),0,F161+1)</f>
        <v>137</v>
      </c>
      <c r="G162" s="65">
        <f t="shared" si="39"/>
        <v>0</v>
      </c>
      <c r="H162" s="65">
        <f t="shared" si="36"/>
        <v>0</v>
      </c>
      <c r="I162" s="65">
        <f t="shared" si="32"/>
        <v>1</v>
      </c>
      <c r="J162" s="203">
        <f>IF(DG!$A$131&lt;=11,$M$17,0)</f>
        <v>20000</v>
      </c>
      <c r="K162" s="65">
        <f t="shared" si="37"/>
        <v>60</v>
      </c>
      <c r="L162" s="473">
        <f t="shared" si="43"/>
        <v>5.0000100000000006E-2</v>
      </c>
      <c r="M162" s="204">
        <f t="shared" si="46"/>
        <v>0</v>
      </c>
      <c r="N162" s="505">
        <f t="shared" si="44"/>
        <v>0</v>
      </c>
      <c r="O162" s="204">
        <f>IF(DG!$A$131&gt;12,0,IF(J162-J161&gt;0,MROUND((L162/12*Q161),1),MROUND(L162/12*P161,1)))</f>
        <v>0</v>
      </c>
      <c r="P162" s="204">
        <f t="shared" si="45"/>
        <v>0</v>
      </c>
      <c r="Q162" s="204">
        <f t="shared" si="40"/>
        <v>0</v>
      </c>
      <c r="R162" s="476">
        <v>0</v>
      </c>
      <c r="S162" s="511">
        <f t="shared" si="38"/>
        <v>0</v>
      </c>
    </row>
    <row r="163" spans="1:19" ht="14" thickTop="1" thickBot="1">
      <c r="A163" s="202">
        <f t="shared" si="41"/>
        <v>49461</v>
      </c>
      <c r="B163" s="65">
        <f t="shared" si="34"/>
        <v>138</v>
      </c>
      <c r="C163" s="65">
        <f t="shared" si="31"/>
        <v>138</v>
      </c>
      <c r="D163" s="65">
        <f t="shared" si="35"/>
        <v>138</v>
      </c>
      <c r="E163" s="65">
        <f t="shared" si="42"/>
        <v>138</v>
      </c>
      <c r="F163" s="65">
        <f>IF(OR(L$73=0,DG!$A$252&gt;16),0,F162+1)</f>
        <v>138</v>
      </c>
      <c r="G163" s="65">
        <f t="shared" si="39"/>
        <v>0</v>
      </c>
      <c r="H163" s="65">
        <f t="shared" si="36"/>
        <v>0</v>
      </c>
      <c r="I163" s="65">
        <f t="shared" si="32"/>
        <v>1</v>
      </c>
      <c r="J163" s="203">
        <f>IF(DG!$A$131&lt;=11,$M$17,0)</f>
        <v>20000</v>
      </c>
      <c r="K163" s="65">
        <f t="shared" si="37"/>
        <v>60</v>
      </c>
      <c r="L163" s="473">
        <f t="shared" si="43"/>
        <v>5.0000100000000006E-2</v>
      </c>
      <c r="M163" s="204">
        <f t="shared" si="46"/>
        <v>0</v>
      </c>
      <c r="N163" s="505">
        <f t="shared" si="44"/>
        <v>0</v>
      </c>
      <c r="O163" s="204">
        <f>IF(DG!$A$131&gt;12,0,IF(J163-J162&gt;0,MROUND((L163/12*Q162),1),MROUND(L163/12*P162,1)))</f>
        <v>0</v>
      </c>
      <c r="P163" s="204">
        <f t="shared" si="45"/>
        <v>0</v>
      </c>
      <c r="Q163" s="204">
        <f t="shared" si="40"/>
        <v>0</v>
      </c>
      <c r="R163" s="476">
        <v>0</v>
      </c>
      <c r="S163" s="511">
        <f t="shared" si="38"/>
        <v>0</v>
      </c>
    </row>
    <row r="164" spans="1:19" ht="14" thickTop="1" thickBot="1">
      <c r="A164" s="202">
        <f t="shared" si="41"/>
        <v>49491</v>
      </c>
      <c r="B164" s="65">
        <f t="shared" si="34"/>
        <v>139</v>
      </c>
      <c r="C164" s="65">
        <f t="shared" si="31"/>
        <v>139</v>
      </c>
      <c r="D164" s="65">
        <f t="shared" si="35"/>
        <v>139</v>
      </c>
      <c r="E164" s="65">
        <f t="shared" si="42"/>
        <v>139</v>
      </c>
      <c r="F164" s="65">
        <f>IF(OR(L$73=0,DG!$A$252&gt;16),0,F163+1)</f>
        <v>139</v>
      </c>
      <c r="G164" s="65">
        <f t="shared" si="39"/>
        <v>0</v>
      </c>
      <c r="H164" s="65">
        <f t="shared" si="36"/>
        <v>0</v>
      </c>
      <c r="I164" s="65">
        <f t="shared" si="32"/>
        <v>1</v>
      </c>
      <c r="J164" s="203">
        <f>IF(DG!$A$131&lt;=11,$M$17,0)</f>
        <v>20000</v>
      </c>
      <c r="K164" s="65">
        <f t="shared" si="37"/>
        <v>60</v>
      </c>
      <c r="L164" s="473">
        <f t="shared" si="43"/>
        <v>5.0000100000000006E-2</v>
      </c>
      <c r="M164" s="204">
        <f t="shared" si="46"/>
        <v>0</v>
      </c>
      <c r="N164" s="505">
        <f t="shared" si="44"/>
        <v>0</v>
      </c>
      <c r="O164" s="204">
        <f>IF(DG!$A$131&gt;12,0,IF(J164-J163&gt;0,MROUND((L164/12*Q163),1),MROUND(L164/12*P163,1)))</f>
        <v>0</v>
      </c>
      <c r="P164" s="204">
        <f t="shared" si="45"/>
        <v>0</v>
      </c>
      <c r="Q164" s="204">
        <f t="shared" si="40"/>
        <v>0</v>
      </c>
      <c r="R164" s="476">
        <v>0</v>
      </c>
      <c r="S164" s="511">
        <f t="shared" si="38"/>
        <v>0</v>
      </c>
    </row>
    <row r="165" spans="1:19" ht="14" thickTop="1" thickBot="1">
      <c r="A165" s="202">
        <f t="shared" si="41"/>
        <v>49522</v>
      </c>
      <c r="B165" s="65">
        <f t="shared" si="34"/>
        <v>140</v>
      </c>
      <c r="C165" s="65">
        <f t="shared" si="31"/>
        <v>140</v>
      </c>
      <c r="D165" s="65">
        <f t="shared" si="35"/>
        <v>140</v>
      </c>
      <c r="E165" s="65">
        <f t="shared" si="42"/>
        <v>140</v>
      </c>
      <c r="F165" s="65">
        <f>IF(OR(L$73=0,DG!$A$252&gt;16),0,F164+1)</f>
        <v>140</v>
      </c>
      <c r="G165" s="65">
        <f t="shared" si="39"/>
        <v>0</v>
      </c>
      <c r="H165" s="65">
        <f t="shared" si="36"/>
        <v>0</v>
      </c>
      <c r="I165" s="65">
        <f t="shared" si="32"/>
        <v>1</v>
      </c>
      <c r="J165" s="203">
        <f>IF(DG!$A$131&lt;=11,$M$17,0)</f>
        <v>20000</v>
      </c>
      <c r="K165" s="65">
        <f t="shared" si="37"/>
        <v>60</v>
      </c>
      <c r="L165" s="473">
        <f t="shared" si="43"/>
        <v>5.0000100000000006E-2</v>
      </c>
      <c r="M165" s="204">
        <f t="shared" si="46"/>
        <v>0</v>
      </c>
      <c r="N165" s="505">
        <f t="shared" si="44"/>
        <v>0</v>
      </c>
      <c r="O165" s="204">
        <f>IF(DG!$A$131&gt;12,0,IF(J165-J164&gt;0,MROUND((L165/12*Q164),1),MROUND(L165/12*P164,1)))</f>
        <v>0</v>
      </c>
      <c r="P165" s="204">
        <f t="shared" si="45"/>
        <v>0</v>
      </c>
      <c r="Q165" s="204">
        <f t="shared" si="40"/>
        <v>0</v>
      </c>
      <c r="R165" s="476">
        <v>0</v>
      </c>
      <c r="S165" s="511">
        <f t="shared" si="38"/>
        <v>0</v>
      </c>
    </row>
    <row r="166" spans="1:19" ht="14" thickTop="1" thickBot="1">
      <c r="A166" s="202">
        <f t="shared" si="41"/>
        <v>49553</v>
      </c>
      <c r="B166" s="65">
        <f t="shared" si="34"/>
        <v>141</v>
      </c>
      <c r="C166" s="65">
        <f t="shared" si="31"/>
        <v>141</v>
      </c>
      <c r="D166" s="65">
        <f t="shared" si="35"/>
        <v>141</v>
      </c>
      <c r="E166" s="65">
        <f t="shared" si="42"/>
        <v>141</v>
      </c>
      <c r="F166" s="65">
        <f>IF(OR(L$73=0,DG!$A$252&gt;16),0,F165+1)</f>
        <v>141</v>
      </c>
      <c r="G166" s="65">
        <f t="shared" si="39"/>
        <v>0</v>
      </c>
      <c r="H166" s="65">
        <f t="shared" si="36"/>
        <v>0</v>
      </c>
      <c r="I166" s="65">
        <f t="shared" si="32"/>
        <v>1</v>
      </c>
      <c r="J166" s="203">
        <f>IF(DG!$A$131&lt;=11,$M$17,0)</f>
        <v>20000</v>
      </c>
      <c r="K166" s="65">
        <f t="shared" si="37"/>
        <v>60</v>
      </c>
      <c r="L166" s="473">
        <f t="shared" si="43"/>
        <v>5.0000100000000006E-2</v>
      </c>
      <c r="M166" s="204">
        <f t="shared" si="46"/>
        <v>0</v>
      </c>
      <c r="N166" s="505">
        <f t="shared" si="44"/>
        <v>0</v>
      </c>
      <c r="O166" s="204">
        <f>IF(DG!$A$131&gt;12,0,IF(J166-J165&gt;0,MROUND((L166/12*Q165),1),MROUND(L166/12*P165,1)))</f>
        <v>0</v>
      </c>
      <c r="P166" s="204">
        <f t="shared" si="45"/>
        <v>0</v>
      </c>
      <c r="Q166" s="204">
        <f t="shared" si="40"/>
        <v>0</v>
      </c>
      <c r="R166" s="476">
        <v>0</v>
      </c>
      <c r="S166" s="511">
        <f t="shared" si="38"/>
        <v>0</v>
      </c>
    </row>
    <row r="167" spans="1:19" ht="14" thickTop="1" thickBot="1">
      <c r="A167" s="202">
        <f t="shared" si="41"/>
        <v>49583</v>
      </c>
      <c r="B167" s="65">
        <f t="shared" si="34"/>
        <v>142</v>
      </c>
      <c r="C167" s="65">
        <f t="shared" si="31"/>
        <v>142</v>
      </c>
      <c r="D167" s="65">
        <f t="shared" si="35"/>
        <v>142</v>
      </c>
      <c r="E167" s="65">
        <f t="shared" si="42"/>
        <v>142</v>
      </c>
      <c r="F167" s="65">
        <f>IF(OR(L$73=0,DG!$A$252&gt;16),0,F166+1)</f>
        <v>142</v>
      </c>
      <c r="G167" s="65">
        <f t="shared" si="39"/>
        <v>0</v>
      </c>
      <c r="H167" s="65">
        <f t="shared" si="36"/>
        <v>0</v>
      </c>
      <c r="I167" s="65">
        <f t="shared" si="32"/>
        <v>1</v>
      </c>
      <c r="J167" s="203">
        <f>IF(DG!$A$131&lt;=11,$M$17,0)</f>
        <v>20000</v>
      </c>
      <c r="K167" s="65">
        <f t="shared" si="37"/>
        <v>60</v>
      </c>
      <c r="L167" s="473">
        <f t="shared" si="43"/>
        <v>5.0000100000000006E-2</v>
      </c>
      <c r="M167" s="204">
        <f t="shared" si="46"/>
        <v>0</v>
      </c>
      <c r="N167" s="505">
        <f t="shared" si="44"/>
        <v>0</v>
      </c>
      <c r="O167" s="204">
        <f>IF(DG!$A$131&gt;12,0,IF(J167-J166&gt;0,MROUND((L167/12*Q166),1),MROUND(L167/12*P166,1)))</f>
        <v>0</v>
      </c>
      <c r="P167" s="204">
        <f t="shared" si="45"/>
        <v>0</v>
      </c>
      <c r="Q167" s="204">
        <f t="shared" si="40"/>
        <v>0</v>
      </c>
      <c r="R167" s="476">
        <v>0</v>
      </c>
      <c r="S167" s="511">
        <f t="shared" si="38"/>
        <v>0</v>
      </c>
    </row>
    <row r="168" spans="1:19" ht="14" thickTop="1" thickBot="1">
      <c r="A168" s="202">
        <f t="shared" si="41"/>
        <v>49614</v>
      </c>
      <c r="B168" s="65">
        <f t="shared" si="34"/>
        <v>143</v>
      </c>
      <c r="C168" s="65">
        <f t="shared" si="31"/>
        <v>143</v>
      </c>
      <c r="D168" s="65">
        <f t="shared" si="35"/>
        <v>143</v>
      </c>
      <c r="E168" s="65">
        <f t="shared" si="42"/>
        <v>143</v>
      </c>
      <c r="F168" s="65">
        <f>IF(OR(L$73=0,DG!$A$252&gt;16),0,F167+1)</f>
        <v>143</v>
      </c>
      <c r="G168" s="65">
        <f t="shared" si="39"/>
        <v>0</v>
      </c>
      <c r="H168" s="65">
        <f t="shared" si="36"/>
        <v>0</v>
      </c>
      <c r="I168" s="65">
        <f t="shared" si="32"/>
        <v>1</v>
      </c>
      <c r="J168" s="203">
        <f>IF(DG!$A$131&lt;=11,$M$17,0)</f>
        <v>20000</v>
      </c>
      <c r="K168" s="65">
        <f t="shared" si="37"/>
        <v>60</v>
      </c>
      <c r="L168" s="473">
        <f t="shared" si="43"/>
        <v>5.0000100000000006E-2</v>
      </c>
      <c r="M168" s="204">
        <f t="shared" si="46"/>
        <v>0</v>
      </c>
      <c r="N168" s="505">
        <f t="shared" si="44"/>
        <v>0</v>
      </c>
      <c r="O168" s="204">
        <f>IF(DG!$A$131&gt;12,0,IF(J168-J167&gt;0,MROUND((L168/12*Q167),1),MROUND(L168/12*P167,1)))</f>
        <v>0</v>
      </c>
      <c r="P168" s="204">
        <f t="shared" si="45"/>
        <v>0</v>
      </c>
      <c r="Q168" s="204">
        <f t="shared" si="40"/>
        <v>0</v>
      </c>
      <c r="R168" s="476">
        <v>0</v>
      </c>
      <c r="S168" s="511">
        <f t="shared" si="38"/>
        <v>0</v>
      </c>
    </row>
    <row r="169" spans="1:19" ht="14" thickTop="1" thickBot="1">
      <c r="A169" s="202">
        <f t="shared" si="41"/>
        <v>49644</v>
      </c>
      <c r="B169" s="65">
        <f t="shared" si="34"/>
        <v>144</v>
      </c>
      <c r="C169" s="65">
        <f t="shared" si="31"/>
        <v>144</v>
      </c>
      <c r="D169" s="65">
        <f t="shared" si="35"/>
        <v>144</v>
      </c>
      <c r="E169" s="65">
        <f t="shared" si="42"/>
        <v>144</v>
      </c>
      <c r="F169" s="65">
        <f>IF(OR(L$73=0,DG!$A$252&gt;16),0,F168+1)</f>
        <v>144</v>
      </c>
      <c r="G169" s="65">
        <f t="shared" si="39"/>
        <v>0</v>
      </c>
      <c r="H169" s="65">
        <f t="shared" si="36"/>
        <v>0</v>
      </c>
      <c r="I169" s="65">
        <f t="shared" si="32"/>
        <v>1</v>
      </c>
      <c r="J169" s="203">
        <f>IF(DG!$A$131&lt;=11,$M$17,0)</f>
        <v>20000</v>
      </c>
      <c r="K169" s="65">
        <f t="shared" si="37"/>
        <v>60</v>
      </c>
      <c r="L169" s="473">
        <f t="shared" si="43"/>
        <v>5.0000100000000006E-2</v>
      </c>
      <c r="M169" s="204">
        <f t="shared" si="46"/>
        <v>0</v>
      </c>
      <c r="N169" s="505">
        <f t="shared" si="44"/>
        <v>0</v>
      </c>
      <c r="O169" s="204">
        <f>IF(DG!$A$131&gt;12,0,IF(J169-J168&gt;0,MROUND((L169/12*Q168),1),MROUND(L169/12*P168,1)))</f>
        <v>0</v>
      </c>
      <c r="P169" s="204">
        <f t="shared" si="45"/>
        <v>0</v>
      </c>
      <c r="Q169" s="204">
        <f t="shared" si="40"/>
        <v>0</v>
      </c>
      <c r="R169" s="476">
        <v>0</v>
      </c>
      <c r="S169" s="511">
        <f t="shared" si="38"/>
        <v>0</v>
      </c>
    </row>
    <row r="170" spans="1:19" ht="14" thickTop="1" thickBot="1">
      <c r="A170" s="202">
        <f t="shared" si="41"/>
        <v>49675</v>
      </c>
      <c r="B170" s="65">
        <f t="shared" si="34"/>
        <v>145</v>
      </c>
      <c r="C170" s="65">
        <f t="shared" si="31"/>
        <v>145</v>
      </c>
      <c r="D170" s="65">
        <f t="shared" si="35"/>
        <v>145</v>
      </c>
      <c r="E170" s="65">
        <f t="shared" si="42"/>
        <v>145</v>
      </c>
      <c r="F170" s="65">
        <f>IF(OR(L$73=0,DG!$A$252&gt;16),0,F169+1)</f>
        <v>145</v>
      </c>
      <c r="G170" s="65">
        <f t="shared" si="39"/>
        <v>0</v>
      </c>
      <c r="H170" s="65">
        <f t="shared" si="36"/>
        <v>0</v>
      </c>
      <c r="I170" s="65">
        <f t="shared" si="32"/>
        <v>1</v>
      </c>
      <c r="J170" s="203">
        <f>IF(DG!$A$131&lt;=11,$M$17,0)</f>
        <v>20000</v>
      </c>
      <c r="K170" s="65">
        <f t="shared" si="37"/>
        <v>60</v>
      </c>
      <c r="L170" s="473">
        <f t="shared" si="43"/>
        <v>5.0000100000000006E-2</v>
      </c>
      <c r="M170" s="204">
        <f t="shared" si="46"/>
        <v>0</v>
      </c>
      <c r="N170" s="505">
        <f t="shared" si="44"/>
        <v>0</v>
      </c>
      <c r="O170" s="204">
        <f>IF(DG!$A$131&gt;12,0,IF(J170-J169&gt;0,MROUND((L170/12*Q169),1),MROUND(L170/12*P169,1)))</f>
        <v>0</v>
      </c>
      <c r="P170" s="204">
        <f t="shared" si="45"/>
        <v>0</v>
      </c>
      <c r="Q170" s="204">
        <f t="shared" si="40"/>
        <v>0</v>
      </c>
      <c r="R170" s="476">
        <v>0</v>
      </c>
      <c r="S170" s="511">
        <f t="shared" si="38"/>
        <v>0</v>
      </c>
    </row>
    <row r="171" spans="1:19" ht="14" thickTop="1" thickBot="1">
      <c r="A171" s="202">
        <f t="shared" si="41"/>
        <v>49706</v>
      </c>
      <c r="B171" s="65">
        <f t="shared" si="34"/>
        <v>146</v>
      </c>
      <c r="C171" s="65">
        <f t="shared" si="31"/>
        <v>146</v>
      </c>
      <c r="D171" s="65">
        <f t="shared" si="35"/>
        <v>146</v>
      </c>
      <c r="E171" s="65">
        <f t="shared" si="42"/>
        <v>146</v>
      </c>
      <c r="F171" s="65">
        <f>IF(OR(L$73=0,DG!$A$252&gt;16),0,F170+1)</f>
        <v>146</v>
      </c>
      <c r="G171" s="65">
        <f t="shared" si="39"/>
        <v>0</v>
      </c>
      <c r="H171" s="65">
        <f t="shared" si="36"/>
        <v>0</v>
      </c>
      <c r="I171" s="65">
        <f t="shared" si="32"/>
        <v>1</v>
      </c>
      <c r="J171" s="203">
        <f>IF(DG!$A$131&lt;=11,$M$17,0)</f>
        <v>20000</v>
      </c>
      <c r="K171" s="65">
        <f t="shared" si="37"/>
        <v>60</v>
      </c>
      <c r="L171" s="473">
        <f t="shared" si="43"/>
        <v>5.0000100000000006E-2</v>
      </c>
      <c r="M171" s="204">
        <f t="shared" si="46"/>
        <v>0</v>
      </c>
      <c r="N171" s="505">
        <f t="shared" si="44"/>
        <v>0</v>
      </c>
      <c r="O171" s="204">
        <f>IF(DG!$A$131&gt;12,0,IF(J171-J170&gt;0,MROUND((L171/12*Q170),1),MROUND(L171/12*P170,1)))</f>
        <v>0</v>
      </c>
      <c r="P171" s="204">
        <f t="shared" si="45"/>
        <v>0</v>
      </c>
      <c r="Q171" s="204">
        <f t="shared" si="40"/>
        <v>0</v>
      </c>
      <c r="R171" s="476">
        <v>0</v>
      </c>
      <c r="S171" s="511">
        <f t="shared" si="38"/>
        <v>0</v>
      </c>
    </row>
    <row r="172" spans="1:19" ht="14" thickTop="1" thickBot="1">
      <c r="A172" s="202">
        <f t="shared" si="41"/>
        <v>49735</v>
      </c>
      <c r="B172" s="65">
        <f t="shared" si="34"/>
        <v>147</v>
      </c>
      <c r="C172" s="65">
        <f t="shared" si="31"/>
        <v>147</v>
      </c>
      <c r="D172" s="65">
        <f t="shared" si="35"/>
        <v>147</v>
      </c>
      <c r="E172" s="65">
        <f t="shared" si="42"/>
        <v>147</v>
      </c>
      <c r="F172" s="65">
        <f>IF(OR(L$73=0,DG!$A$252&gt;16),0,F171+1)</f>
        <v>147</v>
      </c>
      <c r="G172" s="65">
        <f t="shared" si="39"/>
        <v>0</v>
      </c>
      <c r="H172" s="65">
        <f t="shared" si="36"/>
        <v>0</v>
      </c>
      <c r="I172" s="65">
        <f t="shared" si="32"/>
        <v>1</v>
      </c>
      <c r="J172" s="203">
        <f>IF(DG!$A$131&lt;=11,$M$17,0)</f>
        <v>20000</v>
      </c>
      <c r="K172" s="65">
        <f t="shared" si="37"/>
        <v>60</v>
      </c>
      <c r="L172" s="473">
        <f t="shared" si="43"/>
        <v>5.0000100000000006E-2</v>
      </c>
      <c r="M172" s="204">
        <f t="shared" si="46"/>
        <v>0</v>
      </c>
      <c r="N172" s="505">
        <f t="shared" si="44"/>
        <v>0</v>
      </c>
      <c r="O172" s="204">
        <f>IF(DG!$A$131&gt;12,0,IF(J172-J171&gt;0,MROUND((L172/12*Q171),1),MROUND(L172/12*P171,1)))</f>
        <v>0</v>
      </c>
      <c r="P172" s="204">
        <f t="shared" si="45"/>
        <v>0</v>
      </c>
      <c r="Q172" s="204">
        <f t="shared" si="40"/>
        <v>0</v>
      </c>
      <c r="R172" s="476">
        <v>0</v>
      </c>
      <c r="S172" s="511">
        <f t="shared" si="38"/>
        <v>0</v>
      </c>
    </row>
    <row r="173" spans="1:19" ht="14" thickTop="1" thickBot="1">
      <c r="A173" s="202">
        <f t="shared" si="41"/>
        <v>49766</v>
      </c>
      <c r="B173" s="65">
        <f t="shared" si="34"/>
        <v>148</v>
      </c>
      <c r="C173" s="65">
        <f t="shared" si="31"/>
        <v>148</v>
      </c>
      <c r="D173" s="65">
        <f t="shared" si="35"/>
        <v>148</v>
      </c>
      <c r="E173" s="65">
        <f t="shared" si="42"/>
        <v>148</v>
      </c>
      <c r="F173" s="65">
        <f>IF(OR(L$73=0,DG!$A$252&gt;16),0,F172+1)</f>
        <v>148</v>
      </c>
      <c r="G173" s="65">
        <f t="shared" si="39"/>
        <v>0</v>
      </c>
      <c r="H173" s="65">
        <f t="shared" si="36"/>
        <v>0</v>
      </c>
      <c r="I173" s="65">
        <f t="shared" si="32"/>
        <v>1</v>
      </c>
      <c r="J173" s="203">
        <f>IF(DG!$A$131&lt;=11,$M$17,0)</f>
        <v>20000</v>
      </c>
      <c r="K173" s="65">
        <f t="shared" si="37"/>
        <v>60</v>
      </c>
      <c r="L173" s="473">
        <f t="shared" si="43"/>
        <v>5.0000100000000006E-2</v>
      </c>
      <c r="M173" s="204">
        <f t="shared" si="46"/>
        <v>0</v>
      </c>
      <c r="N173" s="505">
        <f t="shared" si="44"/>
        <v>0</v>
      </c>
      <c r="O173" s="204">
        <f>IF(DG!$A$131&gt;12,0,IF(J173-J172&gt;0,MROUND((L173/12*Q172),1),MROUND(L173/12*P172,1)))</f>
        <v>0</v>
      </c>
      <c r="P173" s="204">
        <f t="shared" si="45"/>
        <v>0</v>
      </c>
      <c r="Q173" s="204">
        <f t="shared" si="40"/>
        <v>0</v>
      </c>
      <c r="R173" s="476">
        <v>0</v>
      </c>
      <c r="S173" s="511">
        <f t="shared" si="38"/>
        <v>0</v>
      </c>
    </row>
    <row r="174" spans="1:19" ht="14" thickTop="1" thickBot="1">
      <c r="A174" s="202">
        <f t="shared" si="41"/>
        <v>49796</v>
      </c>
      <c r="B174" s="65">
        <f t="shared" si="34"/>
        <v>149</v>
      </c>
      <c r="C174" s="65">
        <f t="shared" si="31"/>
        <v>149</v>
      </c>
      <c r="D174" s="65">
        <f t="shared" si="35"/>
        <v>149</v>
      </c>
      <c r="E174" s="65">
        <f t="shared" si="42"/>
        <v>149</v>
      </c>
      <c r="F174" s="65">
        <f>IF(OR(L$73=0,DG!$A$252&gt;16),0,F173+1)</f>
        <v>149</v>
      </c>
      <c r="G174" s="65">
        <f t="shared" si="39"/>
        <v>0</v>
      </c>
      <c r="H174" s="65">
        <f t="shared" si="36"/>
        <v>0</v>
      </c>
      <c r="I174" s="65">
        <f t="shared" si="32"/>
        <v>1</v>
      </c>
      <c r="J174" s="203">
        <f>IF(DG!$A$131&lt;=11,$M$17,0)</f>
        <v>20000</v>
      </c>
      <c r="K174" s="65">
        <f t="shared" si="37"/>
        <v>60</v>
      </c>
      <c r="L174" s="473">
        <f t="shared" si="43"/>
        <v>5.0000100000000006E-2</v>
      </c>
      <c r="M174" s="204">
        <f t="shared" si="46"/>
        <v>0</v>
      </c>
      <c r="N174" s="505">
        <f t="shared" si="44"/>
        <v>0</v>
      </c>
      <c r="O174" s="204">
        <f>IF(DG!$A$131&gt;12,0,IF(J174-J173&gt;0,MROUND((L174/12*Q173),1),MROUND(L174/12*P173,1)))</f>
        <v>0</v>
      </c>
      <c r="P174" s="204">
        <f t="shared" si="45"/>
        <v>0</v>
      </c>
      <c r="Q174" s="204">
        <f t="shared" si="40"/>
        <v>0</v>
      </c>
      <c r="R174" s="476">
        <v>0</v>
      </c>
      <c r="S174" s="511">
        <f t="shared" si="38"/>
        <v>0</v>
      </c>
    </row>
    <row r="175" spans="1:19" ht="14" thickTop="1" thickBot="1">
      <c r="A175" s="202">
        <f t="shared" si="41"/>
        <v>49827</v>
      </c>
      <c r="B175" s="65">
        <f t="shared" si="34"/>
        <v>150</v>
      </c>
      <c r="C175" s="65">
        <f t="shared" si="31"/>
        <v>150</v>
      </c>
      <c r="D175" s="65">
        <f t="shared" si="35"/>
        <v>150</v>
      </c>
      <c r="E175" s="65">
        <f t="shared" si="42"/>
        <v>150</v>
      </c>
      <c r="F175" s="65">
        <f>IF(OR(L$73=0,DG!$A$252&gt;16),0,F174+1)</f>
        <v>150</v>
      </c>
      <c r="G175" s="65">
        <f t="shared" si="39"/>
        <v>0</v>
      </c>
      <c r="H175" s="65">
        <f t="shared" si="36"/>
        <v>0</v>
      </c>
      <c r="I175" s="65">
        <f t="shared" si="32"/>
        <v>1</v>
      </c>
      <c r="J175" s="203">
        <f>IF(DG!$A$131&lt;=11,$M$17,0)</f>
        <v>20000</v>
      </c>
      <c r="K175" s="65">
        <f t="shared" si="37"/>
        <v>60</v>
      </c>
      <c r="L175" s="473">
        <f t="shared" si="43"/>
        <v>5.0000100000000006E-2</v>
      </c>
      <c r="M175" s="204">
        <f t="shared" si="46"/>
        <v>0</v>
      </c>
      <c r="N175" s="505">
        <f t="shared" si="44"/>
        <v>0</v>
      </c>
      <c r="O175" s="204">
        <f>IF(DG!$A$131&gt;12,0,IF(J175-J174&gt;0,MROUND((L175/12*Q174),1),MROUND(L175/12*P174,1)))</f>
        <v>0</v>
      </c>
      <c r="P175" s="204">
        <f t="shared" si="45"/>
        <v>0</v>
      </c>
      <c r="Q175" s="204">
        <f t="shared" si="40"/>
        <v>0</v>
      </c>
      <c r="R175" s="476">
        <v>0</v>
      </c>
      <c r="S175" s="511">
        <f t="shared" si="38"/>
        <v>0</v>
      </c>
    </row>
    <row r="176" spans="1:19" ht="14" thickTop="1" thickBot="1">
      <c r="A176" s="202">
        <f t="shared" si="41"/>
        <v>49857</v>
      </c>
      <c r="B176" s="65">
        <f t="shared" si="34"/>
        <v>151</v>
      </c>
      <c r="C176" s="65">
        <f t="shared" si="31"/>
        <v>151</v>
      </c>
      <c r="D176" s="65">
        <f t="shared" si="35"/>
        <v>151</v>
      </c>
      <c r="E176" s="65">
        <f t="shared" si="42"/>
        <v>151</v>
      </c>
      <c r="F176" s="65">
        <f>IF(OR(L$73=0,DG!$A$252&gt;16),0,F175+1)</f>
        <v>151</v>
      </c>
      <c r="G176" s="65">
        <f t="shared" si="39"/>
        <v>0</v>
      </c>
      <c r="H176" s="65">
        <f t="shared" si="36"/>
        <v>0</v>
      </c>
      <c r="I176" s="65">
        <f t="shared" si="32"/>
        <v>1</v>
      </c>
      <c r="J176" s="203">
        <f>IF(DG!$A$131&lt;=11,$M$17,0)</f>
        <v>20000</v>
      </c>
      <c r="K176" s="65">
        <f t="shared" si="37"/>
        <v>60</v>
      </c>
      <c r="L176" s="473">
        <f t="shared" si="43"/>
        <v>5.0000100000000006E-2</v>
      </c>
      <c r="M176" s="204">
        <f t="shared" si="46"/>
        <v>0</v>
      </c>
      <c r="N176" s="505">
        <f t="shared" si="44"/>
        <v>0</v>
      </c>
      <c r="O176" s="204">
        <f>IF(DG!$A$131&gt;12,0,IF(J176-J175&gt;0,MROUND((L176/12*Q175),1),MROUND(L176/12*P175,1)))</f>
        <v>0</v>
      </c>
      <c r="P176" s="204">
        <f t="shared" si="45"/>
        <v>0</v>
      </c>
      <c r="Q176" s="204">
        <f t="shared" si="40"/>
        <v>0</v>
      </c>
      <c r="R176" s="476">
        <v>0</v>
      </c>
      <c r="S176" s="511">
        <f t="shared" si="38"/>
        <v>0</v>
      </c>
    </row>
    <row r="177" spans="1:19" ht="14" thickTop="1" thickBot="1">
      <c r="A177" s="202">
        <f t="shared" si="41"/>
        <v>49888</v>
      </c>
      <c r="B177" s="65">
        <f t="shared" si="34"/>
        <v>152</v>
      </c>
      <c r="C177" s="65">
        <f t="shared" si="31"/>
        <v>152</v>
      </c>
      <c r="D177" s="65">
        <f t="shared" si="35"/>
        <v>152</v>
      </c>
      <c r="E177" s="65">
        <f t="shared" si="42"/>
        <v>152</v>
      </c>
      <c r="F177" s="65">
        <f>IF(OR(L$73=0,DG!$A$252&gt;16),0,F176+1)</f>
        <v>152</v>
      </c>
      <c r="G177" s="65">
        <f t="shared" si="39"/>
        <v>0</v>
      </c>
      <c r="H177" s="65">
        <f t="shared" si="36"/>
        <v>0</v>
      </c>
      <c r="I177" s="65">
        <f t="shared" si="32"/>
        <v>1</v>
      </c>
      <c r="J177" s="203">
        <f>IF(DG!$A$131&lt;=11,$M$17,0)</f>
        <v>20000</v>
      </c>
      <c r="K177" s="65">
        <f t="shared" si="37"/>
        <v>60</v>
      </c>
      <c r="L177" s="473">
        <f t="shared" si="43"/>
        <v>5.0000100000000006E-2</v>
      </c>
      <c r="M177" s="204">
        <f t="shared" si="46"/>
        <v>0</v>
      </c>
      <c r="N177" s="505">
        <f t="shared" si="44"/>
        <v>0</v>
      </c>
      <c r="O177" s="204">
        <f>IF(DG!$A$131&gt;12,0,IF(J177-J176&gt;0,MROUND((L177/12*Q176),1),MROUND(L177/12*P176,1)))</f>
        <v>0</v>
      </c>
      <c r="P177" s="204">
        <f t="shared" si="45"/>
        <v>0</v>
      </c>
      <c r="Q177" s="204">
        <f t="shared" si="40"/>
        <v>0</v>
      </c>
      <c r="R177" s="476">
        <v>0</v>
      </c>
      <c r="S177" s="511">
        <f t="shared" si="38"/>
        <v>0</v>
      </c>
    </row>
    <row r="178" spans="1:19" ht="14" thickTop="1" thickBot="1">
      <c r="A178" s="202">
        <f t="shared" si="41"/>
        <v>49919</v>
      </c>
      <c r="B178" s="65">
        <f t="shared" si="34"/>
        <v>153</v>
      </c>
      <c r="C178" s="65">
        <f t="shared" si="31"/>
        <v>153</v>
      </c>
      <c r="D178" s="65">
        <f t="shared" si="35"/>
        <v>153</v>
      </c>
      <c r="E178" s="65">
        <f t="shared" si="42"/>
        <v>153</v>
      </c>
      <c r="F178" s="65">
        <f>IF(OR(L$73=0,DG!$A$252&gt;16),0,F177+1)</f>
        <v>153</v>
      </c>
      <c r="G178" s="65">
        <f t="shared" si="39"/>
        <v>0</v>
      </c>
      <c r="H178" s="65">
        <f t="shared" si="36"/>
        <v>0</v>
      </c>
      <c r="I178" s="65">
        <f t="shared" si="32"/>
        <v>1</v>
      </c>
      <c r="J178" s="203">
        <f>IF(DG!$A$131&lt;=11,$M$17,0)</f>
        <v>20000</v>
      </c>
      <c r="K178" s="65">
        <f t="shared" si="37"/>
        <v>60</v>
      </c>
      <c r="L178" s="473">
        <f t="shared" si="43"/>
        <v>5.0000100000000006E-2</v>
      </c>
      <c r="M178" s="204">
        <f t="shared" si="46"/>
        <v>0</v>
      </c>
      <c r="N178" s="505">
        <f t="shared" si="44"/>
        <v>0</v>
      </c>
      <c r="O178" s="204">
        <f>IF(DG!$A$131&gt;12,0,IF(J178-J177&gt;0,MROUND((L178/12*Q177),1),MROUND(L178/12*P177,1)))</f>
        <v>0</v>
      </c>
      <c r="P178" s="204">
        <f t="shared" si="45"/>
        <v>0</v>
      </c>
      <c r="Q178" s="204">
        <f t="shared" si="40"/>
        <v>0</v>
      </c>
      <c r="R178" s="476">
        <v>0</v>
      </c>
      <c r="S178" s="511">
        <f t="shared" si="38"/>
        <v>0</v>
      </c>
    </row>
    <row r="179" spans="1:19" ht="14" thickTop="1" thickBot="1">
      <c r="A179" s="202">
        <f t="shared" si="41"/>
        <v>49949</v>
      </c>
      <c r="B179" s="65">
        <f t="shared" si="34"/>
        <v>154</v>
      </c>
      <c r="C179" s="65">
        <f t="shared" ref="C179:C242" si="47">IF(F179-$E$269&gt;0,F179-$E$269,0)</f>
        <v>154</v>
      </c>
      <c r="D179" s="65">
        <f t="shared" si="35"/>
        <v>154</v>
      </c>
      <c r="E179" s="65">
        <f t="shared" si="42"/>
        <v>154</v>
      </c>
      <c r="F179" s="65">
        <f>IF(OR(L$73=0,DG!$A$252&gt;16),0,F178+1)</f>
        <v>154</v>
      </c>
      <c r="G179" s="65">
        <f t="shared" si="39"/>
        <v>0</v>
      </c>
      <c r="H179" s="65">
        <f t="shared" si="36"/>
        <v>0</v>
      </c>
      <c r="I179" s="65">
        <f t="shared" si="32"/>
        <v>1</v>
      </c>
      <c r="J179" s="203">
        <f>IF(DG!$A$131&lt;=11,$M$17,0)</f>
        <v>20000</v>
      </c>
      <c r="K179" s="65">
        <f t="shared" si="37"/>
        <v>60</v>
      </c>
      <c r="L179" s="473">
        <f t="shared" si="43"/>
        <v>5.0000100000000006E-2</v>
      </c>
      <c r="M179" s="204">
        <f t="shared" si="46"/>
        <v>0</v>
      </c>
      <c r="N179" s="505">
        <f t="shared" si="44"/>
        <v>0</v>
      </c>
      <c r="O179" s="204">
        <f>IF(DG!$A$131&gt;12,0,IF(J179-J178&gt;0,MROUND((L179/12*Q178),1),MROUND(L179/12*P178,1)))</f>
        <v>0</v>
      </c>
      <c r="P179" s="204">
        <f t="shared" si="45"/>
        <v>0</v>
      </c>
      <c r="Q179" s="204">
        <f t="shared" si="40"/>
        <v>0</v>
      </c>
      <c r="R179" s="476">
        <v>0</v>
      </c>
      <c r="S179" s="511">
        <f t="shared" si="38"/>
        <v>0</v>
      </c>
    </row>
    <row r="180" spans="1:19" ht="14" thickTop="1" thickBot="1">
      <c r="A180" s="202">
        <f t="shared" si="41"/>
        <v>49980</v>
      </c>
      <c r="B180" s="65">
        <f t="shared" si="34"/>
        <v>155</v>
      </c>
      <c r="C180" s="65">
        <f t="shared" si="47"/>
        <v>155</v>
      </c>
      <c r="D180" s="65">
        <f t="shared" si="35"/>
        <v>155</v>
      </c>
      <c r="E180" s="65">
        <f t="shared" si="42"/>
        <v>155</v>
      </c>
      <c r="F180" s="65">
        <f>IF(OR(L$73=0,DG!$A$252&gt;16),0,F179+1)</f>
        <v>155</v>
      </c>
      <c r="G180" s="65">
        <f t="shared" si="39"/>
        <v>0</v>
      </c>
      <c r="H180" s="65">
        <f t="shared" si="36"/>
        <v>0</v>
      </c>
      <c r="I180" s="65">
        <f t="shared" si="32"/>
        <v>1</v>
      </c>
      <c r="J180" s="203">
        <f>IF(DG!$A$131&lt;=11,$M$17,0)</f>
        <v>20000</v>
      </c>
      <c r="K180" s="65">
        <f t="shared" si="37"/>
        <v>60</v>
      </c>
      <c r="L180" s="473">
        <f t="shared" si="43"/>
        <v>5.0000100000000006E-2</v>
      </c>
      <c r="M180" s="204">
        <f t="shared" si="46"/>
        <v>0</v>
      </c>
      <c r="N180" s="505">
        <f t="shared" si="44"/>
        <v>0</v>
      </c>
      <c r="O180" s="204">
        <f>IF(DG!$A$131&gt;12,0,IF(J180-J179&gt;0,MROUND((L180/12*Q179),1),MROUND(L180/12*P179,1)))</f>
        <v>0</v>
      </c>
      <c r="P180" s="204">
        <f t="shared" si="45"/>
        <v>0</v>
      </c>
      <c r="Q180" s="204">
        <f t="shared" si="40"/>
        <v>0</v>
      </c>
      <c r="R180" s="476">
        <v>0</v>
      </c>
      <c r="S180" s="511">
        <f t="shared" si="38"/>
        <v>0</v>
      </c>
    </row>
    <row r="181" spans="1:19" ht="14" thickTop="1" thickBot="1">
      <c r="A181" s="202">
        <f t="shared" si="41"/>
        <v>50010</v>
      </c>
      <c r="B181" s="65">
        <f t="shared" si="34"/>
        <v>156</v>
      </c>
      <c r="C181" s="65">
        <f t="shared" si="47"/>
        <v>156</v>
      </c>
      <c r="D181" s="65">
        <f t="shared" si="35"/>
        <v>156</v>
      </c>
      <c r="E181" s="65">
        <f t="shared" si="42"/>
        <v>156</v>
      </c>
      <c r="F181" s="65">
        <f>IF(OR(L$73=0,DG!$A$252&gt;16),0,F180+1)</f>
        <v>156</v>
      </c>
      <c r="G181" s="65">
        <f t="shared" si="39"/>
        <v>0</v>
      </c>
      <c r="H181" s="65">
        <f t="shared" si="36"/>
        <v>0</v>
      </c>
      <c r="I181" s="65">
        <f t="shared" si="32"/>
        <v>1</v>
      </c>
      <c r="J181" s="203">
        <f>IF(DG!$A$131&lt;=11,$M$17,0)</f>
        <v>20000</v>
      </c>
      <c r="K181" s="65">
        <f t="shared" si="37"/>
        <v>60</v>
      </c>
      <c r="L181" s="473">
        <f t="shared" si="43"/>
        <v>5.0000100000000006E-2</v>
      </c>
      <c r="M181" s="204">
        <f t="shared" si="46"/>
        <v>0</v>
      </c>
      <c r="N181" s="505">
        <f t="shared" si="44"/>
        <v>0</v>
      </c>
      <c r="O181" s="204">
        <f>IF(DG!$A$131&gt;12,0,IF(J181-J180&gt;0,MROUND((L181/12*Q180),1),MROUND(L181/12*P180,1)))</f>
        <v>0</v>
      </c>
      <c r="P181" s="204">
        <f t="shared" si="45"/>
        <v>0</v>
      </c>
      <c r="Q181" s="204">
        <f t="shared" si="40"/>
        <v>0</v>
      </c>
      <c r="R181" s="476">
        <v>0</v>
      </c>
      <c r="S181" s="511">
        <f t="shared" si="38"/>
        <v>0</v>
      </c>
    </row>
    <row r="182" spans="1:19" ht="14" thickTop="1" thickBot="1">
      <c r="A182" s="202">
        <f t="shared" si="41"/>
        <v>50041</v>
      </c>
      <c r="B182" s="65">
        <f t="shared" si="34"/>
        <v>157</v>
      </c>
      <c r="C182" s="65">
        <f t="shared" si="47"/>
        <v>157</v>
      </c>
      <c r="D182" s="65">
        <f t="shared" si="35"/>
        <v>157</v>
      </c>
      <c r="E182" s="65">
        <f t="shared" si="42"/>
        <v>157</v>
      </c>
      <c r="F182" s="65">
        <f>IF(OR(L$73=0,DG!$A$252&gt;16),0,F181+1)</f>
        <v>157</v>
      </c>
      <c r="G182" s="65">
        <f t="shared" si="39"/>
        <v>0</v>
      </c>
      <c r="H182" s="65">
        <f t="shared" si="36"/>
        <v>0</v>
      </c>
      <c r="I182" s="65">
        <f t="shared" si="32"/>
        <v>1</v>
      </c>
      <c r="J182" s="203">
        <f>IF(DG!$A$131&lt;=11,$M$17,0)</f>
        <v>20000</v>
      </c>
      <c r="K182" s="65">
        <f t="shared" si="37"/>
        <v>60</v>
      </c>
      <c r="L182" s="473">
        <f t="shared" si="43"/>
        <v>5.0000100000000006E-2</v>
      </c>
      <c r="M182" s="204">
        <f t="shared" si="46"/>
        <v>0</v>
      </c>
      <c r="N182" s="505">
        <f t="shared" si="44"/>
        <v>0</v>
      </c>
      <c r="O182" s="204">
        <f>IF(DG!$A$131&gt;12,0,IF(J182-J181&gt;0,MROUND((L182/12*Q181),1),MROUND(L182/12*P181,1)))</f>
        <v>0</v>
      </c>
      <c r="P182" s="204">
        <f t="shared" si="45"/>
        <v>0</v>
      </c>
      <c r="Q182" s="204">
        <f t="shared" si="40"/>
        <v>0</v>
      </c>
      <c r="R182" s="476">
        <v>0</v>
      </c>
      <c r="S182" s="511">
        <f t="shared" si="38"/>
        <v>0</v>
      </c>
    </row>
    <row r="183" spans="1:19" ht="14" thickTop="1" thickBot="1">
      <c r="A183" s="202">
        <f t="shared" si="41"/>
        <v>50072</v>
      </c>
      <c r="B183" s="65">
        <f t="shared" si="34"/>
        <v>158</v>
      </c>
      <c r="C183" s="65">
        <f t="shared" si="47"/>
        <v>158</v>
      </c>
      <c r="D183" s="65">
        <f t="shared" si="35"/>
        <v>158</v>
      </c>
      <c r="E183" s="65">
        <f t="shared" si="42"/>
        <v>158</v>
      </c>
      <c r="F183" s="65">
        <f>IF(OR(L$73=0,DG!$A$252&gt;16),0,F182+1)</f>
        <v>158</v>
      </c>
      <c r="G183" s="65">
        <f t="shared" si="39"/>
        <v>0</v>
      </c>
      <c r="H183" s="65">
        <f t="shared" si="36"/>
        <v>0</v>
      </c>
      <c r="I183" s="65">
        <f t="shared" si="32"/>
        <v>1</v>
      </c>
      <c r="J183" s="203">
        <f>IF(DG!$A$131&lt;=11,$M$17,0)</f>
        <v>20000</v>
      </c>
      <c r="K183" s="65">
        <f t="shared" si="37"/>
        <v>60</v>
      </c>
      <c r="L183" s="473">
        <f t="shared" si="43"/>
        <v>5.0000100000000006E-2</v>
      </c>
      <c r="M183" s="204">
        <f t="shared" si="46"/>
        <v>0</v>
      </c>
      <c r="N183" s="505">
        <f t="shared" si="44"/>
        <v>0</v>
      </c>
      <c r="O183" s="204">
        <f>IF(DG!$A$131&gt;12,0,IF(J183-J182&gt;0,MROUND((L183/12*Q182),1),MROUND(L183/12*P182,1)))</f>
        <v>0</v>
      </c>
      <c r="P183" s="204">
        <f t="shared" si="45"/>
        <v>0</v>
      </c>
      <c r="Q183" s="204">
        <f t="shared" si="40"/>
        <v>0</v>
      </c>
      <c r="R183" s="476">
        <v>0</v>
      </c>
      <c r="S183" s="511">
        <f t="shared" si="38"/>
        <v>0</v>
      </c>
    </row>
    <row r="184" spans="1:19" ht="14" thickTop="1" thickBot="1">
      <c r="A184" s="202">
        <f t="shared" si="41"/>
        <v>50100</v>
      </c>
      <c r="B184" s="65">
        <f t="shared" si="34"/>
        <v>159</v>
      </c>
      <c r="C184" s="65">
        <f t="shared" si="47"/>
        <v>159</v>
      </c>
      <c r="D184" s="65">
        <f t="shared" si="35"/>
        <v>159</v>
      </c>
      <c r="E184" s="65">
        <f t="shared" si="42"/>
        <v>159</v>
      </c>
      <c r="F184" s="65">
        <f>IF(OR(L$73=0,DG!$A$252&gt;16),0,F183+1)</f>
        <v>159</v>
      </c>
      <c r="G184" s="65">
        <f t="shared" si="39"/>
        <v>0</v>
      </c>
      <c r="H184" s="65">
        <f t="shared" si="36"/>
        <v>0</v>
      </c>
      <c r="I184" s="65">
        <f t="shared" si="32"/>
        <v>1</v>
      </c>
      <c r="J184" s="203">
        <f>IF(DG!$A$131&lt;=11,$M$17,0)</f>
        <v>20000</v>
      </c>
      <c r="K184" s="65">
        <f t="shared" si="37"/>
        <v>60</v>
      </c>
      <c r="L184" s="473">
        <f t="shared" si="43"/>
        <v>5.0000100000000006E-2</v>
      </c>
      <c r="M184" s="204">
        <f t="shared" si="46"/>
        <v>0</v>
      </c>
      <c r="N184" s="505">
        <f t="shared" si="44"/>
        <v>0</v>
      </c>
      <c r="O184" s="204">
        <f>IF(DG!$A$131&gt;12,0,IF(J184-J183&gt;0,MROUND((L184/12*Q183),1),MROUND(L184/12*P183,1)))</f>
        <v>0</v>
      </c>
      <c r="P184" s="204">
        <f t="shared" si="45"/>
        <v>0</v>
      </c>
      <c r="Q184" s="204">
        <f t="shared" si="40"/>
        <v>0</v>
      </c>
      <c r="R184" s="476">
        <v>0</v>
      </c>
      <c r="S184" s="511">
        <f t="shared" si="38"/>
        <v>0</v>
      </c>
    </row>
    <row r="185" spans="1:19" ht="14" thickTop="1" thickBot="1">
      <c r="A185" s="202">
        <f t="shared" si="41"/>
        <v>50131</v>
      </c>
      <c r="B185" s="65">
        <f t="shared" si="34"/>
        <v>160</v>
      </c>
      <c r="C185" s="65">
        <f t="shared" si="47"/>
        <v>160</v>
      </c>
      <c r="D185" s="65">
        <f t="shared" si="35"/>
        <v>160</v>
      </c>
      <c r="E185" s="65">
        <f t="shared" si="42"/>
        <v>160</v>
      </c>
      <c r="F185" s="65">
        <f>IF(OR(L$73=0,DG!$A$252&gt;16),0,F184+1)</f>
        <v>160</v>
      </c>
      <c r="G185" s="65">
        <f t="shared" si="39"/>
        <v>0</v>
      </c>
      <c r="H185" s="65">
        <f t="shared" si="36"/>
        <v>0</v>
      </c>
      <c r="I185" s="65">
        <f t="shared" si="32"/>
        <v>1</v>
      </c>
      <c r="J185" s="203">
        <f>IF(DG!$A$131&lt;=11,$M$17,0)</f>
        <v>20000</v>
      </c>
      <c r="K185" s="65">
        <f t="shared" si="37"/>
        <v>60</v>
      </c>
      <c r="L185" s="473">
        <f t="shared" si="43"/>
        <v>5.0000100000000006E-2</v>
      </c>
      <c r="M185" s="204">
        <f t="shared" si="46"/>
        <v>0</v>
      </c>
      <c r="N185" s="505">
        <f t="shared" si="44"/>
        <v>0</v>
      </c>
      <c r="O185" s="204">
        <f>IF(DG!$A$131&gt;12,0,IF(J185-J184&gt;0,MROUND((L185/12*Q184),1),MROUND(L185/12*P184,1)))</f>
        <v>0</v>
      </c>
      <c r="P185" s="204">
        <f t="shared" si="45"/>
        <v>0</v>
      </c>
      <c r="Q185" s="204">
        <f t="shared" si="40"/>
        <v>0</v>
      </c>
      <c r="R185" s="476">
        <v>0</v>
      </c>
      <c r="S185" s="511">
        <f t="shared" si="38"/>
        <v>0</v>
      </c>
    </row>
    <row r="186" spans="1:19" ht="14" thickTop="1" thickBot="1">
      <c r="A186" s="202">
        <f t="shared" si="41"/>
        <v>50161</v>
      </c>
      <c r="B186" s="65">
        <f t="shared" si="34"/>
        <v>161</v>
      </c>
      <c r="C186" s="65">
        <f t="shared" si="47"/>
        <v>161</v>
      </c>
      <c r="D186" s="65">
        <f t="shared" si="35"/>
        <v>161</v>
      </c>
      <c r="E186" s="65">
        <f t="shared" si="42"/>
        <v>161</v>
      </c>
      <c r="F186" s="65">
        <f>IF(OR(L$73=0,DG!$A$252&gt;16),0,F185+1)</f>
        <v>161</v>
      </c>
      <c r="G186" s="65">
        <f t="shared" si="39"/>
        <v>0</v>
      </c>
      <c r="H186" s="65">
        <f t="shared" si="36"/>
        <v>0</v>
      </c>
      <c r="I186" s="65">
        <f t="shared" si="32"/>
        <v>1</v>
      </c>
      <c r="J186" s="203">
        <f>IF(DG!$A$131&lt;=11,$M$17,0)</f>
        <v>20000</v>
      </c>
      <c r="K186" s="65">
        <f t="shared" si="37"/>
        <v>60</v>
      </c>
      <c r="L186" s="473">
        <f t="shared" si="43"/>
        <v>5.0000100000000006E-2</v>
      </c>
      <c r="M186" s="204">
        <f t="shared" si="46"/>
        <v>0</v>
      </c>
      <c r="N186" s="505">
        <f t="shared" si="44"/>
        <v>0</v>
      </c>
      <c r="O186" s="204">
        <f>IF(DG!$A$131&gt;12,0,IF(J186-J185&gt;0,MROUND((L186/12*Q185),1),MROUND(L186/12*P185,1)))</f>
        <v>0</v>
      </c>
      <c r="P186" s="204">
        <f t="shared" si="45"/>
        <v>0</v>
      </c>
      <c r="Q186" s="204">
        <f t="shared" si="40"/>
        <v>0</v>
      </c>
      <c r="R186" s="476">
        <v>0</v>
      </c>
      <c r="S186" s="511">
        <f t="shared" si="38"/>
        <v>0</v>
      </c>
    </row>
    <row r="187" spans="1:19" ht="14" thickTop="1" thickBot="1">
      <c r="A187" s="202">
        <f t="shared" si="41"/>
        <v>50192</v>
      </c>
      <c r="B187" s="65">
        <f t="shared" si="34"/>
        <v>162</v>
      </c>
      <c r="C187" s="65">
        <f t="shared" si="47"/>
        <v>162</v>
      </c>
      <c r="D187" s="65">
        <f t="shared" si="35"/>
        <v>162</v>
      </c>
      <c r="E187" s="65">
        <f t="shared" si="42"/>
        <v>162</v>
      </c>
      <c r="F187" s="65">
        <f>IF(OR(L$73=0,DG!$A$252&gt;16),0,F186+1)</f>
        <v>162</v>
      </c>
      <c r="G187" s="65">
        <f t="shared" si="39"/>
        <v>0</v>
      </c>
      <c r="H187" s="65">
        <f t="shared" si="36"/>
        <v>0</v>
      </c>
      <c r="I187" s="65">
        <f t="shared" si="32"/>
        <v>1</v>
      </c>
      <c r="J187" s="203">
        <f>IF(DG!$A$131&lt;=11,$M$17,0)</f>
        <v>20000</v>
      </c>
      <c r="K187" s="65">
        <f t="shared" si="37"/>
        <v>60</v>
      </c>
      <c r="L187" s="473">
        <f t="shared" si="43"/>
        <v>5.0000100000000006E-2</v>
      </c>
      <c r="M187" s="204">
        <f t="shared" si="46"/>
        <v>0</v>
      </c>
      <c r="N187" s="505">
        <f t="shared" si="44"/>
        <v>0</v>
      </c>
      <c r="O187" s="204">
        <f>IF(DG!$A$131&gt;12,0,IF(J187-J186&gt;0,MROUND((L187/12*Q186),1),MROUND(L187/12*P186,1)))</f>
        <v>0</v>
      </c>
      <c r="P187" s="204">
        <f t="shared" si="45"/>
        <v>0</v>
      </c>
      <c r="Q187" s="204">
        <f t="shared" si="40"/>
        <v>0</v>
      </c>
      <c r="R187" s="476">
        <v>0</v>
      </c>
      <c r="S187" s="511">
        <f t="shared" si="38"/>
        <v>0</v>
      </c>
    </row>
    <row r="188" spans="1:19" ht="14" thickTop="1" thickBot="1">
      <c r="A188" s="202">
        <f t="shared" si="41"/>
        <v>50222</v>
      </c>
      <c r="B188" s="65">
        <f t="shared" si="34"/>
        <v>163</v>
      </c>
      <c r="C188" s="65">
        <f t="shared" si="47"/>
        <v>163</v>
      </c>
      <c r="D188" s="65">
        <f t="shared" si="35"/>
        <v>163</v>
      </c>
      <c r="E188" s="65">
        <f t="shared" si="42"/>
        <v>163</v>
      </c>
      <c r="F188" s="65">
        <f>IF(OR(L$73=0,DG!$A$252&gt;16),0,F187+1)</f>
        <v>163</v>
      </c>
      <c r="G188" s="65">
        <f t="shared" si="39"/>
        <v>0</v>
      </c>
      <c r="H188" s="65">
        <f t="shared" si="36"/>
        <v>0</v>
      </c>
      <c r="I188" s="65">
        <f t="shared" si="32"/>
        <v>1</v>
      </c>
      <c r="J188" s="203">
        <f>IF(DG!$A$131&lt;=11,$M$17,0)</f>
        <v>20000</v>
      </c>
      <c r="K188" s="65">
        <f t="shared" si="37"/>
        <v>60</v>
      </c>
      <c r="L188" s="473">
        <f t="shared" si="43"/>
        <v>5.0000100000000006E-2</v>
      </c>
      <c r="M188" s="204">
        <f t="shared" si="46"/>
        <v>0</v>
      </c>
      <c r="N188" s="505">
        <f t="shared" si="44"/>
        <v>0</v>
      </c>
      <c r="O188" s="204">
        <f>IF(DG!$A$131&gt;12,0,IF(J188-J187&gt;0,MROUND((L188/12*Q187),1),MROUND(L188/12*P187,1)))</f>
        <v>0</v>
      </c>
      <c r="P188" s="204">
        <f t="shared" si="45"/>
        <v>0</v>
      </c>
      <c r="Q188" s="204">
        <f t="shared" si="40"/>
        <v>0</v>
      </c>
      <c r="R188" s="476">
        <v>0</v>
      </c>
      <c r="S188" s="511">
        <f t="shared" si="38"/>
        <v>0</v>
      </c>
    </row>
    <row r="189" spans="1:19" ht="14" thickTop="1" thickBot="1">
      <c r="A189" s="202">
        <f t="shared" si="41"/>
        <v>50253</v>
      </c>
      <c r="B189" s="65">
        <f t="shared" si="34"/>
        <v>164</v>
      </c>
      <c r="C189" s="65">
        <f t="shared" si="47"/>
        <v>164</v>
      </c>
      <c r="D189" s="65">
        <f t="shared" si="35"/>
        <v>164</v>
      </c>
      <c r="E189" s="65">
        <f t="shared" si="42"/>
        <v>164</v>
      </c>
      <c r="F189" s="65">
        <f>IF(OR(L$73=0,DG!$A$252&gt;16),0,F188+1)</f>
        <v>164</v>
      </c>
      <c r="G189" s="65">
        <f t="shared" si="39"/>
        <v>0</v>
      </c>
      <c r="H189" s="65">
        <f t="shared" si="36"/>
        <v>0</v>
      </c>
      <c r="I189" s="65">
        <f t="shared" si="32"/>
        <v>1</v>
      </c>
      <c r="J189" s="203">
        <f>IF(DG!$A$131&lt;=11,$M$17,0)</f>
        <v>20000</v>
      </c>
      <c r="K189" s="65">
        <f t="shared" si="37"/>
        <v>60</v>
      </c>
      <c r="L189" s="473">
        <f t="shared" si="43"/>
        <v>5.0000100000000006E-2</v>
      </c>
      <c r="M189" s="204">
        <f t="shared" si="46"/>
        <v>0</v>
      </c>
      <c r="N189" s="505">
        <f t="shared" si="44"/>
        <v>0</v>
      </c>
      <c r="O189" s="204">
        <f>IF(DG!$A$131&gt;12,0,IF(J189-J188&gt;0,MROUND((L189/12*Q188),1),MROUND(L189/12*P188,1)))</f>
        <v>0</v>
      </c>
      <c r="P189" s="204">
        <f t="shared" si="45"/>
        <v>0</v>
      </c>
      <c r="Q189" s="204">
        <f t="shared" si="40"/>
        <v>0</v>
      </c>
      <c r="R189" s="476">
        <v>0</v>
      </c>
      <c r="S189" s="511">
        <f t="shared" si="38"/>
        <v>0</v>
      </c>
    </row>
    <row r="190" spans="1:19" ht="14" thickTop="1" thickBot="1">
      <c r="A190" s="202">
        <f t="shared" si="41"/>
        <v>50284</v>
      </c>
      <c r="B190" s="65">
        <f t="shared" si="34"/>
        <v>165</v>
      </c>
      <c r="C190" s="65">
        <f t="shared" si="47"/>
        <v>165</v>
      </c>
      <c r="D190" s="65">
        <f t="shared" si="35"/>
        <v>165</v>
      </c>
      <c r="E190" s="65">
        <f t="shared" si="42"/>
        <v>165</v>
      </c>
      <c r="F190" s="65">
        <f>IF(OR(L$73=0,DG!$A$252&gt;16),0,F189+1)</f>
        <v>165</v>
      </c>
      <c r="G190" s="65">
        <f t="shared" si="39"/>
        <v>0</v>
      </c>
      <c r="H190" s="65">
        <f t="shared" si="36"/>
        <v>0</v>
      </c>
      <c r="I190" s="65">
        <f t="shared" si="32"/>
        <v>1</v>
      </c>
      <c r="J190" s="203">
        <f>IF(DG!$A$131&lt;=11,$M$17,0)</f>
        <v>20000</v>
      </c>
      <c r="K190" s="65">
        <f t="shared" si="37"/>
        <v>60</v>
      </c>
      <c r="L190" s="473">
        <f t="shared" si="43"/>
        <v>5.0000100000000006E-2</v>
      </c>
      <c r="M190" s="204">
        <f t="shared" si="46"/>
        <v>0</v>
      </c>
      <c r="N190" s="505">
        <f t="shared" si="44"/>
        <v>0</v>
      </c>
      <c r="O190" s="204">
        <f>IF(DG!$A$131&gt;12,0,IF(J190-J189&gt;0,MROUND((L190/12*Q189),1),MROUND(L190/12*P189,1)))</f>
        <v>0</v>
      </c>
      <c r="P190" s="204">
        <f t="shared" si="45"/>
        <v>0</v>
      </c>
      <c r="Q190" s="204">
        <f t="shared" si="40"/>
        <v>0</v>
      </c>
      <c r="R190" s="476">
        <v>0</v>
      </c>
      <c r="S190" s="511">
        <f t="shared" si="38"/>
        <v>0</v>
      </c>
    </row>
    <row r="191" spans="1:19" ht="14" thickTop="1" thickBot="1">
      <c r="A191" s="202">
        <f t="shared" si="41"/>
        <v>50314</v>
      </c>
      <c r="B191" s="65">
        <f t="shared" si="34"/>
        <v>166</v>
      </c>
      <c r="C191" s="65">
        <f t="shared" si="47"/>
        <v>166</v>
      </c>
      <c r="D191" s="65">
        <f t="shared" si="35"/>
        <v>166</v>
      </c>
      <c r="E191" s="65">
        <f t="shared" si="42"/>
        <v>166</v>
      </c>
      <c r="F191" s="65">
        <f>IF(OR(L$73=0,DG!$A$252&gt;16),0,F190+1)</f>
        <v>166</v>
      </c>
      <c r="G191" s="65">
        <f t="shared" si="39"/>
        <v>0</v>
      </c>
      <c r="H191" s="65">
        <f t="shared" si="36"/>
        <v>0</v>
      </c>
      <c r="I191" s="65">
        <f t="shared" si="32"/>
        <v>1</v>
      </c>
      <c r="J191" s="203">
        <f>IF(DG!$A$131&lt;=11,$M$17,0)</f>
        <v>20000</v>
      </c>
      <c r="K191" s="65">
        <f t="shared" si="37"/>
        <v>60</v>
      </c>
      <c r="L191" s="473">
        <f t="shared" si="43"/>
        <v>5.0000100000000006E-2</v>
      </c>
      <c r="M191" s="204">
        <f t="shared" si="46"/>
        <v>0</v>
      </c>
      <c r="N191" s="505">
        <f t="shared" si="44"/>
        <v>0</v>
      </c>
      <c r="O191" s="204">
        <f>IF(DG!$A$131&gt;12,0,IF(J191-J190&gt;0,MROUND((L191/12*Q190),1),MROUND(L191/12*P190,1)))</f>
        <v>0</v>
      </c>
      <c r="P191" s="204">
        <f t="shared" si="45"/>
        <v>0</v>
      </c>
      <c r="Q191" s="204">
        <f t="shared" si="40"/>
        <v>0</v>
      </c>
      <c r="R191" s="476">
        <v>0</v>
      </c>
      <c r="S191" s="511">
        <f t="shared" si="38"/>
        <v>0</v>
      </c>
    </row>
    <row r="192" spans="1:19" ht="14" thickTop="1" thickBot="1">
      <c r="A192" s="202">
        <f t="shared" si="41"/>
        <v>50345</v>
      </c>
      <c r="B192" s="65">
        <f t="shared" si="34"/>
        <v>167</v>
      </c>
      <c r="C192" s="65">
        <f t="shared" si="47"/>
        <v>167</v>
      </c>
      <c r="D192" s="65">
        <f t="shared" si="35"/>
        <v>167</v>
      </c>
      <c r="E192" s="65">
        <f t="shared" si="42"/>
        <v>167</v>
      </c>
      <c r="F192" s="65">
        <f>IF(OR(L$73=0,DG!$A$252&gt;16),0,F191+1)</f>
        <v>167</v>
      </c>
      <c r="G192" s="65">
        <f t="shared" si="39"/>
        <v>0</v>
      </c>
      <c r="H192" s="65">
        <f t="shared" si="36"/>
        <v>0</v>
      </c>
      <c r="I192" s="65">
        <f t="shared" si="32"/>
        <v>1</v>
      </c>
      <c r="J192" s="203">
        <f>IF(DG!$A$131&lt;=11,$M$17,0)</f>
        <v>20000</v>
      </c>
      <c r="K192" s="65">
        <f t="shared" si="37"/>
        <v>60</v>
      </c>
      <c r="L192" s="473">
        <f t="shared" si="43"/>
        <v>5.0000100000000006E-2</v>
      </c>
      <c r="M192" s="204">
        <f t="shared" si="46"/>
        <v>0</v>
      </c>
      <c r="N192" s="505">
        <f t="shared" si="44"/>
        <v>0</v>
      </c>
      <c r="O192" s="204">
        <f>IF(DG!$A$131&gt;12,0,IF(J192-J191&gt;0,MROUND((L192/12*Q191),1),MROUND(L192/12*P191,1)))</f>
        <v>0</v>
      </c>
      <c r="P192" s="204">
        <f t="shared" si="45"/>
        <v>0</v>
      </c>
      <c r="Q192" s="204">
        <f t="shared" si="40"/>
        <v>0</v>
      </c>
      <c r="R192" s="476">
        <v>0</v>
      </c>
      <c r="S192" s="511">
        <f t="shared" si="38"/>
        <v>0</v>
      </c>
    </row>
    <row r="193" spans="1:19" ht="14" thickTop="1" thickBot="1">
      <c r="A193" s="202">
        <f t="shared" si="41"/>
        <v>50375</v>
      </c>
      <c r="B193" s="65">
        <f t="shared" si="34"/>
        <v>168</v>
      </c>
      <c r="C193" s="65">
        <f t="shared" si="47"/>
        <v>168</v>
      </c>
      <c r="D193" s="65">
        <f t="shared" si="35"/>
        <v>168</v>
      </c>
      <c r="E193" s="65">
        <f t="shared" si="42"/>
        <v>168</v>
      </c>
      <c r="F193" s="65">
        <f>IF(OR(L$73=0,DG!$A$252&gt;16),0,F192+1)</f>
        <v>168</v>
      </c>
      <c r="G193" s="65">
        <f t="shared" si="39"/>
        <v>0</v>
      </c>
      <c r="H193" s="65">
        <f t="shared" si="36"/>
        <v>0</v>
      </c>
      <c r="I193" s="65">
        <f t="shared" ref="I193:I256" si="48">IF(OR(G193=1,C193=0),0,IF(K193-C193&lt;$G$269,1,-1))</f>
        <v>1</v>
      </c>
      <c r="J193" s="203">
        <f>IF(DG!$A$131&lt;=11,$M$17,0)</f>
        <v>20000</v>
      </c>
      <c r="K193" s="65">
        <f t="shared" si="37"/>
        <v>60</v>
      </c>
      <c r="L193" s="473">
        <f t="shared" si="43"/>
        <v>5.0000100000000006E-2</v>
      </c>
      <c r="M193" s="204">
        <f t="shared" si="46"/>
        <v>0</v>
      </c>
      <c r="N193" s="505">
        <f t="shared" si="44"/>
        <v>0</v>
      </c>
      <c r="O193" s="204">
        <f>IF(DG!$A$131&gt;12,0,IF(J193-J192&gt;0,MROUND((L193/12*Q192),1),MROUND(L193/12*P192,1)))</f>
        <v>0</v>
      </c>
      <c r="P193" s="204">
        <f t="shared" si="45"/>
        <v>0</v>
      </c>
      <c r="Q193" s="204">
        <f t="shared" si="40"/>
        <v>0</v>
      </c>
      <c r="R193" s="476">
        <v>0</v>
      </c>
      <c r="S193" s="511">
        <f t="shared" si="38"/>
        <v>0</v>
      </c>
    </row>
    <row r="194" spans="1:19" ht="14" thickTop="1" thickBot="1">
      <c r="A194" s="202">
        <f t="shared" si="41"/>
        <v>50406</v>
      </c>
      <c r="B194" s="65">
        <f t="shared" si="34"/>
        <v>169</v>
      </c>
      <c r="C194" s="65">
        <f t="shared" si="47"/>
        <v>169</v>
      </c>
      <c r="D194" s="65">
        <f t="shared" si="35"/>
        <v>169</v>
      </c>
      <c r="E194" s="65">
        <f t="shared" si="42"/>
        <v>169</v>
      </c>
      <c r="F194" s="65">
        <f>IF(OR(L$73=0,DG!$A$252&gt;16),0,F193+1)</f>
        <v>169</v>
      </c>
      <c r="G194" s="65">
        <f t="shared" si="39"/>
        <v>0</v>
      </c>
      <c r="H194" s="65">
        <f t="shared" si="36"/>
        <v>0</v>
      </c>
      <c r="I194" s="65">
        <f t="shared" si="48"/>
        <v>1</v>
      </c>
      <c r="J194" s="203">
        <f>IF(DG!$A$131&lt;=11,$M$17,0)</f>
        <v>20000</v>
      </c>
      <c r="K194" s="65">
        <f t="shared" si="37"/>
        <v>60</v>
      </c>
      <c r="L194" s="473">
        <f t="shared" si="43"/>
        <v>5.0000100000000006E-2</v>
      </c>
      <c r="M194" s="204">
        <f t="shared" si="46"/>
        <v>0</v>
      </c>
      <c r="N194" s="505">
        <f t="shared" si="44"/>
        <v>0</v>
      </c>
      <c r="O194" s="204">
        <f>IF(DG!$A$131&gt;12,0,IF(J194-J193&gt;0,MROUND((L194/12*Q193),1),MROUND(L194/12*P193,1)))</f>
        <v>0</v>
      </c>
      <c r="P194" s="204">
        <f t="shared" si="45"/>
        <v>0</v>
      </c>
      <c r="Q194" s="204">
        <f t="shared" si="40"/>
        <v>0</v>
      </c>
      <c r="R194" s="476">
        <v>0</v>
      </c>
      <c r="S194" s="511">
        <f t="shared" si="38"/>
        <v>0</v>
      </c>
    </row>
    <row r="195" spans="1:19" ht="14" thickTop="1" thickBot="1">
      <c r="A195" s="202">
        <f t="shared" si="41"/>
        <v>50437</v>
      </c>
      <c r="B195" s="65">
        <f t="shared" si="34"/>
        <v>170</v>
      </c>
      <c r="C195" s="65">
        <f t="shared" si="47"/>
        <v>170</v>
      </c>
      <c r="D195" s="65">
        <f t="shared" si="35"/>
        <v>170</v>
      </c>
      <c r="E195" s="65">
        <f t="shared" si="42"/>
        <v>170</v>
      </c>
      <c r="F195" s="65">
        <f>IF(OR(L$73=0,DG!$A$252&gt;16),0,F194+1)</f>
        <v>170</v>
      </c>
      <c r="G195" s="65">
        <f t="shared" si="39"/>
        <v>0</v>
      </c>
      <c r="H195" s="65">
        <f t="shared" si="36"/>
        <v>0</v>
      </c>
      <c r="I195" s="65">
        <f t="shared" si="48"/>
        <v>1</v>
      </c>
      <c r="J195" s="203">
        <f>IF(DG!$A$131&lt;=11,$M$17,0)</f>
        <v>20000</v>
      </c>
      <c r="K195" s="65">
        <f t="shared" si="37"/>
        <v>60</v>
      </c>
      <c r="L195" s="473">
        <f t="shared" si="43"/>
        <v>5.0000100000000006E-2</v>
      </c>
      <c r="M195" s="204">
        <f t="shared" si="46"/>
        <v>0</v>
      </c>
      <c r="N195" s="505">
        <f t="shared" si="44"/>
        <v>0</v>
      </c>
      <c r="O195" s="204">
        <f>IF(DG!$A$131&gt;12,0,IF(J195-J194&gt;0,MROUND((L195/12*Q194),1),MROUND(L195/12*P194,1)))</f>
        <v>0</v>
      </c>
      <c r="P195" s="204">
        <f t="shared" si="45"/>
        <v>0</v>
      </c>
      <c r="Q195" s="204">
        <f t="shared" si="40"/>
        <v>0</v>
      </c>
      <c r="R195" s="476">
        <v>0</v>
      </c>
      <c r="S195" s="511">
        <f t="shared" si="38"/>
        <v>0</v>
      </c>
    </row>
    <row r="196" spans="1:19" ht="14" thickTop="1" thickBot="1">
      <c r="A196" s="202">
        <f t="shared" si="41"/>
        <v>50465</v>
      </c>
      <c r="B196" s="65">
        <f t="shared" si="34"/>
        <v>171</v>
      </c>
      <c r="C196" s="65">
        <f t="shared" si="47"/>
        <v>171</v>
      </c>
      <c r="D196" s="65">
        <f t="shared" si="35"/>
        <v>171</v>
      </c>
      <c r="E196" s="65">
        <f t="shared" si="42"/>
        <v>171</v>
      </c>
      <c r="F196" s="65">
        <f>IF(OR(L$73=0,DG!$A$252&gt;16),0,F195+1)</f>
        <v>171</v>
      </c>
      <c r="G196" s="65">
        <f t="shared" si="39"/>
        <v>0</v>
      </c>
      <c r="H196" s="65">
        <f t="shared" si="36"/>
        <v>0</v>
      </c>
      <c r="I196" s="65">
        <f t="shared" si="48"/>
        <v>1</v>
      </c>
      <c r="J196" s="203">
        <f>IF(DG!$A$131&lt;=11,$M$17,0)</f>
        <v>20000</v>
      </c>
      <c r="K196" s="65">
        <f t="shared" si="37"/>
        <v>60</v>
      </c>
      <c r="L196" s="473">
        <f t="shared" si="43"/>
        <v>5.0000100000000006E-2</v>
      </c>
      <c r="M196" s="204">
        <f t="shared" si="46"/>
        <v>0</v>
      </c>
      <c r="N196" s="505">
        <f t="shared" si="44"/>
        <v>0</v>
      </c>
      <c r="O196" s="204">
        <f>IF(DG!$A$131&gt;12,0,IF(J196-J195&gt;0,MROUND((L196/12*Q195),1),MROUND(L196/12*P195,1)))</f>
        <v>0</v>
      </c>
      <c r="P196" s="204">
        <f t="shared" si="45"/>
        <v>0</v>
      </c>
      <c r="Q196" s="204">
        <f t="shared" si="40"/>
        <v>0</v>
      </c>
      <c r="R196" s="476">
        <v>0</v>
      </c>
      <c r="S196" s="511">
        <f t="shared" si="38"/>
        <v>0</v>
      </c>
    </row>
    <row r="197" spans="1:19" ht="14" thickTop="1" thickBot="1">
      <c r="A197" s="202">
        <f t="shared" si="41"/>
        <v>50496</v>
      </c>
      <c r="B197" s="65">
        <f t="shared" si="34"/>
        <v>172</v>
      </c>
      <c r="C197" s="65">
        <f t="shared" si="47"/>
        <v>172</v>
      </c>
      <c r="D197" s="65">
        <f t="shared" si="35"/>
        <v>172</v>
      </c>
      <c r="E197" s="65">
        <f t="shared" si="42"/>
        <v>172</v>
      </c>
      <c r="F197" s="65">
        <f>IF(OR(L$73=0,DG!$A$252&gt;16),0,F196+1)</f>
        <v>172</v>
      </c>
      <c r="G197" s="65">
        <f t="shared" si="39"/>
        <v>0</v>
      </c>
      <c r="H197" s="65">
        <f t="shared" si="36"/>
        <v>0</v>
      </c>
      <c r="I197" s="65">
        <f t="shared" si="48"/>
        <v>1</v>
      </c>
      <c r="J197" s="203">
        <f>IF(DG!$A$131&lt;=11,$M$17,0)</f>
        <v>20000</v>
      </c>
      <c r="K197" s="65">
        <f t="shared" si="37"/>
        <v>60</v>
      </c>
      <c r="L197" s="473">
        <f t="shared" si="43"/>
        <v>5.0000100000000006E-2</v>
      </c>
      <c r="M197" s="204">
        <f t="shared" si="46"/>
        <v>0</v>
      </c>
      <c r="N197" s="505">
        <f t="shared" si="44"/>
        <v>0</v>
      </c>
      <c r="O197" s="204">
        <f>IF(DG!$A$131&gt;12,0,IF(J197-J196&gt;0,MROUND((L197/12*Q196),1),MROUND(L197/12*P196,1)))</f>
        <v>0</v>
      </c>
      <c r="P197" s="204">
        <f t="shared" si="45"/>
        <v>0</v>
      </c>
      <c r="Q197" s="204">
        <f t="shared" si="40"/>
        <v>0</v>
      </c>
      <c r="R197" s="476">
        <v>0</v>
      </c>
      <c r="S197" s="511">
        <f t="shared" si="38"/>
        <v>0</v>
      </c>
    </row>
    <row r="198" spans="1:19" ht="14" thickTop="1" thickBot="1">
      <c r="A198" s="202">
        <f t="shared" si="41"/>
        <v>50526</v>
      </c>
      <c r="B198" s="65">
        <f t="shared" si="34"/>
        <v>173</v>
      </c>
      <c r="C198" s="65">
        <f t="shared" si="47"/>
        <v>173</v>
      </c>
      <c r="D198" s="65">
        <f t="shared" si="35"/>
        <v>173</v>
      </c>
      <c r="E198" s="65">
        <f t="shared" si="42"/>
        <v>173</v>
      </c>
      <c r="F198" s="65">
        <f>IF(OR(L$73=0,DG!$A$252&gt;16),0,F197+1)</f>
        <v>173</v>
      </c>
      <c r="G198" s="65">
        <f t="shared" si="39"/>
        <v>0</v>
      </c>
      <c r="H198" s="65">
        <f t="shared" si="36"/>
        <v>0</v>
      </c>
      <c r="I198" s="65">
        <f t="shared" si="48"/>
        <v>1</v>
      </c>
      <c r="J198" s="203">
        <f>IF(DG!$A$131&lt;=11,$M$17,0)</f>
        <v>20000</v>
      </c>
      <c r="K198" s="65">
        <f t="shared" si="37"/>
        <v>60</v>
      </c>
      <c r="L198" s="473">
        <f t="shared" si="43"/>
        <v>5.0000100000000006E-2</v>
      </c>
      <c r="M198" s="204">
        <f t="shared" si="46"/>
        <v>0</v>
      </c>
      <c r="N198" s="505">
        <f t="shared" si="44"/>
        <v>0</v>
      </c>
      <c r="O198" s="204">
        <f>IF(DG!$A$131&gt;12,0,IF(J198-J197&gt;0,MROUND((L198/12*Q197),1),MROUND(L198/12*P197,1)))</f>
        <v>0</v>
      </c>
      <c r="P198" s="204">
        <f t="shared" si="45"/>
        <v>0</v>
      </c>
      <c r="Q198" s="204">
        <f t="shared" si="40"/>
        <v>0</v>
      </c>
      <c r="R198" s="476">
        <v>0</v>
      </c>
      <c r="S198" s="511">
        <f t="shared" si="38"/>
        <v>0</v>
      </c>
    </row>
    <row r="199" spans="1:19" ht="14" thickTop="1" thickBot="1">
      <c r="A199" s="202">
        <f t="shared" si="41"/>
        <v>50557</v>
      </c>
      <c r="B199" s="65">
        <f t="shared" si="34"/>
        <v>174</v>
      </c>
      <c r="C199" s="65">
        <f t="shared" si="47"/>
        <v>174</v>
      </c>
      <c r="D199" s="65">
        <f t="shared" si="35"/>
        <v>174</v>
      </c>
      <c r="E199" s="65">
        <f t="shared" si="42"/>
        <v>174</v>
      </c>
      <c r="F199" s="65">
        <f>IF(OR(L$73=0,DG!$A$252&gt;16),0,F198+1)</f>
        <v>174</v>
      </c>
      <c r="G199" s="65">
        <f t="shared" si="39"/>
        <v>0</v>
      </c>
      <c r="H199" s="65">
        <f t="shared" si="36"/>
        <v>0</v>
      </c>
      <c r="I199" s="65">
        <f t="shared" si="48"/>
        <v>1</v>
      </c>
      <c r="J199" s="203">
        <f>IF(DG!$A$131&lt;=11,$M$17,0)</f>
        <v>20000</v>
      </c>
      <c r="K199" s="65">
        <f t="shared" si="37"/>
        <v>60</v>
      </c>
      <c r="L199" s="473">
        <f t="shared" si="43"/>
        <v>5.0000100000000006E-2</v>
      </c>
      <c r="M199" s="204">
        <f t="shared" si="46"/>
        <v>0</v>
      </c>
      <c r="N199" s="505">
        <f t="shared" si="44"/>
        <v>0</v>
      </c>
      <c r="O199" s="204">
        <f>IF(DG!$A$131&gt;12,0,IF(J199-J198&gt;0,MROUND((L199/12*Q198),1),MROUND(L199/12*P198,1)))</f>
        <v>0</v>
      </c>
      <c r="P199" s="204">
        <f t="shared" si="45"/>
        <v>0</v>
      </c>
      <c r="Q199" s="204">
        <f t="shared" si="40"/>
        <v>0</v>
      </c>
      <c r="R199" s="476">
        <v>0</v>
      </c>
      <c r="S199" s="511">
        <f t="shared" si="38"/>
        <v>0</v>
      </c>
    </row>
    <row r="200" spans="1:19" ht="14" thickTop="1" thickBot="1">
      <c r="A200" s="202">
        <f t="shared" si="41"/>
        <v>50587</v>
      </c>
      <c r="B200" s="65">
        <f t="shared" si="34"/>
        <v>175</v>
      </c>
      <c r="C200" s="65">
        <f t="shared" si="47"/>
        <v>175</v>
      </c>
      <c r="D200" s="65">
        <f t="shared" si="35"/>
        <v>175</v>
      </c>
      <c r="E200" s="65">
        <f t="shared" si="42"/>
        <v>175</v>
      </c>
      <c r="F200" s="65">
        <f>IF(OR(L$73=0,DG!$A$252&gt;16),0,F199+1)</f>
        <v>175</v>
      </c>
      <c r="G200" s="65">
        <f t="shared" si="39"/>
        <v>0</v>
      </c>
      <c r="H200" s="65">
        <f t="shared" si="36"/>
        <v>0</v>
      </c>
      <c r="I200" s="65">
        <f t="shared" si="48"/>
        <v>1</v>
      </c>
      <c r="J200" s="203">
        <f>IF(DG!$A$131&lt;=11,$M$17,0)</f>
        <v>20000</v>
      </c>
      <c r="K200" s="65">
        <f t="shared" si="37"/>
        <v>60</v>
      </c>
      <c r="L200" s="473">
        <f t="shared" si="43"/>
        <v>5.0000100000000006E-2</v>
      </c>
      <c r="M200" s="204">
        <f t="shared" si="46"/>
        <v>0</v>
      </c>
      <c r="N200" s="505">
        <f t="shared" si="44"/>
        <v>0</v>
      </c>
      <c r="O200" s="204">
        <f>IF(DG!$A$131&gt;12,0,IF(J200-J199&gt;0,MROUND((L200/12*Q199),1),MROUND(L200/12*P199,1)))</f>
        <v>0</v>
      </c>
      <c r="P200" s="204">
        <f t="shared" si="45"/>
        <v>0</v>
      </c>
      <c r="Q200" s="204">
        <f t="shared" si="40"/>
        <v>0</v>
      </c>
      <c r="R200" s="476">
        <v>0</v>
      </c>
      <c r="S200" s="511">
        <f t="shared" si="38"/>
        <v>0</v>
      </c>
    </row>
    <row r="201" spans="1:19" ht="14" thickTop="1" thickBot="1">
      <c r="A201" s="202">
        <f t="shared" si="41"/>
        <v>50618</v>
      </c>
      <c r="B201" s="65">
        <f t="shared" si="34"/>
        <v>176</v>
      </c>
      <c r="C201" s="65">
        <f t="shared" si="47"/>
        <v>176</v>
      </c>
      <c r="D201" s="65">
        <f t="shared" si="35"/>
        <v>176</v>
      </c>
      <c r="E201" s="65">
        <f t="shared" si="42"/>
        <v>176</v>
      </c>
      <c r="F201" s="65">
        <f>IF(OR(L$73=0,DG!$A$252&gt;16),0,F200+1)</f>
        <v>176</v>
      </c>
      <c r="G201" s="65">
        <f t="shared" si="39"/>
        <v>0</v>
      </c>
      <c r="H201" s="65">
        <f t="shared" si="36"/>
        <v>0</v>
      </c>
      <c r="I201" s="65">
        <f t="shared" si="48"/>
        <v>1</v>
      </c>
      <c r="J201" s="203">
        <f>IF(DG!$A$131&lt;=11,$M$17,0)</f>
        <v>20000</v>
      </c>
      <c r="K201" s="65">
        <f t="shared" si="37"/>
        <v>60</v>
      </c>
      <c r="L201" s="473">
        <f t="shared" si="43"/>
        <v>5.0000100000000006E-2</v>
      </c>
      <c r="M201" s="204">
        <f t="shared" si="46"/>
        <v>0</v>
      </c>
      <c r="N201" s="505">
        <f t="shared" si="44"/>
        <v>0</v>
      </c>
      <c r="O201" s="204">
        <f>IF(DG!$A$131&gt;12,0,IF(J201-J200&gt;0,MROUND((L201/12*Q200),1),MROUND(L201/12*P200,1)))</f>
        <v>0</v>
      </c>
      <c r="P201" s="204">
        <f t="shared" si="45"/>
        <v>0</v>
      </c>
      <c r="Q201" s="204">
        <f t="shared" si="40"/>
        <v>0</v>
      </c>
      <c r="R201" s="476">
        <v>0</v>
      </c>
      <c r="S201" s="511">
        <f t="shared" si="38"/>
        <v>0</v>
      </c>
    </row>
    <row r="202" spans="1:19" ht="14" thickTop="1" thickBot="1">
      <c r="A202" s="202">
        <f t="shared" si="41"/>
        <v>50649</v>
      </c>
      <c r="B202" s="65">
        <f t="shared" si="34"/>
        <v>177</v>
      </c>
      <c r="C202" s="65">
        <f t="shared" si="47"/>
        <v>177</v>
      </c>
      <c r="D202" s="65">
        <f t="shared" si="35"/>
        <v>177</v>
      </c>
      <c r="E202" s="65">
        <f t="shared" si="42"/>
        <v>177</v>
      </c>
      <c r="F202" s="65">
        <f>IF(OR(L$73=0,DG!$A$252&gt;16),0,F201+1)</f>
        <v>177</v>
      </c>
      <c r="G202" s="65">
        <f t="shared" si="39"/>
        <v>0</v>
      </c>
      <c r="H202" s="65">
        <f t="shared" si="36"/>
        <v>0</v>
      </c>
      <c r="I202" s="65">
        <f t="shared" si="48"/>
        <v>1</v>
      </c>
      <c r="J202" s="203">
        <f>IF(DG!$A$131&lt;=11,$M$17,0)</f>
        <v>20000</v>
      </c>
      <c r="K202" s="65">
        <f t="shared" si="37"/>
        <v>60</v>
      </c>
      <c r="L202" s="473">
        <f t="shared" si="43"/>
        <v>5.0000100000000006E-2</v>
      </c>
      <c r="M202" s="204">
        <f t="shared" si="46"/>
        <v>0</v>
      </c>
      <c r="N202" s="505">
        <f t="shared" si="44"/>
        <v>0</v>
      </c>
      <c r="O202" s="204">
        <f>IF(DG!$A$131&gt;12,0,IF(J202-J201&gt;0,MROUND((L202/12*Q201),1),MROUND(L202/12*P201,1)))</f>
        <v>0</v>
      </c>
      <c r="P202" s="204">
        <f t="shared" si="45"/>
        <v>0</v>
      </c>
      <c r="Q202" s="204">
        <f t="shared" si="40"/>
        <v>0</v>
      </c>
      <c r="R202" s="476">
        <v>0</v>
      </c>
      <c r="S202" s="511">
        <f t="shared" si="38"/>
        <v>0</v>
      </c>
    </row>
    <row r="203" spans="1:19" ht="14" thickTop="1" thickBot="1">
      <c r="A203" s="202">
        <f t="shared" si="41"/>
        <v>50679</v>
      </c>
      <c r="B203" s="65">
        <f t="shared" si="34"/>
        <v>178</v>
      </c>
      <c r="C203" s="65">
        <f t="shared" si="47"/>
        <v>178</v>
      </c>
      <c r="D203" s="65">
        <f t="shared" si="35"/>
        <v>178</v>
      </c>
      <c r="E203" s="65">
        <f t="shared" si="42"/>
        <v>178</v>
      </c>
      <c r="F203" s="65">
        <f>IF(OR(L$73=0,DG!$A$252&gt;16),0,F202+1)</f>
        <v>178</v>
      </c>
      <c r="G203" s="65">
        <f t="shared" si="39"/>
        <v>0</v>
      </c>
      <c r="H203" s="65">
        <f t="shared" si="36"/>
        <v>0</v>
      </c>
      <c r="I203" s="65">
        <f t="shared" si="48"/>
        <v>1</v>
      </c>
      <c r="J203" s="203">
        <f>IF(DG!$A$131&lt;=11,$M$17,0)</f>
        <v>20000</v>
      </c>
      <c r="K203" s="65">
        <f t="shared" si="37"/>
        <v>60</v>
      </c>
      <c r="L203" s="473">
        <f t="shared" si="43"/>
        <v>5.0000100000000006E-2</v>
      </c>
      <c r="M203" s="204">
        <f t="shared" si="46"/>
        <v>0</v>
      </c>
      <c r="N203" s="505">
        <f t="shared" si="44"/>
        <v>0</v>
      </c>
      <c r="O203" s="204">
        <f>IF(DG!$A$131&gt;12,0,IF(J203-J202&gt;0,MROUND((L203/12*Q202),1),MROUND(L203/12*P202,1)))</f>
        <v>0</v>
      </c>
      <c r="P203" s="204">
        <f t="shared" si="45"/>
        <v>0</v>
      </c>
      <c r="Q203" s="204">
        <f t="shared" si="40"/>
        <v>0</v>
      </c>
      <c r="R203" s="476">
        <v>0</v>
      </c>
      <c r="S203" s="511">
        <f t="shared" si="38"/>
        <v>0</v>
      </c>
    </row>
    <row r="204" spans="1:19" ht="14" thickTop="1" thickBot="1">
      <c r="A204" s="202">
        <f t="shared" si="41"/>
        <v>50710</v>
      </c>
      <c r="B204" s="65">
        <f t="shared" ref="B204:B265" si="49">IF(J$73=0,0,B203+1)</f>
        <v>179</v>
      </c>
      <c r="C204" s="65">
        <f t="shared" si="47"/>
        <v>179</v>
      </c>
      <c r="D204" s="65">
        <f t="shared" si="35"/>
        <v>179</v>
      </c>
      <c r="E204" s="65">
        <f t="shared" si="42"/>
        <v>179</v>
      </c>
      <c r="F204" s="65">
        <f>IF(OR(L$73=0,DG!$A$252&gt;16),0,F203+1)</f>
        <v>179</v>
      </c>
      <c r="G204" s="65">
        <f t="shared" si="39"/>
        <v>0</v>
      </c>
      <c r="H204" s="65">
        <f t="shared" si="36"/>
        <v>0</v>
      </c>
      <c r="I204" s="65">
        <f t="shared" si="48"/>
        <v>1</v>
      </c>
      <c r="J204" s="203">
        <f>IF(DG!$A$131&lt;=11,$M$17,0)</f>
        <v>20000</v>
      </c>
      <c r="K204" s="65">
        <f t="shared" si="37"/>
        <v>60</v>
      </c>
      <c r="L204" s="473">
        <f t="shared" si="43"/>
        <v>5.0000100000000006E-2</v>
      </c>
      <c r="M204" s="204">
        <f t="shared" si="46"/>
        <v>0</v>
      </c>
      <c r="N204" s="505">
        <f t="shared" si="44"/>
        <v>0</v>
      </c>
      <c r="O204" s="204">
        <f>IF(DG!$A$131&gt;12,0,IF(J204-J203&gt;0,MROUND((L204/12*Q203),1),MROUND(L204/12*P203,1)))</f>
        <v>0</v>
      </c>
      <c r="P204" s="204">
        <f t="shared" si="45"/>
        <v>0</v>
      </c>
      <c r="Q204" s="204">
        <f t="shared" si="40"/>
        <v>0</v>
      </c>
      <c r="R204" s="476">
        <v>0</v>
      </c>
      <c r="S204" s="511">
        <f t="shared" si="38"/>
        <v>0</v>
      </c>
    </row>
    <row r="205" spans="1:19" ht="14" thickTop="1" thickBot="1">
      <c r="A205" s="202">
        <f t="shared" si="41"/>
        <v>50740</v>
      </c>
      <c r="B205" s="65">
        <f t="shared" si="49"/>
        <v>180</v>
      </c>
      <c r="C205" s="65">
        <f t="shared" si="47"/>
        <v>180</v>
      </c>
      <c r="D205" s="65">
        <f t="shared" si="35"/>
        <v>180</v>
      </c>
      <c r="E205" s="65">
        <f t="shared" si="42"/>
        <v>180</v>
      </c>
      <c r="F205" s="65">
        <f>IF(OR(L$73=0,DG!$A$252&gt;16),0,F204+1)</f>
        <v>180</v>
      </c>
      <c r="G205" s="65">
        <f t="shared" si="39"/>
        <v>0</v>
      </c>
      <c r="H205" s="65">
        <f t="shared" si="36"/>
        <v>0</v>
      </c>
      <c r="I205" s="65">
        <f t="shared" si="48"/>
        <v>1</v>
      </c>
      <c r="J205" s="203">
        <f>IF(DG!$A$131&lt;=11,$M$17,0)</f>
        <v>20000</v>
      </c>
      <c r="K205" s="65">
        <f t="shared" si="37"/>
        <v>60</v>
      </c>
      <c r="L205" s="473">
        <f t="shared" si="43"/>
        <v>5.0000100000000006E-2</v>
      </c>
      <c r="M205" s="204">
        <f t="shared" si="46"/>
        <v>0</v>
      </c>
      <c r="N205" s="505">
        <f t="shared" si="44"/>
        <v>0</v>
      </c>
      <c r="O205" s="204">
        <f>IF(DG!$A$131&gt;12,0,IF(J205-J204&gt;0,MROUND((L205/12*Q204),1),MROUND(L205/12*P204,1)))</f>
        <v>0</v>
      </c>
      <c r="P205" s="204">
        <f t="shared" si="45"/>
        <v>0</v>
      </c>
      <c r="Q205" s="204">
        <f t="shared" si="40"/>
        <v>0</v>
      </c>
      <c r="R205" s="476">
        <v>0</v>
      </c>
      <c r="S205" s="511">
        <f t="shared" si="38"/>
        <v>0</v>
      </c>
    </row>
    <row r="206" spans="1:19" ht="14" thickTop="1" thickBot="1">
      <c r="A206" s="202">
        <f t="shared" si="41"/>
        <v>50771</v>
      </c>
      <c r="B206" s="65">
        <f t="shared" si="49"/>
        <v>181</v>
      </c>
      <c r="C206" s="65">
        <f t="shared" si="47"/>
        <v>181</v>
      </c>
      <c r="D206" s="65">
        <f t="shared" si="35"/>
        <v>181</v>
      </c>
      <c r="E206" s="65">
        <f t="shared" si="42"/>
        <v>181</v>
      </c>
      <c r="F206" s="65">
        <f>IF(OR(L$73=0,DG!$A$252&gt;16),0,F205+1)</f>
        <v>181</v>
      </c>
      <c r="G206" s="65">
        <f t="shared" si="39"/>
        <v>0</v>
      </c>
      <c r="H206" s="65">
        <f t="shared" si="36"/>
        <v>0</v>
      </c>
      <c r="I206" s="65">
        <f t="shared" si="48"/>
        <v>1</v>
      </c>
      <c r="J206" s="203">
        <f>IF(DG!$A$131&lt;=11,$M$17,0)</f>
        <v>20000</v>
      </c>
      <c r="K206" s="65">
        <f t="shared" si="37"/>
        <v>60</v>
      </c>
      <c r="L206" s="473">
        <f t="shared" si="43"/>
        <v>5.0000100000000006E-2</v>
      </c>
      <c r="M206" s="204">
        <f t="shared" si="46"/>
        <v>0</v>
      </c>
      <c r="N206" s="505">
        <f t="shared" si="44"/>
        <v>0</v>
      </c>
      <c r="O206" s="204">
        <f>IF(DG!$A$131&gt;12,0,IF(J206-J205&gt;0,MROUND((L206/12*Q205),1),MROUND(L206/12*P205,1)))</f>
        <v>0</v>
      </c>
      <c r="P206" s="204">
        <f t="shared" si="45"/>
        <v>0</v>
      </c>
      <c r="Q206" s="204">
        <f t="shared" si="40"/>
        <v>0</v>
      </c>
      <c r="R206" s="476">
        <v>0</v>
      </c>
      <c r="S206" s="511">
        <f t="shared" si="38"/>
        <v>0</v>
      </c>
    </row>
    <row r="207" spans="1:19" ht="14" thickTop="1" thickBot="1">
      <c r="A207" s="202">
        <f t="shared" si="41"/>
        <v>50802</v>
      </c>
      <c r="B207" s="65">
        <f t="shared" si="49"/>
        <v>182</v>
      </c>
      <c r="C207" s="65">
        <f t="shared" si="47"/>
        <v>182</v>
      </c>
      <c r="D207" s="65">
        <f t="shared" si="35"/>
        <v>182</v>
      </c>
      <c r="E207" s="65">
        <f t="shared" si="42"/>
        <v>182</v>
      </c>
      <c r="F207" s="65">
        <f>IF(OR(L$73=0,DG!$A$252&gt;16),0,F206+1)</f>
        <v>182</v>
      </c>
      <c r="G207" s="65">
        <f t="shared" si="39"/>
        <v>0</v>
      </c>
      <c r="H207" s="65">
        <f t="shared" si="36"/>
        <v>0</v>
      </c>
      <c r="I207" s="65">
        <f t="shared" si="48"/>
        <v>1</v>
      </c>
      <c r="J207" s="203">
        <f>IF(DG!$A$131&lt;=11,$M$17,0)</f>
        <v>20000</v>
      </c>
      <c r="K207" s="65">
        <f t="shared" si="37"/>
        <v>60</v>
      </c>
      <c r="L207" s="473">
        <f t="shared" si="43"/>
        <v>5.0000100000000006E-2</v>
      </c>
      <c r="M207" s="204">
        <f t="shared" si="46"/>
        <v>0</v>
      </c>
      <c r="N207" s="505">
        <f t="shared" si="44"/>
        <v>0</v>
      </c>
      <c r="O207" s="204">
        <f>IF(DG!$A$131&gt;12,0,IF(J207-J206&gt;0,MROUND((L207/12*Q206),1),MROUND(L207/12*P206,1)))</f>
        <v>0</v>
      </c>
      <c r="P207" s="204">
        <f t="shared" si="45"/>
        <v>0</v>
      </c>
      <c r="Q207" s="204">
        <f t="shared" si="40"/>
        <v>0</v>
      </c>
      <c r="R207" s="476">
        <v>0</v>
      </c>
      <c r="S207" s="511">
        <f t="shared" si="38"/>
        <v>0</v>
      </c>
    </row>
    <row r="208" spans="1:19" ht="14" thickTop="1" thickBot="1">
      <c r="A208" s="202">
        <f t="shared" si="41"/>
        <v>50830</v>
      </c>
      <c r="B208" s="65">
        <f t="shared" si="49"/>
        <v>183</v>
      </c>
      <c r="C208" s="65">
        <f t="shared" si="47"/>
        <v>183</v>
      </c>
      <c r="D208" s="65">
        <f t="shared" si="35"/>
        <v>183</v>
      </c>
      <c r="E208" s="65">
        <f t="shared" si="42"/>
        <v>183</v>
      </c>
      <c r="F208" s="65">
        <f>IF(OR(L$73=0,DG!$A$252&gt;16),0,F207+1)</f>
        <v>183</v>
      </c>
      <c r="G208" s="65">
        <f t="shared" si="39"/>
        <v>0</v>
      </c>
      <c r="H208" s="65">
        <f t="shared" si="36"/>
        <v>0</v>
      </c>
      <c r="I208" s="65">
        <f t="shared" si="48"/>
        <v>1</v>
      </c>
      <c r="J208" s="203">
        <f>IF(DG!$A$131&lt;=11,$M$17,0)</f>
        <v>20000</v>
      </c>
      <c r="K208" s="65">
        <f t="shared" si="37"/>
        <v>60</v>
      </c>
      <c r="L208" s="473">
        <f t="shared" si="43"/>
        <v>5.0000100000000006E-2</v>
      </c>
      <c r="M208" s="204">
        <f t="shared" si="46"/>
        <v>0</v>
      </c>
      <c r="N208" s="505">
        <f t="shared" si="44"/>
        <v>0</v>
      </c>
      <c r="O208" s="204">
        <f>IF(DG!$A$131&gt;12,0,IF(J208-J207&gt;0,MROUND((L208/12*Q207),1),MROUND(L208/12*P207,1)))</f>
        <v>0</v>
      </c>
      <c r="P208" s="204">
        <f t="shared" si="45"/>
        <v>0</v>
      </c>
      <c r="Q208" s="204">
        <f t="shared" si="40"/>
        <v>0</v>
      </c>
      <c r="R208" s="476">
        <v>0</v>
      </c>
      <c r="S208" s="511">
        <f t="shared" si="38"/>
        <v>0</v>
      </c>
    </row>
    <row r="209" spans="1:19" ht="14" thickTop="1" thickBot="1">
      <c r="A209" s="202">
        <f t="shared" si="41"/>
        <v>50861</v>
      </c>
      <c r="B209" s="65">
        <f t="shared" si="49"/>
        <v>184</v>
      </c>
      <c r="C209" s="65">
        <f t="shared" si="47"/>
        <v>184</v>
      </c>
      <c r="D209" s="65">
        <f t="shared" si="35"/>
        <v>184</v>
      </c>
      <c r="E209" s="65">
        <f t="shared" si="42"/>
        <v>184</v>
      </c>
      <c r="F209" s="65">
        <f>IF(OR(L$73=0,DG!$A$252&gt;16),0,F208+1)</f>
        <v>184</v>
      </c>
      <c r="G209" s="65">
        <f t="shared" si="39"/>
        <v>0</v>
      </c>
      <c r="H209" s="65">
        <f t="shared" si="36"/>
        <v>0</v>
      </c>
      <c r="I209" s="65">
        <f t="shared" si="48"/>
        <v>1</v>
      </c>
      <c r="J209" s="203">
        <f>IF(DG!$A$131&lt;=11,$M$17,0)</f>
        <v>20000</v>
      </c>
      <c r="K209" s="65">
        <f t="shared" si="37"/>
        <v>60</v>
      </c>
      <c r="L209" s="473">
        <f t="shared" si="43"/>
        <v>5.0000100000000006E-2</v>
      </c>
      <c r="M209" s="204">
        <f t="shared" si="46"/>
        <v>0</v>
      </c>
      <c r="N209" s="505">
        <f t="shared" si="44"/>
        <v>0</v>
      </c>
      <c r="O209" s="204">
        <f>IF(DG!$A$131&gt;12,0,IF(J209-J208&gt;0,MROUND((L209/12*Q208),1),MROUND(L209/12*P208,1)))</f>
        <v>0</v>
      </c>
      <c r="P209" s="204">
        <f t="shared" si="45"/>
        <v>0</v>
      </c>
      <c r="Q209" s="204">
        <f t="shared" si="40"/>
        <v>0</v>
      </c>
      <c r="R209" s="476">
        <v>0</v>
      </c>
      <c r="S209" s="511">
        <f t="shared" si="38"/>
        <v>0</v>
      </c>
    </row>
    <row r="210" spans="1:19" ht="14" thickTop="1" thickBot="1">
      <c r="A210" s="202">
        <f t="shared" si="41"/>
        <v>50891</v>
      </c>
      <c r="B210" s="65">
        <f t="shared" si="49"/>
        <v>185</v>
      </c>
      <c r="C210" s="65">
        <f t="shared" si="47"/>
        <v>185</v>
      </c>
      <c r="D210" s="65">
        <f t="shared" si="35"/>
        <v>185</v>
      </c>
      <c r="E210" s="65">
        <f t="shared" si="42"/>
        <v>185</v>
      </c>
      <c r="F210" s="65">
        <f>IF(OR(L$73=0,DG!$A$252&gt;16),0,F209+1)</f>
        <v>185</v>
      </c>
      <c r="G210" s="65">
        <f t="shared" si="39"/>
        <v>0</v>
      </c>
      <c r="H210" s="65">
        <f t="shared" si="36"/>
        <v>0</v>
      </c>
      <c r="I210" s="65">
        <f t="shared" si="48"/>
        <v>1</v>
      </c>
      <c r="J210" s="203">
        <f>IF(DG!$A$131&lt;=11,$M$17,0)</f>
        <v>20000</v>
      </c>
      <c r="K210" s="65">
        <f t="shared" si="37"/>
        <v>60</v>
      </c>
      <c r="L210" s="473">
        <f t="shared" si="43"/>
        <v>5.0000100000000006E-2</v>
      </c>
      <c r="M210" s="204">
        <f t="shared" si="46"/>
        <v>0</v>
      </c>
      <c r="N210" s="505">
        <f t="shared" si="44"/>
        <v>0</v>
      </c>
      <c r="O210" s="204">
        <f>IF(DG!$A$131&gt;12,0,IF(J210-J209&gt;0,MROUND((L210/12*Q209),1),MROUND(L210/12*P209,1)))</f>
        <v>0</v>
      </c>
      <c r="P210" s="204">
        <f t="shared" si="45"/>
        <v>0</v>
      </c>
      <c r="Q210" s="204">
        <f t="shared" si="40"/>
        <v>0</v>
      </c>
      <c r="R210" s="476">
        <v>0</v>
      </c>
      <c r="S210" s="511">
        <f t="shared" si="38"/>
        <v>0</v>
      </c>
    </row>
    <row r="211" spans="1:19" ht="14" thickTop="1" thickBot="1">
      <c r="A211" s="202">
        <f t="shared" si="41"/>
        <v>50922</v>
      </c>
      <c r="B211" s="65">
        <f t="shared" si="49"/>
        <v>186</v>
      </c>
      <c r="C211" s="65">
        <f t="shared" si="47"/>
        <v>186</v>
      </c>
      <c r="D211" s="65">
        <f t="shared" si="35"/>
        <v>186</v>
      </c>
      <c r="E211" s="65">
        <f t="shared" si="42"/>
        <v>186</v>
      </c>
      <c r="F211" s="65">
        <f>IF(OR(L$73=0,DG!$A$252&gt;16),0,F210+1)</f>
        <v>186</v>
      </c>
      <c r="G211" s="65">
        <f t="shared" si="39"/>
        <v>0</v>
      </c>
      <c r="H211" s="65">
        <f t="shared" si="36"/>
        <v>0</v>
      </c>
      <c r="I211" s="65">
        <f t="shared" si="48"/>
        <v>1</v>
      </c>
      <c r="J211" s="203">
        <f>IF(DG!$A$131&lt;=11,$M$17,0)</f>
        <v>20000</v>
      </c>
      <c r="K211" s="65">
        <f t="shared" si="37"/>
        <v>60</v>
      </c>
      <c r="L211" s="473">
        <f t="shared" si="43"/>
        <v>5.0000100000000006E-2</v>
      </c>
      <c r="M211" s="204">
        <f t="shared" si="46"/>
        <v>0</v>
      </c>
      <c r="N211" s="505">
        <f t="shared" si="44"/>
        <v>0</v>
      </c>
      <c r="O211" s="204">
        <f>IF(DG!$A$131&gt;12,0,IF(J211-J210&gt;0,MROUND((L211/12*Q210),1),MROUND(L211/12*P210,1)))</f>
        <v>0</v>
      </c>
      <c r="P211" s="204">
        <f t="shared" si="45"/>
        <v>0</v>
      </c>
      <c r="Q211" s="204">
        <f t="shared" si="40"/>
        <v>0</v>
      </c>
      <c r="R211" s="476">
        <v>0</v>
      </c>
      <c r="S211" s="511">
        <f t="shared" si="38"/>
        <v>0</v>
      </c>
    </row>
    <row r="212" spans="1:19" ht="14" thickTop="1" thickBot="1">
      <c r="A212" s="202">
        <f t="shared" si="41"/>
        <v>50952</v>
      </c>
      <c r="B212" s="65">
        <f t="shared" si="49"/>
        <v>187</v>
      </c>
      <c r="C212" s="65">
        <f t="shared" si="47"/>
        <v>187</v>
      </c>
      <c r="D212" s="65">
        <f t="shared" si="35"/>
        <v>187</v>
      </c>
      <c r="E212" s="65">
        <f t="shared" si="42"/>
        <v>187</v>
      </c>
      <c r="F212" s="65">
        <f>IF(OR(L$73=0,DG!$A$252&gt;16),0,F211+1)</f>
        <v>187</v>
      </c>
      <c r="G212" s="65">
        <f t="shared" si="39"/>
        <v>0</v>
      </c>
      <c r="H212" s="65">
        <f t="shared" si="36"/>
        <v>0</v>
      </c>
      <c r="I212" s="65">
        <f t="shared" si="48"/>
        <v>1</v>
      </c>
      <c r="J212" s="203">
        <f>IF(DG!$A$131&lt;=11,$M$17,0)</f>
        <v>20000</v>
      </c>
      <c r="K212" s="65">
        <f t="shared" si="37"/>
        <v>60</v>
      </c>
      <c r="L212" s="473">
        <f t="shared" si="43"/>
        <v>5.0000100000000006E-2</v>
      </c>
      <c r="M212" s="204">
        <f t="shared" si="46"/>
        <v>0</v>
      </c>
      <c r="N212" s="505">
        <f t="shared" si="44"/>
        <v>0</v>
      </c>
      <c r="O212" s="204">
        <f>IF(DG!$A$131&gt;12,0,IF(J212-J211&gt;0,MROUND((L212/12*Q211),1),MROUND(L212/12*P211,1)))</f>
        <v>0</v>
      </c>
      <c r="P212" s="204">
        <f t="shared" si="45"/>
        <v>0</v>
      </c>
      <c r="Q212" s="204">
        <f t="shared" si="40"/>
        <v>0</v>
      </c>
      <c r="R212" s="476">
        <v>0</v>
      </c>
      <c r="S212" s="511">
        <f t="shared" si="38"/>
        <v>0</v>
      </c>
    </row>
    <row r="213" spans="1:19" ht="14" thickTop="1" thickBot="1">
      <c r="A213" s="202">
        <f t="shared" si="41"/>
        <v>50983</v>
      </c>
      <c r="B213" s="65">
        <f t="shared" si="49"/>
        <v>188</v>
      </c>
      <c r="C213" s="65">
        <f t="shared" si="47"/>
        <v>188</v>
      </c>
      <c r="D213" s="65">
        <f t="shared" si="35"/>
        <v>188</v>
      </c>
      <c r="E213" s="65">
        <f t="shared" si="42"/>
        <v>188</v>
      </c>
      <c r="F213" s="65">
        <f>IF(OR(L$73=0,DG!$A$252&gt;16),0,F212+1)</f>
        <v>188</v>
      </c>
      <c r="G213" s="65">
        <f t="shared" si="39"/>
        <v>0</v>
      </c>
      <c r="H213" s="65">
        <f t="shared" si="36"/>
        <v>0</v>
      </c>
      <c r="I213" s="65">
        <f t="shared" si="48"/>
        <v>1</v>
      </c>
      <c r="J213" s="203">
        <f>IF(DG!$A$131&lt;=11,$M$17,0)</f>
        <v>20000</v>
      </c>
      <c r="K213" s="65">
        <f t="shared" si="37"/>
        <v>60</v>
      </c>
      <c r="L213" s="473">
        <f t="shared" si="43"/>
        <v>5.0000100000000006E-2</v>
      </c>
      <c r="M213" s="204">
        <f t="shared" si="46"/>
        <v>0</v>
      </c>
      <c r="N213" s="505">
        <f t="shared" si="44"/>
        <v>0</v>
      </c>
      <c r="O213" s="204">
        <f>IF(DG!$A$131&gt;12,0,IF(J213-J212&gt;0,MROUND((L213/12*Q212),1),MROUND(L213/12*P212,1)))</f>
        <v>0</v>
      </c>
      <c r="P213" s="204">
        <f t="shared" si="45"/>
        <v>0</v>
      </c>
      <c r="Q213" s="204">
        <f t="shared" si="40"/>
        <v>0</v>
      </c>
      <c r="R213" s="476">
        <v>0</v>
      </c>
      <c r="S213" s="511">
        <f t="shared" si="38"/>
        <v>0</v>
      </c>
    </row>
    <row r="214" spans="1:19" ht="14" thickTop="1" thickBot="1">
      <c r="A214" s="202">
        <f t="shared" si="41"/>
        <v>51014</v>
      </c>
      <c r="B214" s="65">
        <f t="shared" si="49"/>
        <v>189</v>
      </c>
      <c r="C214" s="65">
        <f t="shared" si="47"/>
        <v>189</v>
      </c>
      <c r="D214" s="65">
        <f t="shared" si="35"/>
        <v>189</v>
      </c>
      <c r="E214" s="65">
        <f t="shared" si="42"/>
        <v>189</v>
      </c>
      <c r="F214" s="65">
        <f>IF(OR(L$73=0,DG!$A$252&gt;16),0,F213+1)</f>
        <v>189</v>
      </c>
      <c r="G214" s="65">
        <f t="shared" si="39"/>
        <v>0</v>
      </c>
      <c r="H214" s="65">
        <f t="shared" si="36"/>
        <v>0</v>
      </c>
      <c r="I214" s="65">
        <f t="shared" si="48"/>
        <v>1</v>
      </c>
      <c r="J214" s="203">
        <f>IF(DG!$A$131&lt;=11,$M$17,0)</f>
        <v>20000</v>
      </c>
      <c r="K214" s="65">
        <f t="shared" si="37"/>
        <v>60</v>
      </c>
      <c r="L214" s="473">
        <f t="shared" si="43"/>
        <v>5.0000100000000006E-2</v>
      </c>
      <c r="M214" s="204">
        <f t="shared" si="46"/>
        <v>0</v>
      </c>
      <c r="N214" s="505">
        <f t="shared" si="44"/>
        <v>0</v>
      </c>
      <c r="O214" s="204">
        <f>IF(DG!$A$131&gt;12,0,IF(J214-J213&gt;0,MROUND((L214/12*Q213),1),MROUND(L214/12*P213,1)))</f>
        <v>0</v>
      </c>
      <c r="P214" s="204">
        <f t="shared" si="45"/>
        <v>0</v>
      </c>
      <c r="Q214" s="204">
        <f t="shared" si="40"/>
        <v>0</v>
      </c>
      <c r="R214" s="476">
        <v>0</v>
      </c>
      <c r="S214" s="511">
        <f t="shared" si="38"/>
        <v>0</v>
      </c>
    </row>
    <row r="215" spans="1:19" ht="14" thickTop="1" thickBot="1">
      <c r="A215" s="202">
        <f t="shared" si="41"/>
        <v>51044</v>
      </c>
      <c r="B215" s="65">
        <f t="shared" si="49"/>
        <v>190</v>
      </c>
      <c r="C215" s="65">
        <f t="shared" si="47"/>
        <v>190</v>
      </c>
      <c r="D215" s="65">
        <f t="shared" si="35"/>
        <v>190</v>
      </c>
      <c r="E215" s="65">
        <f t="shared" si="42"/>
        <v>190</v>
      </c>
      <c r="F215" s="65">
        <f>IF(OR(L$73=0,DG!$A$252&gt;16),0,F214+1)</f>
        <v>190</v>
      </c>
      <c r="G215" s="65">
        <f t="shared" si="39"/>
        <v>0</v>
      </c>
      <c r="H215" s="65">
        <f t="shared" si="36"/>
        <v>0</v>
      </c>
      <c r="I215" s="65">
        <f t="shared" si="48"/>
        <v>1</v>
      </c>
      <c r="J215" s="203">
        <f>IF(DG!$A$131&lt;=11,$M$17,0)</f>
        <v>20000</v>
      </c>
      <c r="K215" s="65">
        <f t="shared" si="37"/>
        <v>60</v>
      </c>
      <c r="L215" s="473">
        <f t="shared" si="43"/>
        <v>5.0000100000000006E-2</v>
      </c>
      <c r="M215" s="204">
        <f t="shared" si="46"/>
        <v>0</v>
      </c>
      <c r="N215" s="505">
        <f t="shared" si="44"/>
        <v>0</v>
      </c>
      <c r="O215" s="204">
        <f>IF(DG!$A$131&gt;12,0,IF(J215-J214&gt;0,MROUND((L215/12*Q214),1),MROUND(L215/12*P214,1)))</f>
        <v>0</v>
      </c>
      <c r="P215" s="204">
        <f t="shared" si="45"/>
        <v>0</v>
      </c>
      <c r="Q215" s="204">
        <f t="shared" si="40"/>
        <v>0</v>
      </c>
      <c r="R215" s="476">
        <v>0</v>
      </c>
      <c r="S215" s="511">
        <f t="shared" si="38"/>
        <v>0</v>
      </c>
    </row>
    <row r="216" spans="1:19" ht="14" thickTop="1" thickBot="1">
      <c r="A216" s="202">
        <f t="shared" si="41"/>
        <v>51075</v>
      </c>
      <c r="B216" s="65">
        <f t="shared" si="49"/>
        <v>191</v>
      </c>
      <c r="C216" s="65">
        <f t="shared" si="47"/>
        <v>191</v>
      </c>
      <c r="D216" s="65">
        <f t="shared" ref="D216:D265" si="50">D215+1</f>
        <v>191</v>
      </c>
      <c r="E216" s="65">
        <f t="shared" si="42"/>
        <v>191</v>
      </c>
      <c r="F216" s="65">
        <f>IF(OR(L$73=0,DG!$A$252&gt;16),0,F215+1)</f>
        <v>191</v>
      </c>
      <c r="G216" s="65">
        <f t="shared" si="39"/>
        <v>0</v>
      </c>
      <c r="H216" s="65">
        <f t="shared" ref="H216:H265" si="51">IF(I216&gt;=0,0,H215+1)</f>
        <v>0</v>
      </c>
      <c r="I216" s="65">
        <f t="shared" si="48"/>
        <v>1</v>
      </c>
      <c r="J216" s="203">
        <f>IF(DG!$A$131&lt;=11,$M$17,0)</f>
        <v>20000</v>
      </c>
      <c r="K216" s="65">
        <f t="shared" ref="K216:K265" si="52">K215</f>
        <v>60</v>
      </c>
      <c r="L216" s="473">
        <f t="shared" si="43"/>
        <v>5.0000100000000006E-2</v>
      </c>
      <c r="M216" s="204">
        <f t="shared" si="46"/>
        <v>0</v>
      </c>
      <c r="N216" s="505">
        <f t="shared" si="44"/>
        <v>0</v>
      </c>
      <c r="O216" s="204">
        <f>IF(DG!$A$131&gt;12,0,IF(J216-J215&gt;0,MROUND((L216/12*Q215),1),MROUND(L216/12*P215,1)))</f>
        <v>0</v>
      </c>
      <c r="P216" s="204">
        <f t="shared" si="45"/>
        <v>0</v>
      </c>
      <c r="Q216" s="204">
        <f t="shared" si="40"/>
        <v>0</v>
      </c>
      <c r="R216" s="476">
        <v>0</v>
      </c>
      <c r="S216" s="511">
        <f t="shared" ref="S216:S265" si="53">SUM(N205:N216)</f>
        <v>0</v>
      </c>
    </row>
    <row r="217" spans="1:19" ht="14" thickTop="1" thickBot="1">
      <c r="A217" s="202">
        <f t="shared" si="41"/>
        <v>51105</v>
      </c>
      <c r="B217" s="65">
        <f t="shared" si="49"/>
        <v>192</v>
      </c>
      <c r="C217" s="65">
        <f t="shared" si="47"/>
        <v>192</v>
      </c>
      <c r="D217" s="65">
        <f t="shared" si="50"/>
        <v>192</v>
      </c>
      <c r="E217" s="65">
        <f t="shared" si="42"/>
        <v>192</v>
      </c>
      <c r="F217" s="65">
        <f>IF(OR(L$73=0,DG!$A$252&gt;16),0,F216+1)</f>
        <v>192</v>
      </c>
      <c r="G217" s="65">
        <f t="shared" si="39"/>
        <v>0</v>
      </c>
      <c r="H217" s="65">
        <f t="shared" si="51"/>
        <v>0</v>
      </c>
      <c r="I217" s="65">
        <f t="shared" si="48"/>
        <v>1</v>
      </c>
      <c r="J217" s="203">
        <f>IF(DG!$A$131&lt;=11,$M$17,0)</f>
        <v>20000</v>
      </c>
      <c r="K217" s="65">
        <f t="shared" si="52"/>
        <v>60</v>
      </c>
      <c r="L217" s="473">
        <f t="shared" si="43"/>
        <v>5.0000100000000006E-2</v>
      </c>
      <c r="M217" s="204">
        <f t="shared" si="46"/>
        <v>0</v>
      </c>
      <c r="N217" s="505">
        <f t="shared" si="44"/>
        <v>0</v>
      </c>
      <c r="O217" s="204">
        <f>IF(DG!$A$131&gt;12,0,IF(J217-J216&gt;0,MROUND((L217/12*Q216),1),MROUND(L217/12*P216,1)))</f>
        <v>0</v>
      </c>
      <c r="P217" s="204">
        <f t="shared" si="45"/>
        <v>0</v>
      </c>
      <c r="Q217" s="204">
        <f t="shared" si="40"/>
        <v>0</v>
      </c>
      <c r="R217" s="476">
        <v>0</v>
      </c>
      <c r="S217" s="511">
        <f t="shared" si="53"/>
        <v>0</v>
      </c>
    </row>
    <row r="218" spans="1:19" ht="14" thickTop="1" thickBot="1">
      <c r="A218" s="202">
        <f t="shared" si="41"/>
        <v>51136</v>
      </c>
      <c r="B218" s="65">
        <f t="shared" si="49"/>
        <v>193</v>
      </c>
      <c r="C218" s="65">
        <f t="shared" si="47"/>
        <v>193</v>
      </c>
      <c r="D218" s="65">
        <f t="shared" si="50"/>
        <v>193</v>
      </c>
      <c r="E218" s="65">
        <f t="shared" si="42"/>
        <v>193</v>
      </c>
      <c r="F218" s="65">
        <f>IF(OR(L$73=0,DG!$A$252&gt;16),0,F217+1)</f>
        <v>193</v>
      </c>
      <c r="G218" s="65">
        <f t="shared" ref="G218:G265" si="54">IF(E218=0,0,IF(D218-E218-F218&gt;=0,1,0))</f>
        <v>0</v>
      </c>
      <c r="H218" s="65">
        <f t="shared" si="51"/>
        <v>0</v>
      </c>
      <c r="I218" s="65">
        <f t="shared" si="48"/>
        <v>1</v>
      </c>
      <c r="J218" s="203">
        <f>IF(DG!$A$131&lt;=11,$M$17,0)</f>
        <v>20000</v>
      </c>
      <c r="K218" s="65">
        <f t="shared" si="52"/>
        <v>60</v>
      </c>
      <c r="L218" s="473">
        <f t="shared" si="43"/>
        <v>5.0000100000000006E-2</v>
      </c>
      <c r="M218" s="204">
        <f t="shared" si="46"/>
        <v>0</v>
      </c>
      <c r="N218" s="505">
        <f t="shared" si="44"/>
        <v>0</v>
      </c>
      <c r="O218" s="204">
        <f>IF(DG!$A$131&gt;12,0,IF(J218-J217&gt;0,MROUND((L218/12*Q217),1),MROUND(L218/12*P217,1)))</f>
        <v>0</v>
      </c>
      <c r="P218" s="204">
        <f t="shared" si="45"/>
        <v>0</v>
      </c>
      <c r="Q218" s="204">
        <f t="shared" ref="Q218:Q265" si="55">IF(AND(P218=0,P219&gt;0),J219,P218)</f>
        <v>0</v>
      </c>
      <c r="R218" s="476">
        <v>0</v>
      </c>
      <c r="S218" s="511">
        <f t="shared" si="53"/>
        <v>0</v>
      </c>
    </row>
    <row r="219" spans="1:19" ht="14" thickTop="1" thickBot="1">
      <c r="A219" s="202">
        <f t="shared" ref="A219:A265" si="56">EDATE(A218,1)</f>
        <v>51167</v>
      </c>
      <c r="B219" s="65">
        <f t="shared" si="49"/>
        <v>194</v>
      </c>
      <c r="C219" s="65">
        <f t="shared" si="47"/>
        <v>194</v>
      </c>
      <c r="D219" s="65">
        <f t="shared" si="50"/>
        <v>194</v>
      </c>
      <c r="E219" s="65">
        <f t="shared" ref="E219:E265" si="57">B219</f>
        <v>194</v>
      </c>
      <c r="F219" s="65">
        <f>IF(OR(L$73=0,DG!$A$252&gt;16),0,F218+1)</f>
        <v>194</v>
      </c>
      <c r="G219" s="65">
        <f t="shared" si="54"/>
        <v>0</v>
      </c>
      <c r="H219" s="65">
        <f t="shared" si="51"/>
        <v>0</v>
      </c>
      <c r="I219" s="65">
        <f t="shared" si="48"/>
        <v>1</v>
      </c>
      <c r="J219" s="203">
        <f>IF(DG!$A$131&lt;=11,$M$17,0)</f>
        <v>20000</v>
      </c>
      <c r="K219" s="65">
        <f t="shared" si="52"/>
        <v>60</v>
      </c>
      <c r="L219" s="473">
        <f t="shared" ref="L219:L265" si="58">IF($M$17&gt;0,$M$19+0.0000001,0)</f>
        <v>5.0000100000000006E-2</v>
      </c>
      <c r="M219" s="204">
        <f t="shared" si="46"/>
        <v>0</v>
      </c>
      <c r="N219" s="505">
        <f t="shared" ref="N219:N267" si="59">IF(OR(H219-K219&gt;0,I219&gt;=0),0,MROUND(-PPMT(L219/12,H219,K219-G462,J219),1)+R219)</f>
        <v>0</v>
      </c>
      <c r="O219" s="204">
        <f>IF(DG!$A$131&gt;12,0,IF(J219-J218&gt;0,MROUND((L219/12*Q218),1),MROUND(L219/12*P218,1)))</f>
        <v>0</v>
      </c>
      <c r="P219" s="204">
        <f t="shared" ref="P219:P265" si="60">IF(OR(G219+H219=0,J219-N219&lt;1),0,IF(P218&gt;1,P218-N219,J220-N219))</f>
        <v>0</v>
      </c>
      <c r="Q219" s="204">
        <f t="shared" si="55"/>
        <v>0</v>
      </c>
      <c r="R219" s="476">
        <v>0</v>
      </c>
      <c r="S219" s="511">
        <f t="shared" si="53"/>
        <v>0</v>
      </c>
    </row>
    <row r="220" spans="1:19" ht="14" thickTop="1" thickBot="1">
      <c r="A220" s="202">
        <f t="shared" si="56"/>
        <v>51196</v>
      </c>
      <c r="B220" s="65">
        <f t="shared" si="49"/>
        <v>195</v>
      </c>
      <c r="C220" s="65">
        <f t="shared" si="47"/>
        <v>195</v>
      </c>
      <c r="D220" s="65">
        <f t="shared" si="50"/>
        <v>195</v>
      </c>
      <c r="E220" s="65">
        <f t="shared" si="57"/>
        <v>195</v>
      </c>
      <c r="F220" s="65">
        <f>IF(OR(L$73=0,DG!$A$252&gt;16),0,F219+1)</f>
        <v>195</v>
      </c>
      <c r="G220" s="65">
        <f t="shared" si="54"/>
        <v>0</v>
      </c>
      <c r="H220" s="65">
        <f t="shared" si="51"/>
        <v>0</v>
      </c>
      <c r="I220" s="65">
        <f t="shared" si="48"/>
        <v>1</v>
      </c>
      <c r="J220" s="203">
        <f>IF(DG!$A$131&lt;=11,$M$17,0)</f>
        <v>20000</v>
      </c>
      <c r="K220" s="65">
        <f t="shared" si="52"/>
        <v>60</v>
      </c>
      <c r="L220" s="473">
        <f t="shared" si="58"/>
        <v>5.0000100000000006E-2</v>
      </c>
      <c r="M220" s="204">
        <f t="shared" si="46"/>
        <v>0</v>
      </c>
      <c r="N220" s="505">
        <f t="shared" si="59"/>
        <v>0</v>
      </c>
      <c r="O220" s="204">
        <f>IF(DG!$A$131&gt;12,0,IF(J220-J219&gt;0,MROUND((L220/12*Q219),1),MROUND(L220/12*P219,1)))</f>
        <v>0</v>
      </c>
      <c r="P220" s="204">
        <f t="shared" si="60"/>
        <v>0</v>
      </c>
      <c r="Q220" s="204">
        <f t="shared" si="55"/>
        <v>0</v>
      </c>
      <c r="R220" s="476">
        <v>0</v>
      </c>
      <c r="S220" s="511">
        <f t="shared" si="53"/>
        <v>0</v>
      </c>
    </row>
    <row r="221" spans="1:19" ht="14" thickTop="1" thickBot="1">
      <c r="A221" s="202">
        <f t="shared" si="56"/>
        <v>51227</v>
      </c>
      <c r="B221" s="65">
        <f t="shared" si="49"/>
        <v>196</v>
      </c>
      <c r="C221" s="65">
        <f t="shared" si="47"/>
        <v>196</v>
      </c>
      <c r="D221" s="65">
        <f t="shared" si="50"/>
        <v>196</v>
      </c>
      <c r="E221" s="65">
        <f t="shared" si="57"/>
        <v>196</v>
      </c>
      <c r="F221" s="65">
        <f>IF(OR(L$73=0,DG!$A$252&gt;16),0,F220+1)</f>
        <v>196</v>
      </c>
      <c r="G221" s="65">
        <f t="shared" si="54"/>
        <v>0</v>
      </c>
      <c r="H221" s="65">
        <f t="shared" si="51"/>
        <v>0</v>
      </c>
      <c r="I221" s="65">
        <f t="shared" si="48"/>
        <v>1</v>
      </c>
      <c r="J221" s="203">
        <f>IF(DG!$A$131&lt;=11,$M$17,0)</f>
        <v>20000</v>
      </c>
      <c r="K221" s="65">
        <f t="shared" si="52"/>
        <v>60</v>
      </c>
      <c r="L221" s="473">
        <f t="shared" si="58"/>
        <v>5.0000100000000006E-2</v>
      </c>
      <c r="M221" s="204">
        <f t="shared" si="46"/>
        <v>0</v>
      </c>
      <c r="N221" s="505">
        <f t="shared" si="59"/>
        <v>0</v>
      </c>
      <c r="O221" s="204">
        <f>IF(DG!$A$131&gt;12,0,IF(J221-J220&gt;0,MROUND((L221/12*Q220),1),MROUND(L221/12*P220,1)))</f>
        <v>0</v>
      </c>
      <c r="P221" s="204">
        <f t="shared" si="60"/>
        <v>0</v>
      </c>
      <c r="Q221" s="204">
        <f t="shared" si="55"/>
        <v>0</v>
      </c>
      <c r="R221" s="476">
        <v>0</v>
      </c>
      <c r="S221" s="511">
        <f t="shared" si="53"/>
        <v>0</v>
      </c>
    </row>
    <row r="222" spans="1:19" ht="14" thickTop="1" thickBot="1">
      <c r="A222" s="202">
        <f t="shared" si="56"/>
        <v>51257</v>
      </c>
      <c r="B222" s="65">
        <f t="shared" si="49"/>
        <v>197</v>
      </c>
      <c r="C222" s="65">
        <f t="shared" si="47"/>
        <v>197</v>
      </c>
      <c r="D222" s="65">
        <f t="shared" si="50"/>
        <v>197</v>
      </c>
      <c r="E222" s="65">
        <f t="shared" si="57"/>
        <v>197</v>
      </c>
      <c r="F222" s="65">
        <f>IF(OR(L$73=0,DG!$A$252&gt;16),0,F221+1)</f>
        <v>197</v>
      </c>
      <c r="G222" s="65">
        <f t="shared" si="54"/>
        <v>0</v>
      </c>
      <c r="H222" s="65">
        <f t="shared" si="51"/>
        <v>0</v>
      </c>
      <c r="I222" s="65">
        <f t="shared" si="48"/>
        <v>1</v>
      </c>
      <c r="J222" s="203">
        <f>IF(DG!$A$131&lt;=11,$M$17,0)</f>
        <v>20000</v>
      </c>
      <c r="K222" s="65">
        <f t="shared" si="52"/>
        <v>60</v>
      </c>
      <c r="L222" s="473">
        <f t="shared" si="58"/>
        <v>5.0000100000000006E-2</v>
      </c>
      <c r="M222" s="204">
        <f t="shared" si="46"/>
        <v>0</v>
      </c>
      <c r="N222" s="505">
        <f t="shared" si="59"/>
        <v>0</v>
      </c>
      <c r="O222" s="204">
        <f>IF(DG!$A$131&gt;12,0,IF(J222-J221&gt;0,MROUND((L222/12*Q221),1),MROUND(L222/12*P221,1)))</f>
        <v>0</v>
      </c>
      <c r="P222" s="204">
        <f t="shared" si="60"/>
        <v>0</v>
      </c>
      <c r="Q222" s="204">
        <f t="shared" si="55"/>
        <v>0</v>
      </c>
      <c r="R222" s="476">
        <v>0</v>
      </c>
      <c r="S222" s="511">
        <f t="shared" si="53"/>
        <v>0</v>
      </c>
    </row>
    <row r="223" spans="1:19" ht="14" thickTop="1" thickBot="1">
      <c r="A223" s="202">
        <f t="shared" si="56"/>
        <v>51288</v>
      </c>
      <c r="B223" s="65">
        <f t="shared" si="49"/>
        <v>198</v>
      </c>
      <c r="C223" s="65">
        <f t="shared" si="47"/>
        <v>198</v>
      </c>
      <c r="D223" s="65">
        <f t="shared" si="50"/>
        <v>198</v>
      </c>
      <c r="E223" s="65">
        <f t="shared" si="57"/>
        <v>198</v>
      </c>
      <c r="F223" s="65">
        <f>IF(OR(L$73=0,DG!$A$252&gt;16),0,F222+1)</f>
        <v>198</v>
      </c>
      <c r="G223" s="65">
        <f t="shared" si="54"/>
        <v>0</v>
      </c>
      <c r="H223" s="65">
        <f t="shared" si="51"/>
        <v>0</v>
      </c>
      <c r="I223" s="65">
        <f t="shared" si="48"/>
        <v>1</v>
      </c>
      <c r="J223" s="203">
        <f>IF(DG!$A$131&lt;=11,$M$17,0)</f>
        <v>20000</v>
      </c>
      <c r="K223" s="65">
        <f t="shared" si="52"/>
        <v>60</v>
      </c>
      <c r="L223" s="473">
        <f t="shared" si="58"/>
        <v>5.0000100000000006E-2</v>
      </c>
      <c r="M223" s="204">
        <f t="shared" si="46"/>
        <v>0</v>
      </c>
      <c r="N223" s="505">
        <f t="shared" si="59"/>
        <v>0</v>
      </c>
      <c r="O223" s="204">
        <f>IF(DG!$A$131&gt;12,0,IF(J223-J222&gt;0,MROUND((L223/12*Q222),1),MROUND(L223/12*P222,1)))</f>
        <v>0</v>
      </c>
      <c r="P223" s="204">
        <f t="shared" si="60"/>
        <v>0</v>
      </c>
      <c r="Q223" s="204">
        <f t="shared" si="55"/>
        <v>0</v>
      </c>
      <c r="R223" s="476">
        <v>0</v>
      </c>
      <c r="S223" s="511">
        <f t="shared" si="53"/>
        <v>0</v>
      </c>
    </row>
    <row r="224" spans="1:19" ht="14" thickTop="1" thickBot="1">
      <c r="A224" s="202">
        <f t="shared" si="56"/>
        <v>51318</v>
      </c>
      <c r="B224" s="65">
        <f t="shared" si="49"/>
        <v>199</v>
      </c>
      <c r="C224" s="65">
        <f t="shared" si="47"/>
        <v>199</v>
      </c>
      <c r="D224" s="65">
        <f t="shared" si="50"/>
        <v>199</v>
      </c>
      <c r="E224" s="65">
        <f t="shared" si="57"/>
        <v>199</v>
      </c>
      <c r="F224" s="65">
        <f>IF(OR(L$73=0,DG!$A$252&gt;16),0,F223+1)</f>
        <v>199</v>
      </c>
      <c r="G224" s="65">
        <f t="shared" si="54"/>
        <v>0</v>
      </c>
      <c r="H224" s="65">
        <f t="shared" si="51"/>
        <v>0</v>
      </c>
      <c r="I224" s="65">
        <f t="shared" si="48"/>
        <v>1</v>
      </c>
      <c r="J224" s="203">
        <f>IF(DG!$A$131&lt;=11,$M$17,0)</f>
        <v>20000</v>
      </c>
      <c r="K224" s="65">
        <f t="shared" si="52"/>
        <v>60</v>
      </c>
      <c r="L224" s="473">
        <f t="shared" si="58"/>
        <v>5.0000100000000006E-2</v>
      </c>
      <c r="M224" s="204">
        <f t="shared" si="46"/>
        <v>0</v>
      </c>
      <c r="N224" s="505">
        <f t="shared" si="59"/>
        <v>0</v>
      </c>
      <c r="O224" s="204">
        <f>IF(DG!$A$131&gt;12,0,IF(J224-J223&gt;0,MROUND((L224/12*Q223),1),MROUND(L224/12*P223,1)))</f>
        <v>0</v>
      </c>
      <c r="P224" s="204">
        <f t="shared" si="60"/>
        <v>0</v>
      </c>
      <c r="Q224" s="204">
        <f t="shared" si="55"/>
        <v>0</v>
      </c>
      <c r="R224" s="476">
        <v>0</v>
      </c>
      <c r="S224" s="511">
        <f t="shared" si="53"/>
        <v>0</v>
      </c>
    </row>
    <row r="225" spans="1:19" ht="14" thickTop="1" thickBot="1">
      <c r="A225" s="202">
        <f t="shared" si="56"/>
        <v>51349</v>
      </c>
      <c r="B225" s="65">
        <f t="shared" si="49"/>
        <v>200</v>
      </c>
      <c r="C225" s="65">
        <f t="shared" si="47"/>
        <v>200</v>
      </c>
      <c r="D225" s="65">
        <f t="shared" si="50"/>
        <v>200</v>
      </c>
      <c r="E225" s="65">
        <f t="shared" si="57"/>
        <v>200</v>
      </c>
      <c r="F225" s="65">
        <f>IF(OR(L$73=0,DG!$A$252&gt;16),0,F224+1)</f>
        <v>200</v>
      </c>
      <c r="G225" s="65">
        <f t="shared" si="54"/>
        <v>0</v>
      </c>
      <c r="H225" s="65">
        <f t="shared" si="51"/>
        <v>0</v>
      </c>
      <c r="I225" s="65">
        <f t="shared" si="48"/>
        <v>1</v>
      </c>
      <c r="J225" s="203">
        <f>IF(DG!$A$131&lt;=11,$M$17,0)</f>
        <v>20000</v>
      </c>
      <c r="K225" s="65">
        <f t="shared" si="52"/>
        <v>60</v>
      </c>
      <c r="L225" s="473">
        <f t="shared" si="58"/>
        <v>5.0000100000000006E-2</v>
      </c>
      <c r="M225" s="204">
        <f t="shared" ref="M225:M265" si="61">IF(H225=0,0,IF($R$13=1,N225+O225,IF(N225=0,O225,-PMT(L225/12,K225-$G$269,J225))))</f>
        <v>0</v>
      </c>
      <c r="N225" s="505">
        <f t="shared" si="59"/>
        <v>0</v>
      </c>
      <c r="O225" s="204">
        <f>IF(DG!$A$131&gt;12,0,IF(J225-J224&gt;0,MROUND((L225/12*Q224),1),MROUND(L225/12*P224,1)))</f>
        <v>0</v>
      </c>
      <c r="P225" s="204">
        <f t="shared" si="60"/>
        <v>0</v>
      </c>
      <c r="Q225" s="204">
        <f t="shared" si="55"/>
        <v>0</v>
      </c>
      <c r="R225" s="476">
        <v>0</v>
      </c>
      <c r="S225" s="511">
        <f t="shared" si="53"/>
        <v>0</v>
      </c>
    </row>
    <row r="226" spans="1:19" ht="14" thickTop="1" thickBot="1">
      <c r="A226" s="202">
        <f t="shared" si="56"/>
        <v>51380</v>
      </c>
      <c r="B226" s="65">
        <f t="shared" si="49"/>
        <v>201</v>
      </c>
      <c r="C226" s="65">
        <f t="shared" si="47"/>
        <v>201</v>
      </c>
      <c r="D226" s="65">
        <f t="shared" si="50"/>
        <v>201</v>
      </c>
      <c r="E226" s="65">
        <f t="shared" si="57"/>
        <v>201</v>
      </c>
      <c r="F226" s="65">
        <f>IF(OR(L$73=0,DG!$A$252&gt;16),0,F225+1)</f>
        <v>201</v>
      </c>
      <c r="G226" s="65">
        <f t="shared" si="54"/>
        <v>0</v>
      </c>
      <c r="H226" s="65">
        <f t="shared" si="51"/>
        <v>0</v>
      </c>
      <c r="I226" s="65">
        <f t="shared" si="48"/>
        <v>1</v>
      </c>
      <c r="J226" s="203">
        <f>IF(DG!$A$131&lt;=11,$M$17,0)</f>
        <v>20000</v>
      </c>
      <c r="K226" s="65">
        <f t="shared" si="52"/>
        <v>60</v>
      </c>
      <c r="L226" s="473">
        <f t="shared" si="58"/>
        <v>5.0000100000000006E-2</v>
      </c>
      <c r="M226" s="204">
        <f t="shared" si="61"/>
        <v>0</v>
      </c>
      <c r="N226" s="505">
        <f t="shared" si="59"/>
        <v>0</v>
      </c>
      <c r="O226" s="204">
        <f>IF(DG!$A$131&gt;12,0,IF(J226-J225&gt;0,MROUND((L226/12*Q225),1),MROUND(L226/12*P225,1)))</f>
        <v>0</v>
      </c>
      <c r="P226" s="204">
        <f t="shared" si="60"/>
        <v>0</v>
      </c>
      <c r="Q226" s="204">
        <f t="shared" si="55"/>
        <v>0</v>
      </c>
      <c r="R226" s="476">
        <v>0</v>
      </c>
      <c r="S226" s="511">
        <f t="shared" si="53"/>
        <v>0</v>
      </c>
    </row>
    <row r="227" spans="1:19" ht="14" thickTop="1" thickBot="1">
      <c r="A227" s="202">
        <f t="shared" si="56"/>
        <v>51410</v>
      </c>
      <c r="B227" s="65">
        <f t="shared" si="49"/>
        <v>202</v>
      </c>
      <c r="C227" s="65">
        <f t="shared" si="47"/>
        <v>202</v>
      </c>
      <c r="D227" s="65">
        <f t="shared" si="50"/>
        <v>202</v>
      </c>
      <c r="E227" s="65">
        <f t="shared" si="57"/>
        <v>202</v>
      </c>
      <c r="F227" s="65">
        <f>IF(OR(L$73=0,DG!$A$252&gt;16),0,F226+1)</f>
        <v>202</v>
      </c>
      <c r="G227" s="65">
        <f t="shared" si="54"/>
        <v>0</v>
      </c>
      <c r="H227" s="65">
        <f t="shared" si="51"/>
        <v>0</v>
      </c>
      <c r="I227" s="65">
        <f t="shared" si="48"/>
        <v>1</v>
      </c>
      <c r="J227" s="203">
        <f>IF(DG!$A$131&lt;=11,$M$17,0)</f>
        <v>20000</v>
      </c>
      <c r="K227" s="65">
        <f t="shared" si="52"/>
        <v>60</v>
      </c>
      <c r="L227" s="473">
        <f t="shared" si="58"/>
        <v>5.0000100000000006E-2</v>
      </c>
      <c r="M227" s="204">
        <f t="shared" si="61"/>
        <v>0</v>
      </c>
      <c r="N227" s="505">
        <f t="shared" si="59"/>
        <v>0</v>
      </c>
      <c r="O227" s="204">
        <f>IF(DG!$A$131&gt;12,0,IF(J227-J226&gt;0,MROUND((L227/12*Q226),1),MROUND(L227/12*P226,1)))</f>
        <v>0</v>
      </c>
      <c r="P227" s="204">
        <f t="shared" si="60"/>
        <v>0</v>
      </c>
      <c r="Q227" s="204">
        <f t="shared" si="55"/>
        <v>0</v>
      </c>
      <c r="R227" s="476">
        <v>0</v>
      </c>
      <c r="S227" s="511">
        <f t="shared" si="53"/>
        <v>0</v>
      </c>
    </row>
    <row r="228" spans="1:19" ht="14" thickTop="1" thickBot="1">
      <c r="A228" s="202">
        <f t="shared" si="56"/>
        <v>51441</v>
      </c>
      <c r="B228" s="65">
        <f t="shared" si="49"/>
        <v>203</v>
      </c>
      <c r="C228" s="65">
        <f t="shared" si="47"/>
        <v>203</v>
      </c>
      <c r="D228" s="65">
        <f t="shared" si="50"/>
        <v>203</v>
      </c>
      <c r="E228" s="65">
        <f t="shared" si="57"/>
        <v>203</v>
      </c>
      <c r="F228" s="65">
        <f>IF(OR(L$73=0,DG!$A$252&gt;16),0,F227+1)</f>
        <v>203</v>
      </c>
      <c r="G228" s="65">
        <f t="shared" si="54"/>
        <v>0</v>
      </c>
      <c r="H228" s="65">
        <f t="shared" si="51"/>
        <v>0</v>
      </c>
      <c r="I228" s="65">
        <f t="shared" si="48"/>
        <v>1</v>
      </c>
      <c r="J228" s="203">
        <f>IF(DG!$A$131&lt;=11,$M$17,0)</f>
        <v>20000</v>
      </c>
      <c r="K228" s="65">
        <f t="shared" si="52"/>
        <v>60</v>
      </c>
      <c r="L228" s="473">
        <f t="shared" si="58"/>
        <v>5.0000100000000006E-2</v>
      </c>
      <c r="M228" s="204">
        <f t="shared" si="61"/>
        <v>0</v>
      </c>
      <c r="N228" s="505">
        <f t="shared" si="59"/>
        <v>0</v>
      </c>
      <c r="O228" s="204">
        <f>IF(DG!$A$131&gt;12,0,IF(J228-J227&gt;0,MROUND((L228/12*Q227),1),MROUND(L228/12*P227,1)))</f>
        <v>0</v>
      </c>
      <c r="P228" s="204">
        <f t="shared" si="60"/>
        <v>0</v>
      </c>
      <c r="Q228" s="204">
        <f t="shared" si="55"/>
        <v>0</v>
      </c>
      <c r="R228" s="476">
        <v>0</v>
      </c>
      <c r="S228" s="511">
        <f t="shared" si="53"/>
        <v>0</v>
      </c>
    </row>
    <row r="229" spans="1:19" ht="14" thickTop="1" thickBot="1">
      <c r="A229" s="202">
        <f t="shared" si="56"/>
        <v>51471</v>
      </c>
      <c r="B229" s="65">
        <f t="shared" si="49"/>
        <v>204</v>
      </c>
      <c r="C229" s="65">
        <f t="shared" si="47"/>
        <v>204</v>
      </c>
      <c r="D229" s="65">
        <f t="shared" si="50"/>
        <v>204</v>
      </c>
      <c r="E229" s="65">
        <f t="shared" si="57"/>
        <v>204</v>
      </c>
      <c r="F229" s="65">
        <f>IF(OR(L$73=0,DG!$A$252&gt;16),0,F228+1)</f>
        <v>204</v>
      </c>
      <c r="G229" s="65">
        <f t="shared" si="54"/>
        <v>0</v>
      </c>
      <c r="H229" s="65">
        <f t="shared" si="51"/>
        <v>0</v>
      </c>
      <c r="I229" s="65">
        <f t="shared" si="48"/>
        <v>1</v>
      </c>
      <c r="J229" s="203">
        <f>IF(DG!$A$131&lt;=11,$M$17,0)</f>
        <v>20000</v>
      </c>
      <c r="K229" s="65">
        <f t="shared" si="52"/>
        <v>60</v>
      </c>
      <c r="L229" s="473">
        <f t="shared" si="58"/>
        <v>5.0000100000000006E-2</v>
      </c>
      <c r="M229" s="204">
        <f t="shared" si="61"/>
        <v>0</v>
      </c>
      <c r="N229" s="505">
        <f t="shared" si="59"/>
        <v>0</v>
      </c>
      <c r="O229" s="204">
        <f>IF(DG!$A$131&gt;12,0,IF(J229-J228&gt;0,MROUND((L229/12*Q228),1),MROUND(L229/12*P228,1)))</f>
        <v>0</v>
      </c>
      <c r="P229" s="204">
        <f t="shared" si="60"/>
        <v>0</v>
      </c>
      <c r="Q229" s="204">
        <f t="shared" si="55"/>
        <v>0</v>
      </c>
      <c r="R229" s="476">
        <v>0</v>
      </c>
      <c r="S229" s="511">
        <f t="shared" si="53"/>
        <v>0</v>
      </c>
    </row>
    <row r="230" spans="1:19" ht="14" thickTop="1" thickBot="1">
      <c r="A230" s="202">
        <f t="shared" si="56"/>
        <v>51502</v>
      </c>
      <c r="B230" s="65">
        <f t="shared" si="49"/>
        <v>205</v>
      </c>
      <c r="C230" s="65">
        <f t="shared" si="47"/>
        <v>205</v>
      </c>
      <c r="D230" s="65">
        <f t="shared" si="50"/>
        <v>205</v>
      </c>
      <c r="E230" s="65">
        <f t="shared" si="57"/>
        <v>205</v>
      </c>
      <c r="F230" s="65">
        <f>IF(OR(L$73=0,DG!$A$252&gt;16),0,F229+1)</f>
        <v>205</v>
      </c>
      <c r="G230" s="65">
        <f t="shared" si="54"/>
        <v>0</v>
      </c>
      <c r="H230" s="65">
        <f t="shared" si="51"/>
        <v>0</v>
      </c>
      <c r="I230" s="65">
        <f t="shared" si="48"/>
        <v>1</v>
      </c>
      <c r="J230" s="203">
        <f>IF(DG!$A$131&lt;=11,$M$17,0)</f>
        <v>20000</v>
      </c>
      <c r="K230" s="65">
        <f t="shared" si="52"/>
        <v>60</v>
      </c>
      <c r="L230" s="473">
        <f t="shared" si="58"/>
        <v>5.0000100000000006E-2</v>
      </c>
      <c r="M230" s="204">
        <f t="shared" si="61"/>
        <v>0</v>
      </c>
      <c r="N230" s="505">
        <f t="shared" si="59"/>
        <v>0</v>
      </c>
      <c r="O230" s="204">
        <f>IF(DG!$A$131&gt;12,0,IF(J230-J229&gt;0,MROUND((L230/12*Q229),1),MROUND(L230/12*P229,1)))</f>
        <v>0</v>
      </c>
      <c r="P230" s="204">
        <f t="shared" si="60"/>
        <v>0</v>
      </c>
      <c r="Q230" s="204">
        <f t="shared" si="55"/>
        <v>0</v>
      </c>
      <c r="R230" s="476">
        <v>0</v>
      </c>
      <c r="S230" s="511">
        <f t="shared" si="53"/>
        <v>0</v>
      </c>
    </row>
    <row r="231" spans="1:19" ht="14" thickTop="1" thickBot="1">
      <c r="A231" s="202">
        <f t="shared" si="56"/>
        <v>51533</v>
      </c>
      <c r="B231" s="65">
        <f t="shared" si="49"/>
        <v>206</v>
      </c>
      <c r="C231" s="65">
        <f t="shared" si="47"/>
        <v>206</v>
      </c>
      <c r="D231" s="65">
        <f t="shared" si="50"/>
        <v>206</v>
      </c>
      <c r="E231" s="65">
        <f t="shared" si="57"/>
        <v>206</v>
      </c>
      <c r="F231" s="65">
        <f>IF(OR(L$73=0,DG!$A$252&gt;16),0,F230+1)</f>
        <v>206</v>
      </c>
      <c r="G231" s="65">
        <f t="shared" si="54"/>
        <v>0</v>
      </c>
      <c r="H231" s="65">
        <f t="shared" si="51"/>
        <v>0</v>
      </c>
      <c r="I231" s="65">
        <f t="shared" si="48"/>
        <v>1</v>
      </c>
      <c r="J231" s="203">
        <f>IF(DG!$A$131&lt;=11,$M$17,0)</f>
        <v>20000</v>
      </c>
      <c r="K231" s="65">
        <f t="shared" si="52"/>
        <v>60</v>
      </c>
      <c r="L231" s="473">
        <f t="shared" si="58"/>
        <v>5.0000100000000006E-2</v>
      </c>
      <c r="M231" s="204">
        <f t="shared" si="61"/>
        <v>0</v>
      </c>
      <c r="N231" s="505">
        <f t="shared" si="59"/>
        <v>0</v>
      </c>
      <c r="O231" s="204">
        <f>IF(DG!$A$131&gt;12,0,IF(J231-J230&gt;0,MROUND((L231/12*Q230),1),MROUND(L231/12*P230,1)))</f>
        <v>0</v>
      </c>
      <c r="P231" s="204">
        <f t="shared" si="60"/>
        <v>0</v>
      </c>
      <c r="Q231" s="204">
        <f t="shared" si="55"/>
        <v>0</v>
      </c>
      <c r="R231" s="476">
        <v>0</v>
      </c>
      <c r="S231" s="511">
        <f t="shared" si="53"/>
        <v>0</v>
      </c>
    </row>
    <row r="232" spans="1:19" ht="14" thickTop="1" thickBot="1">
      <c r="A232" s="202">
        <f t="shared" si="56"/>
        <v>51561</v>
      </c>
      <c r="B232" s="65">
        <f t="shared" si="49"/>
        <v>207</v>
      </c>
      <c r="C232" s="65">
        <f t="shared" si="47"/>
        <v>207</v>
      </c>
      <c r="D232" s="65">
        <f t="shared" si="50"/>
        <v>207</v>
      </c>
      <c r="E232" s="65">
        <f t="shared" si="57"/>
        <v>207</v>
      </c>
      <c r="F232" s="65">
        <f>IF(OR(L$73=0,DG!$A$252&gt;16),0,F231+1)</f>
        <v>207</v>
      </c>
      <c r="G232" s="65">
        <f t="shared" si="54"/>
        <v>0</v>
      </c>
      <c r="H232" s="65">
        <f t="shared" si="51"/>
        <v>0</v>
      </c>
      <c r="I232" s="65">
        <f t="shared" si="48"/>
        <v>1</v>
      </c>
      <c r="J232" s="203">
        <f>IF(DG!$A$131&lt;=11,$M$17,0)</f>
        <v>20000</v>
      </c>
      <c r="K232" s="65">
        <f t="shared" si="52"/>
        <v>60</v>
      </c>
      <c r="L232" s="473">
        <f t="shared" si="58"/>
        <v>5.0000100000000006E-2</v>
      </c>
      <c r="M232" s="204">
        <f t="shared" si="61"/>
        <v>0</v>
      </c>
      <c r="N232" s="505">
        <f t="shared" si="59"/>
        <v>0</v>
      </c>
      <c r="O232" s="204">
        <f>IF(DG!$A$131&gt;12,0,IF(J232-J231&gt;0,MROUND((L232/12*Q231),1),MROUND(L232/12*P231,1)))</f>
        <v>0</v>
      </c>
      <c r="P232" s="204">
        <f t="shared" si="60"/>
        <v>0</v>
      </c>
      <c r="Q232" s="204">
        <f t="shared" si="55"/>
        <v>0</v>
      </c>
      <c r="R232" s="476">
        <v>0</v>
      </c>
      <c r="S232" s="511">
        <f t="shared" si="53"/>
        <v>0</v>
      </c>
    </row>
    <row r="233" spans="1:19" ht="14" thickTop="1" thickBot="1">
      <c r="A233" s="202">
        <f t="shared" si="56"/>
        <v>51592</v>
      </c>
      <c r="B233" s="65">
        <f t="shared" si="49"/>
        <v>208</v>
      </c>
      <c r="C233" s="65">
        <f t="shared" si="47"/>
        <v>208</v>
      </c>
      <c r="D233" s="65">
        <f t="shared" si="50"/>
        <v>208</v>
      </c>
      <c r="E233" s="65">
        <f t="shared" si="57"/>
        <v>208</v>
      </c>
      <c r="F233" s="65">
        <f>IF(OR(L$73=0,DG!$A$252&gt;16),0,F232+1)</f>
        <v>208</v>
      </c>
      <c r="G233" s="65">
        <f t="shared" si="54"/>
        <v>0</v>
      </c>
      <c r="H233" s="65">
        <f t="shared" si="51"/>
        <v>0</v>
      </c>
      <c r="I233" s="65">
        <f t="shared" si="48"/>
        <v>1</v>
      </c>
      <c r="J233" s="203">
        <f>IF(DG!$A$131&lt;=11,$M$17,0)</f>
        <v>20000</v>
      </c>
      <c r="K233" s="65">
        <f t="shared" si="52"/>
        <v>60</v>
      </c>
      <c r="L233" s="473">
        <f t="shared" si="58"/>
        <v>5.0000100000000006E-2</v>
      </c>
      <c r="M233" s="204">
        <f t="shared" si="61"/>
        <v>0</v>
      </c>
      <c r="N233" s="505">
        <f t="shared" si="59"/>
        <v>0</v>
      </c>
      <c r="O233" s="204">
        <f>IF(DG!$A$131&gt;12,0,IF(J233-J232&gt;0,MROUND((L233/12*Q232),1),MROUND(L233/12*P232,1)))</f>
        <v>0</v>
      </c>
      <c r="P233" s="204">
        <f t="shared" si="60"/>
        <v>0</v>
      </c>
      <c r="Q233" s="204">
        <f t="shared" si="55"/>
        <v>0</v>
      </c>
      <c r="R233" s="476">
        <v>0</v>
      </c>
      <c r="S233" s="511">
        <f t="shared" si="53"/>
        <v>0</v>
      </c>
    </row>
    <row r="234" spans="1:19" ht="14" thickTop="1" thickBot="1">
      <c r="A234" s="202">
        <f t="shared" si="56"/>
        <v>51622</v>
      </c>
      <c r="B234" s="65">
        <f t="shared" si="49"/>
        <v>209</v>
      </c>
      <c r="C234" s="65">
        <f t="shared" si="47"/>
        <v>209</v>
      </c>
      <c r="D234" s="65">
        <f t="shared" si="50"/>
        <v>209</v>
      </c>
      <c r="E234" s="65">
        <f t="shared" si="57"/>
        <v>209</v>
      </c>
      <c r="F234" s="65">
        <f>IF(OR(L$73=0,DG!$A$252&gt;16),0,F233+1)</f>
        <v>209</v>
      </c>
      <c r="G234" s="65">
        <f t="shared" si="54"/>
        <v>0</v>
      </c>
      <c r="H234" s="65">
        <f t="shared" si="51"/>
        <v>0</v>
      </c>
      <c r="I234" s="65">
        <f t="shared" si="48"/>
        <v>1</v>
      </c>
      <c r="J234" s="203">
        <f>IF(DG!$A$131&lt;=11,$M$17,0)</f>
        <v>20000</v>
      </c>
      <c r="K234" s="65">
        <f t="shared" si="52"/>
        <v>60</v>
      </c>
      <c r="L234" s="473">
        <f t="shared" si="58"/>
        <v>5.0000100000000006E-2</v>
      </c>
      <c r="M234" s="204">
        <f t="shared" si="61"/>
        <v>0</v>
      </c>
      <c r="N234" s="505">
        <f t="shared" si="59"/>
        <v>0</v>
      </c>
      <c r="O234" s="204">
        <f>IF(DG!$A$131&gt;12,0,IF(J234-J233&gt;0,MROUND((L234/12*Q233),1),MROUND(L234/12*P233,1)))</f>
        <v>0</v>
      </c>
      <c r="P234" s="204">
        <f t="shared" si="60"/>
        <v>0</v>
      </c>
      <c r="Q234" s="204">
        <f t="shared" si="55"/>
        <v>0</v>
      </c>
      <c r="R234" s="476">
        <v>0</v>
      </c>
      <c r="S234" s="511">
        <f t="shared" si="53"/>
        <v>0</v>
      </c>
    </row>
    <row r="235" spans="1:19" ht="14" thickTop="1" thickBot="1">
      <c r="A235" s="202">
        <f t="shared" si="56"/>
        <v>51653</v>
      </c>
      <c r="B235" s="65">
        <f t="shared" si="49"/>
        <v>210</v>
      </c>
      <c r="C235" s="65">
        <f t="shared" si="47"/>
        <v>210</v>
      </c>
      <c r="D235" s="65">
        <f t="shared" si="50"/>
        <v>210</v>
      </c>
      <c r="E235" s="65">
        <f t="shared" si="57"/>
        <v>210</v>
      </c>
      <c r="F235" s="65">
        <f>IF(OR(L$73=0,DG!$A$252&gt;16),0,F234+1)</f>
        <v>210</v>
      </c>
      <c r="G235" s="65">
        <f t="shared" si="54"/>
        <v>0</v>
      </c>
      <c r="H235" s="65">
        <f t="shared" si="51"/>
        <v>0</v>
      </c>
      <c r="I235" s="65">
        <f t="shared" si="48"/>
        <v>1</v>
      </c>
      <c r="J235" s="203">
        <f>IF(DG!$A$131&lt;=11,$M$17,0)</f>
        <v>20000</v>
      </c>
      <c r="K235" s="65">
        <f t="shared" si="52"/>
        <v>60</v>
      </c>
      <c r="L235" s="473">
        <f t="shared" si="58"/>
        <v>5.0000100000000006E-2</v>
      </c>
      <c r="M235" s="204">
        <f t="shared" si="61"/>
        <v>0</v>
      </c>
      <c r="N235" s="505">
        <f t="shared" si="59"/>
        <v>0</v>
      </c>
      <c r="O235" s="204">
        <f>IF(DG!$A$131&gt;12,0,IF(J235-J234&gt;0,MROUND((L235/12*Q234),1),MROUND(L235/12*P234,1)))</f>
        <v>0</v>
      </c>
      <c r="P235" s="204">
        <f t="shared" si="60"/>
        <v>0</v>
      </c>
      <c r="Q235" s="204">
        <f t="shared" si="55"/>
        <v>0</v>
      </c>
      <c r="R235" s="476">
        <v>0</v>
      </c>
      <c r="S235" s="511">
        <f t="shared" si="53"/>
        <v>0</v>
      </c>
    </row>
    <row r="236" spans="1:19" ht="14" thickTop="1" thickBot="1">
      <c r="A236" s="202">
        <f t="shared" si="56"/>
        <v>51683</v>
      </c>
      <c r="B236" s="65">
        <f t="shared" si="49"/>
        <v>211</v>
      </c>
      <c r="C236" s="65">
        <f t="shared" si="47"/>
        <v>211</v>
      </c>
      <c r="D236" s="65">
        <f t="shared" si="50"/>
        <v>211</v>
      </c>
      <c r="E236" s="65">
        <f t="shared" si="57"/>
        <v>211</v>
      </c>
      <c r="F236" s="65">
        <f>IF(OR(L$73=0,DG!$A$252&gt;16),0,F235+1)</f>
        <v>211</v>
      </c>
      <c r="G236" s="65">
        <f t="shared" si="54"/>
        <v>0</v>
      </c>
      <c r="H236" s="65">
        <f t="shared" si="51"/>
        <v>0</v>
      </c>
      <c r="I236" s="65">
        <f t="shared" si="48"/>
        <v>1</v>
      </c>
      <c r="J236" s="203">
        <f>IF(DG!$A$131&lt;=11,$M$17,0)</f>
        <v>20000</v>
      </c>
      <c r="K236" s="65">
        <f t="shared" si="52"/>
        <v>60</v>
      </c>
      <c r="L236" s="473">
        <f t="shared" si="58"/>
        <v>5.0000100000000006E-2</v>
      </c>
      <c r="M236" s="204">
        <f t="shared" si="61"/>
        <v>0</v>
      </c>
      <c r="N236" s="505">
        <f t="shared" si="59"/>
        <v>0</v>
      </c>
      <c r="O236" s="204">
        <f>IF(DG!$A$131&gt;12,0,IF(J236-J235&gt;0,MROUND((L236/12*Q235),1),MROUND(L236/12*P235,1)))</f>
        <v>0</v>
      </c>
      <c r="P236" s="204">
        <f t="shared" si="60"/>
        <v>0</v>
      </c>
      <c r="Q236" s="204">
        <f t="shared" si="55"/>
        <v>0</v>
      </c>
      <c r="R236" s="476">
        <v>0</v>
      </c>
      <c r="S236" s="511">
        <f t="shared" si="53"/>
        <v>0</v>
      </c>
    </row>
    <row r="237" spans="1:19" ht="14" thickTop="1" thickBot="1">
      <c r="A237" s="202">
        <f t="shared" si="56"/>
        <v>51714</v>
      </c>
      <c r="B237" s="65">
        <f t="shared" si="49"/>
        <v>212</v>
      </c>
      <c r="C237" s="65">
        <f t="shared" si="47"/>
        <v>212</v>
      </c>
      <c r="D237" s="65">
        <f t="shared" si="50"/>
        <v>212</v>
      </c>
      <c r="E237" s="65">
        <f t="shared" si="57"/>
        <v>212</v>
      </c>
      <c r="F237" s="65">
        <f>IF(OR(L$73=0,DG!$A$252&gt;16),0,F236+1)</f>
        <v>212</v>
      </c>
      <c r="G237" s="65">
        <f t="shared" si="54"/>
        <v>0</v>
      </c>
      <c r="H237" s="65">
        <f t="shared" si="51"/>
        <v>0</v>
      </c>
      <c r="I237" s="65">
        <f t="shared" si="48"/>
        <v>1</v>
      </c>
      <c r="J237" s="203">
        <f>IF(DG!$A$131&lt;=11,$M$17,0)</f>
        <v>20000</v>
      </c>
      <c r="K237" s="65">
        <f t="shared" si="52"/>
        <v>60</v>
      </c>
      <c r="L237" s="473">
        <f t="shared" si="58"/>
        <v>5.0000100000000006E-2</v>
      </c>
      <c r="M237" s="204">
        <f t="shared" si="61"/>
        <v>0</v>
      </c>
      <c r="N237" s="505">
        <f t="shared" si="59"/>
        <v>0</v>
      </c>
      <c r="O237" s="204">
        <f>IF(DG!$A$131&gt;12,0,IF(J237-J236&gt;0,MROUND((L237/12*Q236),1),MROUND(L237/12*P236,1)))</f>
        <v>0</v>
      </c>
      <c r="P237" s="204">
        <f t="shared" si="60"/>
        <v>0</v>
      </c>
      <c r="Q237" s="204">
        <f t="shared" si="55"/>
        <v>0</v>
      </c>
      <c r="R237" s="476">
        <v>0</v>
      </c>
      <c r="S237" s="511">
        <f t="shared" si="53"/>
        <v>0</v>
      </c>
    </row>
    <row r="238" spans="1:19" ht="14" thickTop="1" thickBot="1">
      <c r="A238" s="202">
        <f t="shared" si="56"/>
        <v>51745</v>
      </c>
      <c r="B238" s="65">
        <f t="shared" si="49"/>
        <v>213</v>
      </c>
      <c r="C238" s="65">
        <f t="shared" si="47"/>
        <v>213</v>
      </c>
      <c r="D238" s="65">
        <f t="shared" si="50"/>
        <v>213</v>
      </c>
      <c r="E238" s="65">
        <f t="shared" si="57"/>
        <v>213</v>
      </c>
      <c r="F238" s="65">
        <f>IF(OR(L$73=0,DG!$A$252&gt;16),0,F237+1)</f>
        <v>213</v>
      </c>
      <c r="G238" s="65">
        <f t="shared" si="54"/>
        <v>0</v>
      </c>
      <c r="H238" s="65">
        <f t="shared" si="51"/>
        <v>0</v>
      </c>
      <c r="I238" s="65">
        <f t="shared" si="48"/>
        <v>1</v>
      </c>
      <c r="J238" s="203">
        <f>IF(DG!$A$131&lt;=11,$M$17,0)</f>
        <v>20000</v>
      </c>
      <c r="K238" s="65">
        <f t="shared" si="52"/>
        <v>60</v>
      </c>
      <c r="L238" s="473">
        <f t="shared" si="58"/>
        <v>5.0000100000000006E-2</v>
      </c>
      <c r="M238" s="204">
        <f t="shared" si="61"/>
        <v>0</v>
      </c>
      <c r="N238" s="505">
        <f t="shared" si="59"/>
        <v>0</v>
      </c>
      <c r="O238" s="204">
        <f>IF(DG!$A$131&gt;12,0,IF(J238-J237&gt;0,MROUND((L238/12*Q237),1),MROUND(L238/12*P237,1)))</f>
        <v>0</v>
      </c>
      <c r="P238" s="204">
        <f t="shared" si="60"/>
        <v>0</v>
      </c>
      <c r="Q238" s="204">
        <f t="shared" si="55"/>
        <v>0</v>
      </c>
      <c r="R238" s="476">
        <v>0</v>
      </c>
      <c r="S238" s="511">
        <f t="shared" si="53"/>
        <v>0</v>
      </c>
    </row>
    <row r="239" spans="1:19" ht="14" thickTop="1" thickBot="1">
      <c r="A239" s="202">
        <f t="shared" si="56"/>
        <v>51775</v>
      </c>
      <c r="B239" s="65">
        <f t="shared" si="49"/>
        <v>214</v>
      </c>
      <c r="C239" s="65">
        <f t="shared" si="47"/>
        <v>214</v>
      </c>
      <c r="D239" s="65">
        <f t="shared" si="50"/>
        <v>214</v>
      </c>
      <c r="E239" s="65">
        <f t="shared" si="57"/>
        <v>214</v>
      </c>
      <c r="F239" s="65">
        <f>IF(OR(L$73=0,DG!$A$252&gt;16),0,F238+1)</f>
        <v>214</v>
      </c>
      <c r="G239" s="65">
        <f t="shared" si="54"/>
        <v>0</v>
      </c>
      <c r="H239" s="65">
        <f t="shared" si="51"/>
        <v>0</v>
      </c>
      <c r="I239" s="65">
        <f t="shared" si="48"/>
        <v>1</v>
      </c>
      <c r="J239" s="203">
        <f>IF(DG!$A$131&lt;=11,$M$17,0)</f>
        <v>20000</v>
      </c>
      <c r="K239" s="65">
        <f t="shared" si="52"/>
        <v>60</v>
      </c>
      <c r="L239" s="473">
        <f t="shared" si="58"/>
        <v>5.0000100000000006E-2</v>
      </c>
      <c r="M239" s="204">
        <f t="shared" si="61"/>
        <v>0</v>
      </c>
      <c r="N239" s="505">
        <f t="shared" si="59"/>
        <v>0</v>
      </c>
      <c r="O239" s="204">
        <f>IF(DG!$A$131&gt;12,0,IF(J239-J238&gt;0,MROUND((L239/12*Q238),1),MROUND(L239/12*P238,1)))</f>
        <v>0</v>
      </c>
      <c r="P239" s="204">
        <f t="shared" si="60"/>
        <v>0</v>
      </c>
      <c r="Q239" s="204">
        <f t="shared" si="55"/>
        <v>0</v>
      </c>
      <c r="R239" s="476">
        <v>0</v>
      </c>
      <c r="S239" s="511">
        <f t="shared" si="53"/>
        <v>0</v>
      </c>
    </row>
    <row r="240" spans="1:19" ht="14" thickTop="1" thickBot="1">
      <c r="A240" s="202">
        <f t="shared" si="56"/>
        <v>51806</v>
      </c>
      <c r="B240" s="65">
        <f t="shared" si="49"/>
        <v>215</v>
      </c>
      <c r="C240" s="65">
        <f t="shared" si="47"/>
        <v>215</v>
      </c>
      <c r="D240" s="65">
        <f t="shared" si="50"/>
        <v>215</v>
      </c>
      <c r="E240" s="65">
        <f t="shared" si="57"/>
        <v>215</v>
      </c>
      <c r="F240" s="65">
        <f>IF(OR(L$73=0,DG!$A$252&gt;16),0,F239+1)</f>
        <v>215</v>
      </c>
      <c r="G240" s="65">
        <f t="shared" si="54"/>
        <v>0</v>
      </c>
      <c r="H240" s="65">
        <f t="shared" si="51"/>
        <v>0</v>
      </c>
      <c r="I240" s="65">
        <f t="shared" si="48"/>
        <v>1</v>
      </c>
      <c r="J240" s="203">
        <f>IF(DG!$A$131&lt;=11,$M$17,0)</f>
        <v>20000</v>
      </c>
      <c r="K240" s="65">
        <f t="shared" si="52"/>
        <v>60</v>
      </c>
      <c r="L240" s="473">
        <f t="shared" si="58"/>
        <v>5.0000100000000006E-2</v>
      </c>
      <c r="M240" s="204">
        <f t="shared" si="61"/>
        <v>0</v>
      </c>
      <c r="N240" s="505">
        <f t="shared" si="59"/>
        <v>0</v>
      </c>
      <c r="O240" s="204">
        <f>IF(DG!$A$131&gt;12,0,IF(J240-J239&gt;0,MROUND((L240/12*Q239),1),MROUND(L240/12*P239,1)))</f>
        <v>0</v>
      </c>
      <c r="P240" s="204">
        <f t="shared" si="60"/>
        <v>0</v>
      </c>
      <c r="Q240" s="204">
        <f t="shared" si="55"/>
        <v>0</v>
      </c>
      <c r="R240" s="476">
        <v>0</v>
      </c>
      <c r="S240" s="511">
        <f t="shared" si="53"/>
        <v>0</v>
      </c>
    </row>
    <row r="241" spans="1:19" ht="14" thickTop="1" thickBot="1">
      <c r="A241" s="202">
        <f t="shared" si="56"/>
        <v>51836</v>
      </c>
      <c r="B241" s="65">
        <f t="shared" si="49"/>
        <v>216</v>
      </c>
      <c r="C241" s="65">
        <f t="shared" si="47"/>
        <v>216</v>
      </c>
      <c r="D241" s="65">
        <f t="shared" si="50"/>
        <v>216</v>
      </c>
      <c r="E241" s="65">
        <f t="shared" si="57"/>
        <v>216</v>
      </c>
      <c r="F241" s="65">
        <f>IF(OR(L$73=0,DG!$A$252&gt;16),0,F240+1)</f>
        <v>216</v>
      </c>
      <c r="G241" s="65">
        <f t="shared" si="54"/>
        <v>0</v>
      </c>
      <c r="H241" s="65">
        <f t="shared" si="51"/>
        <v>0</v>
      </c>
      <c r="I241" s="65">
        <f t="shared" si="48"/>
        <v>1</v>
      </c>
      <c r="J241" s="203">
        <f>IF(DG!$A$131&lt;=11,$M$17,0)</f>
        <v>20000</v>
      </c>
      <c r="K241" s="65">
        <f t="shared" si="52"/>
        <v>60</v>
      </c>
      <c r="L241" s="473">
        <f t="shared" si="58"/>
        <v>5.0000100000000006E-2</v>
      </c>
      <c r="M241" s="204">
        <f t="shared" si="61"/>
        <v>0</v>
      </c>
      <c r="N241" s="505">
        <f t="shared" si="59"/>
        <v>0</v>
      </c>
      <c r="O241" s="204">
        <f>IF(DG!$A$131&gt;12,0,IF(J241-J240&gt;0,MROUND((L241/12*Q240),1),MROUND(L241/12*P240,1)))</f>
        <v>0</v>
      </c>
      <c r="P241" s="204">
        <f t="shared" si="60"/>
        <v>0</v>
      </c>
      <c r="Q241" s="204">
        <f t="shared" si="55"/>
        <v>0</v>
      </c>
      <c r="R241" s="476">
        <v>0</v>
      </c>
      <c r="S241" s="511">
        <f t="shared" si="53"/>
        <v>0</v>
      </c>
    </row>
    <row r="242" spans="1:19" ht="14" thickTop="1" thickBot="1">
      <c r="A242" s="202">
        <f t="shared" si="56"/>
        <v>51867</v>
      </c>
      <c r="B242" s="65">
        <f t="shared" si="49"/>
        <v>217</v>
      </c>
      <c r="C242" s="65">
        <f t="shared" si="47"/>
        <v>217</v>
      </c>
      <c r="D242" s="65">
        <f t="shared" si="50"/>
        <v>217</v>
      </c>
      <c r="E242" s="65">
        <f t="shared" si="57"/>
        <v>217</v>
      </c>
      <c r="F242" s="65">
        <f>IF(OR(L$73=0,DG!$A$252&gt;16),0,F241+1)</f>
        <v>217</v>
      </c>
      <c r="G242" s="65">
        <f t="shared" si="54"/>
        <v>0</v>
      </c>
      <c r="H242" s="65">
        <f t="shared" si="51"/>
        <v>0</v>
      </c>
      <c r="I242" s="65">
        <f t="shared" si="48"/>
        <v>1</v>
      </c>
      <c r="J242" s="203">
        <f>IF(DG!$A$131&lt;=11,$M$17,0)</f>
        <v>20000</v>
      </c>
      <c r="K242" s="65">
        <f t="shared" si="52"/>
        <v>60</v>
      </c>
      <c r="L242" s="473">
        <f t="shared" si="58"/>
        <v>5.0000100000000006E-2</v>
      </c>
      <c r="M242" s="204">
        <f t="shared" si="61"/>
        <v>0</v>
      </c>
      <c r="N242" s="505">
        <f t="shared" si="59"/>
        <v>0</v>
      </c>
      <c r="O242" s="204">
        <f>IF(DG!$A$131&gt;12,0,IF(J242-J241&gt;0,MROUND((L242/12*Q241),1),MROUND(L242/12*P241,1)))</f>
        <v>0</v>
      </c>
      <c r="P242" s="204">
        <f t="shared" si="60"/>
        <v>0</v>
      </c>
      <c r="Q242" s="204">
        <f t="shared" si="55"/>
        <v>0</v>
      </c>
      <c r="R242" s="476">
        <v>0</v>
      </c>
      <c r="S242" s="511">
        <f t="shared" si="53"/>
        <v>0</v>
      </c>
    </row>
    <row r="243" spans="1:19" ht="14" thickTop="1" thickBot="1">
      <c r="A243" s="202">
        <f t="shared" si="56"/>
        <v>51898</v>
      </c>
      <c r="B243" s="65">
        <f t="shared" si="49"/>
        <v>218</v>
      </c>
      <c r="C243" s="65">
        <f t="shared" ref="C243:C265" si="62">IF(F243-$E$269&gt;0,F243-$E$269,0)</f>
        <v>218</v>
      </c>
      <c r="D243" s="65">
        <f t="shared" si="50"/>
        <v>218</v>
      </c>
      <c r="E243" s="65">
        <f t="shared" si="57"/>
        <v>218</v>
      </c>
      <c r="F243" s="65">
        <f>IF(OR(L$73=0,DG!$A$252&gt;16),0,F242+1)</f>
        <v>218</v>
      </c>
      <c r="G243" s="65">
        <f t="shared" si="54"/>
        <v>0</v>
      </c>
      <c r="H243" s="65">
        <f t="shared" si="51"/>
        <v>0</v>
      </c>
      <c r="I243" s="65">
        <f t="shared" si="48"/>
        <v>1</v>
      </c>
      <c r="J243" s="203">
        <f>IF(DG!$A$131&lt;=11,$M$17,0)</f>
        <v>20000</v>
      </c>
      <c r="K243" s="65">
        <f t="shared" si="52"/>
        <v>60</v>
      </c>
      <c r="L243" s="473">
        <f t="shared" si="58"/>
        <v>5.0000100000000006E-2</v>
      </c>
      <c r="M243" s="204">
        <f t="shared" si="61"/>
        <v>0</v>
      </c>
      <c r="N243" s="505">
        <f t="shared" si="59"/>
        <v>0</v>
      </c>
      <c r="O243" s="204">
        <f>IF(DG!$A$131&gt;12,0,IF(J243-J242&gt;0,MROUND((L243/12*Q242),1),MROUND(L243/12*P242,1)))</f>
        <v>0</v>
      </c>
      <c r="P243" s="204">
        <f t="shared" si="60"/>
        <v>0</v>
      </c>
      <c r="Q243" s="204">
        <f t="shared" si="55"/>
        <v>0</v>
      </c>
      <c r="R243" s="476">
        <v>0</v>
      </c>
      <c r="S243" s="511">
        <f t="shared" si="53"/>
        <v>0</v>
      </c>
    </row>
    <row r="244" spans="1:19" ht="14" thickTop="1" thickBot="1">
      <c r="A244" s="202">
        <f t="shared" si="56"/>
        <v>51926</v>
      </c>
      <c r="B244" s="65">
        <f t="shared" si="49"/>
        <v>219</v>
      </c>
      <c r="C244" s="65">
        <f t="shared" si="62"/>
        <v>219</v>
      </c>
      <c r="D244" s="65">
        <f t="shared" si="50"/>
        <v>219</v>
      </c>
      <c r="E244" s="65">
        <f t="shared" si="57"/>
        <v>219</v>
      </c>
      <c r="F244" s="65">
        <f>IF(OR(L$73=0,DG!$A$252&gt;16),0,F243+1)</f>
        <v>219</v>
      </c>
      <c r="G244" s="65">
        <f t="shared" si="54"/>
        <v>0</v>
      </c>
      <c r="H244" s="65">
        <f t="shared" si="51"/>
        <v>0</v>
      </c>
      <c r="I244" s="65">
        <f t="shared" si="48"/>
        <v>1</v>
      </c>
      <c r="J244" s="203">
        <f>IF(DG!$A$131&lt;=11,$M$17,0)</f>
        <v>20000</v>
      </c>
      <c r="K244" s="65">
        <f t="shared" si="52"/>
        <v>60</v>
      </c>
      <c r="L244" s="473">
        <f t="shared" si="58"/>
        <v>5.0000100000000006E-2</v>
      </c>
      <c r="M244" s="204">
        <f t="shared" si="61"/>
        <v>0</v>
      </c>
      <c r="N244" s="505">
        <f t="shared" si="59"/>
        <v>0</v>
      </c>
      <c r="O244" s="204">
        <f>IF(DG!$A$131&gt;12,0,IF(J244-J243&gt;0,MROUND((L244/12*Q243),1),MROUND(L244/12*P243,1)))</f>
        <v>0</v>
      </c>
      <c r="P244" s="204">
        <f t="shared" si="60"/>
        <v>0</v>
      </c>
      <c r="Q244" s="204">
        <f t="shared" si="55"/>
        <v>0</v>
      </c>
      <c r="R244" s="476">
        <v>0</v>
      </c>
      <c r="S244" s="511">
        <f t="shared" si="53"/>
        <v>0</v>
      </c>
    </row>
    <row r="245" spans="1:19" ht="14" thickTop="1" thickBot="1">
      <c r="A245" s="202">
        <f t="shared" si="56"/>
        <v>51957</v>
      </c>
      <c r="B245" s="65">
        <f t="shared" si="49"/>
        <v>220</v>
      </c>
      <c r="C245" s="65">
        <f t="shared" si="62"/>
        <v>220</v>
      </c>
      <c r="D245" s="65">
        <f t="shared" si="50"/>
        <v>220</v>
      </c>
      <c r="E245" s="65">
        <f t="shared" si="57"/>
        <v>220</v>
      </c>
      <c r="F245" s="65">
        <f>IF(OR(L$73=0,DG!$A$252&gt;16),0,F244+1)</f>
        <v>220</v>
      </c>
      <c r="G245" s="65">
        <f t="shared" si="54"/>
        <v>0</v>
      </c>
      <c r="H245" s="65">
        <f t="shared" si="51"/>
        <v>0</v>
      </c>
      <c r="I245" s="65">
        <f t="shared" si="48"/>
        <v>1</v>
      </c>
      <c r="J245" s="203">
        <f>IF(DG!$A$131&lt;=11,$M$17,0)</f>
        <v>20000</v>
      </c>
      <c r="K245" s="65">
        <f t="shared" si="52"/>
        <v>60</v>
      </c>
      <c r="L245" s="473">
        <f t="shared" si="58"/>
        <v>5.0000100000000006E-2</v>
      </c>
      <c r="M245" s="204">
        <f t="shared" si="61"/>
        <v>0</v>
      </c>
      <c r="N245" s="505">
        <f t="shared" si="59"/>
        <v>0</v>
      </c>
      <c r="O245" s="204">
        <f>IF(DG!$A$131&gt;12,0,IF(J245-J244&gt;0,MROUND((L245/12*Q244),1),MROUND(L245/12*P244,1)))</f>
        <v>0</v>
      </c>
      <c r="P245" s="204">
        <f t="shared" si="60"/>
        <v>0</v>
      </c>
      <c r="Q245" s="204">
        <f t="shared" si="55"/>
        <v>0</v>
      </c>
      <c r="R245" s="476">
        <v>0</v>
      </c>
      <c r="S245" s="511">
        <f t="shared" si="53"/>
        <v>0</v>
      </c>
    </row>
    <row r="246" spans="1:19" ht="14" thickTop="1" thickBot="1">
      <c r="A246" s="202">
        <f t="shared" si="56"/>
        <v>51987</v>
      </c>
      <c r="B246" s="65">
        <f t="shared" si="49"/>
        <v>221</v>
      </c>
      <c r="C246" s="65">
        <f t="shared" si="62"/>
        <v>221</v>
      </c>
      <c r="D246" s="65">
        <f t="shared" si="50"/>
        <v>221</v>
      </c>
      <c r="E246" s="65">
        <f t="shared" si="57"/>
        <v>221</v>
      </c>
      <c r="F246" s="65">
        <f>IF(OR(L$73=0,DG!$A$252&gt;16),0,F245+1)</f>
        <v>221</v>
      </c>
      <c r="G246" s="65">
        <f t="shared" si="54"/>
        <v>0</v>
      </c>
      <c r="H246" s="65">
        <f t="shared" si="51"/>
        <v>0</v>
      </c>
      <c r="I246" s="65">
        <f t="shared" si="48"/>
        <v>1</v>
      </c>
      <c r="J246" s="203">
        <f>IF(DG!$A$131&lt;=11,$M$17,0)</f>
        <v>20000</v>
      </c>
      <c r="K246" s="65">
        <f t="shared" si="52"/>
        <v>60</v>
      </c>
      <c r="L246" s="473">
        <f t="shared" si="58"/>
        <v>5.0000100000000006E-2</v>
      </c>
      <c r="M246" s="204">
        <f t="shared" si="61"/>
        <v>0</v>
      </c>
      <c r="N246" s="505">
        <f t="shared" si="59"/>
        <v>0</v>
      </c>
      <c r="O246" s="204">
        <f>IF(DG!$A$131&gt;12,0,IF(J246-J245&gt;0,MROUND((L246/12*Q245),1),MROUND(L246/12*P245,1)))</f>
        <v>0</v>
      </c>
      <c r="P246" s="204">
        <f t="shared" si="60"/>
        <v>0</v>
      </c>
      <c r="Q246" s="204">
        <f t="shared" si="55"/>
        <v>0</v>
      </c>
      <c r="R246" s="476">
        <v>0</v>
      </c>
      <c r="S246" s="511">
        <f t="shared" si="53"/>
        <v>0</v>
      </c>
    </row>
    <row r="247" spans="1:19" ht="14" thickTop="1" thickBot="1">
      <c r="A247" s="202">
        <f t="shared" si="56"/>
        <v>52018</v>
      </c>
      <c r="B247" s="65">
        <f t="shared" si="49"/>
        <v>222</v>
      </c>
      <c r="C247" s="65">
        <f t="shared" si="62"/>
        <v>222</v>
      </c>
      <c r="D247" s="65">
        <f t="shared" si="50"/>
        <v>222</v>
      </c>
      <c r="E247" s="65">
        <f t="shared" si="57"/>
        <v>222</v>
      </c>
      <c r="F247" s="65">
        <f>IF(OR(L$73=0,DG!$A$252&gt;16),0,F246+1)</f>
        <v>222</v>
      </c>
      <c r="G247" s="65">
        <f t="shared" si="54"/>
        <v>0</v>
      </c>
      <c r="H247" s="65">
        <f t="shared" si="51"/>
        <v>0</v>
      </c>
      <c r="I247" s="65">
        <f t="shared" si="48"/>
        <v>1</v>
      </c>
      <c r="J247" s="203">
        <f>IF(DG!$A$131&lt;=11,$M$17,0)</f>
        <v>20000</v>
      </c>
      <c r="K247" s="65">
        <f t="shared" si="52"/>
        <v>60</v>
      </c>
      <c r="L247" s="473">
        <f t="shared" si="58"/>
        <v>5.0000100000000006E-2</v>
      </c>
      <c r="M247" s="204">
        <f t="shared" si="61"/>
        <v>0</v>
      </c>
      <c r="N247" s="505">
        <f t="shared" si="59"/>
        <v>0</v>
      </c>
      <c r="O247" s="204">
        <f>IF(DG!$A$131&gt;12,0,IF(J247-J246&gt;0,MROUND((L247/12*Q246),1),MROUND(L247/12*P246,1)))</f>
        <v>0</v>
      </c>
      <c r="P247" s="204">
        <f t="shared" si="60"/>
        <v>0</v>
      </c>
      <c r="Q247" s="204">
        <f t="shared" si="55"/>
        <v>0</v>
      </c>
      <c r="R247" s="476">
        <v>0</v>
      </c>
      <c r="S247" s="511">
        <f t="shared" si="53"/>
        <v>0</v>
      </c>
    </row>
    <row r="248" spans="1:19" ht="14" thickTop="1" thickBot="1">
      <c r="A248" s="202">
        <f t="shared" si="56"/>
        <v>52048</v>
      </c>
      <c r="B248" s="65">
        <f t="shared" si="49"/>
        <v>223</v>
      </c>
      <c r="C248" s="65">
        <f t="shared" si="62"/>
        <v>223</v>
      </c>
      <c r="D248" s="65">
        <f t="shared" si="50"/>
        <v>223</v>
      </c>
      <c r="E248" s="65">
        <f t="shared" si="57"/>
        <v>223</v>
      </c>
      <c r="F248" s="65">
        <f>IF(OR(L$73=0,DG!$A$252&gt;16),0,F247+1)</f>
        <v>223</v>
      </c>
      <c r="G248" s="65">
        <f t="shared" si="54"/>
        <v>0</v>
      </c>
      <c r="H248" s="65">
        <f t="shared" si="51"/>
        <v>0</v>
      </c>
      <c r="I248" s="65">
        <f t="shared" si="48"/>
        <v>1</v>
      </c>
      <c r="J248" s="203">
        <f>IF(DG!$A$131&lt;=11,$M$17,0)</f>
        <v>20000</v>
      </c>
      <c r="K248" s="65">
        <f t="shared" si="52"/>
        <v>60</v>
      </c>
      <c r="L248" s="473">
        <f t="shared" si="58"/>
        <v>5.0000100000000006E-2</v>
      </c>
      <c r="M248" s="204">
        <f t="shared" si="61"/>
        <v>0</v>
      </c>
      <c r="N248" s="505">
        <f t="shared" si="59"/>
        <v>0</v>
      </c>
      <c r="O248" s="204">
        <f>IF(DG!$A$131&gt;12,0,IF(J248-J247&gt;0,MROUND((L248/12*Q247),1),MROUND(L248/12*P247,1)))</f>
        <v>0</v>
      </c>
      <c r="P248" s="204">
        <f t="shared" si="60"/>
        <v>0</v>
      </c>
      <c r="Q248" s="204">
        <f t="shared" si="55"/>
        <v>0</v>
      </c>
      <c r="R248" s="476">
        <v>0</v>
      </c>
      <c r="S248" s="511">
        <f t="shared" si="53"/>
        <v>0</v>
      </c>
    </row>
    <row r="249" spans="1:19" ht="14" thickTop="1" thickBot="1">
      <c r="A249" s="202">
        <f t="shared" si="56"/>
        <v>52079</v>
      </c>
      <c r="B249" s="65">
        <f t="shared" si="49"/>
        <v>224</v>
      </c>
      <c r="C249" s="65">
        <f t="shared" si="62"/>
        <v>224</v>
      </c>
      <c r="D249" s="65">
        <f t="shared" si="50"/>
        <v>224</v>
      </c>
      <c r="E249" s="65">
        <f t="shared" si="57"/>
        <v>224</v>
      </c>
      <c r="F249" s="65">
        <f>IF(OR(L$73=0,DG!$A$252&gt;16),0,F248+1)</f>
        <v>224</v>
      </c>
      <c r="G249" s="65">
        <f t="shared" si="54"/>
        <v>0</v>
      </c>
      <c r="H249" s="65">
        <f t="shared" si="51"/>
        <v>0</v>
      </c>
      <c r="I249" s="65">
        <f t="shared" si="48"/>
        <v>1</v>
      </c>
      <c r="J249" s="203">
        <f>IF(DG!$A$131&lt;=11,$M$17,0)</f>
        <v>20000</v>
      </c>
      <c r="K249" s="65">
        <f t="shared" si="52"/>
        <v>60</v>
      </c>
      <c r="L249" s="473">
        <f t="shared" si="58"/>
        <v>5.0000100000000006E-2</v>
      </c>
      <c r="M249" s="204">
        <f t="shared" si="61"/>
        <v>0</v>
      </c>
      <c r="N249" s="505">
        <f t="shared" si="59"/>
        <v>0</v>
      </c>
      <c r="O249" s="204">
        <f>IF(DG!$A$131&gt;12,0,IF(J249-J248&gt;0,MROUND((L249/12*Q248),1),MROUND(L249/12*P248,1)))</f>
        <v>0</v>
      </c>
      <c r="P249" s="204">
        <f t="shared" si="60"/>
        <v>0</v>
      </c>
      <c r="Q249" s="204">
        <f t="shared" si="55"/>
        <v>0</v>
      </c>
      <c r="R249" s="476">
        <v>0</v>
      </c>
      <c r="S249" s="511">
        <f t="shared" si="53"/>
        <v>0</v>
      </c>
    </row>
    <row r="250" spans="1:19" ht="14" thickTop="1" thickBot="1">
      <c r="A250" s="202">
        <f t="shared" si="56"/>
        <v>52110</v>
      </c>
      <c r="B250" s="65">
        <f t="shared" si="49"/>
        <v>225</v>
      </c>
      <c r="C250" s="65">
        <f t="shared" si="62"/>
        <v>225</v>
      </c>
      <c r="D250" s="65">
        <f t="shared" si="50"/>
        <v>225</v>
      </c>
      <c r="E250" s="65">
        <f t="shared" si="57"/>
        <v>225</v>
      </c>
      <c r="F250" s="65">
        <f>IF(OR(L$73=0,DG!$A$252&gt;16),0,F249+1)</f>
        <v>225</v>
      </c>
      <c r="G250" s="65">
        <f t="shared" si="54"/>
        <v>0</v>
      </c>
      <c r="H250" s="65">
        <f t="shared" si="51"/>
        <v>0</v>
      </c>
      <c r="I250" s="65">
        <f t="shared" si="48"/>
        <v>1</v>
      </c>
      <c r="J250" s="203">
        <f>IF(DG!$A$131&lt;=11,$M$17,0)</f>
        <v>20000</v>
      </c>
      <c r="K250" s="65">
        <f t="shared" si="52"/>
        <v>60</v>
      </c>
      <c r="L250" s="473">
        <f t="shared" si="58"/>
        <v>5.0000100000000006E-2</v>
      </c>
      <c r="M250" s="204">
        <f t="shared" si="61"/>
        <v>0</v>
      </c>
      <c r="N250" s="505">
        <f t="shared" si="59"/>
        <v>0</v>
      </c>
      <c r="O250" s="204">
        <f>IF(DG!$A$131&gt;12,0,IF(J250-J249&gt;0,MROUND((L250/12*Q249),1),MROUND(L250/12*P249,1)))</f>
        <v>0</v>
      </c>
      <c r="P250" s="204">
        <f t="shared" si="60"/>
        <v>0</v>
      </c>
      <c r="Q250" s="204">
        <f t="shared" si="55"/>
        <v>0</v>
      </c>
      <c r="R250" s="476">
        <v>0</v>
      </c>
      <c r="S250" s="511">
        <f t="shared" si="53"/>
        <v>0</v>
      </c>
    </row>
    <row r="251" spans="1:19" ht="14" thickTop="1" thickBot="1">
      <c r="A251" s="202">
        <f t="shared" si="56"/>
        <v>52140</v>
      </c>
      <c r="B251" s="65">
        <f t="shared" si="49"/>
        <v>226</v>
      </c>
      <c r="C251" s="65">
        <f t="shared" si="62"/>
        <v>226</v>
      </c>
      <c r="D251" s="65">
        <f t="shared" si="50"/>
        <v>226</v>
      </c>
      <c r="E251" s="65">
        <f t="shared" si="57"/>
        <v>226</v>
      </c>
      <c r="F251" s="65">
        <f>IF(OR(L$73=0,DG!$A$252&gt;16),0,F250+1)</f>
        <v>226</v>
      </c>
      <c r="G251" s="65">
        <f t="shared" si="54"/>
        <v>0</v>
      </c>
      <c r="H251" s="65">
        <f t="shared" si="51"/>
        <v>0</v>
      </c>
      <c r="I251" s="65">
        <f t="shared" si="48"/>
        <v>1</v>
      </c>
      <c r="J251" s="203">
        <f>IF(DG!$A$131&lt;=11,$M$17,0)</f>
        <v>20000</v>
      </c>
      <c r="K251" s="65">
        <f t="shared" si="52"/>
        <v>60</v>
      </c>
      <c r="L251" s="473">
        <f t="shared" si="58"/>
        <v>5.0000100000000006E-2</v>
      </c>
      <c r="M251" s="204">
        <f t="shared" si="61"/>
        <v>0</v>
      </c>
      <c r="N251" s="505">
        <f t="shared" si="59"/>
        <v>0</v>
      </c>
      <c r="O251" s="204">
        <f>IF(DG!$A$131&gt;12,0,IF(J251-J250&gt;0,MROUND((L251/12*Q250),1),MROUND(L251/12*P250,1)))</f>
        <v>0</v>
      </c>
      <c r="P251" s="204">
        <f t="shared" si="60"/>
        <v>0</v>
      </c>
      <c r="Q251" s="204">
        <f t="shared" si="55"/>
        <v>0</v>
      </c>
      <c r="R251" s="476">
        <v>0</v>
      </c>
      <c r="S251" s="511">
        <f t="shared" si="53"/>
        <v>0</v>
      </c>
    </row>
    <row r="252" spans="1:19" ht="14" thickTop="1" thickBot="1">
      <c r="A252" s="202">
        <f t="shared" si="56"/>
        <v>52171</v>
      </c>
      <c r="B252" s="65">
        <f t="shared" si="49"/>
        <v>227</v>
      </c>
      <c r="C252" s="65">
        <f t="shared" si="62"/>
        <v>227</v>
      </c>
      <c r="D252" s="65">
        <f t="shared" si="50"/>
        <v>227</v>
      </c>
      <c r="E252" s="65">
        <f t="shared" si="57"/>
        <v>227</v>
      </c>
      <c r="F252" s="65">
        <f>IF(OR(L$73=0,DG!$A$252&gt;16),0,F251+1)</f>
        <v>227</v>
      </c>
      <c r="G252" s="65">
        <f t="shared" si="54"/>
        <v>0</v>
      </c>
      <c r="H252" s="65">
        <f t="shared" si="51"/>
        <v>0</v>
      </c>
      <c r="I252" s="65">
        <f t="shared" si="48"/>
        <v>1</v>
      </c>
      <c r="J252" s="203">
        <f>IF(DG!$A$131&lt;=11,$M$17,0)</f>
        <v>20000</v>
      </c>
      <c r="K252" s="65">
        <f t="shared" si="52"/>
        <v>60</v>
      </c>
      <c r="L252" s="473">
        <f t="shared" si="58"/>
        <v>5.0000100000000006E-2</v>
      </c>
      <c r="M252" s="204">
        <f t="shared" si="61"/>
        <v>0</v>
      </c>
      <c r="N252" s="505">
        <f t="shared" si="59"/>
        <v>0</v>
      </c>
      <c r="O252" s="204">
        <f>IF(DG!$A$131&gt;12,0,IF(J252-J251&gt;0,MROUND((L252/12*Q251),1),MROUND(L252/12*P251,1)))</f>
        <v>0</v>
      </c>
      <c r="P252" s="204">
        <f t="shared" si="60"/>
        <v>0</v>
      </c>
      <c r="Q252" s="204">
        <f t="shared" si="55"/>
        <v>0</v>
      </c>
      <c r="R252" s="476">
        <v>0</v>
      </c>
      <c r="S252" s="511">
        <f t="shared" si="53"/>
        <v>0</v>
      </c>
    </row>
    <row r="253" spans="1:19" ht="14" thickTop="1" thickBot="1">
      <c r="A253" s="202">
        <f t="shared" si="56"/>
        <v>52201</v>
      </c>
      <c r="B253" s="65">
        <f t="shared" si="49"/>
        <v>228</v>
      </c>
      <c r="C253" s="65">
        <f t="shared" si="62"/>
        <v>228</v>
      </c>
      <c r="D253" s="65">
        <f t="shared" si="50"/>
        <v>228</v>
      </c>
      <c r="E253" s="65">
        <f t="shared" si="57"/>
        <v>228</v>
      </c>
      <c r="F253" s="65">
        <f>IF(OR(L$73=0,DG!$A$252&gt;16),0,F252+1)</f>
        <v>228</v>
      </c>
      <c r="G253" s="65">
        <f t="shared" si="54"/>
        <v>0</v>
      </c>
      <c r="H253" s="65">
        <f t="shared" si="51"/>
        <v>0</v>
      </c>
      <c r="I253" s="65">
        <f t="shared" si="48"/>
        <v>1</v>
      </c>
      <c r="J253" s="203">
        <f>IF(DG!$A$131&lt;=11,$M$17,0)</f>
        <v>20000</v>
      </c>
      <c r="K253" s="65">
        <f t="shared" si="52"/>
        <v>60</v>
      </c>
      <c r="L253" s="473">
        <f t="shared" si="58"/>
        <v>5.0000100000000006E-2</v>
      </c>
      <c r="M253" s="204">
        <f t="shared" si="61"/>
        <v>0</v>
      </c>
      <c r="N253" s="505">
        <f t="shared" si="59"/>
        <v>0</v>
      </c>
      <c r="O253" s="204">
        <f>IF(DG!$A$131&gt;12,0,IF(J253-J252&gt;0,MROUND((L253/12*Q252),1),MROUND(L253/12*P252,1)))</f>
        <v>0</v>
      </c>
      <c r="P253" s="204">
        <f t="shared" si="60"/>
        <v>0</v>
      </c>
      <c r="Q253" s="204">
        <f t="shared" si="55"/>
        <v>0</v>
      </c>
      <c r="R253" s="476">
        <v>0</v>
      </c>
      <c r="S253" s="511">
        <f t="shared" si="53"/>
        <v>0</v>
      </c>
    </row>
    <row r="254" spans="1:19" ht="14" thickTop="1" thickBot="1">
      <c r="A254" s="202">
        <f t="shared" si="56"/>
        <v>52232</v>
      </c>
      <c r="B254" s="65">
        <f t="shared" si="49"/>
        <v>229</v>
      </c>
      <c r="C254" s="65">
        <f t="shared" si="62"/>
        <v>229</v>
      </c>
      <c r="D254" s="65">
        <f t="shared" si="50"/>
        <v>229</v>
      </c>
      <c r="E254" s="65">
        <f t="shared" si="57"/>
        <v>229</v>
      </c>
      <c r="F254" s="65">
        <f>IF(OR(L$73=0,DG!$A$252&gt;16),0,F253+1)</f>
        <v>229</v>
      </c>
      <c r="G254" s="65">
        <f t="shared" si="54"/>
        <v>0</v>
      </c>
      <c r="H254" s="65">
        <f t="shared" si="51"/>
        <v>0</v>
      </c>
      <c r="I254" s="65">
        <f t="shared" si="48"/>
        <v>1</v>
      </c>
      <c r="J254" s="203">
        <f>IF(DG!$A$131&lt;=11,$M$17,0)</f>
        <v>20000</v>
      </c>
      <c r="K254" s="65">
        <f t="shared" si="52"/>
        <v>60</v>
      </c>
      <c r="L254" s="473">
        <f t="shared" si="58"/>
        <v>5.0000100000000006E-2</v>
      </c>
      <c r="M254" s="204">
        <f t="shared" si="61"/>
        <v>0</v>
      </c>
      <c r="N254" s="505">
        <f t="shared" si="59"/>
        <v>0</v>
      </c>
      <c r="O254" s="204">
        <f>IF(DG!$A$131&gt;12,0,IF(J254-J253&gt;0,MROUND((L254/12*Q253),1),MROUND(L254/12*P253,1)))</f>
        <v>0</v>
      </c>
      <c r="P254" s="204">
        <f t="shared" si="60"/>
        <v>0</v>
      </c>
      <c r="Q254" s="204">
        <f t="shared" si="55"/>
        <v>0</v>
      </c>
      <c r="R254" s="476">
        <v>0</v>
      </c>
      <c r="S254" s="511">
        <f t="shared" si="53"/>
        <v>0</v>
      </c>
    </row>
    <row r="255" spans="1:19" ht="14" thickTop="1" thickBot="1">
      <c r="A255" s="202">
        <f t="shared" si="56"/>
        <v>52263</v>
      </c>
      <c r="B255" s="65">
        <f t="shared" si="49"/>
        <v>230</v>
      </c>
      <c r="C255" s="65">
        <f t="shared" si="62"/>
        <v>230</v>
      </c>
      <c r="D255" s="65">
        <f t="shared" si="50"/>
        <v>230</v>
      </c>
      <c r="E255" s="65">
        <f t="shared" si="57"/>
        <v>230</v>
      </c>
      <c r="F255" s="65">
        <f>IF(OR(L$73=0,DG!$A$252&gt;16),0,F254+1)</f>
        <v>230</v>
      </c>
      <c r="G255" s="65">
        <f t="shared" si="54"/>
        <v>0</v>
      </c>
      <c r="H255" s="65">
        <f t="shared" si="51"/>
        <v>0</v>
      </c>
      <c r="I255" s="65">
        <f t="shared" si="48"/>
        <v>1</v>
      </c>
      <c r="J255" s="203">
        <f>IF(DG!$A$131&lt;=11,$M$17,0)</f>
        <v>20000</v>
      </c>
      <c r="K255" s="65">
        <f t="shared" si="52"/>
        <v>60</v>
      </c>
      <c r="L255" s="473">
        <f t="shared" si="58"/>
        <v>5.0000100000000006E-2</v>
      </c>
      <c r="M255" s="204">
        <f t="shared" si="61"/>
        <v>0</v>
      </c>
      <c r="N255" s="505">
        <f t="shared" si="59"/>
        <v>0</v>
      </c>
      <c r="O255" s="204">
        <f>IF(DG!$A$131&gt;12,0,IF(J255-J254&gt;0,MROUND((L255/12*Q254),1),MROUND(L255/12*P254,1)))</f>
        <v>0</v>
      </c>
      <c r="P255" s="204">
        <f t="shared" si="60"/>
        <v>0</v>
      </c>
      <c r="Q255" s="204">
        <f t="shared" si="55"/>
        <v>0</v>
      </c>
      <c r="R255" s="476">
        <v>0</v>
      </c>
      <c r="S255" s="511">
        <f t="shared" si="53"/>
        <v>0</v>
      </c>
    </row>
    <row r="256" spans="1:19" ht="14" thickTop="1" thickBot="1">
      <c r="A256" s="202">
        <f t="shared" si="56"/>
        <v>52291</v>
      </c>
      <c r="B256" s="65">
        <f t="shared" si="49"/>
        <v>231</v>
      </c>
      <c r="C256" s="65">
        <f t="shared" si="62"/>
        <v>231</v>
      </c>
      <c r="D256" s="65">
        <f t="shared" si="50"/>
        <v>231</v>
      </c>
      <c r="E256" s="65">
        <f t="shared" si="57"/>
        <v>231</v>
      </c>
      <c r="F256" s="65">
        <f>IF(OR(L$73=0,DG!$A$252&gt;16),0,F255+1)</f>
        <v>231</v>
      </c>
      <c r="G256" s="65">
        <f t="shared" si="54"/>
        <v>0</v>
      </c>
      <c r="H256" s="65">
        <f t="shared" si="51"/>
        <v>0</v>
      </c>
      <c r="I256" s="65">
        <f t="shared" si="48"/>
        <v>1</v>
      </c>
      <c r="J256" s="203">
        <f>IF(DG!$A$131&lt;=11,$M$17,0)</f>
        <v>20000</v>
      </c>
      <c r="K256" s="65">
        <f t="shared" si="52"/>
        <v>60</v>
      </c>
      <c r="L256" s="473">
        <f t="shared" si="58"/>
        <v>5.0000100000000006E-2</v>
      </c>
      <c r="M256" s="204">
        <f t="shared" si="61"/>
        <v>0</v>
      </c>
      <c r="N256" s="505">
        <f t="shared" si="59"/>
        <v>0</v>
      </c>
      <c r="O256" s="204">
        <f>IF(DG!$A$131&gt;12,0,IF(J256-J255&gt;0,MROUND((L256/12*Q255),1),MROUND(L256/12*P255,1)))</f>
        <v>0</v>
      </c>
      <c r="P256" s="204">
        <f t="shared" si="60"/>
        <v>0</v>
      </c>
      <c r="Q256" s="204">
        <f t="shared" si="55"/>
        <v>0</v>
      </c>
      <c r="R256" s="476">
        <v>0</v>
      </c>
      <c r="S256" s="511">
        <f t="shared" si="53"/>
        <v>0</v>
      </c>
    </row>
    <row r="257" spans="1:19" ht="14" thickTop="1" thickBot="1">
      <c r="A257" s="202">
        <f t="shared" si="56"/>
        <v>52322</v>
      </c>
      <c r="B257" s="65">
        <f t="shared" si="49"/>
        <v>232</v>
      </c>
      <c r="C257" s="65">
        <f t="shared" si="62"/>
        <v>232</v>
      </c>
      <c r="D257" s="65">
        <f t="shared" si="50"/>
        <v>232</v>
      </c>
      <c r="E257" s="65">
        <f t="shared" si="57"/>
        <v>232</v>
      </c>
      <c r="F257" s="65">
        <f>IF(OR(L$73=0,DG!$A$252&gt;16),0,F256+1)</f>
        <v>232</v>
      </c>
      <c r="G257" s="65">
        <f t="shared" si="54"/>
        <v>0</v>
      </c>
      <c r="H257" s="65">
        <f t="shared" si="51"/>
        <v>0</v>
      </c>
      <c r="I257" s="65">
        <f t="shared" ref="I257:I265" si="63">IF(OR(G257=1,C257=0),0,IF(K257-C257&lt;$G$269,1,-1))</f>
        <v>1</v>
      </c>
      <c r="J257" s="203">
        <f>IF(DG!$A$131&lt;=11,$M$17,0)</f>
        <v>20000</v>
      </c>
      <c r="K257" s="65">
        <f t="shared" si="52"/>
        <v>60</v>
      </c>
      <c r="L257" s="473">
        <f t="shared" si="58"/>
        <v>5.0000100000000006E-2</v>
      </c>
      <c r="M257" s="204">
        <f t="shared" si="61"/>
        <v>0</v>
      </c>
      <c r="N257" s="505">
        <f t="shared" si="59"/>
        <v>0</v>
      </c>
      <c r="O257" s="204">
        <f>IF(DG!$A$131&gt;12,0,IF(J257-J256&gt;0,MROUND((L257/12*Q256),1),MROUND(L257/12*P256,1)))</f>
        <v>0</v>
      </c>
      <c r="P257" s="204">
        <f t="shared" si="60"/>
        <v>0</v>
      </c>
      <c r="Q257" s="204">
        <f t="shared" si="55"/>
        <v>0</v>
      </c>
      <c r="R257" s="476">
        <v>0</v>
      </c>
      <c r="S257" s="511">
        <f t="shared" si="53"/>
        <v>0</v>
      </c>
    </row>
    <row r="258" spans="1:19" ht="14" thickTop="1" thickBot="1">
      <c r="A258" s="202">
        <f t="shared" si="56"/>
        <v>52352</v>
      </c>
      <c r="B258" s="65">
        <f t="shared" si="49"/>
        <v>233</v>
      </c>
      <c r="C258" s="65">
        <f t="shared" si="62"/>
        <v>233</v>
      </c>
      <c r="D258" s="65">
        <f t="shared" si="50"/>
        <v>233</v>
      </c>
      <c r="E258" s="65">
        <f t="shared" si="57"/>
        <v>233</v>
      </c>
      <c r="F258" s="65">
        <f>IF(OR(L$73=0,DG!$A$252&gt;16),0,F257+1)</f>
        <v>233</v>
      </c>
      <c r="G258" s="65">
        <f t="shared" si="54"/>
        <v>0</v>
      </c>
      <c r="H258" s="65">
        <f t="shared" si="51"/>
        <v>0</v>
      </c>
      <c r="I258" s="65">
        <f t="shared" si="63"/>
        <v>1</v>
      </c>
      <c r="J258" s="203">
        <f>IF(DG!$A$131&lt;=11,$M$17,0)</f>
        <v>20000</v>
      </c>
      <c r="K258" s="65">
        <f t="shared" si="52"/>
        <v>60</v>
      </c>
      <c r="L258" s="473">
        <f t="shared" si="58"/>
        <v>5.0000100000000006E-2</v>
      </c>
      <c r="M258" s="204">
        <f t="shared" si="61"/>
        <v>0</v>
      </c>
      <c r="N258" s="505">
        <f t="shared" si="59"/>
        <v>0</v>
      </c>
      <c r="O258" s="204">
        <f>IF(DG!$A$131&gt;12,0,IF(J258-J257&gt;0,MROUND((L258/12*Q257),1),MROUND(L258/12*P257,1)))</f>
        <v>0</v>
      </c>
      <c r="P258" s="204">
        <f t="shared" si="60"/>
        <v>0</v>
      </c>
      <c r="Q258" s="204">
        <f t="shared" si="55"/>
        <v>0</v>
      </c>
      <c r="R258" s="476">
        <v>0</v>
      </c>
      <c r="S258" s="511">
        <f t="shared" si="53"/>
        <v>0</v>
      </c>
    </row>
    <row r="259" spans="1:19" ht="14" thickTop="1" thickBot="1">
      <c r="A259" s="202">
        <f t="shared" si="56"/>
        <v>52383</v>
      </c>
      <c r="B259" s="65">
        <f t="shared" si="49"/>
        <v>234</v>
      </c>
      <c r="C259" s="65">
        <f t="shared" si="62"/>
        <v>234</v>
      </c>
      <c r="D259" s="65">
        <f t="shared" si="50"/>
        <v>234</v>
      </c>
      <c r="E259" s="65">
        <f t="shared" si="57"/>
        <v>234</v>
      </c>
      <c r="F259" s="65">
        <f>IF(OR(L$73=0,DG!$A$252&gt;16),0,F258+1)</f>
        <v>234</v>
      </c>
      <c r="G259" s="65">
        <f t="shared" si="54"/>
        <v>0</v>
      </c>
      <c r="H259" s="65">
        <f t="shared" si="51"/>
        <v>0</v>
      </c>
      <c r="I259" s="65">
        <f t="shared" si="63"/>
        <v>1</v>
      </c>
      <c r="J259" s="203">
        <f>IF(DG!$A$131&lt;=11,$M$17,0)</f>
        <v>20000</v>
      </c>
      <c r="K259" s="65">
        <f t="shared" si="52"/>
        <v>60</v>
      </c>
      <c r="L259" s="473">
        <f t="shared" si="58"/>
        <v>5.0000100000000006E-2</v>
      </c>
      <c r="M259" s="204">
        <f t="shared" si="61"/>
        <v>0</v>
      </c>
      <c r="N259" s="505">
        <f t="shared" si="59"/>
        <v>0</v>
      </c>
      <c r="O259" s="204">
        <f>IF(DG!$A$131&gt;12,0,IF(J259-J258&gt;0,MROUND((L259/12*Q258),1),MROUND(L259/12*P258,1)))</f>
        <v>0</v>
      </c>
      <c r="P259" s="204">
        <f t="shared" si="60"/>
        <v>0</v>
      </c>
      <c r="Q259" s="204">
        <f t="shared" si="55"/>
        <v>0</v>
      </c>
      <c r="R259" s="476">
        <v>0</v>
      </c>
      <c r="S259" s="511">
        <f t="shared" si="53"/>
        <v>0</v>
      </c>
    </row>
    <row r="260" spans="1:19" ht="14" thickTop="1" thickBot="1">
      <c r="A260" s="202">
        <f t="shared" si="56"/>
        <v>52413</v>
      </c>
      <c r="B260" s="65">
        <f t="shared" si="49"/>
        <v>235</v>
      </c>
      <c r="C260" s="65">
        <f t="shared" si="62"/>
        <v>235</v>
      </c>
      <c r="D260" s="65">
        <f t="shared" si="50"/>
        <v>235</v>
      </c>
      <c r="E260" s="65">
        <f t="shared" si="57"/>
        <v>235</v>
      </c>
      <c r="F260" s="65">
        <f>IF(OR(L$73=0,DG!$A$252&gt;16),0,F259+1)</f>
        <v>235</v>
      </c>
      <c r="G260" s="65">
        <f t="shared" si="54"/>
        <v>0</v>
      </c>
      <c r="H260" s="65">
        <f t="shared" si="51"/>
        <v>0</v>
      </c>
      <c r="I260" s="65">
        <f t="shared" si="63"/>
        <v>1</v>
      </c>
      <c r="J260" s="203">
        <f>IF(DG!$A$131&lt;=11,$M$17,0)</f>
        <v>20000</v>
      </c>
      <c r="K260" s="65">
        <f t="shared" si="52"/>
        <v>60</v>
      </c>
      <c r="L260" s="473">
        <f t="shared" si="58"/>
        <v>5.0000100000000006E-2</v>
      </c>
      <c r="M260" s="204">
        <f t="shared" si="61"/>
        <v>0</v>
      </c>
      <c r="N260" s="505">
        <f t="shared" si="59"/>
        <v>0</v>
      </c>
      <c r="O260" s="204">
        <f>IF(DG!$A$131&gt;12,0,IF(J260-J259&gt;0,MROUND((L260/12*Q259),1),MROUND(L260/12*P259,1)))</f>
        <v>0</v>
      </c>
      <c r="P260" s="204">
        <f t="shared" si="60"/>
        <v>0</v>
      </c>
      <c r="Q260" s="204">
        <f t="shared" si="55"/>
        <v>0</v>
      </c>
      <c r="R260" s="476">
        <v>0</v>
      </c>
      <c r="S260" s="511">
        <f t="shared" si="53"/>
        <v>0</v>
      </c>
    </row>
    <row r="261" spans="1:19" ht="14" thickTop="1" thickBot="1">
      <c r="A261" s="202">
        <f t="shared" si="56"/>
        <v>52444</v>
      </c>
      <c r="B261" s="65">
        <f t="shared" si="49"/>
        <v>236</v>
      </c>
      <c r="C261" s="65">
        <f t="shared" si="62"/>
        <v>236</v>
      </c>
      <c r="D261" s="65">
        <f t="shared" si="50"/>
        <v>236</v>
      </c>
      <c r="E261" s="65">
        <f t="shared" si="57"/>
        <v>236</v>
      </c>
      <c r="F261" s="65">
        <f>IF(OR(L$73=0,DG!$A$252&gt;16),0,F260+1)</f>
        <v>236</v>
      </c>
      <c r="G261" s="65">
        <f t="shared" si="54"/>
        <v>0</v>
      </c>
      <c r="H261" s="65">
        <f t="shared" si="51"/>
        <v>0</v>
      </c>
      <c r="I261" s="65">
        <f t="shared" si="63"/>
        <v>1</v>
      </c>
      <c r="J261" s="203">
        <f>IF(DG!$A$131&lt;=11,$M$17,0)</f>
        <v>20000</v>
      </c>
      <c r="K261" s="65">
        <f t="shared" si="52"/>
        <v>60</v>
      </c>
      <c r="L261" s="473">
        <f t="shared" si="58"/>
        <v>5.0000100000000006E-2</v>
      </c>
      <c r="M261" s="204">
        <f t="shared" si="61"/>
        <v>0</v>
      </c>
      <c r="N261" s="505">
        <f t="shared" si="59"/>
        <v>0</v>
      </c>
      <c r="O261" s="204">
        <f>IF(DG!$A$131&gt;12,0,IF(J261-J260&gt;0,MROUND((L261/12*Q260),1),MROUND(L261/12*P260,1)))</f>
        <v>0</v>
      </c>
      <c r="P261" s="204">
        <f t="shared" si="60"/>
        <v>0</v>
      </c>
      <c r="Q261" s="204">
        <f t="shared" si="55"/>
        <v>0</v>
      </c>
      <c r="R261" s="476">
        <v>0</v>
      </c>
      <c r="S261" s="511">
        <f t="shared" si="53"/>
        <v>0</v>
      </c>
    </row>
    <row r="262" spans="1:19" ht="14" thickTop="1" thickBot="1">
      <c r="A262" s="202">
        <f t="shared" si="56"/>
        <v>52475</v>
      </c>
      <c r="B262" s="65">
        <f t="shared" si="49"/>
        <v>237</v>
      </c>
      <c r="C262" s="65">
        <f t="shared" si="62"/>
        <v>237</v>
      </c>
      <c r="D262" s="65">
        <f t="shared" si="50"/>
        <v>237</v>
      </c>
      <c r="E262" s="65">
        <f t="shared" si="57"/>
        <v>237</v>
      </c>
      <c r="F262" s="65">
        <f>IF(OR(L$73=0,DG!$A$252&gt;16),0,F261+1)</f>
        <v>237</v>
      </c>
      <c r="G262" s="65">
        <f t="shared" si="54"/>
        <v>0</v>
      </c>
      <c r="H262" s="65">
        <f t="shared" si="51"/>
        <v>0</v>
      </c>
      <c r="I262" s="65">
        <f t="shared" si="63"/>
        <v>1</v>
      </c>
      <c r="J262" s="203">
        <f>IF(DG!$A$131&lt;=11,$M$17,0)</f>
        <v>20000</v>
      </c>
      <c r="K262" s="65">
        <f t="shared" si="52"/>
        <v>60</v>
      </c>
      <c r="L262" s="473">
        <f t="shared" si="58"/>
        <v>5.0000100000000006E-2</v>
      </c>
      <c r="M262" s="204">
        <f t="shared" si="61"/>
        <v>0</v>
      </c>
      <c r="N262" s="505">
        <f t="shared" si="59"/>
        <v>0</v>
      </c>
      <c r="O262" s="204">
        <f>IF(DG!$A$131&gt;12,0,IF(J262-J261&gt;0,MROUND((L262/12*Q261),1),MROUND(L262/12*P261,1)))</f>
        <v>0</v>
      </c>
      <c r="P262" s="204">
        <f t="shared" si="60"/>
        <v>0</v>
      </c>
      <c r="Q262" s="204">
        <f t="shared" si="55"/>
        <v>0</v>
      </c>
      <c r="R262" s="476">
        <v>0</v>
      </c>
      <c r="S262" s="511">
        <f t="shared" si="53"/>
        <v>0</v>
      </c>
    </row>
    <row r="263" spans="1:19" ht="14" thickTop="1" thickBot="1">
      <c r="A263" s="202">
        <f t="shared" si="56"/>
        <v>52505</v>
      </c>
      <c r="B263" s="65">
        <f t="shared" si="49"/>
        <v>238</v>
      </c>
      <c r="C263" s="65">
        <f t="shared" si="62"/>
        <v>238</v>
      </c>
      <c r="D263" s="65">
        <f t="shared" si="50"/>
        <v>238</v>
      </c>
      <c r="E263" s="65">
        <f t="shared" si="57"/>
        <v>238</v>
      </c>
      <c r="F263" s="65">
        <f>IF(OR(L$73=0,DG!$A$252&gt;16),0,F262+1)</f>
        <v>238</v>
      </c>
      <c r="G263" s="65">
        <f t="shared" si="54"/>
        <v>0</v>
      </c>
      <c r="H263" s="65">
        <f t="shared" si="51"/>
        <v>0</v>
      </c>
      <c r="I263" s="65">
        <f t="shared" si="63"/>
        <v>1</v>
      </c>
      <c r="J263" s="203">
        <f>IF(DG!$A$131&lt;=11,$M$17,0)</f>
        <v>20000</v>
      </c>
      <c r="K263" s="65">
        <f t="shared" si="52"/>
        <v>60</v>
      </c>
      <c r="L263" s="473">
        <f t="shared" si="58"/>
        <v>5.0000100000000006E-2</v>
      </c>
      <c r="M263" s="204">
        <f t="shared" si="61"/>
        <v>0</v>
      </c>
      <c r="N263" s="505">
        <f t="shared" si="59"/>
        <v>0</v>
      </c>
      <c r="O263" s="204">
        <f>IF(DG!$A$131&gt;12,0,IF(J263-J262&gt;0,MROUND((L263/12*Q262),1),MROUND(L263/12*P262,1)))</f>
        <v>0</v>
      </c>
      <c r="P263" s="204">
        <f t="shared" si="60"/>
        <v>0</v>
      </c>
      <c r="Q263" s="204">
        <f t="shared" si="55"/>
        <v>0</v>
      </c>
      <c r="R263" s="476">
        <v>0</v>
      </c>
      <c r="S263" s="511">
        <f t="shared" si="53"/>
        <v>0</v>
      </c>
    </row>
    <row r="264" spans="1:19" ht="14" thickTop="1" thickBot="1">
      <c r="A264" s="202">
        <f t="shared" si="56"/>
        <v>52536</v>
      </c>
      <c r="B264" s="65">
        <f t="shared" si="49"/>
        <v>239</v>
      </c>
      <c r="C264" s="65">
        <f t="shared" si="62"/>
        <v>239</v>
      </c>
      <c r="D264" s="65">
        <f t="shared" si="50"/>
        <v>239</v>
      </c>
      <c r="E264" s="65">
        <f t="shared" si="57"/>
        <v>239</v>
      </c>
      <c r="F264" s="65">
        <f>IF(OR(L$73=0,DG!$A$252&gt;16),0,F263+1)</f>
        <v>239</v>
      </c>
      <c r="G264" s="65">
        <f t="shared" si="54"/>
        <v>0</v>
      </c>
      <c r="H264" s="65">
        <f t="shared" si="51"/>
        <v>0</v>
      </c>
      <c r="I264" s="65">
        <f t="shared" si="63"/>
        <v>1</v>
      </c>
      <c r="J264" s="203">
        <f>IF(DG!$A$131&lt;=11,$M$17,0)</f>
        <v>20000</v>
      </c>
      <c r="K264" s="65">
        <f t="shared" si="52"/>
        <v>60</v>
      </c>
      <c r="L264" s="473">
        <f t="shared" si="58"/>
        <v>5.0000100000000006E-2</v>
      </c>
      <c r="M264" s="204">
        <f t="shared" si="61"/>
        <v>0</v>
      </c>
      <c r="N264" s="505">
        <f t="shared" si="59"/>
        <v>0</v>
      </c>
      <c r="O264" s="204">
        <f>IF(DG!$A$131&gt;12,0,IF(J264-J263&gt;0,MROUND((L264/12*Q263),1),MROUND(L264/12*P263,1)))</f>
        <v>0</v>
      </c>
      <c r="P264" s="204">
        <f t="shared" si="60"/>
        <v>0</v>
      </c>
      <c r="Q264" s="204">
        <f t="shared" si="55"/>
        <v>0</v>
      </c>
      <c r="R264" s="476">
        <v>0</v>
      </c>
      <c r="S264" s="511">
        <f t="shared" si="53"/>
        <v>0</v>
      </c>
    </row>
    <row r="265" spans="1:19" ht="14" thickTop="1" thickBot="1">
      <c r="A265" s="202">
        <f t="shared" si="56"/>
        <v>52566</v>
      </c>
      <c r="B265" s="65">
        <f t="shared" si="49"/>
        <v>240</v>
      </c>
      <c r="C265" s="65">
        <f t="shared" si="62"/>
        <v>240</v>
      </c>
      <c r="D265" s="65">
        <f t="shared" si="50"/>
        <v>240</v>
      </c>
      <c r="E265" s="65">
        <f t="shared" si="57"/>
        <v>240</v>
      </c>
      <c r="F265" s="65">
        <f>IF(OR(L$73=0,DG!$A$252&gt;16),0,F264+1)</f>
        <v>240</v>
      </c>
      <c r="G265" s="65">
        <f t="shared" si="54"/>
        <v>0</v>
      </c>
      <c r="H265" s="65">
        <f t="shared" si="51"/>
        <v>0</v>
      </c>
      <c r="I265" s="65">
        <f t="shared" si="63"/>
        <v>1</v>
      </c>
      <c r="J265" s="203">
        <f>IF(DG!$A$131&lt;=11,$M$17,0)</f>
        <v>20000</v>
      </c>
      <c r="K265" s="65">
        <f t="shared" si="52"/>
        <v>60</v>
      </c>
      <c r="L265" s="473">
        <f t="shared" si="58"/>
        <v>5.0000100000000006E-2</v>
      </c>
      <c r="M265" s="204">
        <f t="shared" si="61"/>
        <v>0</v>
      </c>
      <c r="N265" s="505">
        <f t="shared" si="59"/>
        <v>0</v>
      </c>
      <c r="O265" s="204">
        <f>IF(DG!$A$131&gt;12,0,IF(J265-J264&gt;0,MROUND((L265/12*Q264),1),MROUND(L265/12*P264,1)))</f>
        <v>0</v>
      </c>
      <c r="P265" s="204">
        <f t="shared" si="60"/>
        <v>0</v>
      </c>
      <c r="Q265" s="204">
        <f t="shared" si="55"/>
        <v>0</v>
      </c>
      <c r="R265" s="476">
        <v>0</v>
      </c>
      <c r="S265" s="511">
        <f t="shared" si="53"/>
        <v>0</v>
      </c>
    </row>
    <row r="266" spans="1:19" ht="13.5" thickTop="1">
      <c r="A266" s="43"/>
      <c r="H266" s="65">
        <f>IF(B266&gt;0,1,0)</f>
        <v>0</v>
      </c>
      <c r="I266" s="65">
        <f>SUM(E266:H266)</f>
        <v>0</v>
      </c>
      <c r="M266" s="205"/>
      <c r="N266" s="505">
        <f t="shared" si="59"/>
        <v>0</v>
      </c>
      <c r="O266" s="204">
        <f>IF(DG!$A$131&gt;12,0,IF(J266-J265&gt;0,MROUND((L266/12*Q265),1),MROUND(L266/12*P265,1)))</f>
        <v>0</v>
      </c>
    </row>
    <row r="267" spans="1:19">
      <c r="A267" s="43"/>
      <c r="H267" s="65">
        <f>IF(B267&gt;0,1,0)</f>
        <v>0</v>
      </c>
      <c r="I267" s="65">
        <f>SUM(E267:H267)</f>
        <v>0</v>
      </c>
      <c r="M267" s="205"/>
      <c r="N267" s="505">
        <f t="shared" si="59"/>
        <v>0</v>
      </c>
      <c r="O267" s="204">
        <f>IF(DG!$A$131&gt;12,0,IF(J267-J266&gt;0,MROUND((L267/12*Q266),1),MROUND(L267/12*P266,1)))</f>
        <v>0</v>
      </c>
    </row>
    <row r="268" spans="1:19">
      <c r="A268" s="43"/>
      <c r="O268" s="205">
        <f>SUM(O74:O85)</f>
        <v>120</v>
      </c>
    </row>
    <row r="269" spans="1:19">
      <c r="A269" s="43"/>
      <c r="E269" s="43">
        <f>D73-E73</f>
        <v>0</v>
      </c>
      <c r="G269" s="43">
        <f>SUM(G26:G73)</f>
        <v>0</v>
      </c>
      <c r="O269"/>
    </row>
  </sheetData>
  <sheetProtection algorithmName="SHA-512" hashValue="aTSeSVKAVXYfFB5V9K6UIE7g2OLuxzLty1F8mlsg8ha84xTVLdM67nvNSZHArnuJ6o1+tYljWthQsFP530pdvQ==" saltValue="vlIn9K8czlshtP04e2j45A==" spinCount="100000" sheet="1" objects="1" scenarios="1"/>
  <customSheetViews>
    <customSheetView guid="{30D0538C-360A-4CDF-8D89-584CED1967CC}"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51" r:id="rId4" name="Drop Down 23">
              <controlPr defaultSize="0" autoFill="0" autoLine="0" autoPict="0">
                <anchor moveWithCells="1">
                  <from>
                    <xdr:col>15</xdr:col>
                    <xdr:colOff>0</xdr:colOff>
                    <xdr:row>15</xdr:row>
                    <xdr:rowOff>63500</xdr:rowOff>
                  </from>
                  <to>
                    <xdr:col>16</xdr:col>
                    <xdr:colOff>25400</xdr:colOff>
                    <xdr:row>17</xdr:row>
                    <xdr:rowOff>38100</xdr:rowOff>
                  </to>
                </anchor>
              </controlPr>
            </control>
          </mc:Choice>
        </mc:AlternateContent>
        <mc:AlternateContent xmlns:mc="http://schemas.openxmlformats.org/markup-compatibility/2006">
          <mc:Choice Requires="x14">
            <control shapeId="22555" r:id="rId5" name="Drop Down 27">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22567" r:id="rId6" name="Drop Down 39">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Feuil21">
    <pageSetUpPr fitToPage="1"/>
  </sheetPr>
  <dimension ref="A8:S269"/>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104</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IF(OR(J$26=0,DG!$A$132&gt;1),0,B25+1)</f>
        <v>0</v>
      </c>
      <c r="C26" s="65">
        <f t="shared" ref="C26:C49" si="0">IF(F26-$E$269&gt;0,F26-$E$269,0)</f>
        <v>0</v>
      </c>
      <c r="D26" s="65">
        <v>1</v>
      </c>
      <c r="E26" s="65">
        <f>B26</f>
        <v>0</v>
      </c>
      <c r="F26" s="65">
        <f>IF(OR(L$26=0,DG!$A$253&gt;1),0,F25+1)</f>
        <v>0</v>
      </c>
      <c r="G26" s="65">
        <f t="shared" ref="G26:G89" si="1">IF(E26=0,0,IF(D26-E26-F26&gt;=0,1,0))</f>
        <v>0</v>
      </c>
      <c r="H26" s="65">
        <f t="shared" ref="H26:H89" si="2">IF(I26&gt;=0,0,H25+1)</f>
        <v>0</v>
      </c>
      <c r="I26" s="65">
        <f t="shared" ref="I26:I63" si="3">IF(OR(G26=1,C26=0),0,IF(K26-C26&lt;$G$269,1,-1))</f>
        <v>0</v>
      </c>
      <c r="J26" s="203">
        <f>IF(DG!$A$132&lt;=1,$M$17,0)</f>
        <v>0</v>
      </c>
      <c r="K26" s="65">
        <f>M21</f>
        <v>0</v>
      </c>
      <c r="L26" s="473">
        <f>IF($M$17&gt;0,$M$19+0.0000001,0)</f>
        <v>0</v>
      </c>
      <c r="M26" s="204">
        <f>IF(H26=0,0,IF($R$13=1,N26+O26,IF(N26=0,O26,-PMT(L26/12,K26-$G$269,J26))))</f>
        <v>0</v>
      </c>
      <c r="N26" s="505">
        <f>IF(OR(H26-K26&gt;0,I26&gt;=0),0,MROUND(-PPMT(L26/12,H26,K26-G269,J26),1)+R26)</f>
        <v>0</v>
      </c>
      <c r="O26" s="204">
        <f>IF(DG!$A$132&gt;1,0,IF(J26-J25&gt;0,MROUND((L26/12*Q25),1),MROUND(L26/12*P25,1)))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IF(OR(J$27=0,DG!$A$132&gt;1),0,B26+1)</f>
        <v>0</v>
      </c>
      <c r="C27" s="65">
        <f t="shared" si="0"/>
        <v>0</v>
      </c>
      <c r="D27" s="65">
        <f>D26+1</f>
        <v>2</v>
      </c>
      <c r="E27" s="65">
        <f t="shared" ref="E27:E90" si="6">B27</f>
        <v>0</v>
      </c>
      <c r="F27" s="65">
        <f>IF(OR(L$27=0,DG!$A$253&gt;1),0,F26+1)</f>
        <v>0</v>
      </c>
      <c r="G27" s="65">
        <f t="shared" si="1"/>
        <v>0</v>
      </c>
      <c r="H27" s="65">
        <f t="shared" si="2"/>
        <v>0</v>
      </c>
      <c r="I27" s="65">
        <f t="shared" si="3"/>
        <v>0</v>
      </c>
      <c r="J27" s="203">
        <f>IF(DG!$A$132&lt;=1,$M$17,0)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IF(DG!$A$132&gt;1,0,IF(J27-J26&gt;0,MROUND((L27/12*Q26),1),MROUND(L27/12*P26,1)))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IF(OR(J$28=0,DG!$A$132&gt;1),0,B27+1)</f>
        <v>0</v>
      </c>
      <c r="C28" s="65">
        <f t="shared" si="0"/>
        <v>0</v>
      </c>
      <c r="D28" s="65">
        <f t="shared" ref="D28:D91" si="12">D27+1</f>
        <v>3</v>
      </c>
      <c r="E28" s="65">
        <f t="shared" si="6"/>
        <v>0</v>
      </c>
      <c r="F28" s="65">
        <f>IF(OR(L$28=0,DG!$A$253&gt;1),0,F27+1)</f>
        <v>0</v>
      </c>
      <c r="G28" s="65">
        <f t="shared" si="1"/>
        <v>0</v>
      </c>
      <c r="H28" s="65">
        <f t="shared" si="2"/>
        <v>0</v>
      </c>
      <c r="I28" s="65">
        <f t="shared" si="3"/>
        <v>0</v>
      </c>
      <c r="J28" s="203">
        <f>IF(DG!$A$132&lt;=1,$M$17,0)</f>
        <v>0</v>
      </c>
      <c r="K28" s="65">
        <f t="shared" si="7"/>
        <v>0</v>
      </c>
      <c r="L28" s="473">
        <f t="shared" si="8"/>
        <v>0</v>
      </c>
      <c r="M28" s="204">
        <f t="shared" si="9"/>
        <v>0</v>
      </c>
      <c r="N28" s="505">
        <f t="shared" si="10"/>
        <v>0</v>
      </c>
      <c r="O28" s="204">
        <f>IF(DG!$A$132&gt;1,0,IF(J28-J27&gt;0,MROUND((L28/12*Q27),1),MROUND(L28/12*P27,1)))</f>
        <v>0</v>
      </c>
      <c r="P28" s="204">
        <f t="shared" si="11"/>
        <v>0</v>
      </c>
      <c r="Q28" s="204">
        <f t="shared" si="4"/>
        <v>0</v>
      </c>
      <c r="R28" s="748">
        <v>0</v>
      </c>
    </row>
    <row r="29" spans="1:18" ht="14" thickTop="1" thickBot="1">
      <c r="A29" s="202">
        <f t="shared" si="5"/>
        <v>45383</v>
      </c>
      <c r="B29" s="65">
        <f>IF(OR(J$29=0,DG!$A$132&gt;2),0,B28+1)</f>
        <v>0</v>
      </c>
      <c r="C29" s="65">
        <f t="shared" si="0"/>
        <v>0</v>
      </c>
      <c r="D29" s="65">
        <f t="shared" si="12"/>
        <v>4</v>
      </c>
      <c r="E29" s="65">
        <f t="shared" si="6"/>
        <v>0</v>
      </c>
      <c r="F29" s="65">
        <f>IF(OR(L$29=0,DG!$A$253&gt;2),0,F28+1)</f>
        <v>0</v>
      </c>
      <c r="G29" s="65">
        <f t="shared" si="1"/>
        <v>0</v>
      </c>
      <c r="H29" s="65">
        <f t="shared" si="2"/>
        <v>0</v>
      </c>
      <c r="I29" s="65">
        <f t="shared" si="3"/>
        <v>0</v>
      </c>
      <c r="J29" s="203">
        <f>IF(DG!$A$132&lt;=2,$M$17,0)</f>
        <v>0</v>
      </c>
      <c r="K29" s="65">
        <f t="shared" si="7"/>
        <v>0</v>
      </c>
      <c r="L29" s="473">
        <f t="shared" si="8"/>
        <v>0</v>
      </c>
      <c r="M29" s="204">
        <f t="shared" si="9"/>
        <v>0</v>
      </c>
      <c r="N29" s="505">
        <f t="shared" si="10"/>
        <v>0</v>
      </c>
      <c r="O29" s="204">
        <f>IF(DG!$A$132&gt;2,0,IF(J29-J28&gt;0,MROUND((L29/12*Q28),1),MROUND(L29/12*P28,1)))</f>
        <v>0</v>
      </c>
      <c r="P29" s="204">
        <f t="shared" si="11"/>
        <v>0</v>
      </c>
      <c r="Q29" s="204">
        <f t="shared" si="4"/>
        <v>0</v>
      </c>
      <c r="R29" s="748">
        <v>0</v>
      </c>
    </row>
    <row r="30" spans="1:18" ht="14" thickTop="1" thickBot="1">
      <c r="A30" s="202">
        <f t="shared" si="5"/>
        <v>45413</v>
      </c>
      <c r="B30" s="65">
        <f>IF(OR(J$30=0,DG!$A$132&gt;2),0,B29+1)</f>
        <v>0</v>
      </c>
      <c r="C30" s="65">
        <f t="shared" si="0"/>
        <v>0</v>
      </c>
      <c r="D30" s="65">
        <f t="shared" si="12"/>
        <v>5</v>
      </c>
      <c r="E30" s="65">
        <f t="shared" si="6"/>
        <v>0</v>
      </c>
      <c r="F30" s="65">
        <f>IF(OR(L$30=0,DG!$A$253&gt;2),0,F29+1)</f>
        <v>0</v>
      </c>
      <c r="G30" s="65">
        <f t="shared" si="1"/>
        <v>0</v>
      </c>
      <c r="H30" s="65">
        <f t="shared" si="2"/>
        <v>0</v>
      </c>
      <c r="I30" s="65">
        <f t="shared" si="3"/>
        <v>0</v>
      </c>
      <c r="J30" s="203">
        <f>IF(DG!$A$132&lt;=2,$M$17,0)</f>
        <v>0</v>
      </c>
      <c r="K30" s="65">
        <f t="shared" si="7"/>
        <v>0</v>
      </c>
      <c r="L30" s="473">
        <f t="shared" si="8"/>
        <v>0</v>
      </c>
      <c r="M30" s="204">
        <f t="shared" si="9"/>
        <v>0</v>
      </c>
      <c r="N30" s="505">
        <f t="shared" si="10"/>
        <v>0</v>
      </c>
      <c r="O30" s="204">
        <f>IF(DG!$A$132&gt;2,0,IF(J30-J29&gt;0,MROUND((L30/12*Q29),1),MROUND(L30/12*P29,1)))</f>
        <v>0</v>
      </c>
      <c r="P30" s="204">
        <f t="shared" si="11"/>
        <v>0</v>
      </c>
      <c r="Q30" s="204">
        <f t="shared" si="4"/>
        <v>0</v>
      </c>
      <c r="R30" s="748">
        <v>0</v>
      </c>
    </row>
    <row r="31" spans="1:18" ht="14" thickTop="1" thickBot="1">
      <c r="A31" s="202">
        <f t="shared" si="5"/>
        <v>45444</v>
      </c>
      <c r="B31" s="65">
        <f>IF(OR(J$31=0,DG!$A$132&gt;2),0,B30+1)</f>
        <v>0</v>
      </c>
      <c r="C31" s="65">
        <f t="shared" si="0"/>
        <v>0</v>
      </c>
      <c r="D31" s="65">
        <f t="shared" si="12"/>
        <v>6</v>
      </c>
      <c r="E31" s="65">
        <f t="shared" si="6"/>
        <v>0</v>
      </c>
      <c r="F31" s="65">
        <f>IF(OR(L$31=0,DG!$A$253&gt;2),0,F30+1)</f>
        <v>0</v>
      </c>
      <c r="G31" s="65">
        <f t="shared" si="1"/>
        <v>0</v>
      </c>
      <c r="H31" s="65">
        <f t="shared" si="2"/>
        <v>0</v>
      </c>
      <c r="I31" s="65">
        <f t="shared" si="3"/>
        <v>0</v>
      </c>
      <c r="J31" s="203">
        <f>IF(DG!$A$132&lt;=2,$M$17,0)</f>
        <v>0</v>
      </c>
      <c r="K31" s="65">
        <f t="shared" si="7"/>
        <v>0</v>
      </c>
      <c r="L31" s="473">
        <f t="shared" si="8"/>
        <v>0</v>
      </c>
      <c r="M31" s="204">
        <f t="shared" si="9"/>
        <v>0</v>
      </c>
      <c r="N31" s="505">
        <f t="shared" si="10"/>
        <v>0</v>
      </c>
      <c r="O31" s="204">
        <f>IF(DG!$A$132&gt;2,0,IF(J31-J30&gt;0,MROUND((L31/12*Q30),1),MROUND(L31/12*P30,1)))</f>
        <v>0</v>
      </c>
      <c r="P31" s="204">
        <f t="shared" si="11"/>
        <v>0</v>
      </c>
      <c r="Q31" s="204">
        <f t="shared" si="4"/>
        <v>0</v>
      </c>
      <c r="R31" s="748">
        <v>0</v>
      </c>
    </row>
    <row r="32" spans="1:18" ht="14" thickTop="1" thickBot="1">
      <c r="A32" s="202">
        <f t="shared" si="5"/>
        <v>45474</v>
      </c>
      <c r="B32" s="65">
        <f>IF(OR(J$32=0,DG!$A$132&gt;3),0,B31+1)</f>
        <v>0</v>
      </c>
      <c r="C32" s="65">
        <f t="shared" si="0"/>
        <v>0</v>
      </c>
      <c r="D32" s="65">
        <f t="shared" si="12"/>
        <v>7</v>
      </c>
      <c r="E32" s="65">
        <f t="shared" si="6"/>
        <v>0</v>
      </c>
      <c r="F32" s="65">
        <f>IF(OR(L$32=0,DG!$A$253&gt;3),0,F31+1)</f>
        <v>0</v>
      </c>
      <c r="G32" s="65">
        <f t="shared" si="1"/>
        <v>0</v>
      </c>
      <c r="H32" s="65">
        <f t="shared" si="2"/>
        <v>0</v>
      </c>
      <c r="I32" s="65">
        <f t="shared" si="3"/>
        <v>0</v>
      </c>
      <c r="J32" s="203">
        <f>IF(DG!$A$132&lt;=3,$M$17,0)</f>
        <v>0</v>
      </c>
      <c r="K32" s="65">
        <f t="shared" si="7"/>
        <v>0</v>
      </c>
      <c r="L32" s="473">
        <f t="shared" si="8"/>
        <v>0</v>
      </c>
      <c r="M32" s="204">
        <f t="shared" si="9"/>
        <v>0</v>
      </c>
      <c r="N32" s="505">
        <f t="shared" si="10"/>
        <v>0</v>
      </c>
      <c r="O32" s="204">
        <f>IF(DG!$A$132&gt;3,0,IF(J32-J31&gt;0,MROUND((L32/12*Q31),1),MROUND(L32/12*P31,1)))</f>
        <v>0</v>
      </c>
      <c r="P32" s="204">
        <f t="shared" si="11"/>
        <v>0</v>
      </c>
      <c r="Q32" s="204">
        <f t="shared" si="4"/>
        <v>0</v>
      </c>
      <c r="R32" s="748">
        <v>0</v>
      </c>
    </row>
    <row r="33" spans="1:19" ht="14" thickTop="1" thickBot="1">
      <c r="A33" s="202">
        <f t="shared" si="5"/>
        <v>45505</v>
      </c>
      <c r="B33" s="65">
        <f>IF(OR(J$33=0,DG!$A$132&gt;3),0,B32+1)</f>
        <v>0</v>
      </c>
      <c r="C33" s="65">
        <f t="shared" si="0"/>
        <v>0</v>
      </c>
      <c r="D33" s="65">
        <f t="shared" si="12"/>
        <v>8</v>
      </c>
      <c r="E33" s="65">
        <f t="shared" si="6"/>
        <v>0</v>
      </c>
      <c r="F33" s="65">
        <f>IF(OR(L$33=0,DG!$A$253&gt;3),0,F32+1)</f>
        <v>0</v>
      </c>
      <c r="G33" s="65">
        <f t="shared" si="1"/>
        <v>0</v>
      </c>
      <c r="H33" s="65">
        <f t="shared" si="2"/>
        <v>0</v>
      </c>
      <c r="I33" s="65">
        <f t="shared" si="3"/>
        <v>0</v>
      </c>
      <c r="J33" s="203">
        <f>IF(DG!$A$132&lt;=3,$M$17,0)</f>
        <v>0</v>
      </c>
      <c r="K33" s="65">
        <f t="shared" si="7"/>
        <v>0</v>
      </c>
      <c r="L33" s="473">
        <f t="shared" si="8"/>
        <v>0</v>
      </c>
      <c r="M33" s="204">
        <f t="shared" si="9"/>
        <v>0</v>
      </c>
      <c r="N33" s="505">
        <f t="shared" si="10"/>
        <v>0</v>
      </c>
      <c r="O33" s="204">
        <f>IF(DG!$A$132&gt;3,0,IF(J33-J32&gt;0,MROUND((L33/12*Q32),1),MROUND(L33/12*P32,1)))</f>
        <v>0</v>
      </c>
      <c r="P33" s="204">
        <f t="shared" si="11"/>
        <v>0</v>
      </c>
      <c r="Q33" s="204">
        <f t="shared" si="4"/>
        <v>0</v>
      </c>
      <c r="R33" s="748">
        <v>0</v>
      </c>
    </row>
    <row r="34" spans="1:19" ht="14" thickTop="1" thickBot="1">
      <c r="A34" s="202">
        <f t="shared" si="5"/>
        <v>45536</v>
      </c>
      <c r="B34" s="65">
        <f>IF(OR(J$34=0,DG!$A$132&gt;3),0,B33+1)</f>
        <v>0</v>
      </c>
      <c r="C34" s="65">
        <f t="shared" si="0"/>
        <v>0</v>
      </c>
      <c r="D34" s="65">
        <f t="shared" si="12"/>
        <v>9</v>
      </c>
      <c r="E34" s="65">
        <f t="shared" si="6"/>
        <v>0</v>
      </c>
      <c r="F34" s="65">
        <f>IF(OR(L$34=0,DG!$A$253&gt;3),0,F33+1)</f>
        <v>0</v>
      </c>
      <c r="G34" s="65">
        <f t="shared" si="1"/>
        <v>0</v>
      </c>
      <c r="H34" s="65">
        <f t="shared" si="2"/>
        <v>0</v>
      </c>
      <c r="I34" s="65">
        <f t="shared" si="3"/>
        <v>0</v>
      </c>
      <c r="J34" s="203">
        <f>IF(DG!$A$132&lt;=3,$M$17,0)</f>
        <v>0</v>
      </c>
      <c r="K34" s="65">
        <f t="shared" si="7"/>
        <v>0</v>
      </c>
      <c r="L34" s="473">
        <f t="shared" si="8"/>
        <v>0</v>
      </c>
      <c r="M34" s="204">
        <f t="shared" si="9"/>
        <v>0</v>
      </c>
      <c r="N34" s="505">
        <f t="shared" si="10"/>
        <v>0</v>
      </c>
      <c r="O34" s="204">
        <f>IF(DG!$A$132&gt;3,0,IF(J34-J33&gt;0,MROUND((L34/12*Q33),1),MROUND(L34/12*P33,1)))</f>
        <v>0</v>
      </c>
      <c r="P34" s="204">
        <f t="shared" si="11"/>
        <v>0</v>
      </c>
      <c r="Q34" s="204">
        <f t="shared" si="4"/>
        <v>0</v>
      </c>
      <c r="R34" s="748">
        <v>0</v>
      </c>
    </row>
    <row r="35" spans="1:19" ht="14" thickTop="1" thickBot="1">
      <c r="A35" s="202">
        <f t="shared" si="5"/>
        <v>45566</v>
      </c>
      <c r="B35" s="65">
        <f>IF(OR(J$35=0,DG!$A$132&gt;4),0,B34+1)</f>
        <v>0</v>
      </c>
      <c r="C35" s="65">
        <f t="shared" si="0"/>
        <v>0</v>
      </c>
      <c r="D35" s="65">
        <f t="shared" si="12"/>
        <v>10</v>
      </c>
      <c r="E35" s="65">
        <f t="shared" si="6"/>
        <v>0</v>
      </c>
      <c r="F35" s="65">
        <f>IF(OR(L$35=0,DG!$A$253&gt;4),0,F34+1)</f>
        <v>0</v>
      </c>
      <c r="G35" s="65">
        <f t="shared" si="1"/>
        <v>0</v>
      </c>
      <c r="H35" s="65">
        <f t="shared" si="2"/>
        <v>0</v>
      </c>
      <c r="I35" s="65">
        <f t="shared" si="3"/>
        <v>0</v>
      </c>
      <c r="J35" s="203">
        <f>IF(DG!$A$132&lt;=4,$M$17,0)</f>
        <v>0</v>
      </c>
      <c r="K35" s="65">
        <f t="shared" si="7"/>
        <v>0</v>
      </c>
      <c r="L35" s="473">
        <f t="shared" si="8"/>
        <v>0</v>
      </c>
      <c r="M35" s="204">
        <f t="shared" si="9"/>
        <v>0</v>
      </c>
      <c r="N35" s="505">
        <f t="shared" si="10"/>
        <v>0</v>
      </c>
      <c r="O35" s="204">
        <f>IF(DG!$A$132&gt;4,0,IF(J35-J34&gt;0,MROUND((L35/12*Q34),1),MROUND(L35/12*P34,1)))</f>
        <v>0</v>
      </c>
      <c r="P35" s="204">
        <f t="shared" si="11"/>
        <v>0</v>
      </c>
      <c r="Q35" s="204">
        <f t="shared" si="4"/>
        <v>0</v>
      </c>
      <c r="R35" s="748">
        <v>0</v>
      </c>
    </row>
    <row r="36" spans="1:19" ht="14" thickTop="1" thickBot="1">
      <c r="A36" s="202">
        <f t="shared" si="5"/>
        <v>45597</v>
      </c>
      <c r="B36" s="65">
        <f>IF(OR(J$36=0,DG!$A$132&gt;4),0,B35+1)</f>
        <v>0</v>
      </c>
      <c r="C36" s="65">
        <f t="shared" si="0"/>
        <v>0</v>
      </c>
      <c r="D36" s="65">
        <f t="shared" si="12"/>
        <v>11</v>
      </c>
      <c r="E36" s="65">
        <f t="shared" si="6"/>
        <v>0</v>
      </c>
      <c r="F36" s="65">
        <f>IF(OR(L$36=0,DG!$A$253&gt;4),0,F35+1)</f>
        <v>0</v>
      </c>
      <c r="G36" s="65">
        <f t="shared" si="1"/>
        <v>0</v>
      </c>
      <c r="H36" s="65">
        <f t="shared" si="2"/>
        <v>0</v>
      </c>
      <c r="I36" s="65">
        <f t="shared" si="3"/>
        <v>0</v>
      </c>
      <c r="J36" s="203">
        <f>IF(DG!$A$132&lt;=4,$M$17,0)</f>
        <v>0</v>
      </c>
      <c r="K36" s="65">
        <f t="shared" si="7"/>
        <v>0</v>
      </c>
      <c r="L36" s="473">
        <f t="shared" si="8"/>
        <v>0</v>
      </c>
      <c r="M36" s="204">
        <f t="shared" si="9"/>
        <v>0</v>
      </c>
      <c r="N36" s="505">
        <f t="shared" si="10"/>
        <v>0</v>
      </c>
      <c r="O36" s="204">
        <f>IF(DG!$A$132&gt;4,0,IF(J36-J35&gt;0,MROUND((L36/12*Q35),1),MROUND(L36/12*P35,1)))</f>
        <v>0</v>
      </c>
      <c r="P36" s="204">
        <f t="shared" si="11"/>
        <v>0</v>
      </c>
      <c r="Q36" s="204">
        <f t="shared" si="4"/>
        <v>0</v>
      </c>
      <c r="R36" s="748">
        <v>0</v>
      </c>
    </row>
    <row r="37" spans="1:19" ht="14" thickTop="1" thickBot="1">
      <c r="A37" s="202">
        <f t="shared" si="5"/>
        <v>45627</v>
      </c>
      <c r="B37" s="65">
        <f>IF(OR(J$37=0,DG!$A$132&gt;4),0,B36+1)</f>
        <v>0</v>
      </c>
      <c r="C37" s="65">
        <f t="shared" si="0"/>
        <v>0</v>
      </c>
      <c r="D37" s="65">
        <f t="shared" si="12"/>
        <v>12</v>
      </c>
      <c r="E37" s="65">
        <f t="shared" si="6"/>
        <v>0</v>
      </c>
      <c r="F37" s="65">
        <f>IF(OR(L$37=0,DG!$A$253&gt;4),0,F36+1)</f>
        <v>0</v>
      </c>
      <c r="G37" s="65">
        <f t="shared" si="1"/>
        <v>0</v>
      </c>
      <c r="H37" s="65">
        <f t="shared" si="2"/>
        <v>0</v>
      </c>
      <c r="I37" s="65">
        <f t="shared" si="3"/>
        <v>0</v>
      </c>
      <c r="J37" s="203">
        <f>IF(DG!$A$132&lt;=4,$M$17,0)</f>
        <v>0</v>
      </c>
      <c r="K37" s="65">
        <f t="shared" si="7"/>
        <v>0</v>
      </c>
      <c r="L37" s="473">
        <f t="shared" si="8"/>
        <v>0</v>
      </c>
      <c r="M37" s="204">
        <f t="shared" si="9"/>
        <v>0</v>
      </c>
      <c r="N37" s="505">
        <f t="shared" si="10"/>
        <v>0</v>
      </c>
      <c r="O37" s="204">
        <f>IF(DG!$A$132&gt;4,0,IF(J37-J36&gt;0,MROUND((L37/12*Q36),1),MROUND(L37/12*P36,1)))</f>
        <v>0</v>
      </c>
      <c r="P37" s="204">
        <f t="shared" si="11"/>
        <v>0</v>
      </c>
      <c r="Q37" s="204">
        <f t="shared" si="4"/>
        <v>0</v>
      </c>
      <c r="R37" s="748">
        <v>0</v>
      </c>
      <c r="S37" s="511">
        <f>SUM(N26:N37)</f>
        <v>0</v>
      </c>
    </row>
    <row r="38" spans="1:19" ht="14" thickTop="1" thickBot="1">
      <c r="A38" s="202">
        <f t="shared" si="5"/>
        <v>45658</v>
      </c>
      <c r="B38" s="65">
        <f>IF(OR(J$38=0,DG!$A$132&gt;5),0,B37+1)</f>
        <v>0</v>
      </c>
      <c r="C38" s="65">
        <f t="shared" si="0"/>
        <v>0</v>
      </c>
      <c r="D38" s="65">
        <f t="shared" si="12"/>
        <v>13</v>
      </c>
      <c r="E38" s="65">
        <f t="shared" si="6"/>
        <v>0</v>
      </c>
      <c r="F38" s="65">
        <f>IF(OR(L$38=0,DG!$A$253&gt;5),0,F37+1)</f>
        <v>0</v>
      </c>
      <c r="G38" s="65">
        <f t="shared" si="1"/>
        <v>0</v>
      </c>
      <c r="H38" s="65">
        <f t="shared" si="2"/>
        <v>0</v>
      </c>
      <c r="I38" s="65">
        <f t="shared" si="3"/>
        <v>0</v>
      </c>
      <c r="J38" s="203">
        <f>IF(DG!$A$132&lt;=5,$M$17,0)</f>
        <v>0</v>
      </c>
      <c r="K38" s="65">
        <f t="shared" si="7"/>
        <v>0</v>
      </c>
      <c r="L38" s="473">
        <f t="shared" si="8"/>
        <v>0</v>
      </c>
      <c r="M38" s="204">
        <f t="shared" si="9"/>
        <v>0</v>
      </c>
      <c r="N38" s="505">
        <f t="shared" si="10"/>
        <v>0</v>
      </c>
      <c r="O38" s="204">
        <f>IF(DG!$A$132&gt;5,0,IF(J38-J37&gt;0,MROUND((L38/12*Q37),1),MROUND(L38/12*P37,1)))</f>
        <v>0</v>
      </c>
      <c r="P38" s="204">
        <f t="shared" si="11"/>
        <v>0</v>
      </c>
      <c r="Q38" s="204">
        <f t="shared" si="4"/>
        <v>0</v>
      </c>
      <c r="R38" s="748">
        <v>0</v>
      </c>
    </row>
    <row r="39" spans="1:19" ht="14" thickTop="1" thickBot="1">
      <c r="A39" s="202">
        <f t="shared" si="5"/>
        <v>45689</v>
      </c>
      <c r="B39" s="65">
        <f>IF(OR(J$39=0,DG!$A$132&gt;5),0,B38+1)</f>
        <v>0</v>
      </c>
      <c r="C39" s="65">
        <f t="shared" si="0"/>
        <v>0</v>
      </c>
      <c r="D39" s="65">
        <f t="shared" si="12"/>
        <v>14</v>
      </c>
      <c r="E39" s="65">
        <f t="shared" si="6"/>
        <v>0</v>
      </c>
      <c r="F39" s="65">
        <f>IF(OR(L$39=0,DG!$A$253&gt;5),0,F38+1)</f>
        <v>0</v>
      </c>
      <c r="G39" s="65">
        <f t="shared" si="1"/>
        <v>0</v>
      </c>
      <c r="H39" s="65">
        <f t="shared" si="2"/>
        <v>0</v>
      </c>
      <c r="I39" s="65">
        <f t="shared" si="3"/>
        <v>0</v>
      </c>
      <c r="J39" s="203">
        <f>IF(DG!$A$132&lt;=5,$M$17,0)</f>
        <v>0</v>
      </c>
      <c r="K39" s="65">
        <f t="shared" si="7"/>
        <v>0</v>
      </c>
      <c r="L39" s="473">
        <f t="shared" si="8"/>
        <v>0</v>
      </c>
      <c r="M39" s="204">
        <f t="shared" si="9"/>
        <v>0</v>
      </c>
      <c r="N39" s="505">
        <f t="shared" si="10"/>
        <v>0</v>
      </c>
      <c r="O39" s="204">
        <f>IF(DG!$A$132&gt;5,0,IF(J39-J38&gt;0,MROUND((L39/12*Q38),1),MROUND(L39/12*P38,1)))</f>
        <v>0</v>
      </c>
      <c r="P39" s="204">
        <f t="shared" si="11"/>
        <v>0</v>
      </c>
      <c r="Q39" s="204">
        <f t="shared" si="4"/>
        <v>0</v>
      </c>
      <c r="R39" s="748">
        <v>0</v>
      </c>
    </row>
    <row r="40" spans="1:19" ht="14" thickTop="1" thickBot="1">
      <c r="A40" s="202">
        <f t="shared" si="5"/>
        <v>45717</v>
      </c>
      <c r="B40" s="65">
        <f>IF(OR(J$40=0,DG!$A$132&gt;5),0,B39+1)</f>
        <v>0</v>
      </c>
      <c r="C40" s="65">
        <f t="shared" si="0"/>
        <v>0</v>
      </c>
      <c r="D40" s="65">
        <f t="shared" si="12"/>
        <v>15</v>
      </c>
      <c r="E40" s="65">
        <f t="shared" si="6"/>
        <v>0</v>
      </c>
      <c r="F40" s="65">
        <f>IF(OR(L$40=0,DG!$A$253&gt;5),0,F39+1)</f>
        <v>0</v>
      </c>
      <c r="G40" s="65">
        <f t="shared" si="1"/>
        <v>0</v>
      </c>
      <c r="H40" s="65">
        <f t="shared" si="2"/>
        <v>0</v>
      </c>
      <c r="I40" s="65">
        <f t="shared" si="3"/>
        <v>0</v>
      </c>
      <c r="J40" s="203">
        <f>IF(DG!$A$132&lt;=5,$M$17,0)</f>
        <v>0</v>
      </c>
      <c r="K40" s="65">
        <f t="shared" si="7"/>
        <v>0</v>
      </c>
      <c r="L40" s="473">
        <f t="shared" si="8"/>
        <v>0</v>
      </c>
      <c r="M40" s="204">
        <f t="shared" si="9"/>
        <v>0</v>
      </c>
      <c r="N40" s="505">
        <f t="shared" si="10"/>
        <v>0</v>
      </c>
      <c r="O40" s="204">
        <f>IF(DG!$A$132&gt;5,0,IF(J40-J39&gt;0,MROUND((L40/12*Q39),1),MROUND(L40/12*P39,1)))</f>
        <v>0</v>
      </c>
      <c r="P40" s="204">
        <f t="shared" si="11"/>
        <v>0</v>
      </c>
      <c r="Q40" s="204">
        <f t="shared" si="4"/>
        <v>0</v>
      </c>
      <c r="R40" s="748">
        <v>0</v>
      </c>
    </row>
    <row r="41" spans="1:19" ht="14" thickTop="1" thickBot="1">
      <c r="A41" s="202">
        <f t="shared" si="5"/>
        <v>45748</v>
      </c>
      <c r="B41" s="65">
        <f>IF(OR(J$41=0,DG!$A$132&gt;6),0,B40+1)</f>
        <v>0</v>
      </c>
      <c r="C41" s="65">
        <f t="shared" si="0"/>
        <v>0</v>
      </c>
      <c r="D41" s="65">
        <f t="shared" si="12"/>
        <v>16</v>
      </c>
      <c r="E41" s="65">
        <f t="shared" si="6"/>
        <v>0</v>
      </c>
      <c r="F41" s="65">
        <f>IF(OR(L$41=0,DG!$A$253&gt;6),0,F40+1)</f>
        <v>0</v>
      </c>
      <c r="G41" s="65">
        <f t="shared" si="1"/>
        <v>0</v>
      </c>
      <c r="H41" s="65">
        <f t="shared" si="2"/>
        <v>0</v>
      </c>
      <c r="I41" s="65">
        <f t="shared" si="3"/>
        <v>0</v>
      </c>
      <c r="J41" s="203">
        <f>IF(DG!$A$132&lt;=6,$M$17,0)</f>
        <v>0</v>
      </c>
      <c r="K41" s="65">
        <f t="shared" si="7"/>
        <v>0</v>
      </c>
      <c r="L41" s="473">
        <f t="shared" si="8"/>
        <v>0</v>
      </c>
      <c r="M41" s="204">
        <f t="shared" si="9"/>
        <v>0</v>
      </c>
      <c r="N41" s="505">
        <f t="shared" si="10"/>
        <v>0</v>
      </c>
      <c r="O41" s="204">
        <f>IF(DG!$A$132&gt;6,0,IF(J41-J40&gt;0,MROUND((L41/12*Q40),1),MROUND(L41/12*P40,1)))</f>
        <v>0</v>
      </c>
      <c r="P41" s="204">
        <f t="shared" si="11"/>
        <v>0</v>
      </c>
      <c r="Q41" s="204">
        <f t="shared" si="4"/>
        <v>0</v>
      </c>
      <c r="R41" s="748">
        <v>0</v>
      </c>
    </row>
    <row r="42" spans="1:19" ht="14" thickTop="1" thickBot="1">
      <c r="A42" s="202">
        <f t="shared" si="5"/>
        <v>45778</v>
      </c>
      <c r="B42" s="65">
        <f>IF(OR(J$42=0,DG!$A$132&gt;6),0,B41+1)</f>
        <v>0</v>
      </c>
      <c r="C42" s="65">
        <f t="shared" si="0"/>
        <v>0</v>
      </c>
      <c r="D42" s="65">
        <f t="shared" si="12"/>
        <v>17</v>
      </c>
      <c r="E42" s="65">
        <f t="shared" si="6"/>
        <v>0</v>
      </c>
      <c r="F42" s="65">
        <f>IF(OR(L$42=0,DG!$A$253&gt;6),0,F41+1)</f>
        <v>0</v>
      </c>
      <c r="G42" s="65">
        <f t="shared" si="1"/>
        <v>0</v>
      </c>
      <c r="H42" s="65">
        <f t="shared" si="2"/>
        <v>0</v>
      </c>
      <c r="I42" s="65">
        <f t="shared" si="3"/>
        <v>0</v>
      </c>
      <c r="J42" s="203">
        <f>IF(DG!$A$132&lt;=6,$M$17,0)</f>
        <v>0</v>
      </c>
      <c r="K42" s="65">
        <f t="shared" si="7"/>
        <v>0</v>
      </c>
      <c r="L42" s="473">
        <f t="shared" si="8"/>
        <v>0</v>
      </c>
      <c r="M42" s="204">
        <f t="shared" si="9"/>
        <v>0</v>
      </c>
      <c r="N42" s="505">
        <f t="shared" si="10"/>
        <v>0</v>
      </c>
      <c r="O42" s="204">
        <f>IF(DG!$A$132&gt;6,0,IF(J42-J41&gt;0,MROUND((L42/12*Q41),1),MROUND(L42/12*P41,1)))</f>
        <v>0</v>
      </c>
      <c r="P42" s="204">
        <f t="shared" si="11"/>
        <v>0</v>
      </c>
      <c r="Q42" s="204">
        <f t="shared" si="4"/>
        <v>0</v>
      </c>
      <c r="R42" s="748">
        <v>0</v>
      </c>
    </row>
    <row r="43" spans="1:19" ht="14" thickTop="1" thickBot="1">
      <c r="A43" s="202">
        <f t="shared" si="5"/>
        <v>45809</v>
      </c>
      <c r="B43" s="65">
        <f>IF(OR(J$43=0,DG!$A$132&gt;6),0,B42+1)</f>
        <v>0</v>
      </c>
      <c r="C43" s="65">
        <f t="shared" si="0"/>
        <v>0</v>
      </c>
      <c r="D43" s="65">
        <f t="shared" si="12"/>
        <v>18</v>
      </c>
      <c r="E43" s="65">
        <f t="shared" si="6"/>
        <v>0</v>
      </c>
      <c r="F43" s="65">
        <f>IF(OR(L$43=0,DG!$A$253&gt;6),0,F42+1)</f>
        <v>0</v>
      </c>
      <c r="G43" s="65">
        <f t="shared" si="1"/>
        <v>0</v>
      </c>
      <c r="H43" s="65">
        <f t="shared" si="2"/>
        <v>0</v>
      </c>
      <c r="I43" s="65">
        <f t="shared" si="3"/>
        <v>0</v>
      </c>
      <c r="J43" s="203">
        <f>IF(DG!$A$132&lt;=6,$M$17,0)</f>
        <v>0</v>
      </c>
      <c r="K43" s="65">
        <f t="shared" si="7"/>
        <v>0</v>
      </c>
      <c r="L43" s="473">
        <f t="shared" si="8"/>
        <v>0</v>
      </c>
      <c r="M43" s="204">
        <f t="shared" si="9"/>
        <v>0</v>
      </c>
      <c r="N43" s="505">
        <f t="shared" si="10"/>
        <v>0</v>
      </c>
      <c r="O43" s="204">
        <f>IF(DG!$A$132&gt;6,0,IF(J43-J42&gt;0,MROUND((L43/12*Q42),1),MROUND(L43/12*P42,1)))</f>
        <v>0</v>
      </c>
      <c r="P43" s="204">
        <f t="shared" si="11"/>
        <v>0</v>
      </c>
      <c r="Q43" s="204">
        <f t="shared" si="4"/>
        <v>0</v>
      </c>
      <c r="R43" s="748">
        <v>0</v>
      </c>
    </row>
    <row r="44" spans="1:19" ht="14" thickTop="1" thickBot="1">
      <c r="A44" s="202">
        <f t="shared" si="5"/>
        <v>45839</v>
      </c>
      <c r="B44" s="65">
        <f>IF(OR(J$44=0,DG!$A$132&gt;7),0,B43+1)</f>
        <v>0</v>
      </c>
      <c r="C44" s="65">
        <f t="shared" si="0"/>
        <v>0</v>
      </c>
      <c r="D44" s="65">
        <f t="shared" si="12"/>
        <v>19</v>
      </c>
      <c r="E44" s="65">
        <f t="shared" si="6"/>
        <v>0</v>
      </c>
      <c r="F44" s="65">
        <f>IF(OR(L$44=0,DG!$A$253&gt;7),0,F43+1)</f>
        <v>0</v>
      </c>
      <c r="G44" s="65">
        <f t="shared" si="1"/>
        <v>0</v>
      </c>
      <c r="H44" s="65">
        <f t="shared" si="2"/>
        <v>0</v>
      </c>
      <c r="I44" s="65">
        <f t="shared" si="3"/>
        <v>0</v>
      </c>
      <c r="J44" s="203">
        <f>IF(DG!$A$132&lt;=7,$M$17,0)</f>
        <v>0</v>
      </c>
      <c r="K44" s="65">
        <f t="shared" si="7"/>
        <v>0</v>
      </c>
      <c r="L44" s="473">
        <f t="shared" si="8"/>
        <v>0</v>
      </c>
      <c r="M44" s="204">
        <f t="shared" si="9"/>
        <v>0</v>
      </c>
      <c r="N44" s="505">
        <f t="shared" si="10"/>
        <v>0</v>
      </c>
      <c r="O44" s="204">
        <f>IF(DG!$A$132&gt;7,0,IF(J44-J43&gt;0,MROUND((L44/12*Q43),1),MROUND(L44/12*P43,1)))</f>
        <v>0</v>
      </c>
      <c r="P44" s="204">
        <f t="shared" si="11"/>
        <v>0</v>
      </c>
      <c r="Q44" s="204">
        <f t="shared" si="4"/>
        <v>0</v>
      </c>
      <c r="R44" s="748">
        <v>0</v>
      </c>
    </row>
    <row r="45" spans="1:19" ht="14" thickTop="1" thickBot="1">
      <c r="A45" s="202">
        <f t="shared" si="5"/>
        <v>45870</v>
      </c>
      <c r="B45" s="65">
        <f>IF(OR(J$45=0,DG!$A$132&gt;7),0,B44+1)</f>
        <v>0</v>
      </c>
      <c r="C45" s="65">
        <f t="shared" si="0"/>
        <v>0</v>
      </c>
      <c r="D45" s="65">
        <f t="shared" si="12"/>
        <v>20</v>
      </c>
      <c r="E45" s="65">
        <f t="shared" si="6"/>
        <v>0</v>
      </c>
      <c r="F45" s="65">
        <f>IF(OR(L$45=0,DG!$A$253&gt;7),0,F44+1)</f>
        <v>0</v>
      </c>
      <c r="G45" s="65">
        <f t="shared" si="1"/>
        <v>0</v>
      </c>
      <c r="H45" s="65">
        <f t="shared" si="2"/>
        <v>0</v>
      </c>
      <c r="I45" s="65">
        <f t="shared" si="3"/>
        <v>0</v>
      </c>
      <c r="J45" s="203">
        <f>IF(DG!$A$132&lt;=7,$M$17,0)</f>
        <v>0</v>
      </c>
      <c r="K45" s="65">
        <f t="shared" si="7"/>
        <v>0</v>
      </c>
      <c r="L45" s="473">
        <f t="shared" si="8"/>
        <v>0</v>
      </c>
      <c r="M45" s="204">
        <f t="shared" si="9"/>
        <v>0</v>
      </c>
      <c r="N45" s="505">
        <f t="shared" si="10"/>
        <v>0</v>
      </c>
      <c r="O45" s="204">
        <f>IF(DG!$A$132&gt;7,0,IF(J45-J44&gt;0,MROUND((L45/12*Q44),1),MROUND(L45/12*P44,1)))</f>
        <v>0</v>
      </c>
      <c r="P45" s="204">
        <f t="shared" si="11"/>
        <v>0</v>
      </c>
      <c r="Q45" s="204">
        <f t="shared" si="4"/>
        <v>0</v>
      </c>
      <c r="R45" s="748">
        <v>0</v>
      </c>
    </row>
    <row r="46" spans="1:19" ht="14" thickTop="1" thickBot="1">
      <c r="A46" s="202">
        <f t="shared" si="5"/>
        <v>45901</v>
      </c>
      <c r="B46" s="65">
        <f>IF(OR(J$46=0,DG!$A$132&gt;7),0,B45+1)</f>
        <v>0</v>
      </c>
      <c r="C46" s="65">
        <f t="shared" si="0"/>
        <v>0</v>
      </c>
      <c r="D46" s="65">
        <f t="shared" si="12"/>
        <v>21</v>
      </c>
      <c r="E46" s="65">
        <f t="shared" si="6"/>
        <v>0</v>
      </c>
      <c r="F46" s="65">
        <f>IF(OR(L$46=0,DG!$A$253&gt;7),0,F45+1)</f>
        <v>0</v>
      </c>
      <c r="G46" s="65">
        <f t="shared" si="1"/>
        <v>0</v>
      </c>
      <c r="H46" s="65">
        <f t="shared" si="2"/>
        <v>0</v>
      </c>
      <c r="I46" s="65">
        <f t="shared" si="3"/>
        <v>0</v>
      </c>
      <c r="J46" s="203">
        <f>IF(DG!$A$132&lt;=7,$M$17,0)</f>
        <v>0</v>
      </c>
      <c r="K46" s="65">
        <f t="shared" si="7"/>
        <v>0</v>
      </c>
      <c r="L46" s="473">
        <f t="shared" si="8"/>
        <v>0</v>
      </c>
      <c r="M46" s="204">
        <f t="shared" si="9"/>
        <v>0</v>
      </c>
      <c r="N46" s="505">
        <f t="shared" si="10"/>
        <v>0</v>
      </c>
      <c r="O46" s="204">
        <f>IF(DG!$A$132&gt;7,0,IF(J46-J45&gt;0,MROUND((L46/12*Q45),1),MROUND(L46/12*P45,1)))</f>
        <v>0</v>
      </c>
      <c r="P46" s="204">
        <f t="shared" si="11"/>
        <v>0</v>
      </c>
      <c r="Q46" s="204">
        <f t="shared" si="4"/>
        <v>0</v>
      </c>
      <c r="R46" s="748">
        <v>0</v>
      </c>
    </row>
    <row r="47" spans="1:19" ht="14" thickTop="1" thickBot="1">
      <c r="A47" s="202">
        <f t="shared" si="5"/>
        <v>45931</v>
      </c>
      <c r="B47" s="65">
        <f>IF(OR(J$47=0,DG!$A$132&gt;8),0,B46+1)</f>
        <v>0</v>
      </c>
      <c r="C47" s="65">
        <f t="shared" si="0"/>
        <v>0</v>
      </c>
      <c r="D47" s="65">
        <f t="shared" si="12"/>
        <v>22</v>
      </c>
      <c r="E47" s="65">
        <f t="shared" si="6"/>
        <v>0</v>
      </c>
      <c r="F47" s="65">
        <f>IF(OR(L$47=0,DG!$A$253&gt;8),0,F46+1)</f>
        <v>0</v>
      </c>
      <c r="G47" s="65">
        <f t="shared" si="1"/>
        <v>0</v>
      </c>
      <c r="H47" s="65">
        <f t="shared" si="2"/>
        <v>0</v>
      </c>
      <c r="I47" s="65">
        <f t="shared" si="3"/>
        <v>0</v>
      </c>
      <c r="J47" s="203">
        <f>IF(DG!$A$132&lt;=8,$M$17,0)</f>
        <v>0</v>
      </c>
      <c r="K47" s="65">
        <f t="shared" si="7"/>
        <v>0</v>
      </c>
      <c r="L47" s="473">
        <f t="shared" si="8"/>
        <v>0</v>
      </c>
      <c r="M47" s="204">
        <f t="shared" si="9"/>
        <v>0</v>
      </c>
      <c r="N47" s="505">
        <f t="shared" si="10"/>
        <v>0</v>
      </c>
      <c r="O47" s="204">
        <f>IF(DG!$A$132&gt;8,0,IF(J47-J46&gt;0,MROUND((L47/12*Q46),1),MROUND(L47/12*P46,1)))</f>
        <v>0</v>
      </c>
      <c r="P47" s="204">
        <f t="shared" si="11"/>
        <v>0</v>
      </c>
      <c r="Q47" s="204">
        <f t="shared" si="4"/>
        <v>0</v>
      </c>
      <c r="R47" s="748">
        <v>0</v>
      </c>
    </row>
    <row r="48" spans="1:19" ht="14" thickTop="1" thickBot="1">
      <c r="A48" s="202">
        <f t="shared" si="5"/>
        <v>45962</v>
      </c>
      <c r="B48" s="65">
        <f>IF(OR(J$48=0,DG!$A$132&gt;8),0,B47+1)</f>
        <v>0</v>
      </c>
      <c r="C48" s="65">
        <f t="shared" si="0"/>
        <v>0</v>
      </c>
      <c r="D48" s="65">
        <f t="shared" si="12"/>
        <v>23</v>
      </c>
      <c r="E48" s="65">
        <f t="shared" si="6"/>
        <v>0</v>
      </c>
      <c r="F48" s="65">
        <f>IF(OR(L$48=0,DG!$A$253&gt;8),0,F47+1)</f>
        <v>0</v>
      </c>
      <c r="G48" s="65">
        <f t="shared" si="1"/>
        <v>0</v>
      </c>
      <c r="H48" s="65">
        <f t="shared" si="2"/>
        <v>0</v>
      </c>
      <c r="I48" s="65">
        <f t="shared" si="3"/>
        <v>0</v>
      </c>
      <c r="J48" s="203">
        <f>IF(DG!$A$132&lt;=8,$M$17,0)</f>
        <v>0</v>
      </c>
      <c r="K48" s="65">
        <f t="shared" si="7"/>
        <v>0</v>
      </c>
      <c r="L48" s="473">
        <f t="shared" si="8"/>
        <v>0</v>
      </c>
      <c r="M48" s="204">
        <f t="shared" si="9"/>
        <v>0</v>
      </c>
      <c r="N48" s="505">
        <f t="shared" si="10"/>
        <v>0</v>
      </c>
      <c r="O48" s="204">
        <f>IF(DG!$A$132&gt;8,0,IF(J48-J47&gt;0,MROUND((L48/12*Q47),1),MROUND(L48/12*P47,1)))</f>
        <v>0</v>
      </c>
      <c r="P48" s="204">
        <f t="shared" si="11"/>
        <v>0</v>
      </c>
      <c r="Q48" s="204">
        <f t="shared" si="4"/>
        <v>0</v>
      </c>
      <c r="R48" s="748">
        <v>0</v>
      </c>
    </row>
    <row r="49" spans="1:19" ht="14" thickTop="1" thickBot="1">
      <c r="A49" s="202">
        <f t="shared" si="5"/>
        <v>45992</v>
      </c>
      <c r="B49" s="65">
        <f>IF(OR(J$49=0,DG!$A$132&gt;8),0,B48+1)</f>
        <v>0</v>
      </c>
      <c r="C49" s="65">
        <f t="shared" si="0"/>
        <v>0</v>
      </c>
      <c r="D49" s="65">
        <f t="shared" si="12"/>
        <v>24</v>
      </c>
      <c r="E49" s="65">
        <f t="shared" si="6"/>
        <v>0</v>
      </c>
      <c r="F49" s="65">
        <f>IF(OR(L$49=0,DG!$A$253&gt;8),0,F48+1)</f>
        <v>0</v>
      </c>
      <c r="G49" s="65">
        <f t="shared" si="1"/>
        <v>0</v>
      </c>
      <c r="H49" s="65">
        <f t="shared" si="2"/>
        <v>0</v>
      </c>
      <c r="I49" s="65">
        <f t="shared" si="3"/>
        <v>0</v>
      </c>
      <c r="J49" s="203">
        <f>IF(DG!$A$132&lt;=8,$M$17,0)</f>
        <v>0</v>
      </c>
      <c r="K49" s="65">
        <f t="shared" si="7"/>
        <v>0</v>
      </c>
      <c r="L49" s="473">
        <f t="shared" si="8"/>
        <v>0</v>
      </c>
      <c r="M49" s="204">
        <f t="shared" si="9"/>
        <v>0</v>
      </c>
      <c r="N49" s="505">
        <f t="shared" si="10"/>
        <v>0</v>
      </c>
      <c r="O49" s="204">
        <f>IF(DG!$A$132&gt;8,0,IF(J49-J48&gt;0,MROUND((L49/12*Q48),1),MROUND(L49/12*P48,1)))</f>
        <v>0</v>
      </c>
      <c r="P49" s="204">
        <f t="shared" si="11"/>
        <v>0</v>
      </c>
      <c r="Q49" s="204">
        <f t="shared" si="4"/>
        <v>0</v>
      </c>
      <c r="R49" s="748">
        <v>0</v>
      </c>
      <c r="S49" s="511">
        <f>SUM(N38:N49)</f>
        <v>0</v>
      </c>
    </row>
    <row r="50" spans="1:19" ht="14" thickTop="1" thickBot="1">
      <c r="A50" s="202">
        <f t="shared" si="5"/>
        <v>46023</v>
      </c>
      <c r="B50" s="65">
        <f>IF(OR(J$50=0,DG!$A$132&gt;9),0,B49+1)</f>
        <v>0</v>
      </c>
      <c r="C50" s="65">
        <f>IF(F50-$E$269&gt;0,F50-$E$269,0)</f>
        <v>0</v>
      </c>
      <c r="D50" s="65">
        <f t="shared" si="12"/>
        <v>25</v>
      </c>
      <c r="E50" s="65">
        <f t="shared" si="6"/>
        <v>0</v>
      </c>
      <c r="F50" s="65">
        <f>IF(OR(L$50=0,DG!$A$253&gt;9),0,F49+1)</f>
        <v>0</v>
      </c>
      <c r="G50" s="65">
        <f t="shared" si="1"/>
        <v>0</v>
      </c>
      <c r="H50" s="65">
        <f t="shared" si="2"/>
        <v>0</v>
      </c>
      <c r="I50" s="65">
        <f t="shared" si="3"/>
        <v>0</v>
      </c>
      <c r="J50" s="203">
        <f>IF(DG!$A$132&lt;=9,$M$17,0)</f>
        <v>0</v>
      </c>
      <c r="K50" s="65">
        <f t="shared" si="7"/>
        <v>0</v>
      </c>
      <c r="L50" s="473">
        <f t="shared" si="8"/>
        <v>0</v>
      </c>
      <c r="M50" s="204">
        <f t="shared" si="9"/>
        <v>0</v>
      </c>
      <c r="N50" s="505">
        <f t="shared" si="10"/>
        <v>0</v>
      </c>
      <c r="O50" s="204">
        <f>IF(DG!$A$132&gt;9,0,IF(J50-J49&gt;0,MROUND((L50/12*Q49),1),MROUND(L50/12*P49,1)))</f>
        <v>0</v>
      </c>
      <c r="P50" s="204">
        <f t="shared" si="11"/>
        <v>0</v>
      </c>
      <c r="Q50" s="204">
        <f t="shared" si="4"/>
        <v>0</v>
      </c>
      <c r="R50" s="748">
        <v>0</v>
      </c>
    </row>
    <row r="51" spans="1:19" ht="14" thickTop="1" thickBot="1">
      <c r="A51" s="202">
        <f t="shared" si="5"/>
        <v>46054</v>
      </c>
      <c r="B51" s="65">
        <f>IF(OR(J$50=0,DG!$A$132&gt;10),0,B50+1)</f>
        <v>0</v>
      </c>
      <c r="C51" s="65">
        <f t="shared" ref="C51:C114" si="13">IF(F51-$E$269&gt;0,F51-$E$269,0)</f>
        <v>0</v>
      </c>
      <c r="D51" s="65">
        <f t="shared" si="12"/>
        <v>26</v>
      </c>
      <c r="E51" s="65">
        <f t="shared" si="6"/>
        <v>0</v>
      </c>
      <c r="F51" s="65">
        <f>IF(OR(L$51=0,DG!$A$253&gt;9),0,F50+1)</f>
        <v>0</v>
      </c>
      <c r="G51" s="65">
        <f t="shared" si="1"/>
        <v>0</v>
      </c>
      <c r="H51" s="65">
        <f t="shared" si="2"/>
        <v>0</v>
      </c>
      <c r="I51" s="65">
        <f t="shared" si="3"/>
        <v>0</v>
      </c>
      <c r="J51" s="203">
        <f>IF(DG!$A$132&lt;=10,$M$17,0)</f>
        <v>0</v>
      </c>
      <c r="K51" s="65">
        <f t="shared" si="7"/>
        <v>0</v>
      </c>
      <c r="L51" s="473">
        <f t="shared" si="8"/>
        <v>0</v>
      </c>
      <c r="M51" s="204">
        <f t="shared" si="9"/>
        <v>0</v>
      </c>
      <c r="N51" s="505">
        <f t="shared" si="10"/>
        <v>0</v>
      </c>
      <c r="O51" s="204">
        <f>IF(DG!$A$132&gt;9,0,IF(J51-J50&gt;0,MROUND((L51/12*Q50),1),MROUND(L51/12*P50,1)))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IF(OR(L$52=0,DG!$A$253&gt;9),0,F51+1)</f>
        <v>0</v>
      </c>
      <c r="G52" s="65">
        <f t="shared" si="1"/>
        <v>0</v>
      </c>
      <c r="H52" s="65">
        <f t="shared" si="2"/>
        <v>0</v>
      </c>
      <c r="I52" s="65">
        <f t="shared" si="3"/>
        <v>0</v>
      </c>
      <c r="J52" s="203">
        <f>IF(DG!$A$132&lt;=10,$M$17,0)</f>
        <v>0</v>
      </c>
      <c r="K52" s="65">
        <f t="shared" si="7"/>
        <v>0</v>
      </c>
      <c r="L52" s="473">
        <f t="shared" si="8"/>
        <v>0</v>
      </c>
      <c r="M52" s="204">
        <f t="shared" si="9"/>
        <v>0</v>
      </c>
      <c r="N52" s="505">
        <f t="shared" si="10"/>
        <v>0</v>
      </c>
      <c r="O52" s="204">
        <f>IF(DG!$A$132&gt;9,0,IF(J52-J51&gt;0,MROUND((L52/12*Q51),1),MROUND(L52/12*P51,1)))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IF(OR(L$53=0,DG!$A$253&gt;10),0,F52+1)</f>
        <v>0</v>
      </c>
      <c r="G53" s="65">
        <f t="shared" si="1"/>
        <v>0</v>
      </c>
      <c r="H53" s="65">
        <f t="shared" si="2"/>
        <v>0</v>
      </c>
      <c r="I53" s="65">
        <f t="shared" si="3"/>
        <v>0</v>
      </c>
      <c r="J53" s="203">
        <f>IF(DG!$A$132&lt;=10,$M$17,0)</f>
        <v>0</v>
      </c>
      <c r="K53" s="65">
        <f t="shared" si="7"/>
        <v>0</v>
      </c>
      <c r="L53" s="473">
        <f t="shared" si="8"/>
        <v>0</v>
      </c>
      <c r="M53" s="204">
        <f t="shared" si="9"/>
        <v>0</v>
      </c>
      <c r="N53" s="505">
        <f t="shared" si="10"/>
        <v>0</v>
      </c>
      <c r="O53" s="204">
        <f>IF(DG!$A$132&gt;10,0,IF(J53-J52&gt;0,MROUND((L53/12*Q52),1),MROUND(L53/12*P52,1)))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IF(OR(L$54=0,DG!$A$253&gt;10),0,F53+1)</f>
        <v>0</v>
      </c>
      <c r="G54" s="65">
        <f t="shared" si="1"/>
        <v>0</v>
      </c>
      <c r="H54" s="65">
        <f t="shared" si="2"/>
        <v>0</v>
      </c>
      <c r="I54" s="65">
        <f t="shared" si="3"/>
        <v>0</v>
      </c>
      <c r="J54" s="203">
        <f>IF(DG!$A$132&lt;=10,$M$17,0)</f>
        <v>0</v>
      </c>
      <c r="K54" s="65">
        <f t="shared" si="7"/>
        <v>0</v>
      </c>
      <c r="L54" s="473">
        <f t="shared" si="8"/>
        <v>0</v>
      </c>
      <c r="M54" s="204">
        <f t="shared" si="9"/>
        <v>0</v>
      </c>
      <c r="N54" s="505">
        <f t="shared" si="10"/>
        <v>0</v>
      </c>
      <c r="O54" s="204">
        <f>IF(DG!$A$132&gt;10,0,IF(J54-J53&gt;0,MROUND((L54/12*Q53),1),MROUND(L54/12*P53,1)))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IF(OR(L$55=0,DG!$A$253&gt;10),0,F54+1)</f>
        <v>0</v>
      </c>
      <c r="G55" s="65">
        <f t="shared" si="1"/>
        <v>0</v>
      </c>
      <c r="H55" s="65">
        <f t="shared" si="2"/>
        <v>0</v>
      </c>
      <c r="I55" s="65">
        <f t="shared" si="3"/>
        <v>0</v>
      </c>
      <c r="J55" s="203">
        <f>IF(DG!$A$132&lt;=10,$M$17,0)</f>
        <v>0</v>
      </c>
      <c r="K55" s="65">
        <f t="shared" si="7"/>
        <v>0</v>
      </c>
      <c r="L55" s="473">
        <f t="shared" si="8"/>
        <v>0</v>
      </c>
      <c r="M55" s="204">
        <f t="shared" si="9"/>
        <v>0</v>
      </c>
      <c r="N55" s="505">
        <f t="shared" si="10"/>
        <v>0</v>
      </c>
      <c r="O55" s="204">
        <f>IF(DG!$A$132&gt;10,0,IF(J55-J54&gt;0,MROUND((L55/12*Q54),1),MROUND(L55/12*P54,1)))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IF(OR(L$56=0,DG!$A$253&gt;11),0,F55+1)</f>
        <v>0</v>
      </c>
      <c r="G56" s="65">
        <f t="shared" si="1"/>
        <v>0</v>
      </c>
      <c r="H56" s="65">
        <f t="shared" si="2"/>
        <v>0</v>
      </c>
      <c r="I56" s="65">
        <f t="shared" si="3"/>
        <v>0</v>
      </c>
      <c r="J56" s="203">
        <f>IF(DG!$A$132&lt;=10,$M$17,0)</f>
        <v>0</v>
      </c>
      <c r="K56" s="65">
        <f t="shared" si="7"/>
        <v>0</v>
      </c>
      <c r="L56" s="473">
        <f t="shared" si="8"/>
        <v>0</v>
      </c>
      <c r="M56" s="204">
        <f t="shared" si="9"/>
        <v>0</v>
      </c>
      <c r="N56" s="505">
        <f t="shared" si="10"/>
        <v>0</v>
      </c>
      <c r="O56" s="204">
        <f>IF(DG!$A$132&gt;10,0,IF(J56-J55&gt;0,MROUND((L56/12*Q55),1),MROUND(L56/12*P55,1)))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IF(OR(L$57=0,DG!$A$253&gt;11),0,F56+1)</f>
        <v>0</v>
      </c>
      <c r="G57" s="65">
        <f t="shared" si="1"/>
        <v>0</v>
      </c>
      <c r="H57" s="65">
        <f t="shared" si="2"/>
        <v>0</v>
      </c>
      <c r="I57" s="65">
        <f t="shared" si="3"/>
        <v>0</v>
      </c>
      <c r="J57" s="203">
        <f>IF(DG!$A$132&lt;=10,$M$17,0)</f>
        <v>0</v>
      </c>
      <c r="K57" s="65">
        <f t="shared" si="7"/>
        <v>0</v>
      </c>
      <c r="L57" s="473">
        <f t="shared" si="8"/>
        <v>0</v>
      </c>
      <c r="M57" s="204">
        <f t="shared" si="9"/>
        <v>0</v>
      </c>
      <c r="N57" s="505">
        <f t="shared" si="10"/>
        <v>0</v>
      </c>
      <c r="O57" s="204">
        <f>IF(DG!$A$132&gt;10,0,IF(J57-J56&gt;0,MROUND((L57/12*Q56),1),MROUND(L57/12*P56,1)))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IF(OR(L$58=0,DG!$A$253&gt;11),0,F57+1)</f>
        <v>0</v>
      </c>
      <c r="G58" s="65">
        <f t="shared" si="1"/>
        <v>0</v>
      </c>
      <c r="H58" s="65">
        <f t="shared" si="2"/>
        <v>0</v>
      </c>
      <c r="I58" s="65">
        <f t="shared" si="3"/>
        <v>0</v>
      </c>
      <c r="J58" s="203">
        <f>IF(DG!$A$132&lt;=10,$M$17,0)</f>
        <v>0</v>
      </c>
      <c r="K58" s="65">
        <f t="shared" si="7"/>
        <v>0</v>
      </c>
      <c r="L58" s="473">
        <f t="shared" si="8"/>
        <v>0</v>
      </c>
      <c r="M58" s="204">
        <f t="shared" si="9"/>
        <v>0</v>
      </c>
      <c r="N58" s="505">
        <f t="shared" si="10"/>
        <v>0</v>
      </c>
      <c r="O58" s="204">
        <f>IF(DG!$A$132&gt;10,0,IF(J58-J57&gt;0,MROUND((L58/12*Q57),1),MROUND(L58/12*P57,1)))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IF(OR(L$59=0,DG!$A$253&gt;12),0,F58+1)</f>
        <v>0</v>
      </c>
      <c r="G59" s="65">
        <f t="shared" si="1"/>
        <v>0</v>
      </c>
      <c r="H59" s="65">
        <f t="shared" si="2"/>
        <v>0</v>
      </c>
      <c r="I59" s="65">
        <f t="shared" si="3"/>
        <v>0</v>
      </c>
      <c r="J59" s="203">
        <f>IF(DG!$A$132&lt;=10,$M$17,0)</f>
        <v>0</v>
      </c>
      <c r="K59" s="65">
        <f t="shared" si="7"/>
        <v>0</v>
      </c>
      <c r="L59" s="473">
        <f t="shared" si="8"/>
        <v>0</v>
      </c>
      <c r="M59" s="204">
        <f t="shared" si="9"/>
        <v>0</v>
      </c>
      <c r="N59" s="505">
        <f t="shared" si="10"/>
        <v>0</v>
      </c>
      <c r="O59" s="204">
        <f>IF(DG!$A$132&gt;10,0,IF(J59-J58&gt;0,MROUND((L59/12*Q58),1),MROUND(L59/12*P58,1)))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IF(OR(L$60=0,DG!$A$253&gt;12),0,F59+1)</f>
        <v>0</v>
      </c>
      <c r="G60" s="65">
        <f t="shared" si="1"/>
        <v>0</v>
      </c>
      <c r="H60" s="65">
        <f t="shared" si="2"/>
        <v>0</v>
      </c>
      <c r="I60" s="65">
        <f t="shared" si="3"/>
        <v>0</v>
      </c>
      <c r="J60" s="203">
        <f>IF(DG!$A$132&lt;=10,$M$17,0)</f>
        <v>0</v>
      </c>
      <c r="K60" s="65">
        <f t="shared" si="7"/>
        <v>0</v>
      </c>
      <c r="L60" s="473">
        <f t="shared" si="8"/>
        <v>0</v>
      </c>
      <c r="M60" s="204">
        <f t="shared" si="9"/>
        <v>0</v>
      </c>
      <c r="N60" s="505">
        <f t="shared" si="10"/>
        <v>0</v>
      </c>
      <c r="O60" s="204">
        <f>IF(DG!$A$132&gt;10,0,IF(J60-J59&gt;0,MROUND((L60/12*Q59),1),MROUND(L60/12*P59,1)))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IF(OR(L$61=0,DG!$A$253&gt;12),0,F60+1)</f>
        <v>0</v>
      </c>
      <c r="G61" s="65">
        <f t="shared" si="1"/>
        <v>0</v>
      </c>
      <c r="H61" s="65">
        <f t="shared" si="2"/>
        <v>0</v>
      </c>
      <c r="I61" s="65">
        <f t="shared" si="3"/>
        <v>0</v>
      </c>
      <c r="J61" s="203">
        <f>IF(DG!$A$132&lt;=10,$M$17,0)</f>
        <v>0</v>
      </c>
      <c r="K61" s="65">
        <f t="shared" si="7"/>
        <v>0</v>
      </c>
      <c r="L61" s="473">
        <f t="shared" si="8"/>
        <v>0</v>
      </c>
      <c r="M61" s="204">
        <f t="shared" si="9"/>
        <v>0</v>
      </c>
      <c r="N61" s="505">
        <f t="shared" si="10"/>
        <v>0</v>
      </c>
      <c r="O61" s="204">
        <f>IF(DG!$A$132&gt;10,0,IF(J61-J60&gt;0,MROUND((L61/12*Q60),1),MROUND(L61/12*P60,1)))</f>
        <v>0</v>
      </c>
      <c r="P61" s="204">
        <f t="shared" si="11"/>
        <v>0</v>
      </c>
      <c r="Q61" s="204">
        <f t="shared" si="4"/>
        <v>0</v>
      </c>
      <c r="R61" s="748">
        <v>0</v>
      </c>
      <c r="S61" s="511">
        <f>SUM(N50:N61)</f>
        <v>0</v>
      </c>
    </row>
    <row r="62" spans="1:19" ht="14" thickTop="1" thickBot="1">
      <c r="A62" s="202">
        <f t="shared" si="5"/>
        <v>46388</v>
      </c>
      <c r="B62" s="65">
        <f>IF(OR(J$62=0,DG!$A$132&gt;11),0,B61+1)</f>
        <v>0</v>
      </c>
      <c r="C62" s="65">
        <f t="shared" si="13"/>
        <v>0</v>
      </c>
      <c r="D62" s="65">
        <f t="shared" si="12"/>
        <v>37</v>
      </c>
      <c r="E62" s="65">
        <f t="shared" si="6"/>
        <v>0</v>
      </c>
      <c r="F62" s="65">
        <f>IF(OR(L$62=0,DG!$A$253&gt;13),0,F61+1)</f>
        <v>0</v>
      </c>
      <c r="G62" s="65">
        <f t="shared" si="1"/>
        <v>0</v>
      </c>
      <c r="H62" s="65">
        <f t="shared" si="2"/>
        <v>0</v>
      </c>
      <c r="I62" s="65">
        <f t="shared" si="3"/>
        <v>0</v>
      </c>
      <c r="J62" s="203">
        <f>IF(DG!$A$132&lt;=11,$M$17,0)</f>
        <v>0</v>
      </c>
      <c r="K62" s="65">
        <f t="shared" si="7"/>
        <v>0</v>
      </c>
      <c r="L62" s="473">
        <f t="shared" si="8"/>
        <v>0</v>
      </c>
      <c r="M62" s="204">
        <f t="shared" si="9"/>
        <v>0</v>
      </c>
      <c r="N62" s="505">
        <f t="shared" si="10"/>
        <v>0</v>
      </c>
      <c r="O62" s="204">
        <f>IF(DG!$A$132&gt;10,0,IF(J62-J61&gt;0,MROUND((L62/12*Q61),1),MROUND(L62/12*P61,1)))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IF(OR(L$63=0,DG!$A$253&gt;13),0,F62+1)</f>
        <v>0</v>
      </c>
      <c r="G63" s="65">
        <f t="shared" si="1"/>
        <v>0</v>
      </c>
      <c r="H63" s="65">
        <f t="shared" si="2"/>
        <v>0</v>
      </c>
      <c r="I63" s="65">
        <f t="shared" si="3"/>
        <v>0</v>
      </c>
      <c r="J63" s="203">
        <f>IF(DG!$A$132&lt;=11,$M$17,0)</f>
        <v>0</v>
      </c>
      <c r="K63" s="65">
        <f t="shared" si="7"/>
        <v>0</v>
      </c>
      <c r="L63" s="473">
        <f t="shared" si="8"/>
        <v>0</v>
      </c>
      <c r="M63" s="204">
        <f t="shared" si="9"/>
        <v>0</v>
      </c>
      <c r="N63" s="505">
        <f t="shared" si="10"/>
        <v>0</v>
      </c>
      <c r="O63" s="204">
        <f>IF(DG!$A$132&gt;10,0,IF(J63-J62&gt;0,MROUND((L63/12*Q62),1),MROUND(L63/12*P62,1)))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IF(OR(L$64=0,DG!$A$253&gt;13),0,F63+1)</f>
        <v>0</v>
      </c>
      <c r="G64" s="65">
        <f t="shared" si="1"/>
        <v>0</v>
      </c>
      <c r="H64" s="65">
        <f t="shared" si="2"/>
        <v>0</v>
      </c>
      <c r="I64" s="65">
        <f>IF(OR(G64=1,C64=0),0,IF(K64-C64&lt;$G$269,1,-1))</f>
        <v>0</v>
      </c>
      <c r="J64" s="203">
        <f>IF(DG!$A$132&lt;=11,$M$17,0)</f>
        <v>0</v>
      </c>
      <c r="K64" s="65">
        <f t="shared" si="7"/>
        <v>0</v>
      </c>
      <c r="L64" s="473">
        <f t="shared" si="8"/>
        <v>0</v>
      </c>
      <c r="M64" s="204">
        <f t="shared" si="9"/>
        <v>0</v>
      </c>
      <c r="N64" s="505">
        <f t="shared" si="10"/>
        <v>0</v>
      </c>
      <c r="O64" s="204">
        <f>IF(DG!$A$132&gt;10,0,IF(J64-J63&gt;0,MROUND((L64/12*Q63),1),MROUND(L64/12*P63,1)))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IF(OR(L$65=0,DG!$A$253&gt;14),0,F64+1)</f>
        <v>0</v>
      </c>
      <c r="G65" s="65">
        <f t="shared" si="1"/>
        <v>0</v>
      </c>
      <c r="H65" s="65">
        <f t="shared" si="2"/>
        <v>0</v>
      </c>
      <c r="I65" s="65">
        <f t="shared" ref="I65:I128" si="16">IF(OR(G65=1,C65=0),0,IF(K65-C65&lt;$G$269,1,-1))</f>
        <v>0</v>
      </c>
      <c r="J65" s="203">
        <f>IF(DG!$A$132&lt;=11,$M$17,0)</f>
        <v>0</v>
      </c>
      <c r="K65" s="65">
        <f t="shared" si="7"/>
        <v>0</v>
      </c>
      <c r="L65" s="473">
        <f t="shared" si="8"/>
        <v>0</v>
      </c>
      <c r="M65" s="204">
        <f t="shared" si="9"/>
        <v>0</v>
      </c>
      <c r="N65" s="505">
        <f t="shared" si="10"/>
        <v>0</v>
      </c>
      <c r="O65" s="204">
        <f>IF(DG!$A$132&gt;11,0,IF(J65-J64&gt;0,MROUND((L65/12*Q64),1),MROUND(L65/12*P64,1)))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IF(OR(L$66=0,DG!$A$253&gt;14),0,F65+1)</f>
        <v>0</v>
      </c>
      <c r="G66" s="65">
        <f t="shared" si="1"/>
        <v>0</v>
      </c>
      <c r="H66" s="65">
        <f t="shared" si="2"/>
        <v>0</v>
      </c>
      <c r="I66" s="65">
        <f t="shared" si="16"/>
        <v>0</v>
      </c>
      <c r="J66" s="203">
        <f>IF(DG!$A$132&lt;=11,$M$17,0)</f>
        <v>0</v>
      </c>
      <c r="K66" s="65">
        <f t="shared" si="7"/>
        <v>0</v>
      </c>
      <c r="L66" s="473">
        <f t="shared" si="8"/>
        <v>0</v>
      </c>
      <c r="M66" s="204">
        <f t="shared" si="9"/>
        <v>0</v>
      </c>
      <c r="N66" s="505">
        <f t="shared" si="10"/>
        <v>0</v>
      </c>
      <c r="O66" s="204">
        <f>IF(DG!$A$132&gt;11,0,IF(J66-J65&gt;0,MROUND((L66/12*Q65),1),MROUND(L66/12*P65,1)))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IF(OR(L$67=0,DG!$A$253&gt;14),0,F66+1)</f>
        <v>0</v>
      </c>
      <c r="G67" s="65">
        <f t="shared" si="1"/>
        <v>0</v>
      </c>
      <c r="H67" s="65">
        <f t="shared" si="2"/>
        <v>0</v>
      </c>
      <c r="I67" s="65">
        <f t="shared" si="16"/>
        <v>0</v>
      </c>
      <c r="J67" s="203">
        <f>IF(DG!$A$132&lt;=11,$M$17,0)</f>
        <v>0</v>
      </c>
      <c r="K67" s="65">
        <f t="shared" si="7"/>
        <v>0</v>
      </c>
      <c r="L67" s="473">
        <f t="shared" si="8"/>
        <v>0</v>
      </c>
      <c r="M67" s="204">
        <f t="shared" si="9"/>
        <v>0</v>
      </c>
      <c r="N67" s="505">
        <f t="shared" si="10"/>
        <v>0</v>
      </c>
      <c r="O67" s="204">
        <f>IF(DG!$A$132&gt;11,0,IF(J67-J66&gt;0,MROUND((L67/12*Q66),1),MROUND(L67/12*P66,1)))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IF(OR(L$68=0,DG!$A$253&gt;15),0,F67+1)</f>
        <v>0</v>
      </c>
      <c r="G68" s="65">
        <f t="shared" si="1"/>
        <v>0</v>
      </c>
      <c r="H68" s="65">
        <f t="shared" si="2"/>
        <v>0</v>
      </c>
      <c r="I68" s="65">
        <f t="shared" si="16"/>
        <v>0</v>
      </c>
      <c r="J68" s="203">
        <f>IF(DG!$A$132&lt;=11,$M$17,0)</f>
        <v>0</v>
      </c>
      <c r="K68" s="65">
        <f t="shared" si="7"/>
        <v>0</v>
      </c>
      <c r="L68" s="473">
        <f t="shared" si="8"/>
        <v>0</v>
      </c>
      <c r="M68" s="204">
        <f t="shared" si="9"/>
        <v>0</v>
      </c>
      <c r="N68" s="505">
        <f t="shared" si="10"/>
        <v>0</v>
      </c>
      <c r="O68" s="204">
        <f>IF(DG!$A$132&gt;11,0,IF(J68-J67&gt;0,MROUND((L68/12*Q67),1),MROUND(L68/12*P67,1)))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IF(OR(L$69=0,DG!$A$253&gt;15),0,F68+1)</f>
        <v>0</v>
      </c>
      <c r="G69" s="65">
        <f t="shared" si="1"/>
        <v>0</v>
      </c>
      <c r="H69" s="65">
        <f t="shared" si="2"/>
        <v>0</v>
      </c>
      <c r="I69" s="65">
        <f t="shared" si="16"/>
        <v>0</v>
      </c>
      <c r="J69" s="203">
        <f>IF(DG!$A$132&lt;=11,$M$17,0)</f>
        <v>0</v>
      </c>
      <c r="K69" s="65">
        <f t="shared" si="7"/>
        <v>0</v>
      </c>
      <c r="L69" s="473">
        <f t="shared" si="8"/>
        <v>0</v>
      </c>
      <c r="M69" s="204">
        <f t="shared" si="9"/>
        <v>0</v>
      </c>
      <c r="N69" s="505">
        <f t="shared" si="10"/>
        <v>0</v>
      </c>
      <c r="O69" s="204">
        <f>IF(DG!$A$132&gt;11,0,IF(J69-J68&gt;0,MROUND((L69/12*Q68),1),MROUND(L69/12*P68,1)))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IF(OR(L$70=0,DG!$A$253&gt;15),0,F69+1)</f>
        <v>0</v>
      </c>
      <c r="G70" s="65">
        <f t="shared" si="1"/>
        <v>0</v>
      </c>
      <c r="H70" s="65">
        <f t="shared" si="2"/>
        <v>0</v>
      </c>
      <c r="I70" s="65">
        <f t="shared" si="16"/>
        <v>0</v>
      </c>
      <c r="J70" s="203">
        <f>IF(DG!$A$132&lt;=11,$M$17,0)</f>
        <v>0</v>
      </c>
      <c r="K70" s="65">
        <f t="shared" si="7"/>
        <v>0</v>
      </c>
      <c r="L70" s="473">
        <f t="shared" si="8"/>
        <v>0</v>
      </c>
      <c r="M70" s="204">
        <f t="shared" si="9"/>
        <v>0</v>
      </c>
      <c r="N70" s="505">
        <f t="shared" si="10"/>
        <v>0</v>
      </c>
      <c r="O70" s="204">
        <f>IF(DG!$A$132&gt;11,0,IF(J70-J69&gt;0,MROUND((L70/12*Q69),1),MROUND(L70/12*P69,1)))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IF(OR(L$71=0,DG!$A$253&gt;16),0,F70+1)</f>
        <v>0</v>
      </c>
      <c r="G71" s="65">
        <f t="shared" si="1"/>
        <v>0</v>
      </c>
      <c r="H71" s="65">
        <f t="shared" si="2"/>
        <v>0</v>
      </c>
      <c r="I71" s="65">
        <f t="shared" si="16"/>
        <v>0</v>
      </c>
      <c r="J71" s="203">
        <f>IF(DG!$A$132&lt;=11,$M$17,0)</f>
        <v>0</v>
      </c>
      <c r="K71" s="65">
        <f t="shared" si="7"/>
        <v>0</v>
      </c>
      <c r="L71" s="473">
        <f t="shared" si="8"/>
        <v>0</v>
      </c>
      <c r="M71" s="204">
        <f t="shared" si="9"/>
        <v>0</v>
      </c>
      <c r="N71" s="505">
        <f t="shared" si="10"/>
        <v>0</v>
      </c>
      <c r="O71" s="204">
        <f>IF(DG!$A$132&gt;11,0,IF(J71-J70&gt;0,MROUND((L71/12*Q70),1),MROUND(L71/12*P70,1)))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IF(OR(L$72=0,DG!$A$253&gt;16),0,F71+1)</f>
        <v>0</v>
      </c>
      <c r="G72" s="65">
        <f t="shared" si="1"/>
        <v>0</v>
      </c>
      <c r="H72" s="65">
        <f t="shared" si="2"/>
        <v>0</v>
      </c>
      <c r="I72" s="65">
        <f t="shared" si="16"/>
        <v>0</v>
      </c>
      <c r="J72" s="203">
        <f>IF(DG!$A$132&lt;=11,$M$17,0)</f>
        <v>0</v>
      </c>
      <c r="K72" s="65">
        <f t="shared" si="7"/>
        <v>0</v>
      </c>
      <c r="L72" s="473">
        <f t="shared" si="8"/>
        <v>0</v>
      </c>
      <c r="M72" s="204">
        <f t="shared" si="9"/>
        <v>0</v>
      </c>
      <c r="N72" s="505">
        <f t="shared" si="10"/>
        <v>0</v>
      </c>
      <c r="O72" s="204">
        <f>IF(DG!$A$132&gt;11,0,IF(J72-J71&gt;0,MROUND((L72/12*Q71),1),MROUND(L72/12*P71,1)))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IF(OR(L$73=0,DG!$A$253&gt;16),0,F72+1)</f>
        <v>0</v>
      </c>
      <c r="G73" s="65">
        <f t="shared" si="1"/>
        <v>0</v>
      </c>
      <c r="H73" s="65">
        <f t="shared" si="2"/>
        <v>0</v>
      </c>
      <c r="I73" s="65">
        <f t="shared" si="16"/>
        <v>0</v>
      </c>
      <c r="J73" s="203">
        <f>IF(DG!$A$132&lt;=11,$M$17,0)</f>
        <v>0</v>
      </c>
      <c r="K73" s="65">
        <f t="shared" si="7"/>
        <v>0</v>
      </c>
      <c r="L73" s="473">
        <f t="shared" si="8"/>
        <v>0</v>
      </c>
      <c r="M73" s="204">
        <f t="shared" si="9"/>
        <v>0</v>
      </c>
      <c r="N73" s="505">
        <f t="shared" si="10"/>
        <v>0</v>
      </c>
      <c r="O73" s="204">
        <f>IF(DG!$A$132&gt;11,0,IF(J73-J72&gt;0,MROUND((L73/12*Q72),1),MROUND(L73/12*P72,1)))</f>
        <v>0</v>
      </c>
      <c r="P73" s="204">
        <f t="shared" si="11"/>
        <v>0</v>
      </c>
      <c r="Q73" s="204">
        <f t="shared" si="4"/>
        <v>0</v>
      </c>
      <c r="R73" s="748">
        <v>0</v>
      </c>
      <c r="S73" s="511">
        <f>SUM(N62:N73)</f>
        <v>0</v>
      </c>
    </row>
    <row r="74" spans="1:19" ht="14" thickTop="1" thickBot="1">
      <c r="A74" s="202">
        <f t="shared" si="5"/>
        <v>46753</v>
      </c>
      <c r="B74" s="65">
        <f>IF(OR(J$73=0,DG!$A$132&gt;12),0,B73+1)</f>
        <v>0</v>
      </c>
      <c r="C74" s="65">
        <f t="shared" si="13"/>
        <v>0</v>
      </c>
      <c r="D74" s="65">
        <f t="shared" si="12"/>
        <v>49</v>
      </c>
      <c r="E74" s="65">
        <f t="shared" si="6"/>
        <v>0</v>
      </c>
      <c r="F74" s="65">
        <f>IF(OR(L$73=0,DG!$A$253&gt;16),0,F73+1)</f>
        <v>0</v>
      </c>
      <c r="G74" s="65">
        <f t="shared" si="1"/>
        <v>0</v>
      </c>
      <c r="H74" s="65">
        <f t="shared" si="2"/>
        <v>0</v>
      </c>
      <c r="I74" s="65">
        <f t="shared" si="16"/>
        <v>0</v>
      </c>
      <c r="J74" s="203">
        <f>IF(DG!$A$132&lt;=12,$M$17,0)</f>
        <v>0</v>
      </c>
      <c r="K74" s="65">
        <f t="shared" si="7"/>
        <v>0</v>
      </c>
      <c r="L74" s="473">
        <f t="shared" si="8"/>
        <v>0</v>
      </c>
      <c r="M74" s="204">
        <f t="shared" si="9"/>
        <v>0</v>
      </c>
      <c r="N74" s="505">
        <f t="shared" si="10"/>
        <v>0</v>
      </c>
      <c r="O74" s="204">
        <f>IF(DG!$A$132&gt;11,0,IF(J74-J73&gt;0,MROUND((L74/12*Q73),1),MROUND(L74/12*P73,1)))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IF(OR(L$73=0,DG!$A$253&gt;16),0,F74+1)</f>
        <v>0</v>
      </c>
      <c r="G75" s="65">
        <f t="shared" si="1"/>
        <v>0</v>
      </c>
      <c r="H75" s="65">
        <f t="shared" si="2"/>
        <v>0</v>
      </c>
      <c r="I75" s="65">
        <f t="shared" si="16"/>
        <v>0</v>
      </c>
      <c r="J75" s="203">
        <f>IF(DG!$A$132&lt;=12,$M$17,0)</f>
        <v>0</v>
      </c>
      <c r="K75" s="65">
        <f t="shared" si="7"/>
        <v>0</v>
      </c>
      <c r="L75" s="473">
        <f t="shared" si="8"/>
        <v>0</v>
      </c>
      <c r="M75" s="204">
        <f t="shared" si="9"/>
        <v>0</v>
      </c>
      <c r="N75" s="505">
        <f t="shared" si="10"/>
        <v>0</v>
      </c>
      <c r="O75" s="204">
        <f>IF(DG!$A$132&gt;11,0,IF(J75-J74&gt;0,MROUND((L75/12*Q74),1),MROUND(L75/12*P74,1)))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IF(OR(L$73=0,DG!$A$253&gt;16),0,F75+1)</f>
        <v>0</v>
      </c>
      <c r="G76" s="65">
        <f t="shared" si="1"/>
        <v>0</v>
      </c>
      <c r="H76" s="65">
        <f t="shared" si="2"/>
        <v>0</v>
      </c>
      <c r="I76" s="65">
        <f t="shared" si="16"/>
        <v>0</v>
      </c>
      <c r="J76" s="203">
        <f>IF(DG!$A$132&lt;=11,$M$17,0)</f>
        <v>0</v>
      </c>
      <c r="K76" s="65">
        <f t="shared" si="7"/>
        <v>0</v>
      </c>
      <c r="L76" s="473">
        <f t="shared" si="8"/>
        <v>0</v>
      </c>
      <c r="M76" s="204">
        <f t="shared" si="9"/>
        <v>0</v>
      </c>
      <c r="N76" s="505">
        <f t="shared" si="10"/>
        <v>0</v>
      </c>
      <c r="O76" s="204">
        <f>IF(DG!$A$132&gt;11,0,IF(J76-J75&gt;0,MROUND((L76/12*Q75),1),MROUND(L76/12*P75,1)))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IF(OR(L$73=0,DG!$A$253&gt;16),0,F76+1)</f>
        <v>0</v>
      </c>
      <c r="G77" s="65">
        <f t="shared" si="1"/>
        <v>0</v>
      </c>
      <c r="H77" s="65">
        <f t="shared" si="2"/>
        <v>0</v>
      </c>
      <c r="I77" s="65">
        <f t="shared" si="16"/>
        <v>0</v>
      </c>
      <c r="J77" s="203">
        <f>IF(DG!$A$132&lt;=11,$M$17,0)</f>
        <v>0</v>
      </c>
      <c r="K77" s="65">
        <f t="shared" si="7"/>
        <v>0</v>
      </c>
      <c r="L77" s="473">
        <f t="shared" si="8"/>
        <v>0</v>
      </c>
      <c r="M77" s="204">
        <f t="shared" si="9"/>
        <v>0</v>
      </c>
      <c r="N77" s="505">
        <f t="shared" si="10"/>
        <v>0</v>
      </c>
      <c r="O77" s="204">
        <f>IF(DG!$A$132&gt;12,0,IF(J77-J76&gt;0,MROUND((L77/12*Q76),1),MROUND(L77/12*P76,1)))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IF(OR(L$73=0,DG!$A$253&gt;16),0,F77+1)</f>
        <v>0</v>
      </c>
      <c r="G78" s="65">
        <f t="shared" si="1"/>
        <v>0</v>
      </c>
      <c r="H78" s="65">
        <f t="shared" si="2"/>
        <v>0</v>
      </c>
      <c r="I78" s="65">
        <f t="shared" si="16"/>
        <v>0</v>
      </c>
      <c r="J78" s="203">
        <f>IF(DG!$A$132&lt;=11,$M$17,0)</f>
        <v>0</v>
      </c>
      <c r="K78" s="65">
        <f t="shared" si="7"/>
        <v>0</v>
      </c>
      <c r="L78" s="473">
        <f t="shared" si="8"/>
        <v>0</v>
      </c>
      <c r="M78" s="204">
        <f t="shared" si="9"/>
        <v>0</v>
      </c>
      <c r="N78" s="505">
        <f t="shared" si="10"/>
        <v>0</v>
      </c>
      <c r="O78" s="204">
        <f>IF(DG!$A$132&gt;12,0,IF(J78-J77&gt;0,MROUND((L78/12*Q77),1),MROUND(L78/12*P77,1)))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IF(OR(L$73=0,DG!$A$253&gt;16),0,F78+1)</f>
        <v>0</v>
      </c>
      <c r="G79" s="65">
        <f t="shared" si="1"/>
        <v>0</v>
      </c>
      <c r="H79" s="65">
        <f t="shared" si="2"/>
        <v>0</v>
      </c>
      <c r="I79" s="65">
        <f t="shared" si="16"/>
        <v>0</v>
      </c>
      <c r="J79" s="203">
        <f>IF(DG!$A$132&lt;=11,$M$17,0)</f>
        <v>0</v>
      </c>
      <c r="K79" s="65">
        <f t="shared" si="7"/>
        <v>0</v>
      </c>
      <c r="L79" s="473">
        <f t="shared" si="8"/>
        <v>0</v>
      </c>
      <c r="M79" s="204">
        <f t="shared" si="9"/>
        <v>0</v>
      </c>
      <c r="N79" s="505">
        <f t="shared" si="10"/>
        <v>0</v>
      </c>
      <c r="O79" s="204">
        <f>IF(DG!$A$132&gt;12,0,IF(J79-J78&gt;0,MROUND((L79/12*Q78),1),MROUND(L79/12*P78,1)))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IF(OR(L$73=0,DG!$A$253&gt;16),0,F79+1)</f>
        <v>0</v>
      </c>
      <c r="G80" s="65">
        <f t="shared" si="1"/>
        <v>0</v>
      </c>
      <c r="H80" s="65">
        <f t="shared" si="2"/>
        <v>0</v>
      </c>
      <c r="I80" s="65">
        <f t="shared" si="16"/>
        <v>0</v>
      </c>
      <c r="J80" s="203">
        <f>IF(DG!$A$132&lt;=11,$M$17,0)</f>
        <v>0</v>
      </c>
      <c r="K80" s="65">
        <f t="shared" si="7"/>
        <v>0</v>
      </c>
      <c r="L80" s="473">
        <f t="shared" si="8"/>
        <v>0</v>
      </c>
      <c r="M80" s="204">
        <f t="shared" si="9"/>
        <v>0</v>
      </c>
      <c r="N80" s="505">
        <f t="shared" si="10"/>
        <v>0</v>
      </c>
      <c r="O80" s="204">
        <f>IF(DG!$A$132&gt;12,0,IF(J80-J79&gt;0,MROUND((L80/12*Q79),1),MROUND(L80/12*P79,1)))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IF(OR(L$73=0,DG!$A$253&gt;16),0,F80+1)</f>
        <v>0</v>
      </c>
      <c r="G81" s="65">
        <f t="shared" si="1"/>
        <v>0</v>
      </c>
      <c r="H81" s="65">
        <f t="shared" si="2"/>
        <v>0</v>
      </c>
      <c r="I81" s="65">
        <f t="shared" si="16"/>
        <v>0</v>
      </c>
      <c r="J81" s="203">
        <f>IF(DG!$A$132&lt;=11,$M$17,0)</f>
        <v>0</v>
      </c>
      <c r="K81" s="65">
        <f t="shared" si="7"/>
        <v>0</v>
      </c>
      <c r="L81" s="473">
        <f t="shared" si="8"/>
        <v>0</v>
      </c>
      <c r="M81" s="204">
        <f t="shared" si="9"/>
        <v>0</v>
      </c>
      <c r="N81" s="505">
        <f t="shared" si="10"/>
        <v>0</v>
      </c>
      <c r="O81" s="204">
        <f>IF(DG!$A$132&gt;12,0,IF(J81-J80&gt;0,MROUND((L81/12*Q80),1),MROUND(L81/12*P80,1)))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IF(OR(L$73=0,DG!$A$253&gt;16),0,F81+1)</f>
        <v>0</v>
      </c>
      <c r="G82" s="65">
        <f t="shared" si="1"/>
        <v>0</v>
      </c>
      <c r="H82" s="65">
        <f t="shared" si="2"/>
        <v>0</v>
      </c>
      <c r="I82" s="65">
        <f t="shared" si="16"/>
        <v>0</v>
      </c>
      <c r="J82" s="203">
        <f>IF(DG!$A$132&lt;=11,$M$17,0)</f>
        <v>0</v>
      </c>
      <c r="K82" s="65">
        <f t="shared" si="7"/>
        <v>0</v>
      </c>
      <c r="L82" s="473">
        <f t="shared" si="8"/>
        <v>0</v>
      </c>
      <c r="M82" s="204">
        <f t="shared" si="9"/>
        <v>0</v>
      </c>
      <c r="N82" s="505">
        <f t="shared" si="10"/>
        <v>0</v>
      </c>
      <c r="O82" s="204">
        <f>IF(DG!$A$132&gt;12,0,IF(J82-J81&gt;0,MROUND((L82/12*Q81),1),MROUND(L82/12*P81,1)))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IF(OR(L$73=0,DG!$A$253&gt;16),0,F82+1)</f>
        <v>0</v>
      </c>
      <c r="G83" s="65">
        <f t="shared" si="1"/>
        <v>0</v>
      </c>
      <c r="H83" s="65">
        <f t="shared" si="2"/>
        <v>0</v>
      </c>
      <c r="I83" s="65">
        <f t="shared" si="16"/>
        <v>0</v>
      </c>
      <c r="J83" s="203">
        <f>IF(DG!$A$132&lt;=11,$M$17,0)</f>
        <v>0</v>
      </c>
      <c r="K83" s="65">
        <f t="shared" si="7"/>
        <v>0</v>
      </c>
      <c r="L83" s="473">
        <f t="shared" si="8"/>
        <v>0</v>
      </c>
      <c r="M83" s="204">
        <f t="shared" si="9"/>
        <v>0</v>
      </c>
      <c r="N83" s="505">
        <f t="shared" si="10"/>
        <v>0</v>
      </c>
      <c r="O83" s="204">
        <f>IF(DG!$A$132&gt;12,0,IF(J83-J82&gt;0,MROUND((L83/12*Q82),1),MROUND(L83/12*P82,1)))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IF(OR(L$73=0,DG!$A$253&gt;16),0,F83+1)</f>
        <v>0</v>
      </c>
      <c r="G84" s="65">
        <f t="shared" si="1"/>
        <v>0</v>
      </c>
      <c r="H84" s="65">
        <f t="shared" si="2"/>
        <v>0</v>
      </c>
      <c r="I84" s="65">
        <f t="shared" si="16"/>
        <v>0</v>
      </c>
      <c r="J84" s="203">
        <f>IF(DG!$A$132&lt;=11,$M$17,0)</f>
        <v>0</v>
      </c>
      <c r="K84" s="65">
        <f t="shared" si="7"/>
        <v>0</v>
      </c>
      <c r="L84" s="473">
        <f t="shared" si="8"/>
        <v>0</v>
      </c>
      <c r="M84" s="204">
        <f t="shared" si="9"/>
        <v>0</v>
      </c>
      <c r="N84" s="505">
        <f t="shared" si="10"/>
        <v>0</v>
      </c>
      <c r="O84" s="204">
        <f>IF(DG!$A$132&gt;12,0,IF(J84-J83&gt;0,MROUND((L84/12*Q83),1),MROUND(L84/12*P83,1)))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IF(OR(L$73=0,DG!$A$253&gt;16),0,F84+1)</f>
        <v>0</v>
      </c>
      <c r="G85" s="65">
        <f t="shared" si="1"/>
        <v>0</v>
      </c>
      <c r="H85" s="65">
        <f t="shared" si="2"/>
        <v>0</v>
      </c>
      <c r="I85" s="65">
        <f t="shared" si="16"/>
        <v>0</v>
      </c>
      <c r="J85" s="203">
        <f>IF(DG!$A$132&lt;=11,$M$17,0)</f>
        <v>0</v>
      </c>
      <c r="K85" s="65">
        <f t="shared" si="7"/>
        <v>0</v>
      </c>
      <c r="L85" s="473">
        <f t="shared" si="8"/>
        <v>0</v>
      </c>
      <c r="M85" s="204">
        <f t="shared" si="9"/>
        <v>0</v>
      </c>
      <c r="N85" s="505">
        <f t="shared" si="10"/>
        <v>0</v>
      </c>
      <c r="O85" s="204">
        <f>IF(DG!$A$132&gt;12,0,IF(J85-J84&gt;0,MROUND((L85/12*Q84),1),MROUND(L85/12*P84,1)))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IF(OR(L$73=0,DG!$A$253&gt;16),0,F85+1)</f>
        <v>0</v>
      </c>
      <c r="G86" s="65">
        <f t="shared" si="1"/>
        <v>0</v>
      </c>
      <c r="H86" s="65">
        <f t="shared" si="2"/>
        <v>0</v>
      </c>
      <c r="I86" s="65">
        <f t="shared" si="16"/>
        <v>0</v>
      </c>
      <c r="J86" s="203">
        <f>IF(DG!$A$132&lt;=11,$M$17,0)</f>
        <v>0</v>
      </c>
      <c r="K86" s="65">
        <f t="shared" si="7"/>
        <v>0</v>
      </c>
      <c r="L86" s="473">
        <f t="shared" si="8"/>
        <v>0</v>
      </c>
      <c r="M86" s="204">
        <f t="shared" si="9"/>
        <v>0</v>
      </c>
      <c r="N86" s="505">
        <f t="shared" si="10"/>
        <v>0</v>
      </c>
      <c r="O86" s="204">
        <f>IF(DG!$A$132&gt;12,0,IF(J86-J85&gt;0,MROUND((L86/12*Q85),1),MROUND(L86/12*P85,1)))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IF(OR(L$73=0,DG!$A$253&gt;16),0,F86+1)</f>
        <v>0</v>
      </c>
      <c r="G87" s="65">
        <f t="shared" si="1"/>
        <v>0</v>
      </c>
      <c r="H87" s="65">
        <f t="shared" si="2"/>
        <v>0</v>
      </c>
      <c r="I87" s="65">
        <f t="shared" si="16"/>
        <v>0</v>
      </c>
      <c r="J87" s="203">
        <f>IF(DG!$A$132&lt;=11,$M$17,0)</f>
        <v>0</v>
      </c>
      <c r="K87" s="65">
        <f t="shared" si="7"/>
        <v>0</v>
      </c>
      <c r="L87" s="473">
        <f t="shared" si="8"/>
        <v>0</v>
      </c>
      <c r="M87" s="204">
        <f t="shared" si="9"/>
        <v>0</v>
      </c>
      <c r="N87" s="505">
        <f t="shared" si="10"/>
        <v>0</v>
      </c>
      <c r="O87" s="204">
        <f>IF(DG!$A$132&gt;12,0,IF(J87-J86&gt;0,MROUND((L87/12*Q86),1),MROUND(L87/12*P86,1)))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IF(OR(L$73=0,DG!$A$253&gt;16),0,F87+1)</f>
        <v>0</v>
      </c>
      <c r="G88" s="65">
        <f t="shared" si="1"/>
        <v>0</v>
      </c>
      <c r="H88" s="65">
        <f t="shared" si="2"/>
        <v>0</v>
      </c>
      <c r="I88" s="65">
        <f t="shared" si="16"/>
        <v>0</v>
      </c>
      <c r="J88" s="203">
        <f>IF(DG!$A$132&lt;=11,$M$17,0)</f>
        <v>0</v>
      </c>
      <c r="K88" s="65">
        <f t="shared" si="7"/>
        <v>0</v>
      </c>
      <c r="L88" s="473">
        <f t="shared" si="8"/>
        <v>0</v>
      </c>
      <c r="M88" s="204">
        <f t="shared" si="9"/>
        <v>0</v>
      </c>
      <c r="N88" s="505">
        <f t="shared" si="10"/>
        <v>0</v>
      </c>
      <c r="O88" s="204">
        <f>IF(DG!$A$132&gt;12,0,IF(J88-J87&gt;0,MROUND((L88/12*Q87),1),MROUND(L88/12*P87,1)))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IF(OR(L$73=0,DG!$A$253&gt;16),0,F88+1)</f>
        <v>0</v>
      </c>
      <c r="G89" s="65">
        <f t="shared" si="1"/>
        <v>0</v>
      </c>
      <c r="H89" s="65">
        <f t="shared" si="2"/>
        <v>0</v>
      </c>
      <c r="I89" s="65">
        <f t="shared" si="16"/>
        <v>0</v>
      </c>
      <c r="J89" s="203">
        <f>IF(DG!$A$132&lt;=11,$M$17,0)</f>
        <v>0</v>
      </c>
      <c r="K89" s="65">
        <f t="shared" si="7"/>
        <v>0</v>
      </c>
      <c r="L89" s="473">
        <f t="shared" si="8"/>
        <v>0</v>
      </c>
      <c r="M89" s="204">
        <f t="shared" si="9"/>
        <v>0</v>
      </c>
      <c r="N89" s="505">
        <f t="shared" si="10"/>
        <v>0</v>
      </c>
      <c r="O89" s="204">
        <f>IF(DG!$A$132&gt;12,0,IF(J89-J88&gt;0,MROUND((L89/12*Q88),1),MROUND(L89/12*P88,1)))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IF(OR(L$73=0,DG!$A$253&gt;16),0,F89+1)</f>
        <v>0</v>
      </c>
      <c r="G90" s="65">
        <f t="shared" ref="G90:G153" si="19">IF(E90=0,0,IF(D90-E90-F90&gt;=0,1,0))</f>
        <v>0</v>
      </c>
      <c r="H90" s="65">
        <f t="shared" ref="H90:H150" si="20">IF(I90&gt;=0,0,H89+1)</f>
        <v>0</v>
      </c>
      <c r="I90" s="65">
        <f t="shared" si="16"/>
        <v>0</v>
      </c>
      <c r="J90" s="203">
        <f>IF(DG!$A$132&lt;=11,$M$17,0)</f>
        <v>0</v>
      </c>
      <c r="K90" s="65">
        <f t="shared" si="7"/>
        <v>0</v>
      </c>
      <c r="L90" s="473">
        <f t="shared" si="8"/>
        <v>0</v>
      </c>
      <c r="M90" s="204">
        <f t="shared" si="9"/>
        <v>0</v>
      </c>
      <c r="N90" s="505">
        <f t="shared" si="10"/>
        <v>0</v>
      </c>
      <c r="O90" s="204">
        <f>IF(DG!$A$132&gt;12,0,IF(J90-J89&gt;0,MROUND((L90/12*Q89),1),MROUND(L90/12*P89,1)))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IF(OR(L$73=0,DG!$A$253&gt;16),0,F90+1)</f>
        <v>0</v>
      </c>
      <c r="G91" s="65">
        <f t="shared" si="19"/>
        <v>0</v>
      </c>
      <c r="H91" s="65">
        <f t="shared" si="20"/>
        <v>0</v>
      </c>
      <c r="I91" s="65">
        <f t="shared" si="16"/>
        <v>0</v>
      </c>
      <c r="J91" s="203">
        <f>IF(DG!$A$132&lt;=11,$M$17,0)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IF(DG!$A$132&gt;12,0,IF(J91-J90&gt;0,MROUND((L91/12*Q90),1),MROUND(L91/12*P90,1)))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IF(OR(L$73=0,DG!$A$253&gt;16),0,F91+1)</f>
        <v>0</v>
      </c>
      <c r="G92" s="65">
        <f t="shared" si="19"/>
        <v>0</v>
      </c>
      <c r="H92" s="65">
        <f t="shared" si="20"/>
        <v>0</v>
      </c>
      <c r="I92" s="65">
        <f t="shared" si="16"/>
        <v>0</v>
      </c>
      <c r="J92" s="203">
        <f>IF(DG!$A$132&lt;=11,$M$17,0)</f>
        <v>0</v>
      </c>
      <c r="K92" s="65">
        <f t="shared" si="24"/>
        <v>0</v>
      </c>
      <c r="L92" s="473">
        <f t="shared" si="25"/>
        <v>0</v>
      </c>
      <c r="M92" s="204">
        <f t="shared" si="26"/>
        <v>0</v>
      </c>
      <c r="N92" s="505">
        <f t="shared" si="27"/>
        <v>0</v>
      </c>
      <c r="O92" s="204">
        <f>IF(DG!$A$132&gt;12,0,IF(J92-J91&gt;0,MROUND((L92/12*Q91),1),MROUND(L92/12*P91,1)))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IF(OR(L$73=0,DG!$A$253&gt;16),0,F92+1)</f>
        <v>0</v>
      </c>
      <c r="G93" s="65">
        <f t="shared" si="19"/>
        <v>0</v>
      </c>
      <c r="H93" s="65">
        <f t="shared" si="20"/>
        <v>0</v>
      </c>
      <c r="I93" s="65">
        <f t="shared" si="16"/>
        <v>0</v>
      </c>
      <c r="J93" s="203">
        <f>IF(DG!$A$132&lt;=11,$M$17,0)</f>
        <v>0</v>
      </c>
      <c r="K93" s="65">
        <f t="shared" si="24"/>
        <v>0</v>
      </c>
      <c r="L93" s="473">
        <f t="shared" si="25"/>
        <v>0</v>
      </c>
      <c r="M93" s="204">
        <f t="shared" si="26"/>
        <v>0</v>
      </c>
      <c r="N93" s="505">
        <f t="shared" si="27"/>
        <v>0</v>
      </c>
      <c r="O93" s="204">
        <f>IF(DG!$A$132&gt;12,0,IF(J93-J92&gt;0,MROUND((L93/12*Q92),1),MROUND(L93/12*P92,1)))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IF(OR(L$73=0,DG!$A$253&gt;16),0,F93+1)</f>
        <v>0</v>
      </c>
      <c r="G94" s="65">
        <f t="shared" si="19"/>
        <v>0</v>
      </c>
      <c r="H94" s="65">
        <f t="shared" si="20"/>
        <v>0</v>
      </c>
      <c r="I94" s="65">
        <f t="shared" si="16"/>
        <v>0</v>
      </c>
      <c r="J94" s="203">
        <f>IF(DG!$A$132&lt;=11,$M$17,0)</f>
        <v>0</v>
      </c>
      <c r="K94" s="65">
        <f t="shared" si="24"/>
        <v>0</v>
      </c>
      <c r="L94" s="473">
        <f t="shared" si="25"/>
        <v>0</v>
      </c>
      <c r="M94" s="204">
        <f t="shared" si="26"/>
        <v>0</v>
      </c>
      <c r="N94" s="505">
        <f t="shared" si="27"/>
        <v>0</v>
      </c>
      <c r="O94" s="204">
        <f>IF(DG!$A$132&gt;12,0,IF(J94-J93&gt;0,MROUND((L94/12*Q93),1),MROUND(L94/12*P93,1)))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IF(OR(L$73=0,DG!$A$253&gt;16),0,F94+1)</f>
        <v>0</v>
      </c>
      <c r="G95" s="65">
        <f t="shared" si="19"/>
        <v>0</v>
      </c>
      <c r="H95" s="65">
        <f t="shared" si="20"/>
        <v>0</v>
      </c>
      <c r="I95" s="65">
        <f t="shared" si="16"/>
        <v>0</v>
      </c>
      <c r="J95" s="203">
        <f>IF(DG!$A$132&lt;=11,$M$17,0)</f>
        <v>0</v>
      </c>
      <c r="K95" s="65">
        <f t="shared" si="24"/>
        <v>0</v>
      </c>
      <c r="L95" s="473">
        <f t="shared" si="25"/>
        <v>0</v>
      </c>
      <c r="M95" s="204">
        <f t="shared" si="26"/>
        <v>0</v>
      </c>
      <c r="N95" s="505">
        <f t="shared" si="27"/>
        <v>0</v>
      </c>
      <c r="O95" s="204">
        <f>IF(DG!$A$132&gt;12,0,IF(J95-J94&gt;0,MROUND((L95/12*Q94),1),MROUND(L95/12*P94,1)))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IF(OR(L$73=0,DG!$A$253&gt;16),0,F95+1)</f>
        <v>0</v>
      </c>
      <c r="G96" s="65">
        <f t="shared" si="19"/>
        <v>0</v>
      </c>
      <c r="H96" s="65">
        <f t="shared" si="20"/>
        <v>0</v>
      </c>
      <c r="I96" s="65">
        <f t="shared" si="16"/>
        <v>0</v>
      </c>
      <c r="J96" s="203">
        <f>IF(DG!$A$132&lt;=11,$M$17,0)</f>
        <v>0</v>
      </c>
      <c r="K96" s="65">
        <f t="shared" si="24"/>
        <v>0</v>
      </c>
      <c r="L96" s="473">
        <f t="shared" si="25"/>
        <v>0</v>
      </c>
      <c r="M96" s="204">
        <f t="shared" si="26"/>
        <v>0</v>
      </c>
      <c r="N96" s="505">
        <f t="shared" si="27"/>
        <v>0</v>
      </c>
      <c r="O96" s="204">
        <f>IF(DG!$A$132&gt;12,0,IF(J96-J95&gt;0,MROUND((L96/12*Q95),1),MROUND(L96/12*P95,1)))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IF(OR(L$73=0,DG!$A$253&gt;16),0,F96+1)</f>
        <v>0</v>
      </c>
      <c r="G97" s="65">
        <f t="shared" si="19"/>
        <v>0</v>
      </c>
      <c r="H97" s="65">
        <f t="shared" si="20"/>
        <v>0</v>
      </c>
      <c r="I97" s="65">
        <f t="shared" si="16"/>
        <v>0</v>
      </c>
      <c r="J97" s="203">
        <f>IF(DG!$A$132&lt;=11,$M$17,0)</f>
        <v>0</v>
      </c>
      <c r="K97" s="65">
        <f t="shared" si="24"/>
        <v>0</v>
      </c>
      <c r="L97" s="473">
        <f t="shared" si="25"/>
        <v>0</v>
      </c>
      <c r="M97" s="204">
        <f t="shared" si="26"/>
        <v>0</v>
      </c>
      <c r="N97" s="505">
        <f t="shared" si="27"/>
        <v>0</v>
      </c>
      <c r="O97" s="204">
        <f>IF(DG!$A$132&gt;12,0,IF(J97-J96&gt;0,MROUND((L97/12*Q96),1),MROUND(L97/12*P96,1)))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IF(OR(L$73=0,DG!$A$253&gt;16),0,F97+1)</f>
        <v>0</v>
      </c>
      <c r="G98" s="65">
        <f t="shared" si="19"/>
        <v>0</v>
      </c>
      <c r="H98" s="65">
        <f t="shared" si="20"/>
        <v>0</v>
      </c>
      <c r="I98" s="65">
        <f t="shared" si="16"/>
        <v>0</v>
      </c>
      <c r="J98" s="203">
        <f>IF(DG!$A$132&lt;=11,$M$17,0)</f>
        <v>0</v>
      </c>
      <c r="K98" s="65">
        <f t="shared" si="24"/>
        <v>0</v>
      </c>
      <c r="L98" s="473">
        <f t="shared" si="25"/>
        <v>0</v>
      </c>
      <c r="M98" s="204">
        <f t="shared" si="26"/>
        <v>0</v>
      </c>
      <c r="N98" s="505">
        <f t="shared" si="27"/>
        <v>0</v>
      </c>
      <c r="O98" s="204">
        <f>IF(DG!$A$132&gt;12,0,IF(J98-J97&gt;0,MROUND((L98/12*Q97),1),MROUND(L98/12*P97,1)))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IF(OR(L$73=0,DG!$A$253&gt;16),0,F98+1)</f>
        <v>0</v>
      </c>
      <c r="G99" s="65">
        <f t="shared" si="19"/>
        <v>0</v>
      </c>
      <c r="H99" s="65">
        <f t="shared" si="20"/>
        <v>0</v>
      </c>
      <c r="I99" s="65">
        <f t="shared" si="16"/>
        <v>0</v>
      </c>
      <c r="J99" s="203">
        <f>IF(DG!$A$132&lt;=11,$M$17,0)</f>
        <v>0</v>
      </c>
      <c r="K99" s="65">
        <f t="shared" si="24"/>
        <v>0</v>
      </c>
      <c r="L99" s="473">
        <f t="shared" si="25"/>
        <v>0</v>
      </c>
      <c r="M99" s="204">
        <f t="shared" si="26"/>
        <v>0</v>
      </c>
      <c r="N99" s="505">
        <f t="shared" si="27"/>
        <v>0</v>
      </c>
      <c r="O99" s="204">
        <f>IF(DG!$A$132&gt;12,0,IF(J99-J98&gt;0,MROUND((L99/12*Q98),1),MROUND(L99/12*P98,1)))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IF(OR(L$73=0,DG!$A$253&gt;16),0,F99+1)</f>
        <v>0</v>
      </c>
      <c r="G100" s="65">
        <f t="shared" si="19"/>
        <v>0</v>
      </c>
      <c r="H100" s="65">
        <f t="shared" si="20"/>
        <v>0</v>
      </c>
      <c r="I100" s="65">
        <f t="shared" si="16"/>
        <v>0</v>
      </c>
      <c r="J100" s="203">
        <f>IF(DG!$A$132&lt;=11,$M$17,0)</f>
        <v>0</v>
      </c>
      <c r="K100" s="65">
        <f t="shared" si="24"/>
        <v>0</v>
      </c>
      <c r="L100" s="473">
        <f t="shared" si="25"/>
        <v>0</v>
      </c>
      <c r="M100" s="204">
        <f t="shared" si="26"/>
        <v>0</v>
      </c>
      <c r="N100" s="505">
        <f t="shared" si="27"/>
        <v>0</v>
      </c>
      <c r="O100" s="204">
        <f>IF(DG!$A$132&gt;12,0,IF(J100-J99&gt;0,MROUND((L100/12*Q99),1),MROUND(L100/12*P99,1)))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IF(OR(L$73=0,DG!$A$253&gt;16),0,F100+1)</f>
        <v>0</v>
      </c>
      <c r="G101" s="65">
        <f t="shared" si="19"/>
        <v>0</v>
      </c>
      <c r="H101" s="65">
        <f t="shared" si="20"/>
        <v>0</v>
      </c>
      <c r="I101" s="65">
        <f t="shared" si="16"/>
        <v>0</v>
      </c>
      <c r="J101" s="203">
        <f>IF(DG!$A$132&lt;=11,$M$17,0)</f>
        <v>0</v>
      </c>
      <c r="K101" s="65">
        <f t="shared" si="24"/>
        <v>0</v>
      </c>
      <c r="L101" s="473">
        <f t="shared" si="25"/>
        <v>0</v>
      </c>
      <c r="M101" s="204">
        <f t="shared" si="26"/>
        <v>0</v>
      </c>
      <c r="N101" s="505">
        <f t="shared" si="27"/>
        <v>0</v>
      </c>
      <c r="O101" s="204">
        <f>IF(DG!$A$132&gt;12,0,IF(J101-J100&gt;0,MROUND((L101/12*Q100),1),MROUND(L101/12*P100,1)))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IF(OR(L$73=0,DG!$A$253&gt;16),0,F101+1)</f>
        <v>0</v>
      </c>
      <c r="G102" s="65">
        <f t="shared" si="19"/>
        <v>0</v>
      </c>
      <c r="H102" s="65">
        <f t="shared" si="20"/>
        <v>0</v>
      </c>
      <c r="I102" s="65">
        <f t="shared" si="16"/>
        <v>0</v>
      </c>
      <c r="J102" s="203">
        <f>IF(DG!$A$132&lt;=11,$M$17,0)</f>
        <v>0</v>
      </c>
      <c r="K102" s="65">
        <f t="shared" si="24"/>
        <v>0</v>
      </c>
      <c r="L102" s="473">
        <f t="shared" si="25"/>
        <v>0</v>
      </c>
      <c r="M102" s="204">
        <f t="shared" si="26"/>
        <v>0</v>
      </c>
      <c r="N102" s="505">
        <f t="shared" si="27"/>
        <v>0</v>
      </c>
      <c r="O102" s="204">
        <f>IF(DG!$A$132&gt;12,0,IF(J102-J101&gt;0,MROUND((L102/12*Q101),1),MROUND(L102/12*P101,1)))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IF(OR(L$73=0,DG!$A$253&gt;16),0,F102+1)</f>
        <v>0</v>
      </c>
      <c r="G103" s="65">
        <f t="shared" si="19"/>
        <v>0</v>
      </c>
      <c r="H103" s="65">
        <f t="shared" si="20"/>
        <v>0</v>
      </c>
      <c r="I103" s="65">
        <f t="shared" si="16"/>
        <v>0</v>
      </c>
      <c r="J103" s="203">
        <f>IF(DG!$A$132&lt;=11,$M$17,0)</f>
        <v>0</v>
      </c>
      <c r="K103" s="65">
        <f t="shared" si="24"/>
        <v>0</v>
      </c>
      <c r="L103" s="473">
        <f t="shared" si="25"/>
        <v>0</v>
      </c>
      <c r="M103" s="204">
        <f t="shared" si="26"/>
        <v>0</v>
      </c>
      <c r="N103" s="505">
        <f t="shared" si="27"/>
        <v>0</v>
      </c>
      <c r="O103" s="204">
        <f>IF(DG!$A$132&gt;12,0,IF(J103-J102&gt;0,MROUND((L103/12*Q102),1),MROUND(L103/12*P102,1)))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IF(OR(L$73=0,DG!$A$253&gt;16),0,F103+1)</f>
        <v>0</v>
      </c>
      <c r="G104" s="65">
        <f t="shared" si="19"/>
        <v>0</v>
      </c>
      <c r="H104" s="65">
        <f t="shared" si="20"/>
        <v>0</v>
      </c>
      <c r="I104" s="65">
        <f t="shared" si="16"/>
        <v>0</v>
      </c>
      <c r="J104" s="203">
        <f>IF(DG!$A$132&lt;=11,$M$17,0)</f>
        <v>0</v>
      </c>
      <c r="K104" s="65">
        <f t="shared" si="24"/>
        <v>0</v>
      </c>
      <c r="L104" s="473">
        <f t="shared" si="25"/>
        <v>0</v>
      </c>
      <c r="M104" s="204">
        <f t="shared" si="26"/>
        <v>0</v>
      </c>
      <c r="N104" s="505">
        <f t="shared" si="27"/>
        <v>0</v>
      </c>
      <c r="O104" s="204">
        <f>IF(DG!$A$132&gt;12,0,IF(J104-J103&gt;0,MROUND((L104/12*Q103),1),MROUND(L104/12*P103,1)))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IF(OR(L$73=0,DG!$A$253&gt;16),0,F104+1)</f>
        <v>0</v>
      </c>
      <c r="G105" s="65">
        <f t="shared" si="19"/>
        <v>0</v>
      </c>
      <c r="H105" s="65">
        <f t="shared" si="20"/>
        <v>0</v>
      </c>
      <c r="I105" s="65">
        <f t="shared" si="16"/>
        <v>0</v>
      </c>
      <c r="J105" s="203">
        <f>IF(DG!$A$132&lt;=11,$M$17,0)</f>
        <v>0</v>
      </c>
      <c r="K105" s="65">
        <f t="shared" si="24"/>
        <v>0</v>
      </c>
      <c r="L105" s="473">
        <f t="shared" si="25"/>
        <v>0</v>
      </c>
      <c r="M105" s="204">
        <f t="shared" si="26"/>
        <v>0</v>
      </c>
      <c r="N105" s="505">
        <f t="shared" si="27"/>
        <v>0</v>
      </c>
      <c r="O105" s="204">
        <f>IF(DG!$A$132&gt;12,0,IF(J105-J104&gt;0,MROUND((L105/12*Q104),1),MROUND(L105/12*P104,1)))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IF(OR(L$73=0,DG!$A$253&gt;16),0,F105+1)</f>
        <v>0</v>
      </c>
      <c r="G106" s="65">
        <f t="shared" si="19"/>
        <v>0</v>
      </c>
      <c r="H106" s="65">
        <f t="shared" si="20"/>
        <v>0</v>
      </c>
      <c r="I106" s="65">
        <f t="shared" si="16"/>
        <v>0</v>
      </c>
      <c r="J106" s="203">
        <f>IF(DG!$A$132&lt;=11,$M$17,0)</f>
        <v>0</v>
      </c>
      <c r="K106" s="65">
        <f t="shared" si="24"/>
        <v>0</v>
      </c>
      <c r="L106" s="473">
        <f t="shared" si="25"/>
        <v>0</v>
      </c>
      <c r="M106" s="204">
        <f t="shared" si="26"/>
        <v>0</v>
      </c>
      <c r="N106" s="505">
        <f t="shared" si="27"/>
        <v>0</v>
      </c>
      <c r="O106" s="204">
        <f>IF(DG!$A$132&gt;12,0,IF(J106-J105&gt;0,MROUND((L106/12*Q105),1),MROUND(L106/12*P105,1)))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IF(OR(L$73=0,DG!$A$253&gt;16),0,F106+1)</f>
        <v>0</v>
      </c>
      <c r="G107" s="65">
        <f t="shared" si="19"/>
        <v>0</v>
      </c>
      <c r="H107" s="65">
        <f t="shared" si="20"/>
        <v>0</v>
      </c>
      <c r="I107" s="65">
        <f t="shared" si="16"/>
        <v>0</v>
      </c>
      <c r="J107" s="203">
        <f>IF(DG!$A$132&lt;=11,$M$17,0)</f>
        <v>0</v>
      </c>
      <c r="K107" s="65">
        <f t="shared" si="24"/>
        <v>0</v>
      </c>
      <c r="L107" s="473">
        <f t="shared" si="25"/>
        <v>0</v>
      </c>
      <c r="M107" s="204">
        <f t="shared" si="26"/>
        <v>0</v>
      </c>
      <c r="N107" s="505">
        <f t="shared" si="27"/>
        <v>0</v>
      </c>
      <c r="O107" s="204">
        <f>IF(DG!$A$132&gt;12,0,IF(J107-J106&gt;0,MROUND((L107/12*Q106),1),MROUND(L107/12*P106,1)))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IF(OR(L$73=0,DG!$A$253&gt;16),0,F107+1)</f>
        <v>0</v>
      </c>
      <c r="G108" s="65">
        <f t="shared" si="19"/>
        <v>0</v>
      </c>
      <c r="H108" s="65">
        <f t="shared" si="20"/>
        <v>0</v>
      </c>
      <c r="I108" s="65">
        <f t="shared" si="16"/>
        <v>0</v>
      </c>
      <c r="J108" s="203">
        <f>IF(DG!$A$132&lt;=11,$M$17,0)</f>
        <v>0</v>
      </c>
      <c r="K108" s="65">
        <f t="shared" si="24"/>
        <v>0</v>
      </c>
      <c r="L108" s="473">
        <f t="shared" si="25"/>
        <v>0</v>
      </c>
      <c r="M108" s="204">
        <f t="shared" si="26"/>
        <v>0</v>
      </c>
      <c r="N108" s="505">
        <f t="shared" si="27"/>
        <v>0</v>
      </c>
      <c r="O108" s="204">
        <f>IF(DG!$A$132&gt;12,0,IF(J108-J107&gt;0,MROUND((L108/12*Q107),1),MROUND(L108/12*P107,1)))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IF(OR(L$73=0,DG!$A$253&gt;16),0,F108+1)</f>
        <v>0</v>
      </c>
      <c r="G109" s="65">
        <f t="shared" si="19"/>
        <v>0</v>
      </c>
      <c r="H109" s="65">
        <f t="shared" si="20"/>
        <v>0</v>
      </c>
      <c r="I109" s="65">
        <f t="shared" si="16"/>
        <v>0</v>
      </c>
      <c r="J109" s="203">
        <f>IF(DG!$A$132&lt;=11,$M$17,0)</f>
        <v>0</v>
      </c>
      <c r="K109" s="65">
        <f t="shared" si="24"/>
        <v>0</v>
      </c>
      <c r="L109" s="473">
        <f t="shared" si="25"/>
        <v>0</v>
      </c>
      <c r="M109" s="204">
        <f t="shared" si="26"/>
        <v>0</v>
      </c>
      <c r="N109" s="505">
        <f t="shared" si="27"/>
        <v>0</v>
      </c>
      <c r="O109" s="204">
        <f>IF(DG!$A$132&gt;12,0,IF(J109-J108&gt;0,MROUND((L109/12*Q108),1),MROUND(L109/12*P108,1)))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IF(OR(L$73=0,DG!$A$253&gt;16),0,F109+1)</f>
        <v>0</v>
      </c>
      <c r="G110" s="65">
        <f t="shared" si="19"/>
        <v>0</v>
      </c>
      <c r="H110" s="65">
        <f t="shared" si="20"/>
        <v>0</v>
      </c>
      <c r="I110" s="65">
        <f t="shared" si="16"/>
        <v>0</v>
      </c>
      <c r="J110" s="203">
        <f>IF(DG!$A$132&lt;=11,$M$17,0)</f>
        <v>0</v>
      </c>
      <c r="K110" s="65">
        <f t="shared" si="24"/>
        <v>0</v>
      </c>
      <c r="L110" s="473">
        <f t="shared" si="25"/>
        <v>0</v>
      </c>
      <c r="M110" s="204">
        <f t="shared" si="26"/>
        <v>0</v>
      </c>
      <c r="N110" s="505">
        <f t="shared" si="27"/>
        <v>0</v>
      </c>
      <c r="O110" s="204">
        <f>IF(DG!$A$132&gt;12,0,IF(J110-J109&gt;0,MROUND((L110/12*Q109),1),MROUND(L110/12*P109,1)))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IF(OR(L$73=0,DG!$A$253&gt;16),0,F110+1)</f>
        <v>0</v>
      </c>
      <c r="G111" s="65">
        <f t="shared" si="19"/>
        <v>0</v>
      </c>
      <c r="H111" s="65">
        <f t="shared" si="20"/>
        <v>0</v>
      </c>
      <c r="I111" s="65">
        <f t="shared" si="16"/>
        <v>0</v>
      </c>
      <c r="J111" s="203">
        <f>IF(DG!$A$132&lt;=11,$M$17,0)</f>
        <v>0</v>
      </c>
      <c r="K111" s="65">
        <f t="shared" si="24"/>
        <v>0</v>
      </c>
      <c r="L111" s="473">
        <f t="shared" si="25"/>
        <v>0</v>
      </c>
      <c r="M111" s="204">
        <f t="shared" si="26"/>
        <v>0</v>
      </c>
      <c r="N111" s="505">
        <f t="shared" si="27"/>
        <v>0</v>
      </c>
      <c r="O111" s="204">
        <f>IF(DG!$A$132&gt;12,0,IF(J111-J110&gt;0,MROUND((L111/12*Q110),1),MROUND(L111/12*P110,1)))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IF(OR(L$73=0,DG!$A$253&gt;16),0,F111+1)</f>
        <v>0</v>
      </c>
      <c r="G112" s="65">
        <f t="shared" si="19"/>
        <v>0</v>
      </c>
      <c r="H112" s="65">
        <f t="shared" si="20"/>
        <v>0</v>
      </c>
      <c r="I112" s="65">
        <f t="shared" si="16"/>
        <v>0</v>
      </c>
      <c r="J112" s="203">
        <f>IF(DG!$A$132&lt;=11,$M$17,0)</f>
        <v>0</v>
      </c>
      <c r="K112" s="65">
        <f t="shared" si="24"/>
        <v>0</v>
      </c>
      <c r="L112" s="473">
        <f t="shared" si="25"/>
        <v>0</v>
      </c>
      <c r="M112" s="204">
        <f t="shared" si="26"/>
        <v>0</v>
      </c>
      <c r="N112" s="505">
        <f t="shared" si="27"/>
        <v>0</v>
      </c>
      <c r="O112" s="204">
        <f>IF(DG!$A$132&gt;12,0,IF(J112-J111&gt;0,MROUND((L112/12*Q111),1),MROUND(L112/12*P111,1)))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IF(OR(L$73=0,DG!$A$253&gt;16),0,F112+1)</f>
        <v>0</v>
      </c>
      <c r="G113" s="65">
        <f t="shared" si="19"/>
        <v>0</v>
      </c>
      <c r="H113" s="65">
        <f t="shared" si="20"/>
        <v>0</v>
      </c>
      <c r="I113" s="65">
        <f t="shared" si="16"/>
        <v>0</v>
      </c>
      <c r="J113" s="203">
        <f>IF(DG!$A$132&lt;=11,$M$17,0)</f>
        <v>0</v>
      </c>
      <c r="K113" s="65">
        <f t="shared" si="24"/>
        <v>0</v>
      </c>
      <c r="L113" s="473">
        <f t="shared" si="25"/>
        <v>0</v>
      </c>
      <c r="M113" s="204">
        <f t="shared" si="26"/>
        <v>0</v>
      </c>
      <c r="N113" s="505">
        <f t="shared" si="27"/>
        <v>0</v>
      </c>
      <c r="O113" s="204">
        <f>IF(DG!$A$132&gt;12,0,IF(J113-J112&gt;0,MROUND((L113/12*Q112),1),MROUND(L113/12*P112,1)))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IF(OR(L$73=0,DG!$A$253&gt;16),0,F113+1)</f>
        <v>0</v>
      </c>
      <c r="G114" s="65">
        <f t="shared" si="19"/>
        <v>0</v>
      </c>
      <c r="H114" s="65">
        <f t="shared" si="20"/>
        <v>0</v>
      </c>
      <c r="I114" s="65">
        <f t="shared" si="16"/>
        <v>0</v>
      </c>
      <c r="J114" s="203">
        <f>IF(DG!$A$132&lt;=11,$M$17,0)</f>
        <v>0</v>
      </c>
      <c r="K114" s="65">
        <f t="shared" si="24"/>
        <v>0</v>
      </c>
      <c r="L114" s="473">
        <f t="shared" si="25"/>
        <v>0</v>
      </c>
      <c r="M114" s="204">
        <f t="shared" si="26"/>
        <v>0</v>
      </c>
      <c r="N114" s="505">
        <f t="shared" si="27"/>
        <v>0</v>
      </c>
      <c r="O114" s="204">
        <f>IF(DG!$A$132&gt;12,0,IF(J114-J113&gt;0,MROUND((L114/12*Q113),1),MROUND(L114/12*P113,1)))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IF(OR(L$73=0,DG!$A$253&gt;16),0,F114+1)</f>
        <v>0</v>
      </c>
      <c r="G115" s="65">
        <f t="shared" si="19"/>
        <v>0</v>
      </c>
      <c r="H115" s="65">
        <f t="shared" si="20"/>
        <v>0</v>
      </c>
      <c r="I115" s="65">
        <f t="shared" si="16"/>
        <v>0</v>
      </c>
      <c r="J115" s="203">
        <f>IF(DG!$A$132&lt;=11,$M$17,0)</f>
        <v>0</v>
      </c>
      <c r="K115" s="65">
        <f t="shared" si="24"/>
        <v>0</v>
      </c>
      <c r="L115" s="473">
        <f t="shared" si="25"/>
        <v>0</v>
      </c>
      <c r="M115" s="204">
        <f t="shared" si="26"/>
        <v>0</v>
      </c>
      <c r="N115" s="505">
        <f t="shared" si="27"/>
        <v>0</v>
      </c>
      <c r="O115" s="204">
        <f>IF(DG!$A$132&gt;12,0,IF(J115-J114&gt;0,MROUND((L115/12*Q114),1),MROUND(L115/12*P114,1)))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IF(OR(L$73=0,DG!$A$253&gt;16),0,F115+1)</f>
        <v>0</v>
      </c>
      <c r="G116" s="65">
        <f t="shared" si="19"/>
        <v>0</v>
      </c>
      <c r="H116" s="65">
        <f t="shared" si="20"/>
        <v>0</v>
      </c>
      <c r="I116" s="65">
        <f t="shared" si="16"/>
        <v>0</v>
      </c>
      <c r="J116" s="203">
        <f>IF(DG!$A$132&lt;=11,$M$17,0)</f>
        <v>0</v>
      </c>
      <c r="K116" s="65">
        <f t="shared" si="24"/>
        <v>0</v>
      </c>
      <c r="L116" s="473">
        <f t="shared" si="25"/>
        <v>0</v>
      </c>
      <c r="M116" s="204">
        <f t="shared" si="26"/>
        <v>0</v>
      </c>
      <c r="N116" s="505">
        <f t="shared" si="27"/>
        <v>0</v>
      </c>
      <c r="O116" s="204">
        <f>IF(DG!$A$132&gt;12,0,IF(J116-J115&gt;0,MROUND((L116/12*Q115),1),MROUND(L116/12*P115,1)))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IF(OR(L$73=0,DG!$A$253&gt;16),0,F116+1)</f>
        <v>0</v>
      </c>
      <c r="G117" s="65">
        <f t="shared" si="19"/>
        <v>0</v>
      </c>
      <c r="H117" s="65">
        <f t="shared" si="20"/>
        <v>0</v>
      </c>
      <c r="I117" s="65">
        <f t="shared" si="16"/>
        <v>0</v>
      </c>
      <c r="J117" s="203">
        <f>IF(DG!$A$132&lt;=11,$M$17,0)</f>
        <v>0</v>
      </c>
      <c r="K117" s="65">
        <f t="shared" si="24"/>
        <v>0</v>
      </c>
      <c r="L117" s="473">
        <f t="shared" si="25"/>
        <v>0</v>
      </c>
      <c r="M117" s="204">
        <f t="shared" si="26"/>
        <v>0</v>
      </c>
      <c r="N117" s="505">
        <f t="shared" si="27"/>
        <v>0</v>
      </c>
      <c r="O117" s="204">
        <f>IF(DG!$A$132&gt;12,0,IF(J117-J116&gt;0,MROUND((L117/12*Q116),1),MROUND(L117/12*P116,1)))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IF(OR(L$73=0,DG!$A$253&gt;16),0,F117+1)</f>
        <v>0</v>
      </c>
      <c r="G118" s="65">
        <f t="shared" si="19"/>
        <v>0</v>
      </c>
      <c r="H118" s="65">
        <f t="shared" si="20"/>
        <v>0</v>
      </c>
      <c r="I118" s="65">
        <f t="shared" si="16"/>
        <v>0</v>
      </c>
      <c r="J118" s="203">
        <f>IF(DG!$A$132&lt;=11,$M$17,0)</f>
        <v>0</v>
      </c>
      <c r="K118" s="65">
        <f t="shared" si="24"/>
        <v>0</v>
      </c>
      <c r="L118" s="473">
        <f t="shared" si="25"/>
        <v>0</v>
      </c>
      <c r="M118" s="204">
        <f t="shared" si="26"/>
        <v>0</v>
      </c>
      <c r="N118" s="505">
        <f t="shared" si="27"/>
        <v>0</v>
      </c>
      <c r="O118" s="204">
        <f>IF(DG!$A$132&gt;12,0,IF(J118-J117&gt;0,MROUND((L118/12*Q117),1),MROUND(L118/12*P117,1)))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IF(OR(L$73=0,DG!$A$253&gt;16),0,F118+1)</f>
        <v>0</v>
      </c>
      <c r="G119" s="65">
        <f t="shared" si="19"/>
        <v>0</v>
      </c>
      <c r="H119" s="65">
        <f t="shared" si="20"/>
        <v>0</v>
      </c>
      <c r="I119" s="65">
        <f t="shared" si="16"/>
        <v>0</v>
      </c>
      <c r="J119" s="203">
        <f>IF(DG!$A$132&lt;=11,$M$17,0)</f>
        <v>0</v>
      </c>
      <c r="K119" s="65">
        <f t="shared" si="24"/>
        <v>0</v>
      </c>
      <c r="L119" s="473">
        <f t="shared" si="25"/>
        <v>0</v>
      </c>
      <c r="M119" s="204">
        <f t="shared" si="26"/>
        <v>0</v>
      </c>
      <c r="N119" s="505">
        <f t="shared" si="27"/>
        <v>0</v>
      </c>
      <c r="O119" s="204">
        <f>IF(DG!$A$132&gt;12,0,IF(J119-J118&gt;0,MROUND((L119/12*Q118),1),MROUND(L119/12*P118,1)))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IF(OR(L$73=0,DG!$A$253&gt;16),0,F119+1)</f>
        <v>0</v>
      </c>
      <c r="G120" s="65">
        <f t="shared" si="19"/>
        <v>0</v>
      </c>
      <c r="H120" s="65">
        <f t="shared" si="20"/>
        <v>0</v>
      </c>
      <c r="I120" s="65">
        <f t="shared" si="16"/>
        <v>0</v>
      </c>
      <c r="J120" s="203">
        <f>IF(DG!$A$132&lt;=11,$M$17,0)</f>
        <v>0</v>
      </c>
      <c r="K120" s="65">
        <f t="shared" si="24"/>
        <v>0</v>
      </c>
      <c r="L120" s="473">
        <f t="shared" si="25"/>
        <v>0</v>
      </c>
      <c r="M120" s="204">
        <f t="shared" si="26"/>
        <v>0</v>
      </c>
      <c r="N120" s="505">
        <f t="shared" si="27"/>
        <v>0</v>
      </c>
      <c r="O120" s="204">
        <f>IF(DG!$A$132&gt;12,0,IF(J120-J119&gt;0,MROUND((L120/12*Q119),1),MROUND(L120/12*P119,1)))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IF(OR(L$73=0,DG!$A$253&gt;16),0,F120+1)</f>
        <v>0</v>
      </c>
      <c r="G121" s="65">
        <f t="shared" si="19"/>
        <v>0</v>
      </c>
      <c r="H121" s="65">
        <f t="shared" si="20"/>
        <v>0</v>
      </c>
      <c r="I121" s="65">
        <f t="shared" si="16"/>
        <v>0</v>
      </c>
      <c r="J121" s="203">
        <f>IF(DG!$A$132&lt;=11,$M$17,0)</f>
        <v>0</v>
      </c>
      <c r="K121" s="65">
        <f t="shared" si="24"/>
        <v>0</v>
      </c>
      <c r="L121" s="473">
        <f t="shared" si="25"/>
        <v>0</v>
      </c>
      <c r="M121" s="204">
        <f t="shared" si="26"/>
        <v>0</v>
      </c>
      <c r="N121" s="505">
        <f t="shared" si="27"/>
        <v>0</v>
      </c>
      <c r="O121" s="204">
        <f>IF(DG!$A$132&gt;12,0,IF(J121-J120&gt;0,MROUND((L121/12*Q120),1),MROUND(L121/12*P120,1)))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IF(OR(L$73=0,DG!$A$253&gt;16),0,F121+1)</f>
        <v>0</v>
      </c>
      <c r="G122" s="65">
        <f t="shared" si="19"/>
        <v>0</v>
      </c>
      <c r="H122" s="65">
        <f t="shared" si="20"/>
        <v>0</v>
      </c>
      <c r="I122" s="65">
        <f t="shared" si="16"/>
        <v>0</v>
      </c>
      <c r="J122" s="203">
        <f>IF(DG!$A$132&lt;=11,$M$17,0)</f>
        <v>0</v>
      </c>
      <c r="K122" s="65">
        <f t="shared" si="24"/>
        <v>0</v>
      </c>
      <c r="L122" s="473">
        <f t="shared" si="25"/>
        <v>0</v>
      </c>
      <c r="M122" s="204">
        <f t="shared" si="26"/>
        <v>0</v>
      </c>
      <c r="N122" s="505">
        <f t="shared" si="27"/>
        <v>0</v>
      </c>
      <c r="O122" s="204">
        <f>IF(DG!$A$132&gt;12,0,IF(J122-J121&gt;0,MROUND((L122/12*Q121),1),MROUND(L122/12*P121,1)))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IF(OR(L$73=0,DG!$A$253&gt;16),0,F122+1)</f>
        <v>0</v>
      </c>
      <c r="G123" s="65">
        <f t="shared" si="19"/>
        <v>0</v>
      </c>
      <c r="H123" s="65">
        <f t="shared" si="20"/>
        <v>0</v>
      </c>
      <c r="I123" s="65">
        <f t="shared" si="16"/>
        <v>0</v>
      </c>
      <c r="J123" s="203">
        <f>IF(DG!$A$132&lt;=11,$M$17,0)</f>
        <v>0</v>
      </c>
      <c r="K123" s="65">
        <f t="shared" si="24"/>
        <v>0</v>
      </c>
      <c r="L123" s="473">
        <f t="shared" si="25"/>
        <v>0</v>
      </c>
      <c r="M123" s="204">
        <f t="shared" si="26"/>
        <v>0</v>
      </c>
      <c r="N123" s="505">
        <f t="shared" si="27"/>
        <v>0</v>
      </c>
      <c r="O123" s="204">
        <f>IF(DG!$A$132&gt;12,0,IF(J123-J122&gt;0,MROUND((L123/12*Q122),1),MROUND(L123/12*P122,1)))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IF(OR(L$73=0,DG!$A$253&gt;16),0,F123+1)</f>
        <v>0</v>
      </c>
      <c r="G124" s="65">
        <f t="shared" si="19"/>
        <v>0</v>
      </c>
      <c r="H124" s="65">
        <f t="shared" si="20"/>
        <v>0</v>
      </c>
      <c r="I124" s="65">
        <f t="shared" si="16"/>
        <v>0</v>
      </c>
      <c r="J124" s="203">
        <f>IF(DG!$A$132&lt;=11,$M$17,0)</f>
        <v>0</v>
      </c>
      <c r="K124" s="65">
        <f t="shared" si="24"/>
        <v>0</v>
      </c>
      <c r="L124" s="473">
        <f t="shared" si="25"/>
        <v>0</v>
      </c>
      <c r="M124" s="204">
        <f t="shared" si="26"/>
        <v>0</v>
      </c>
      <c r="N124" s="505">
        <f t="shared" si="27"/>
        <v>0</v>
      </c>
      <c r="O124" s="204">
        <f>IF(DG!$A$132&gt;12,0,IF(J124-J123&gt;0,MROUND((L124/12*Q123),1),MROUND(L124/12*P123,1)))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IF(OR(L$73=0,DG!$A$253&gt;16),0,F124+1)</f>
        <v>0</v>
      </c>
      <c r="G125" s="65">
        <f t="shared" si="19"/>
        <v>0</v>
      </c>
      <c r="H125" s="65">
        <f t="shared" si="20"/>
        <v>0</v>
      </c>
      <c r="I125" s="65">
        <f t="shared" si="16"/>
        <v>0</v>
      </c>
      <c r="J125" s="203">
        <f>IF(DG!$A$132&lt;=11,$M$17,0)</f>
        <v>0</v>
      </c>
      <c r="K125" s="65">
        <f t="shared" si="24"/>
        <v>0</v>
      </c>
      <c r="L125" s="473">
        <f t="shared" si="25"/>
        <v>0</v>
      </c>
      <c r="M125" s="204">
        <f t="shared" si="26"/>
        <v>0</v>
      </c>
      <c r="N125" s="505">
        <f t="shared" si="27"/>
        <v>0</v>
      </c>
      <c r="O125" s="204">
        <f>IF(DG!$A$132&gt;12,0,IF(J125-J124&gt;0,MROUND((L125/12*Q124),1),MROUND(L125/12*P124,1)))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IF(OR(L$73=0,DG!$A$253&gt;16),0,F125+1)</f>
        <v>0</v>
      </c>
      <c r="G126" s="65">
        <f t="shared" si="19"/>
        <v>0</v>
      </c>
      <c r="H126" s="65">
        <f t="shared" si="20"/>
        <v>0</v>
      </c>
      <c r="I126" s="65">
        <f t="shared" si="16"/>
        <v>0</v>
      </c>
      <c r="J126" s="203">
        <f>IF(DG!$A$132&lt;=11,$M$17,0)</f>
        <v>0</v>
      </c>
      <c r="K126" s="65">
        <f t="shared" si="24"/>
        <v>0</v>
      </c>
      <c r="L126" s="473">
        <f t="shared" si="25"/>
        <v>0</v>
      </c>
      <c r="M126" s="204">
        <f t="shared" si="26"/>
        <v>0</v>
      </c>
      <c r="N126" s="505">
        <f t="shared" si="27"/>
        <v>0</v>
      </c>
      <c r="O126" s="204">
        <f>IF(DG!$A$132&gt;12,0,IF(J126-J125&gt;0,MROUND((L126/12*Q125),1),MROUND(L126/12*P125,1)))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IF(OR(L$73=0,DG!$A$253&gt;16),0,F126+1)</f>
        <v>0</v>
      </c>
      <c r="G127" s="65">
        <f t="shared" si="19"/>
        <v>0</v>
      </c>
      <c r="H127" s="65">
        <f t="shared" si="20"/>
        <v>0</v>
      </c>
      <c r="I127" s="65">
        <f t="shared" si="16"/>
        <v>0</v>
      </c>
      <c r="J127" s="203">
        <f>IF(DG!$A$132&lt;=11,$M$17,0)</f>
        <v>0</v>
      </c>
      <c r="K127" s="65">
        <f t="shared" si="24"/>
        <v>0</v>
      </c>
      <c r="L127" s="473">
        <f t="shared" si="25"/>
        <v>0</v>
      </c>
      <c r="M127" s="204">
        <f t="shared" si="26"/>
        <v>0</v>
      </c>
      <c r="N127" s="505">
        <f t="shared" si="27"/>
        <v>0</v>
      </c>
      <c r="O127" s="204">
        <f>IF(DG!$A$132&gt;12,0,IF(J127-J126&gt;0,MROUND((L127/12*Q126),1),MROUND(L127/12*P126,1)))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IF(OR(L$73=0,DG!$A$253&gt;16),0,F127+1)</f>
        <v>0</v>
      </c>
      <c r="G128" s="65">
        <f t="shared" si="19"/>
        <v>0</v>
      </c>
      <c r="H128" s="65">
        <f t="shared" si="20"/>
        <v>0</v>
      </c>
      <c r="I128" s="65">
        <f t="shared" si="16"/>
        <v>0</v>
      </c>
      <c r="J128" s="203">
        <f>IF(DG!$A$132&lt;=11,$M$17,0)</f>
        <v>0</v>
      </c>
      <c r="K128" s="65">
        <f t="shared" si="24"/>
        <v>0</v>
      </c>
      <c r="L128" s="473">
        <f t="shared" si="25"/>
        <v>0</v>
      </c>
      <c r="M128" s="204">
        <f t="shared" si="26"/>
        <v>0</v>
      </c>
      <c r="N128" s="505">
        <f t="shared" si="27"/>
        <v>0</v>
      </c>
      <c r="O128" s="204">
        <f>IF(DG!$A$132&gt;12,0,IF(J128-J127&gt;0,MROUND((L128/12*Q127),1),MROUND(L128/12*P127,1)))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IF(OR(L$73=0,DG!$A$253&gt;16),0,F128+1)</f>
        <v>0</v>
      </c>
      <c r="G129" s="65">
        <f t="shared" si="19"/>
        <v>0</v>
      </c>
      <c r="H129" s="65">
        <f t="shared" si="20"/>
        <v>0</v>
      </c>
      <c r="I129" s="65">
        <f t="shared" ref="I129:I192" si="31">IF(OR(G129=1,C129=0),0,IF(K129-C129&lt;$G$269,1,-1))</f>
        <v>0</v>
      </c>
      <c r="J129" s="203">
        <f>IF(DG!$A$132&lt;=11,$M$17,0)</f>
        <v>0</v>
      </c>
      <c r="K129" s="65">
        <f t="shared" si="24"/>
        <v>0</v>
      </c>
      <c r="L129" s="473">
        <f t="shared" si="25"/>
        <v>0</v>
      </c>
      <c r="M129" s="204">
        <f t="shared" si="26"/>
        <v>0</v>
      </c>
      <c r="N129" s="505">
        <f t="shared" si="27"/>
        <v>0</v>
      </c>
      <c r="O129" s="204">
        <f>IF(DG!$A$132&gt;12,0,IF(J129-J128&gt;0,MROUND((L129/12*Q128),1),MROUND(L129/12*P128,1)))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IF(OR(L$73=0,DG!$A$253&gt;16),0,F129+1)</f>
        <v>0</v>
      </c>
      <c r="G130" s="65">
        <f t="shared" si="19"/>
        <v>0</v>
      </c>
      <c r="H130" s="65">
        <f t="shared" si="20"/>
        <v>0</v>
      </c>
      <c r="I130" s="65">
        <f t="shared" si="31"/>
        <v>0</v>
      </c>
      <c r="J130" s="203">
        <f>IF(DG!$A$132&lt;=11,$M$17,0)</f>
        <v>0</v>
      </c>
      <c r="K130" s="65">
        <f t="shared" si="24"/>
        <v>0</v>
      </c>
      <c r="L130" s="473">
        <f t="shared" si="25"/>
        <v>0</v>
      </c>
      <c r="M130" s="204">
        <f t="shared" si="26"/>
        <v>0</v>
      </c>
      <c r="N130" s="505">
        <f t="shared" si="27"/>
        <v>0</v>
      </c>
      <c r="O130" s="204">
        <f>IF(DG!$A$132&gt;12,0,IF(J130-J129&gt;0,MROUND((L130/12*Q129),1),MROUND(L130/12*P129,1)))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IF(OR(L$73=0,DG!$A$253&gt;16),0,F130+1)</f>
        <v>0</v>
      </c>
      <c r="G131" s="65">
        <f t="shared" si="19"/>
        <v>0</v>
      </c>
      <c r="H131" s="65">
        <f t="shared" si="20"/>
        <v>0</v>
      </c>
      <c r="I131" s="65">
        <f t="shared" si="31"/>
        <v>0</v>
      </c>
      <c r="J131" s="203">
        <f>IF(DG!$A$132&lt;=11,$M$17,0)</f>
        <v>0</v>
      </c>
      <c r="K131" s="65">
        <f t="shared" si="24"/>
        <v>0</v>
      </c>
      <c r="L131" s="473">
        <f t="shared" si="25"/>
        <v>0</v>
      </c>
      <c r="M131" s="204">
        <f t="shared" si="26"/>
        <v>0</v>
      </c>
      <c r="N131" s="505">
        <f t="shared" si="27"/>
        <v>0</v>
      </c>
      <c r="O131" s="204">
        <f>IF(DG!$A$132&gt;12,0,IF(J131-J130&gt;0,MROUND((L131/12*Q130),1),MROUND(L131/12*P130,1)))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IF(OR(L$73=0,DG!$A$253&gt;16),0,F131+1)</f>
        <v>0</v>
      </c>
      <c r="G132" s="65">
        <f t="shared" si="19"/>
        <v>0</v>
      </c>
      <c r="H132" s="65">
        <f t="shared" si="20"/>
        <v>0</v>
      </c>
      <c r="I132" s="65">
        <f t="shared" si="31"/>
        <v>0</v>
      </c>
      <c r="J132" s="203">
        <f>IF(DG!$A$132&lt;=11,$M$17,0)</f>
        <v>0</v>
      </c>
      <c r="K132" s="65">
        <f t="shared" si="24"/>
        <v>0</v>
      </c>
      <c r="L132" s="473">
        <f t="shared" si="25"/>
        <v>0</v>
      </c>
      <c r="M132" s="204">
        <f t="shared" si="26"/>
        <v>0</v>
      </c>
      <c r="N132" s="505">
        <f t="shared" si="27"/>
        <v>0</v>
      </c>
      <c r="O132" s="204">
        <f>IF(DG!$A$132&gt;12,0,IF(J132-J131&gt;0,MROUND((L132/12*Q131),1),MROUND(L132/12*P131,1)))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IF(OR(L$73=0,DG!$A$253&gt;16),0,F132+1)</f>
        <v>0</v>
      </c>
      <c r="G133" s="65">
        <f t="shared" si="19"/>
        <v>0</v>
      </c>
      <c r="H133" s="65">
        <f t="shared" si="20"/>
        <v>0</v>
      </c>
      <c r="I133" s="65">
        <f t="shared" si="31"/>
        <v>0</v>
      </c>
      <c r="J133" s="203">
        <f>IF(DG!$A$132&lt;=11,$M$17,0)</f>
        <v>0</v>
      </c>
      <c r="K133" s="65">
        <f t="shared" si="24"/>
        <v>0</v>
      </c>
      <c r="L133" s="473">
        <f t="shared" si="25"/>
        <v>0</v>
      </c>
      <c r="M133" s="204">
        <f t="shared" si="26"/>
        <v>0</v>
      </c>
      <c r="N133" s="505">
        <f t="shared" si="27"/>
        <v>0</v>
      </c>
      <c r="O133" s="204">
        <f>IF(DG!$A$132&gt;12,0,IF(J133-J132&gt;0,MROUND((L133/12*Q132),1),MROUND(L133/12*P132,1)))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IF(OR(L$73=0,DG!$A$253&gt;16),0,F133+1)</f>
        <v>0</v>
      </c>
      <c r="G134" s="65">
        <f t="shared" si="19"/>
        <v>0</v>
      </c>
      <c r="H134" s="65">
        <f t="shared" si="20"/>
        <v>0</v>
      </c>
      <c r="I134" s="65">
        <f t="shared" si="31"/>
        <v>0</v>
      </c>
      <c r="J134" s="203">
        <f>IF(DG!$A$132&lt;=11,$M$17,0)</f>
        <v>0</v>
      </c>
      <c r="K134" s="65">
        <f t="shared" si="24"/>
        <v>0</v>
      </c>
      <c r="L134" s="473">
        <f t="shared" si="25"/>
        <v>0</v>
      </c>
      <c r="M134" s="204">
        <f t="shared" si="26"/>
        <v>0</v>
      </c>
      <c r="N134" s="505">
        <f t="shared" si="27"/>
        <v>0</v>
      </c>
      <c r="O134" s="204">
        <f>IF(DG!$A$132&gt;12,0,IF(J134-J133&gt;0,MROUND((L134/12*Q133),1),MROUND(L134/12*P133,1)))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IF(OR(L$73=0,DG!$A$253&gt;16),0,F134+1)</f>
        <v>0</v>
      </c>
      <c r="G135" s="65">
        <f t="shared" si="19"/>
        <v>0</v>
      </c>
      <c r="H135" s="65">
        <f t="shared" si="20"/>
        <v>0</v>
      </c>
      <c r="I135" s="65">
        <f t="shared" si="31"/>
        <v>0</v>
      </c>
      <c r="J135" s="203">
        <f>IF(DG!$A$132&lt;=11,$M$17,0)</f>
        <v>0</v>
      </c>
      <c r="K135" s="65">
        <f t="shared" si="24"/>
        <v>0</v>
      </c>
      <c r="L135" s="473">
        <f t="shared" si="25"/>
        <v>0</v>
      </c>
      <c r="M135" s="204">
        <f t="shared" si="26"/>
        <v>0</v>
      </c>
      <c r="N135" s="505">
        <f t="shared" si="27"/>
        <v>0</v>
      </c>
      <c r="O135" s="204">
        <f>IF(DG!$A$132&gt;12,0,IF(J135-J134&gt;0,MROUND((L135/12*Q134),1),MROUND(L135/12*P134,1)))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IF(OR(L$73=0,DG!$A$253&gt;16),0,F135+1)</f>
        <v>0</v>
      </c>
      <c r="G136" s="65">
        <f t="shared" si="19"/>
        <v>0</v>
      </c>
      <c r="H136" s="65">
        <f t="shared" si="20"/>
        <v>0</v>
      </c>
      <c r="I136" s="65">
        <f t="shared" si="31"/>
        <v>0</v>
      </c>
      <c r="J136" s="203">
        <f>IF(DG!$A$132&lt;=11,$M$17,0)</f>
        <v>0</v>
      </c>
      <c r="K136" s="65">
        <f t="shared" si="24"/>
        <v>0</v>
      </c>
      <c r="L136" s="473">
        <f t="shared" si="25"/>
        <v>0</v>
      </c>
      <c r="M136" s="204">
        <f t="shared" si="26"/>
        <v>0</v>
      </c>
      <c r="N136" s="505">
        <f t="shared" si="27"/>
        <v>0</v>
      </c>
      <c r="O136" s="204">
        <f>IF(DG!$A$132&gt;12,0,IF(J136-J135&gt;0,MROUND((L136/12*Q135),1),MROUND(L136/12*P135,1)))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IF(OR(L$73=0,DG!$A$253&gt;16),0,F136+1)</f>
        <v>0</v>
      </c>
      <c r="G137" s="65">
        <f t="shared" si="19"/>
        <v>0</v>
      </c>
      <c r="H137" s="65">
        <f t="shared" si="20"/>
        <v>0</v>
      </c>
      <c r="I137" s="65">
        <f t="shared" si="31"/>
        <v>0</v>
      </c>
      <c r="J137" s="203">
        <f>IF(DG!$A$132&lt;=11,$M$17,0)</f>
        <v>0</v>
      </c>
      <c r="K137" s="65">
        <f t="shared" si="24"/>
        <v>0</v>
      </c>
      <c r="L137" s="473">
        <f t="shared" si="25"/>
        <v>0</v>
      </c>
      <c r="M137" s="204">
        <f t="shared" si="26"/>
        <v>0</v>
      </c>
      <c r="N137" s="505">
        <f t="shared" si="27"/>
        <v>0</v>
      </c>
      <c r="O137" s="204">
        <f>IF(DG!$A$132&gt;12,0,IF(J137-J136&gt;0,MROUND((L137/12*Q136),1),MROUND(L137/12*P136,1)))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IF(OR(L$73=0,DG!$A$253&gt;16),0,F137+1)</f>
        <v>0</v>
      </c>
      <c r="G138" s="65">
        <f t="shared" si="19"/>
        <v>0</v>
      </c>
      <c r="H138" s="65">
        <f t="shared" si="20"/>
        <v>0</v>
      </c>
      <c r="I138" s="65">
        <f t="shared" si="31"/>
        <v>0</v>
      </c>
      <c r="J138" s="203">
        <f>IF(DG!$A$132&lt;=11,$M$17,0)</f>
        <v>0</v>
      </c>
      <c r="K138" s="65">
        <f t="shared" si="24"/>
        <v>0</v>
      </c>
      <c r="L138" s="473">
        <f t="shared" si="25"/>
        <v>0</v>
      </c>
      <c r="M138" s="204">
        <f t="shared" si="26"/>
        <v>0</v>
      </c>
      <c r="N138" s="505">
        <f t="shared" si="27"/>
        <v>0</v>
      </c>
      <c r="O138" s="204">
        <f>IF(DG!$A$132&gt;12,0,IF(J138-J137&gt;0,MROUND((L138/12*Q137),1),MROUND(L138/12*P137,1)))</f>
        <v>0</v>
      </c>
      <c r="P138" s="204">
        <f t="shared" si="28"/>
        <v>0</v>
      </c>
      <c r="Q138" s="204">
        <f t="shared" si="21"/>
        <v>0</v>
      </c>
      <c r="R138" s="476">
        <v>0</v>
      </c>
      <c r="S138" s="511">
        <f t="shared" ref="S138:S150" si="32">SUM(N127:N138)</f>
        <v>0</v>
      </c>
    </row>
    <row r="139" spans="1:19" ht="14" thickTop="1" thickBot="1">
      <c r="A139" s="202">
        <f t="shared" si="22"/>
        <v>48731</v>
      </c>
      <c r="B139" s="65">
        <f t="shared" si="18"/>
        <v>0</v>
      </c>
      <c r="C139" s="65">
        <f t="shared" si="30"/>
        <v>0</v>
      </c>
      <c r="D139" s="65">
        <f t="shared" si="29"/>
        <v>114</v>
      </c>
      <c r="E139" s="65">
        <f t="shared" si="23"/>
        <v>0</v>
      </c>
      <c r="F139" s="65">
        <f>IF(OR(L$73=0,DG!$A$253&gt;16),0,F138+1)</f>
        <v>0</v>
      </c>
      <c r="G139" s="65">
        <f t="shared" si="19"/>
        <v>0</v>
      </c>
      <c r="H139" s="65">
        <f t="shared" si="20"/>
        <v>0</v>
      </c>
      <c r="I139" s="65">
        <f t="shared" si="31"/>
        <v>0</v>
      </c>
      <c r="J139" s="203">
        <f>IF(DG!$A$132&lt;=11,$M$17,0)</f>
        <v>0</v>
      </c>
      <c r="K139" s="65">
        <f t="shared" si="24"/>
        <v>0</v>
      </c>
      <c r="L139" s="473">
        <f t="shared" si="25"/>
        <v>0</v>
      </c>
      <c r="M139" s="204">
        <f t="shared" si="26"/>
        <v>0</v>
      </c>
      <c r="N139" s="505">
        <f t="shared" si="27"/>
        <v>0</v>
      </c>
      <c r="O139" s="204">
        <f>IF(DG!$A$132&gt;12,0,IF(J139-J138&gt;0,MROUND((L139/12*Q138),1),MROUND(L139/12*P138,1)))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IF(OR(L$73=0,DG!$A$253&gt;16),0,F139+1)</f>
        <v>0</v>
      </c>
      <c r="G140" s="65">
        <f t="shared" si="19"/>
        <v>0</v>
      </c>
      <c r="H140" s="65">
        <f t="shared" si="20"/>
        <v>0</v>
      </c>
      <c r="I140" s="65">
        <f t="shared" si="31"/>
        <v>0</v>
      </c>
      <c r="J140" s="203">
        <f>IF(DG!$A$132&lt;=11,$M$17,0)</f>
        <v>0</v>
      </c>
      <c r="K140" s="65">
        <f t="shared" si="24"/>
        <v>0</v>
      </c>
      <c r="L140" s="473">
        <f t="shared" si="25"/>
        <v>0</v>
      </c>
      <c r="M140" s="204">
        <f t="shared" si="26"/>
        <v>0</v>
      </c>
      <c r="N140" s="505">
        <f t="shared" si="27"/>
        <v>0</v>
      </c>
      <c r="O140" s="204">
        <f>IF(DG!$A$132&gt;12,0,IF(J140-J139&gt;0,MROUND((L140/12*Q139),1),MROUND(L140/12*P139,1)))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IF(OR(L$73=0,DG!$A$253&gt;16),0,F140+1)</f>
        <v>0</v>
      </c>
      <c r="G141" s="65">
        <f t="shared" si="19"/>
        <v>0</v>
      </c>
      <c r="H141" s="65">
        <f t="shared" si="20"/>
        <v>0</v>
      </c>
      <c r="I141" s="65">
        <f t="shared" si="31"/>
        <v>0</v>
      </c>
      <c r="J141" s="203">
        <f>IF(DG!$A$132&lt;=11,$M$17,0)</f>
        <v>0</v>
      </c>
      <c r="K141" s="65">
        <f t="shared" si="24"/>
        <v>0</v>
      </c>
      <c r="L141" s="473">
        <f t="shared" si="25"/>
        <v>0</v>
      </c>
      <c r="M141" s="204">
        <f t="shared" si="26"/>
        <v>0</v>
      </c>
      <c r="N141" s="505">
        <f t="shared" si="27"/>
        <v>0</v>
      </c>
      <c r="O141" s="204">
        <f>IF(DG!$A$132&gt;12,0,IF(J141-J140&gt;0,MROUND((L141/12*Q140),1),MROUND(L141/12*P140,1)))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IF(OR(L$73=0,DG!$A$253&gt;16),0,F141+1)</f>
        <v>0</v>
      </c>
      <c r="G142" s="65">
        <f t="shared" si="19"/>
        <v>0</v>
      </c>
      <c r="H142" s="65">
        <f t="shared" si="20"/>
        <v>0</v>
      </c>
      <c r="I142" s="65">
        <f t="shared" si="31"/>
        <v>0</v>
      </c>
      <c r="J142" s="203">
        <f>IF(DG!$A$132&lt;=11,$M$17,0)</f>
        <v>0</v>
      </c>
      <c r="K142" s="65">
        <f t="shared" si="24"/>
        <v>0</v>
      </c>
      <c r="L142" s="473">
        <f t="shared" si="25"/>
        <v>0</v>
      </c>
      <c r="M142" s="204">
        <f t="shared" si="26"/>
        <v>0</v>
      </c>
      <c r="N142" s="505">
        <f t="shared" si="27"/>
        <v>0</v>
      </c>
      <c r="O142" s="204">
        <f>IF(DG!$A$132&gt;12,0,IF(J142-J141&gt;0,MROUND((L142/12*Q141),1),MROUND(L142/12*P141,1)))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IF(OR(L$73=0,DG!$A$253&gt;16),0,F142+1)</f>
        <v>0</v>
      </c>
      <c r="G143" s="65">
        <f t="shared" si="19"/>
        <v>0</v>
      </c>
      <c r="H143" s="65">
        <f t="shared" si="20"/>
        <v>0</v>
      </c>
      <c r="I143" s="65">
        <f t="shared" si="31"/>
        <v>0</v>
      </c>
      <c r="J143" s="203">
        <f>IF(DG!$A$132&lt;=11,$M$17,0)</f>
        <v>0</v>
      </c>
      <c r="K143" s="65">
        <f t="shared" si="24"/>
        <v>0</v>
      </c>
      <c r="L143" s="473">
        <f t="shared" si="25"/>
        <v>0</v>
      </c>
      <c r="M143" s="204">
        <f t="shared" si="26"/>
        <v>0</v>
      </c>
      <c r="N143" s="505">
        <f t="shared" si="27"/>
        <v>0</v>
      </c>
      <c r="O143" s="204">
        <f>IF(DG!$A$132&gt;12,0,IF(J143-J142&gt;0,MROUND((L143/12*Q142),1),MROUND(L143/12*P142,1)))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IF(OR(L$73=0,DG!$A$253&gt;16),0,F143+1)</f>
        <v>0</v>
      </c>
      <c r="G144" s="65">
        <f t="shared" si="19"/>
        <v>0</v>
      </c>
      <c r="H144" s="65">
        <f t="shared" si="20"/>
        <v>0</v>
      </c>
      <c r="I144" s="65">
        <f t="shared" si="31"/>
        <v>0</v>
      </c>
      <c r="J144" s="203">
        <f>IF(DG!$A$132&lt;=11,$M$17,0)</f>
        <v>0</v>
      </c>
      <c r="K144" s="65">
        <f t="shared" si="24"/>
        <v>0</v>
      </c>
      <c r="L144" s="473">
        <f t="shared" si="25"/>
        <v>0</v>
      </c>
      <c r="M144" s="204">
        <f t="shared" si="26"/>
        <v>0</v>
      </c>
      <c r="N144" s="505">
        <f t="shared" si="27"/>
        <v>0</v>
      </c>
      <c r="O144" s="204">
        <f>IF(DG!$A$132&gt;12,0,IF(J144-J143&gt;0,MROUND((L144/12*Q143),1),MROUND(L144/12*P143,1)))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IF(OR(L$73=0,DG!$A$253&gt;16),0,F144+1)</f>
        <v>0</v>
      </c>
      <c r="G145" s="65">
        <f t="shared" si="19"/>
        <v>0</v>
      </c>
      <c r="H145" s="65">
        <f t="shared" si="20"/>
        <v>0</v>
      </c>
      <c r="I145" s="65">
        <f t="shared" si="31"/>
        <v>0</v>
      </c>
      <c r="J145" s="203">
        <f>IF(DG!$A$132&lt;=11,$M$17,0)</f>
        <v>0</v>
      </c>
      <c r="K145" s="65">
        <f t="shared" si="24"/>
        <v>0</v>
      </c>
      <c r="L145" s="473">
        <f t="shared" si="25"/>
        <v>0</v>
      </c>
      <c r="M145" s="204">
        <f t="shared" si="26"/>
        <v>0</v>
      </c>
      <c r="N145" s="505">
        <f t="shared" si="27"/>
        <v>0</v>
      </c>
      <c r="O145" s="204">
        <f>IF(DG!$A$132&gt;12,0,IF(J145-J144&gt;0,MROUND((L145/12*Q144),1),MROUND(L145/12*P144,1)))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IF(OR(L$73=0,DG!$A$253&gt;16),0,F145+1)</f>
        <v>0</v>
      </c>
      <c r="G146" s="65">
        <f t="shared" si="19"/>
        <v>0</v>
      </c>
      <c r="H146" s="65">
        <f t="shared" si="20"/>
        <v>0</v>
      </c>
      <c r="I146" s="65">
        <f t="shared" si="31"/>
        <v>0</v>
      </c>
      <c r="J146" s="203">
        <f>IF(DG!$A$132&lt;=11,$M$17,0)</f>
        <v>0</v>
      </c>
      <c r="K146" s="65">
        <f t="shared" si="24"/>
        <v>0</v>
      </c>
      <c r="L146" s="473">
        <f t="shared" si="25"/>
        <v>0</v>
      </c>
      <c r="M146" s="204">
        <f t="shared" si="26"/>
        <v>0</v>
      </c>
      <c r="N146" s="505">
        <f t="shared" si="27"/>
        <v>0</v>
      </c>
      <c r="O146" s="204">
        <f>IF(DG!$A$132&gt;12,0,IF(J146-J145&gt;0,MROUND((L146/12*Q145),1),MROUND(L146/12*P145,1)))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IF(OR(L$73=0,DG!$A$253&gt;16),0,F146+1)</f>
        <v>0</v>
      </c>
      <c r="G147" s="65">
        <f t="shared" si="19"/>
        <v>0</v>
      </c>
      <c r="H147" s="65">
        <f t="shared" si="20"/>
        <v>0</v>
      </c>
      <c r="I147" s="65">
        <f t="shared" si="31"/>
        <v>0</v>
      </c>
      <c r="J147" s="203">
        <f>IF(DG!$A$132&lt;=11,$M$17,0)</f>
        <v>0</v>
      </c>
      <c r="K147" s="65">
        <f t="shared" si="24"/>
        <v>0</v>
      </c>
      <c r="L147" s="473">
        <f t="shared" si="25"/>
        <v>0</v>
      </c>
      <c r="M147" s="204">
        <f t="shared" si="26"/>
        <v>0</v>
      </c>
      <c r="N147" s="505">
        <f t="shared" si="27"/>
        <v>0</v>
      </c>
      <c r="O147" s="204">
        <f>IF(DG!$A$132&gt;12,0,IF(J147-J146&gt;0,MROUND((L147/12*Q146),1),MROUND(L147/12*P146,1)))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IF(OR(L$73=0,DG!$A$253&gt;16),0,F147+1)</f>
        <v>0</v>
      </c>
      <c r="G148" s="65">
        <f t="shared" si="19"/>
        <v>0</v>
      </c>
      <c r="H148" s="65">
        <f t="shared" si="20"/>
        <v>0</v>
      </c>
      <c r="I148" s="65">
        <f t="shared" si="31"/>
        <v>0</v>
      </c>
      <c r="J148" s="203">
        <f>IF(DG!$A$132&lt;=11,$M$17,0)</f>
        <v>0</v>
      </c>
      <c r="K148" s="65">
        <f t="shared" si="24"/>
        <v>0</v>
      </c>
      <c r="L148" s="473">
        <f t="shared" si="25"/>
        <v>0</v>
      </c>
      <c r="M148" s="204">
        <f t="shared" si="26"/>
        <v>0</v>
      </c>
      <c r="N148" s="505">
        <f t="shared" si="27"/>
        <v>0</v>
      </c>
      <c r="O148" s="204">
        <f>IF(DG!$A$132&gt;12,0,IF(J148-J147&gt;0,MROUND((L148/12*Q147),1),MROUND(L148/12*P147,1)))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IF(OR(L$73=0,DG!$A$253&gt;16),0,F148+1)</f>
        <v>0</v>
      </c>
      <c r="G149" s="65">
        <f t="shared" si="19"/>
        <v>0</v>
      </c>
      <c r="H149" s="65">
        <f t="shared" si="20"/>
        <v>0</v>
      </c>
      <c r="I149" s="65">
        <f t="shared" si="31"/>
        <v>0</v>
      </c>
      <c r="J149" s="203">
        <f>IF(DG!$A$132&lt;=11,$M$17,0)</f>
        <v>0</v>
      </c>
      <c r="K149" s="65">
        <f t="shared" si="24"/>
        <v>0</v>
      </c>
      <c r="L149" s="473">
        <f t="shared" si="25"/>
        <v>0</v>
      </c>
      <c r="M149" s="204">
        <f t="shared" si="26"/>
        <v>0</v>
      </c>
      <c r="N149" s="505">
        <f t="shared" si="27"/>
        <v>0</v>
      </c>
      <c r="O149" s="204">
        <f>IF(DG!$A$132&gt;12,0,IF(J149-J148&gt;0,MROUND((L149/12*Q148),1),MROUND(L149/12*P148,1)))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IF(OR(L$73=0,DG!$A$253&gt;16),0,F149+1)</f>
        <v>0</v>
      </c>
      <c r="G150" s="65">
        <f t="shared" si="19"/>
        <v>0</v>
      </c>
      <c r="H150" s="65">
        <f t="shared" si="20"/>
        <v>0</v>
      </c>
      <c r="I150" s="65">
        <f t="shared" si="31"/>
        <v>0</v>
      </c>
      <c r="J150" s="203">
        <f>IF(DG!$A$132&lt;=11,$M$17,0)</f>
        <v>0</v>
      </c>
      <c r="K150" s="65">
        <f t="shared" si="24"/>
        <v>0</v>
      </c>
      <c r="L150" s="473">
        <f t="shared" si="25"/>
        <v>0</v>
      </c>
      <c r="M150" s="204">
        <f t="shared" si="26"/>
        <v>0</v>
      </c>
      <c r="N150" s="505">
        <f t="shared" si="27"/>
        <v>0</v>
      </c>
      <c r="O150" s="204">
        <f>IF(DG!$A$132&gt;12,0,IF(J150-J149&gt;0,MROUND((L150/12*Q149),1),MROUND(L150/12*P149,1)))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IF(OR(L$73=0,DG!$A$253&gt;16),0,F150+1)</f>
        <v>0</v>
      </c>
      <c r="G151" s="65">
        <f t="shared" si="19"/>
        <v>0</v>
      </c>
      <c r="H151" s="65">
        <f>IF(I151&gt;=0,0,H150+1)</f>
        <v>0</v>
      </c>
      <c r="I151" s="65">
        <f t="shared" si="31"/>
        <v>0</v>
      </c>
      <c r="J151" s="203">
        <f>IF(DG!$A$132&lt;=11,$M$17,0)</f>
        <v>0</v>
      </c>
      <c r="K151" s="65">
        <f>K150</f>
        <v>0</v>
      </c>
      <c r="L151" s="473">
        <f t="shared" si="25"/>
        <v>0</v>
      </c>
      <c r="M151" s="204">
        <f t="shared" si="26"/>
        <v>0</v>
      </c>
      <c r="N151" s="505">
        <f t="shared" si="27"/>
        <v>0</v>
      </c>
      <c r="O151" s="204">
        <f>IF(DG!$A$132&gt;12,0,IF(J151-J150&gt;0,MROUND((L151/12*Q150),1),MROUND(L151/12*P150,1)))</f>
        <v>0</v>
      </c>
      <c r="P151" s="204">
        <f t="shared" si="28"/>
        <v>0</v>
      </c>
      <c r="Q151" s="204">
        <f t="shared" si="21"/>
        <v>0</v>
      </c>
      <c r="R151" s="476">
        <v>0</v>
      </c>
      <c r="S151" s="511">
        <f>SUM(N140:N151)</f>
        <v>0</v>
      </c>
    </row>
    <row r="152" spans="1:19" ht="14" thickTop="1" thickBot="1">
      <c r="A152" s="202">
        <f t="shared" si="22"/>
        <v>49126</v>
      </c>
      <c r="B152" s="65">
        <f t="shared" si="33"/>
        <v>0</v>
      </c>
      <c r="C152" s="65">
        <f t="shared" si="30"/>
        <v>0</v>
      </c>
      <c r="D152" s="65">
        <f t="shared" ref="D152:D215" si="34">D151+1</f>
        <v>127</v>
      </c>
      <c r="E152" s="65">
        <f t="shared" si="23"/>
        <v>0</v>
      </c>
      <c r="F152" s="65">
        <f>IF(OR(L$73=0,DG!$A$253&gt;16),0,F151+1)</f>
        <v>0</v>
      </c>
      <c r="G152" s="65">
        <f t="shared" si="19"/>
        <v>0</v>
      </c>
      <c r="H152" s="65">
        <f t="shared" ref="H152:H215" si="35">IF(I152&gt;=0,0,H151+1)</f>
        <v>0</v>
      </c>
      <c r="I152" s="65">
        <f t="shared" si="31"/>
        <v>0</v>
      </c>
      <c r="J152" s="203">
        <f>IF(DG!$A$132&lt;=11,$M$17,0)</f>
        <v>0</v>
      </c>
      <c r="K152" s="65">
        <f t="shared" ref="K152:K215" si="36">K151</f>
        <v>0</v>
      </c>
      <c r="L152" s="473">
        <f t="shared" si="25"/>
        <v>0</v>
      </c>
      <c r="M152" s="204">
        <f t="shared" si="26"/>
        <v>0</v>
      </c>
      <c r="N152" s="505">
        <f t="shared" si="27"/>
        <v>0</v>
      </c>
      <c r="O152" s="204">
        <f>IF(DG!$A$132&gt;12,0,IF(J152-J151&gt;0,MROUND((L152/12*Q151),1),MROUND(L152/12*P151,1)))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IF(OR(L$73=0,DG!$A$253&gt;16),0,F152+1)</f>
        <v>0</v>
      </c>
      <c r="G153" s="65">
        <f t="shared" si="19"/>
        <v>0</v>
      </c>
      <c r="H153" s="65">
        <f t="shared" si="35"/>
        <v>0</v>
      </c>
      <c r="I153" s="65">
        <f t="shared" si="31"/>
        <v>0</v>
      </c>
      <c r="J153" s="203">
        <f>IF(DG!$A$132&lt;=11,$M$17,0)</f>
        <v>0</v>
      </c>
      <c r="K153" s="65">
        <f t="shared" si="36"/>
        <v>0</v>
      </c>
      <c r="L153" s="473">
        <f t="shared" si="25"/>
        <v>0</v>
      </c>
      <c r="M153" s="204">
        <f t="shared" si="26"/>
        <v>0</v>
      </c>
      <c r="N153" s="505">
        <f t="shared" si="27"/>
        <v>0</v>
      </c>
      <c r="O153" s="204">
        <f>IF(DG!$A$132&gt;12,0,IF(J153-J152&gt;0,MROUND((L153/12*Q152),1),MROUND(L153/12*P152,1)))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IF(OR(L$73=0,DG!$A$253&gt;16),0,F153+1)</f>
        <v>0</v>
      </c>
      <c r="G154" s="65">
        <f t="shared" ref="G154:G217" si="38">IF(E154=0,0,IF(D154-E154-F154&gt;=0,1,0))</f>
        <v>0</v>
      </c>
      <c r="H154" s="65">
        <f t="shared" si="35"/>
        <v>0</v>
      </c>
      <c r="I154" s="65">
        <f t="shared" si="31"/>
        <v>0</v>
      </c>
      <c r="J154" s="203">
        <f>IF(DG!$A$132&lt;=11,$M$17,0)</f>
        <v>0</v>
      </c>
      <c r="K154" s="65">
        <f t="shared" si="36"/>
        <v>0</v>
      </c>
      <c r="L154" s="473">
        <f t="shared" si="25"/>
        <v>0</v>
      </c>
      <c r="M154" s="204">
        <f t="shared" si="26"/>
        <v>0</v>
      </c>
      <c r="N154" s="505">
        <f t="shared" si="27"/>
        <v>0</v>
      </c>
      <c r="O154" s="204">
        <f>IF(DG!$A$132&gt;12,0,IF(J154-J153&gt;0,MROUND((L154/12*Q153),1),MROUND(L154/12*P153,1)))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IF(OR(L$73=0,DG!$A$253&gt;16),0,F154+1)</f>
        <v>0</v>
      </c>
      <c r="G155" s="65">
        <f t="shared" si="38"/>
        <v>0</v>
      </c>
      <c r="H155" s="65">
        <f t="shared" si="35"/>
        <v>0</v>
      </c>
      <c r="I155" s="65">
        <f t="shared" si="31"/>
        <v>0</v>
      </c>
      <c r="J155" s="203">
        <f>IF(DG!$A$132&lt;=11,$M$17,0)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IF(DG!$A$132&gt;12,0,IF(J155-J154&gt;0,MROUND((L155/12*Q154),1),MROUND(L155/12*P154,1)))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IF(OR(L$73=0,DG!$A$253&gt;16),0,F155+1)</f>
        <v>0</v>
      </c>
      <c r="G156" s="65">
        <f t="shared" si="38"/>
        <v>0</v>
      </c>
      <c r="H156" s="65">
        <f t="shared" si="35"/>
        <v>0</v>
      </c>
      <c r="I156" s="65">
        <f t="shared" si="31"/>
        <v>0</v>
      </c>
      <c r="J156" s="203">
        <f>IF(DG!$A$132&lt;=11,$M$17,0)</f>
        <v>0</v>
      </c>
      <c r="K156" s="65">
        <f t="shared" si="36"/>
        <v>0</v>
      </c>
      <c r="L156" s="473">
        <f t="shared" si="42"/>
        <v>0</v>
      </c>
      <c r="M156" s="204">
        <f t="shared" si="43"/>
        <v>0</v>
      </c>
      <c r="N156" s="505">
        <f t="shared" si="44"/>
        <v>0</v>
      </c>
      <c r="O156" s="204">
        <f>IF(DG!$A$132&gt;12,0,IF(J156-J155&gt;0,MROUND((L156/12*Q155),1),MROUND(L156/12*P155,1)))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IF(OR(L$73=0,DG!$A$253&gt;16),0,F156+1)</f>
        <v>0</v>
      </c>
      <c r="G157" s="65">
        <f t="shared" si="38"/>
        <v>0</v>
      </c>
      <c r="H157" s="65">
        <f t="shared" si="35"/>
        <v>0</v>
      </c>
      <c r="I157" s="65">
        <f t="shared" si="31"/>
        <v>0</v>
      </c>
      <c r="J157" s="203">
        <f>IF(DG!$A$132&lt;=11,$M$17,0)</f>
        <v>0</v>
      </c>
      <c r="K157" s="65">
        <f t="shared" si="36"/>
        <v>0</v>
      </c>
      <c r="L157" s="473">
        <f t="shared" si="42"/>
        <v>0</v>
      </c>
      <c r="M157" s="204">
        <f t="shared" si="43"/>
        <v>0</v>
      </c>
      <c r="N157" s="505">
        <f t="shared" si="44"/>
        <v>0</v>
      </c>
      <c r="O157" s="204">
        <f>IF(DG!$A$132&gt;12,0,IF(J157-J156&gt;0,MROUND((L157/12*Q156),1),MROUND(L157/12*P156,1)))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IF(OR(L$73=0,DG!$A$253&gt;16),0,F157+1)</f>
        <v>0</v>
      </c>
      <c r="G158" s="65">
        <f t="shared" si="38"/>
        <v>0</v>
      </c>
      <c r="H158" s="65">
        <f t="shared" si="35"/>
        <v>0</v>
      </c>
      <c r="I158" s="65">
        <f t="shared" si="31"/>
        <v>0</v>
      </c>
      <c r="J158" s="203">
        <f>IF(DG!$A$132&lt;=11,$M$17,0)</f>
        <v>0</v>
      </c>
      <c r="K158" s="65">
        <f t="shared" si="36"/>
        <v>0</v>
      </c>
      <c r="L158" s="473">
        <f t="shared" si="42"/>
        <v>0</v>
      </c>
      <c r="M158" s="204">
        <f t="shared" si="43"/>
        <v>0</v>
      </c>
      <c r="N158" s="505">
        <f t="shared" si="44"/>
        <v>0</v>
      </c>
      <c r="O158" s="204">
        <f>IF(DG!$A$132&gt;12,0,IF(J158-J157&gt;0,MROUND((L158/12*Q157),1),MROUND(L158/12*P157,1)))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IF(OR(L$73=0,DG!$A$253&gt;16),0,F158+1)</f>
        <v>0</v>
      </c>
      <c r="G159" s="65">
        <f t="shared" si="38"/>
        <v>0</v>
      </c>
      <c r="H159" s="65">
        <f t="shared" si="35"/>
        <v>0</v>
      </c>
      <c r="I159" s="65">
        <f t="shared" si="31"/>
        <v>0</v>
      </c>
      <c r="J159" s="203">
        <f>IF(DG!$A$132&lt;=11,$M$17,0)</f>
        <v>0</v>
      </c>
      <c r="K159" s="65">
        <f t="shared" si="36"/>
        <v>0</v>
      </c>
      <c r="L159" s="473">
        <f t="shared" si="42"/>
        <v>0</v>
      </c>
      <c r="M159" s="204">
        <f t="shared" si="43"/>
        <v>0</v>
      </c>
      <c r="N159" s="505">
        <f t="shared" si="44"/>
        <v>0</v>
      </c>
      <c r="O159" s="204">
        <f>IF(DG!$A$132&gt;12,0,IF(J159-J158&gt;0,MROUND((L159/12*Q158),1),MROUND(L159/12*P158,1)))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IF(OR(L$73=0,DG!$A$253&gt;16),0,F159+1)</f>
        <v>0</v>
      </c>
      <c r="G160" s="65">
        <f t="shared" si="38"/>
        <v>0</v>
      </c>
      <c r="H160" s="65">
        <f t="shared" si="35"/>
        <v>0</v>
      </c>
      <c r="I160" s="65">
        <f t="shared" si="31"/>
        <v>0</v>
      </c>
      <c r="J160" s="203">
        <f>IF(DG!$A$132&lt;=11,$M$17,0)</f>
        <v>0</v>
      </c>
      <c r="K160" s="65">
        <f t="shared" si="36"/>
        <v>0</v>
      </c>
      <c r="L160" s="473">
        <f t="shared" si="42"/>
        <v>0</v>
      </c>
      <c r="M160" s="204">
        <f t="shared" si="43"/>
        <v>0</v>
      </c>
      <c r="N160" s="505">
        <f t="shared" si="44"/>
        <v>0</v>
      </c>
      <c r="O160" s="204">
        <f>IF(DG!$A$132&gt;12,0,IF(J160-J159&gt;0,MROUND((L160/12*Q159),1),MROUND(L160/12*P159,1)))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IF(OR(L$73=0,DG!$A$253&gt;16),0,F160+1)</f>
        <v>0</v>
      </c>
      <c r="G161" s="65">
        <f t="shared" si="38"/>
        <v>0</v>
      </c>
      <c r="H161" s="65">
        <f t="shared" si="35"/>
        <v>0</v>
      </c>
      <c r="I161" s="65">
        <f t="shared" si="31"/>
        <v>0</v>
      </c>
      <c r="J161" s="203">
        <f>IF(DG!$A$132&lt;=11,$M$17,0)</f>
        <v>0</v>
      </c>
      <c r="K161" s="65">
        <f t="shared" si="36"/>
        <v>0</v>
      </c>
      <c r="L161" s="473">
        <f t="shared" si="42"/>
        <v>0</v>
      </c>
      <c r="M161" s="204">
        <f t="shared" si="43"/>
        <v>0</v>
      </c>
      <c r="N161" s="505">
        <f t="shared" si="44"/>
        <v>0</v>
      </c>
      <c r="O161" s="204">
        <f>IF(DG!$A$132&gt;12,0,IF(J161-J160&gt;0,MROUND((L161/12*Q160),1),MROUND(L161/12*P160,1)))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IF(OR(L$73=0,DG!$A$253&gt;16),0,F161+1)</f>
        <v>0</v>
      </c>
      <c r="G162" s="65">
        <f t="shared" si="38"/>
        <v>0</v>
      </c>
      <c r="H162" s="65">
        <f t="shared" si="35"/>
        <v>0</v>
      </c>
      <c r="I162" s="65">
        <f t="shared" si="31"/>
        <v>0</v>
      </c>
      <c r="J162" s="203">
        <f>IF(DG!$A$132&lt;=11,$M$17,0)</f>
        <v>0</v>
      </c>
      <c r="K162" s="65">
        <f t="shared" si="36"/>
        <v>0</v>
      </c>
      <c r="L162" s="473">
        <f t="shared" si="42"/>
        <v>0</v>
      </c>
      <c r="M162" s="204">
        <f t="shared" si="43"/>
        <v>0</v>
      </c>
      <c r="N162" s="505">
        <f t="shared" si="44"/>
        <v>0</v>
      </c>
      <c r="O162" s="204">
        <f>IF(DG!$A$132&gt;12,0,IF(J162-J161&gt;0,MROUND((L162/12*Q161),1),MROUND(L162/12*P161,1)))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IF(OR(L$73=0,DG!$A$253&gt;16),0,F162+1)</f>
        <v>0</v>
      </c>
      <c r="G163" s="65">
        <f t="shared" si="38"/>
        <v>0</v>
      </c>
      <c r="H163" s="65">
        <f t="shared" si="35"/>
        <v>0</v>
      </c>
      <c r="I163" s="65">
        <f t="shared" si="31"/>
        <v>0</v>
      </c>
      <c r="J163" s="203">
        <f>IF(DG!$A$132&lt;=11,$M$17,0)</f>
        <v>0</v>
      </c>
      <c r="K163" s="65">
        <f t="shared" si="36"/>
        <v>0</v>
      </c>
      <c r="L163" s="473">
        <f t="shared" si="42"/>
        <v>0</v>
      </c>
      <c r="M163" s="204">
        <f t="shared" si="43"/>
        <v>0</v>
      </c>
      <c r="N163" s="505">
        <f t="shared" si="44"/>
        <v>0</v>
      </c>
      <c r="O163" s="204">
        <f>IF(DG!$A$132&gt;12,0,IF(J163-J162&gt;0,MROUND((L163/12*Q162),1),MROUND(L163/12*P162,1)))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IF(OR(L$73=0,DG!$A$253&gt;16),0,F163+1)</f>
        <v>0</v>
      </c>
      <c r="G164" s="65">
        <f t="shared" si="38"/>
        <v>0</v>
      </c>
      <c r="H164" s="65">
        <f t="shared" si="35"/>
        <v>0</v>
      </c>
      <c r="I164" s="65">
        <f t="shared" si="31"/>
        <v>0</v>
      </c>
      <c r="J164" s="203">
        <f>IF(DG!$A$132&lt;=11,$M$17,0)</f>
        <v>0</v>
      </c>
      <c r="K164" s="65">
        <f t="shared" si="36"/>
        <v>0</v>
      </c>
      <c r="L164" s="473">
        <f t="shared" si="42"/>
        <v>0</v>
      </c>
      <c r="M164" s="204">
        <f t="shared" si="43"/>
        <v>0</v>
      </c>
      <c r="N164" s="505">
        <f t="shared" si="44"/>
        <v>0</v>
      </c>
      <c r="O164" s="204">
        <f>IF(DG!$A$132&gt;12,0,IF(J164-J163&gt;0,MROUND((L164/12*Q163),1),MROUND(L164/12*P163,1)))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IF(OR(L$73=0,DG!$A$253&gt;16),0,F164+1)</f>
        <v>0</v>
      </c>
      <c r="G165" s="65">
        <f t="shared" si="38"/>
        <v>0</v>
      </c>
      <c r="H165" s="65">
        <f t="shared" si="35"/>
        <v>0</v>
      </c>
      <c r="I165" s="65">
        <f t="shared" si="31"/>
        <v>0</v>
      </c>
      <c r="J165" s="203">
        <f>IF(DG!$A$132&lt;=11,$M$17,0)</f>
        <v>0</v>
      </c>
      <c r="K165" s="65">
        <f t="shared" si="36"/>
        <v>0</v>
      </c>
      <c r="L165" s="473">
        <f t="shared" si="42"/>
        <v>0</v>
      </c>
      <c r="M165" s="204">
        <f t="shared" si="43"/>
        <v>0</v>
      </c>
      <c r="N165" s="505">
        <f t="shared" si="44"/>
        <v>0</v>
      </c>
      <c r="O165" s="204">
        <f>IF(DG!$A$132&gt;12,0,IF(J165-J164&gt;0,MROUND((L165/12*Q164),1),MROUND(L165/12*P164,1)))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IF(OR(L$73=0,DG!$A$253&gt;16),0,F165+1)</f>
        <v>0</v>
      </c>
      <c r="G166" s="65">
        <f t="shared" si="38"/>
        <v>0</v>
      </c>
      <c r="H166" s="65">
        <f t="shared" si="35"/>
        <v>0</v>
      </c>
      <c r="I166" s="65">
        <f t="shared" si="31"/>
        <v>0</v>
      </c>
      <c r="J166" s="203">
        <f>IF(DG!$A$132&lt;=11,$M$17,0)</f>
        <v>0</v>
      </c>
      <c r="K166" s="65">
        <f t="shared" si="36"/>
        <v>0</v>
      </c>
      <c r="L166" s="473">
        <f t="shared" si="42"/>
        <v>0</v>
      </c>
      <c r="M166" s="204">
        <f t="shared" si="43"/>
        <v>0</v>
      </c>
      <c r="N166" s="505">
        <f t="shared" si="44"/>
        <v>0</v>
      </c>
      <c r="O166" s="204">
        <f>IF(DG!$A$132&gt;12,0,IF(J166-J165&gt;0,MROUND((L166/12*Q165),1),MROUND(L166/12*P165,1)))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IF(OR(L$73=0,DG!$A$253&gt;16),0,F166+1)</f>
        <v>0</v>
      </c>
      <c r="G167" s="65">
        <f t="shared" si="38"/>
        <v>0</v>
      </c>
      <c r="H167" s="65">
        <f t="shared" si="35"/>
        <v>0</v>
      </c>
      <c r="I167" s="65">
        <f t="shared" si="31"/>
        <v>0</v>
      </c>
      <c r="J167" s="203">
        <f>IF(DG!$A$132&lt;=11,$M$17,0)</f>
        <v>0</v>
      </c>
      <c r="K167" s="65">
        <f t="shared" si="36"/>
        <v>0</v>
      </c>
      <c r="L167" s="473">
        <f t="shared" si="42"/>
        <v>0</v>
      </c>
      <c r="M167" s="204">
        <f t="shared" si="43"/>
        <v>0</v>
      </c>
      <c r="N167" s="505">
        <f t="shared" si="44"/>
        <v>0</v>
      </c>
      <c r="O167" s="204">
        <f>IF(DG!$A$132&gt;12,0,IF(J167-J166&gt;0,MROUND((L167/12*Q166),1),MROUND(L167/12*P166,1)))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IF(OR(L$73=0,DG!$A$253&gt;16),0,F167+1)</f>
        <v>0</v>
      </c>
      <c r="G168" s="65">
        <f t="shared" si="38"/>
        <v>0</v>
      </c>
      <c r="H168" s="65">
        <f t="shared" si="35"/>
        <v>0</v>
      </c>
      <c r="I168" s="65">
        <f t="shared" si="31"/>
        <v>0</v>
      </c>
      <c r="J168" s="203">
        <f>IF(DG!$A$132&lt;=11,$M$17,0)</f>
        <v>0</v>
      </c>
      <c r="K168" s="65">
        <f t="shared" si="36"/>
        <v>0</v>
      </c>
      <c r="L168" s="473">
        <f t="shared" si="42"/>
        <v>0</v>
      </c>
      <c r="M168" s="204">
        <f t="shared" si="43"/>
        <v>0</v>
      </c>
      <c r="N168" s="505">
        <f t="shared" si="44"/>
        <v>0</v>
      </c>
      <c r="O168" s="204">
        <f>IF(DG!$A$132&gt;12,0,IF(J168-J167&gt;0,MROUND((L168/12*Q167),1),MROUND(L168/12*P167,1)))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IF(OR(L$73=0,DG!$A$253&gt;16),0,F168+1)</f>
        <v>0</v>
      </c>
      <c r="G169" s="65">
        <f t="shared" si="38"/>
        <v>0</v>
      </c>
      <c r="H169" s="65">
        <f t="shared" si="35"/>
        <v>0</v>
      </c>
      <c r="I169" s="65">
        <f t="shared" si="31"/>
        <v>0</v>
      </c>
      <c r="J169" s="203">
        <f>IF(DG!$A$132&lt;=11,$M$17,0)</f>
        <v>0</v>
      </c>
      <c r="K169" s="65">
        <f t="shared" si="36"/>
        <v>0</v>
      </c>
      <c r="L169" s="473">
        <f t="shared" si="42"/>
        <v>0</v>
      </c>
      <c r="M169" s="204">
        <f t="shared" si="43"/>
        <v>0</v>
      </c>
      <c r="N169" s="505">
        <f t="shared" si="44"/>
        <v>0</v>
      </c>
      <c r="O169" s="204">
        <f>IF(DG!$A$132&gt;12,0,IF(J169-J168&gt;0,MROUND((L169/12*Q168),1),MROUND(L169/12*P168,1)))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IF(OR(L$73=0,DG!$A$253&gt;16),0,F169+1)</f>
        <v>0</v>
      </c>
      <c r="G170" s="65">
        <f t="shared" si="38"/>
        <v>0</v>
      </c>
      <c r="H170" s="65">
        <f t="shared" si="35"/>
        <v>0</v>
      </c>
      <c r="I170" s="65">
        <f t="shared" si="31"/>
        <v>0</v>
      </c>
      <c r="J170" s="203">
        <f>IF(DG!$A$132&lt;=11,$M$17,0)</f>
        <v>0</v>
      </c>
      <c r="K170" s="65">
        <f t="shared" si="36"/>
        <v>0</v>
      </c>
      <c r="L170" s="473">
        <f t="shared" si="42"/>
        <v>0</v>
      </c>
      <c r="M170" s="204">
        <f t="shared" si="43"/>
        <v>0</v>
      </c>
      <c r="N170" s="505">
        <f t="shared" si="44"/>
        <v>0</v>
      </c>
      <c r="O170" s="204">
        <f>IF(DG!$A$132&gt;12,0,IF(J170-J169&gt;0,MROUND((L170/12*Q169),1),MROUND(L170/12*P169,1)))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IF(OR(L$73=0,DG!$A$253&gt;16),0,F170+1)</f>
        <v>0</v>
      </c>
      <c r="G171" s="65">
        <f t="shared" si="38"/>
        <v>0</v>
      </c>
      <c r="H171" s="65">
        <f t="shared" si="35"/>
        <v>0</v>
      </c>
      <c r="I171" s="65">
        <f t="shared" si="31"/>
        <v>0</v>
      </c>
      <c r="J171" s="203">
        <f>IF(DG!$A$132&lt;=11,$M$17,0)</f>
        <v>0</v>
      </c>
      <c r="K171" s="65">
        <f t="shared" si="36"/>
        <v>0</v>
      </c>
      <c r="L171" s="473">
        <f t="shared" si="42"/>
        <v>0</v>
      </c>
      <c r="M171" s="204">
        <f t="shared" si="43"/>
        <v>0</v>
      </c>
      <c r="N171" s="505">
        <f t="shared" si="44"/>
        <v>0</v>
      </c>
      <c r="O171" s="204">
        <f>IF(DG!$A$132&gt;12,0,IF(J171-J170&gt;0,MROUND((L171/12*Q170),1),MROUND(L171/12*P170,1)))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IF(OR(L$73=0,DG!$A$253&gt;16),0,F171+1)</f>
        <v>0</v>
      </c>
      <c r="G172" s="65">
        <f t="shared" si="38"/>
        <v>0</v>
      </c>
      <c r="H172" s="65">
        <f t="shared" si="35"/>
        <v>0</v>
      </c>
      <c r="I172" s="65">
        <f t="shared" si="31"/>
        <v>0</v>
      </c>
      <c r="J172" s="203">
        <f>IF(DG!$A$132&lt;=11,$M$17,0)</f>
        <v>0</v>
      </c>
      <c r="K172" s="65">
        <f t="shared" si="36"/>
        <v>0</v>
      </c>
      <c r="L172" s="473">
        <f t="shared" si="42"/>
        <v>0</v>
      </c>
      <c r="M172" s="204">
        <f t="shared" si="43"/>
        <v>0</v>
      </c>
      <c r="N172" s="505">
        <f t="shared" si="44"/>
        <v>0</v>
      </c>
      <c r="O172" s="204">
        <f>IF(DG!$A$132&gt;12,0,IF(J172-J171&gt;0,MROUND((L172/12*Q171),1),MROUND(L172/12*P171,1)))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IF(OR(L$73=0,DG!$A$253&gt;16),0,F172+1)</f>
        <v>0</v>
      </c>
      <c r="G173" s="65">
        <f t="shared" si="38"/>
        <v>0</v>
      </c>
      <c r="H173" s="65">
        <f t="shared" si="35"/>
        <v>0</v>
      </c>
      <c r="I173" s="65">
        <f t="shared" si="31"/>
        <v>0</v>
      </c>
      <c r="J173" s="203">
        <f>IF(DG!$A$132&lt;=11,$M$17,0)</f>
        <v>0</v>
      </c>
      <c r="K173" s="65">
        <f t="shared" si="36"/>
        <v>0</v>
      </c>
      <c r="L173" s="473">
        <f t="shared" si="42"/>
        <v>0</v>
      </c>
      <c r="M173" s="204">
        <f t="shared" si="43"/>
        <v>0</v>
      </c>
      <c r="N173" s="505">
        <f t="shared" si="44"/>
        <v>0</v>
      </c>
      <c r="O173" s="204">
        <f>IF(DG!$A$132&gt;12,0,IF(J173-J172&gt;0,MROUND((L173/12*Q172),1),MROUND(L173/12*P172,1)))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IF(OR(L$73=0,DG!$A$253&gt;16),0,F173+1)</f>
        <v>0</v>
      </c>
      <c r="G174" s="65">
        <f t="shared" si="38"/>
        <v>0</v>
      </c>
      <c r="H174" s="65">
        <f t="shared" si="35"/>
        <v>0</v>
      </c>
      <c r="I174" s="65">
        <f t="shared" si="31"/>
        <v>0</v>
      </c>
      <c r="J174" s="203">
        <f>IF(DG!$A$132&lt;=11,$M$17,0)</f>
        <v>0</v>
      </c>
      <c r="K174" s="65">
        <f t="shared" si="36"/>
        <v>0</v>
      </c>
      <c r="L174" s="473">
        <f t="shared" si="42"/>
        <v>0</v>
      </c>
      <c r="M174" s="204">
        <f t="shared" si="43"/>
        <v>0</v>
      </c>
      <c r="N174" s="505">
        <f t="shared" si="44"/>
        <v>0</v>
      </c>
      <c r="O174" s="204">
        <f>IF(DG!$A$132&gt;12,0,IF(J174-J173&gt;0,MROUND((L174/12*Q173),1),MROUND(L174/12*P173,1)))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IF(OR(L$73=0,DG!$A$253&gt;16),0,F174+1)</f>
        <v>0</v>
      </c>
      <c r="G175" s="65">
        <f t="shared" si="38"/>
        <v>0</v>
      </c>
      <c r="H175" s="65">
        <f t="shared" si="35"/>
        <v>0</v>
      </c>
      <c r="I175" s="65">
        <f t="shared" si="31"/>
        <v>0</v>
      </c>
      <c r="J175" s="203">
        <f>IF(DG!$A$132&lt;=11,$M$17,0)</f>
        <v>0</v>
      </c>
      <c r="K175" s="65">
        <f t="shared" si="36"/>
        <v>0</v>
      </c>
      <c r="L175" s="473">
        <f t="shared" si="42"/>
        <v>0</v>
      </c>
      <c r="M175" s="204">
        <f t="shared" si="43"/>
        <v>0</v>
      </c>
      <c r="N175" s="505">
        <f t="shared" si="44"/>
        <v>0</v>
      </c>
      <c r="O175" s="204">
        <f>IF(DG!$A$132&gt;12,0,IF(J175-J174&gt;0,MROUND((L175/12*Q174),1),MROUND(L175/12*P174,1)))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IF(OR(L$73=0,DG!$A$253&gt;16),0,F175+1)</f>
        <v>0</v>
      </c>
      <c r="G176" s="65">
        <f t="shared" si="38"/>
        <v>0</v>
      </c>
      <c r="H176" s="65">
        <f t="shared" si="35"/>
        <v>0</v>
      </c>
      <c r="I176" s="65">
        <f t="shared" si="31"/>
        <v>0</v>
      </c>
      <c r="J176" s="203">
        <f>IF(DG!$A$132&lt;=11,$M$17,0)</f>
        <v>0</v>
      </c>
      <c r="K176" s="65">
        <f t="shared" si="36"/>
        <v>0</v>
      </c>
      <c r="L176" s="473">
        <f t="shared" si="42"/>
        <v>0</v>
      </c>
      <c r="M176" s="204">
        <f t="shared" si="43"/>
        <v>0</v>
      </c>
      <c r="N176" s="505">
        <f t="shared" si="44"/>
        <v>0</v>
      </c>
      <c r="O176" s="204">
        <f>IF(DG!$A$132&gt;12,0,IF(J176-J175&gt;0,MROUND((L176/12*Q175),1),MROUND(L176/12*P175,1)))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IF(OR(L$73=0,DG!$A$253&gt;16),0,F176+1)</f>
        <v>0</v>
      </c>
      <c r="G177" s="65">
        <f t="shared" si="38"/>
        <v>0</v>
      </c>
      <c r="H177" s="65">
        <f t="shared" si="35"/>
        <v>0</v>
      </c>
      <c r="I177" s="65">
        <f t="shared" si="31"/>
        <v>0</v>
      </c>
      <c r="J177" s="203">
        <f>IF(DG!$A$132&lt;=11,$M$17,0)</f>
        <v>0</v>
      </c>
      <c r="K177" s="65">
        <f t="shared" si="36"/>
        <v>0</v>
      </c>
      <c r="L177" s="473">
        <f t="shared" si="42"/>
        <v>0</v>
      </c>
      <c r="M177" s="204">
        <f t="shared" si="43"/>
        <v>0</v>
      </c>
      <c r="N177" s="505">
        <f t="shared" si="44"/>
        <v>0</v>
      </c>
      <c r="O177" s="204">
        <f>IF(DG!$A$132&gt;12,0,IF(J177-J176&gt;0,MROUND((L177/12*Q176),1),MROUND(L177/12*P176,1)))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IF(OR(L$73=0,DG!$A$253&gt;16),0,F177+1)</f>
        <v>0</v>
      </c>
      <c r="G178" s="65">
        <f t="shared" si="38"/>
        <v>0</v>
      </c>
      <c r="H178" s="65">
        <f t="shared" si="35"/>
        <v>0</v>
      </c>
      <c r="I178" s="65">
        <f t="shared" si="31"/>
        <v>0</v>
      </c>
      <c r="J178" s="203">
        <f>IF(DG!$A$132&lt;=11,$M$17,0)</f>
        <v>0</v>
      </c>
      <c r="K178" s="65">
        <f t="shared" si="36"/>
        <v>0</v>
      </c>
      <c r="L178" s="473">
        <f t="shared" si="42"/>
        <v>0</v>
      </c>
      <c r="M178" s="204">
        <f t="shared" si="43"/>
        <v>0</v>
      </c>
      <c r="N178" s="505">
        <f t="shared" si="44"/>
        <v>0</v>
      </c>
      <c r="O178" s="204">
        <f>IF(DG!$A$132&gt;12,0,IF(J178-J177&gt;0,MROUND((L178/12*Q177),1),MROUND(L178/12*P177,1)))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IF(OR(L$73=0,DG!$A$253&gt;16),0,F178+1)</f>
        <v>0</v>
      </c>
      <c r="G179" s="65">
        <f t="shared" si="38"/>
        <v>0</v>
      </c>
      <c r="H179" s="65">
        <f t="shared" si="35"/>
        <v>0</v>
      </c>
      <c r="I179" s="65">
        <f t="shared" si="31"/>
        <v>0</v>
      </c>
      <c r="J179" s="203">
        <f>IF(DG!$A$132&lt;=11,$M$17,0)</f>
        <v>0</v>
      </c>
      <c r="K179" s="65">
        <f t="shared" si="36"/>
        <v>0</v>
      </c>
      <c r="L179" s="473">
        <f t="shared" si="42"/>
        <v>0</v>
      </c>
      <c r="M179" s="204">
        <f t="shared" si="43"/>
        <v>0</v>
      </c>
      <c r="N179" s="505">
        <f t="shared" si="44"/>
        <v>0</v>
      </c>
      <c r="O179" s="204">
        <f>IF(DG!$A$132&gt;12,0,IF(J179-J178&gt;0,MROUND((L179/12*Q178),1),MROUND(L179/12*P178,1)))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IF(OR(L$73=0,DG!$A$253&gt;16),0,F179+1)</f>
        <v>0</v>
      </c>
      <c r="G180" s="65">
        <f t="shared" si="38"/>
        <v>0</v>
      </c>
      <c r="H180" s="65">
        <f t="shared" si="35"/>
        <v>0</v>
      </c>
      <c r="I180" s="65">
        <f t="shared" si="31"/>
        <v>0</v>
      </c>
      <c r="J180" s="203">
        <f>IF(DG!$A$132&lt;=11,$M$17,0)</f>
        <v>0</v>
      </c>
      <c r="K180" s="65">
        <f t="shared" si="36"/>
        <v>0</v>
      </c>
      <c r="L180" s="473">
        <f t="shared" si="42"/>
        <v>0</v>
      </c>
      <c r="M180" s="204">
        <f t="shared" si="43"/>
        <v>0</v>
      </c>
      <c r="N180" s="505">
        <f t="shared" si="44"/>
        <v>0</v>
      </c>
      <c r="O180" s="204">
        <f>IF(DG!$A$132&gt;12,0,IF(J180-J179&gt;0,MROUND((L180/12*Q179),1),MROUND(L180/12*P179,1)))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IF(OR(L$73=0,DG!$A$253&gt;16),0,F180+1)</f>
        <v>0</v>
      </c>
      <c r="G181" s="65">
        <f t="shared" si="38"/>
        <v>0</v>
      </c>
      <c r="H181" s="65">
        <f t="shared" si="35"/>
        <v>0</v>
      </c>
      <c r="I181" s="65">
        <f t="shared" si="31"/>
        <v>0</v>
      </c>
      <c r="J181" s="203">
        <f>IF(DG!$A$132&lt;=11,$M$17,0)</f>
        <v>0</v>
      </c>
      <c r="K181" s="65">
        <f t="shared" si="36"/>
        <v>0</v>
      </c>
      <c r="L181" s="473">
        <f t="shared" si="42"/>
        <v>0</v>
      </c>
      <c r="M181" s="204">
        <f t="shared" si="43"/>
        <v>0</v>
      </c>
      <c r="N181" s="505">
        <f t="shared" si="44"/>
        <v>0</v>
      </c>
      <c r="O181" s="204">
        <f>IF(DG!$A$132&gt;12,0,IF(J181-J180&gt;0,MROUND((L181/12*Q180),1),MROUND(L181/12*P180,1)))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IF(OR(L$73=0,DG!$A$253&gt;16),0,F181+1)</f>
        <v>0</v>
      </c>
      <c r="G182" s="65">
        <f t="shared" si="38"/>
        <v>0</v>
      </c>
      <c r="H182" s="65">
        <f t="shared" si="35"/>
        <v>0</v>
      </c>
      <c r="I182" s="65">
        <f t="shared" si="31"/>
        <v>0</v>
      </c>
      <c r="J182" s="203">
        <f>IF(DG!$A$132&lt;=11,$M$17,0)</f>
        <v>0</v>
      </c>
      <c r="K182" s="65">
        <f t="shared" si="36"/>
        <v>0</v>
      </c>
      <c r="L182" s="473">
        <f t="shared" si="42"/>
        <v>0</v>
      </c>
      <c r="M182" s="204">
        <f t="shared" si="43"/>
        <v>0</v>
      </c>
      <c r="N182" s="505">
        <f t="shared" si="44"/>
        <v>0</v>
      </c>
      <c r="O182" s="204">
        <f>IF(DG!$A$132&gt;12,0,IF(J182-J181&gt;0,MROUND((L182/12*Q181),1),MROUND(L182/12*P181,1)))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IF(OR(L$73=0,DG!$A$253&gt;16),0,F182+1)</f>
        <v>0</v>
      </c>
      <c r="G183" s="65">
        <f t="shared" si="38"/>
        <v>0</v>
      </c>
      <c r="H183" s="65">
        <f t="shared" si="35"/>
        <v>0</v>
      </c>
      <c r="I183" s="65">
        <f t="shared" si="31"/>
        <v>0</v>
      </c>
      <c r="J183" s="203">
        <f>IF(DG!$A$132&lt;=11,$M$17,0)</f>
        <v>0</v>
      </c>
      <c r="K183" s="65">
        <f t="shared" si="36"/>
        <v>0</v>
      </c>
      <c r="L183" s="473">
        <f t="shared" si="42"/>
        <v>0</v>
      </c>
      <c r="M183" s="204">
        <f t="shared" si="43"/>
        <v>0</v>
      </c>
      <c r="N183" s="505">
        <f t="shared" si="44"/>
        <v>0</v>
      </c>
      <c r="O183" s="204">
        <f>IF(DG!$A$132&gt;12,0,IF(J183-J182&gt;0,MROUND((L183/12*Q182),1),MROUND(L183/12*P182,1)))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IF(OR(L$73=0,DG!$A$253&gt;16),0,F183+1)</f>
        <v>0</v>
      </c>
      <c r="G184" s="65">
        <f t="shared" si="38"/>
        <v>0</v>
      </c>
      <c r="H184" s="65">
        <f t="shared" si="35"/>
        <v>0</v>
      </c>
      <c r="I184" s="65">
        <f t="shared" si="31"/>
        <v>0</v>
      </c>
      <c r="J184" s="203">
        <f>IF(DG!$A$132&lt;=11,$M$17,0)</f>
        <v>0</v>
      </c>
      <c r="K184" s="65">
        <f t="shared" si="36"/>
        <v>0</v>
      </c>
      <c r="L184" s="473">
        <f t="shared" si="42"/>
        <v>0</v>
      </c>
      <c r="M184" s="204">
        <f t="shared" si="43"/>
        <v>0</v>
      </c>
      <c r="N184" s="505">
        <f t="shared" si="44"/>
        <v>0</v>
      </c>
      <c r="O184" s="204">
        <f>IF(DG!$A$132&gt;12,0,IF(J184-J183&gt;0,MROUND((L184/12*Q183),1),MROUND(L184/12*P183,1)))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IF(OR(L$73=0,DG!$A$253&gt;16),0,F184+1)</f>
        <v>0</v>
      </c>
      <c r="G185" s="65">
        <f t="shared" si="38"/>
        <v>0</v>
      </c>
      <c r="H185" s="65">
        <f t="shared" si="35"/>
        <v>0</v>
      </c>
      <c r="I185" s="65">
        <f t="shared" si="31"/>
        <v>0</v>
      </c>
      <c r="J185" s="203">
        <f>IF(DG!$A$132&lt;=11,$M$17,0)</f>
        <v>0</v>
      </c>
      <c r="K185" s="65">
        <f t="shared" si="36"/>
        <v>0</v>
      </c>
      <c r="L185" s="473">
        <f t="shared" si="42"/>
        <v>0</v>
      </c>
      <c r="M185" s="204">
        <f t="shared" si="43"/>
        <v>0</v>
      </c>
      <c r="N185" s="505">
        <f t="shared" si="44"/>
        <v>0</v>
      </c>
      <c r="O185" s="204">
        <f>IF(DG!$A$132&gt;12,0,IF(J185-J184&gt;0,MROUND((L185/12*Q184),1),MROUND(L185/12*P184,1)))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IF(OR(L$73=0,DG!$A$253&gt;16),0,F185+1)</f>
        <v>0</v>
      </c>
      <c r="G186" s="65">
        <f t="shared" si="38"/>
        <v>0</v>
      </c>
      <c r="H186" s="65">
        <f t="shared" si="35"/>
        <v>0</v>
      </c>
      <c r="I186" s="65">
        <f t="shared" si="31"/>
        <v>0</v>
      </c>
      <c r="J186" s="203">
        <f>IF(DG!$A$132&lt;=11,$M$17,0)</f>
        <v>0</v>
      </c>
      <c r="K186" s="65">
        <f t="shared" si="36"/>
        <v>0</v>
      </c>
      <c r="L186" s="473">
        <f t="shared" si="42"/>
        <v>0</v>
      </c>
      <c r="M186" s="204">
        <f t="shared" si="43"/>
        <v>0</v>
      </c>
      <c r="N186" s="505">
        <f t="shared" si="44"/>
        <v>0</v>
      </c>
      <c r="O186" s="204">
        <f>IF(DG!$A$132&gt;12,0,IF(J186-J185&gt;0,MROUND((L186/12*Q185),1),MROUND(L186/12*P185,1)))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IF(OR(L$73=0,DG!$A$253&gt;16),0,F186+1)</f>
        <v>0</v>
      </c>
      <c r="G187" s="65">
        <f t="shared" si="38"/>
        <v>0</v>
      </c>
      <c r="H187" s="65">
        <f t="shared" si="35"/>
        <v>0</v>
      </c>
      <c r="I187" s="65">
        <f t="shared" si="31"/>
        <v>0</v>
      </c>
      <c r="J187" s="203">
        <f>IF(DG!$A$132&lt;=11,$M$17,0)</f>
        <v>0</v>
      </c>
      <c r="K187" s="65">
        <f t="shared" si="36"/>
        <v>0</v>
      </c>
      <c r="L187" s="473">
        <f t="shared" si="42"/>
        <v>0</v>
      </c>
      <c r="M187" s="204">
        <f t="shared" si="43"/>
        <v>0</v>
      </c>
      <c r="N187" s="505">
        <f t="shared" si="44"/>
        <v>0</v>
      </c>
      <c r="O187" s="204">
        <f>IF(DG!$A$132&gt;12,0,IF(J187-J186&gt;0,MROUND((L187/12*Q186),1),MROUND(L187/12*P186,1)))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IF(OR(L$73=0,DG!$A$253&gt;16),0,F187+1)</f>
        <v>0</v>
      </c>
      <c r="G188" s="65">
        <f t="shared" si="38"/>
        <v>0</v>
      </c>
      <c r="H188" s="65">
        <f t="shared" si="35"/>
        <v>0</v>
      </c>
      <c r="I188" s="65">
        <f t="shared" si="31"/>
        <v>0</v>
      </c>
      <c r="J188" s="203">
        <f>IF(DG!$A$132&lt;=11,$M$17,0)</f>
        <v>0</v>
      </c>
      <c r="K188" s="65">
        <f t="shared" si="36"/>
        <v>0</v>
      </c>
      <c r="L188" s="473">
        <f t="shared" si="42"/>
        <v>0</v>
      </c>
      <c r="M188" s="204">
        <f t="shared" si="43"/>
        <v>0</v>
      </c>
      <c r="N188" s="505">
        <f t="shared" si="44"/>
        <v>0</v>
      </c>
      <c r="O188" s="204">
        <f>IF(DG!$A$132&gt;12,0,IF(J188-J187&gt;0,MROUND((L188/12*Q187),1),MROUND(L188/12*P187,1)))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IF(OR(L$73=0,DG!$A$253&gt;16),0,F188+1)</f>
        <v>0</v>
      </c>
      <c r="G189" s="65">
        <f t="shared" si="38"/>
        <v>0</v>
      </c>
      <c r="H189" s="65">
        <f t="shared" si="35"/>
        <v>0</v>
      </c>
      <c r="I189" s="65">
        <f t="shared" si="31"/>
        <v>0</v>
      </c>
      <c r="J189" s="203">
        <f>IF(DG!$A$132&lt;=11,$M$17,0)</f>
        <v>0</v>
      </c>
      <c r="K189" s="65">
        <f t="shared" si="36"/>
        <v>0</v>
      </c>
      <c r="L189" s="473">
        <f t="shared" si="42"/>
        <v>0</v>
      </c>
      <c r="M189" s="204">
        <f t="shared" si="43"/>
        <v>0</v>
      </c>
      <c r="N189" s="505">
        <f t="shared" si="44"/>
        <v>0</v>
      </c>
      <c r="O189" s="204">
        <f>IF(DG!$A$132&gt;12,0,IF(J189-J188&gt;0,MROUND((L189/12*Q188),1),MROUND(L189/12*P188,1)))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IF(OR(L$73=0,DG!$A$253&gt;16),0,F189+1)</f>
        <v>0</v>
      </c>
      <c r="G190" s="65">
        <f t="shared" si="38"/>
        <v>0</v>
      </c>
      <c r="H190" s="65">
        <f t="shared" si="35"/>
        <v>0</v>
      </c>
      <c r="I190" s="65">
        <f t="shared" si="31"/>
        <v>0</v>
      </c>
      <c r="J190" s="203">
        <f>IF(DG!$A$132&lt;=11,$M$17,0)</f>
        <v>0</v>
      </c>
      <c r="K190" s="65">
        <f t="shared" si="36"/>
        <v>0</v>
      </c>
      <c r="L190" s="473">
        <f t="shared" si="42"/>
        <v>0</v>
      </c>
      <c r="M190" s="204">
        <f t="shared" si="43"/>
        <v>0</v>
      </c>
      <c r="N190" s="505">
        <f t="shared" si="44"/>
        <v>0</v>
      </c>
      <c r="O190" s="204">
        <f>IF(DG!$A$132&gt;12,0,IF(J190-J189&gt;0,MROUND((L190/12*Q189),1),MROUND(L190/12*P189,1)))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IF(OR(L$73=0,DG!$A$253&gt;16),0,F190+1)</f>
        <v>0</v>
      </c>
      <c r="G191" s="65">
        <f t="shared" si="38"/>
        <v>0</v>
      </c>
      <c r="H191" s="65">
        <f t="shared" si="35"/>
        <v>0</v>
      </c>
      <c r="I191" s="65">
        <f t="shared" si="31"/>
        <v>0</v>
      </c>
      <c r="J191" s="203">
        <f>IF(DG!$A$132&lt;=11,$M$17,0)</f>
        <v>0</v>
      </c>
      <c r="K191" s="65">
        <f t="shared" si="36"/>
        <v>0</v>
      </c>
      <c r="L191" s="473">
        <f t="shared" si="42"/>
        <v>0</v>
      </c>
      <c r="M191" s="204">
        <f t="shared" si="43"/>
        <v>0</v>
      </c>
      <c r="N191" s="505">
        <f t="shared" si="44"/>
        <v>0</v>
      </c>
      <c r="O191" s="204">
        <f>IF(DG!$A$132&gt;12,0,IF(J191-J190&gt;0,MROUND((L191/12*Q190),1),MROUND(L191/12*P190,1)))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IF(OR(L$73=0,DG!$A$253&gt;16),0,F191+1)</f>
        <v>0</v>
      </c>
      <c r="G192" s="65">
        <f t="shared" si="38"/>
        <v>0</v>
      </c>
      <c r="H192" s="65">
        <f t="shared" si="35"/>
        <v>0</v>
      </c>
      <c r="I192" s="65">
        <f t="shared" si="31"/>
        <v>0</v>
      </c>
      <c r="J192" s="203">
        <f>IF(DG!$A$132&lt;=11,$M$17,0)</f>
        <v>0</v>
      </c>
      <c r="K192" s="65">
        <f t="shared" si="36"/>
        <v>0</v>
      </c>
      <c r="L192" s="473">
        <f t="shared" si="42"/>
        <v>0</v>
      </c>
      <c r="M192" s="204">
        <f t="shared" si="43"/>
        <v>0</v>
      </c>
      <c r="N192" s="505">
        <f t="shared" si="44"/>
        <v>0</v>
      </c>
      <c r="O192" s="204">
        <f>IF(DG!$A$132&gt;12,0,IF(J192-J191&gt;0,MROUND((L192/12*Q191),1),MROUND(L192/12*P191,1)))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IF(OR(L$73=0,DG!$A$253&gt;16),0,F192+1)</f>
        <v>0</v>
      </c>
      <c r="G193" s="65">
        <f t="shared" si="38"/>
        <v>0</v>
      </c>
      <c r="H193" s="65">
        <f t="shared" si="35"/>
        <v>0</v>
      </c>
      <c r="I193" s="65">
        <f t="shared" ref="I193:I256" si="47">IF(OR(G193=1,C193=0),0,IF(K193-C193&lt;$G$269,1,-1))</f>
        <v>0</v>
      </c>
      <c r="J193" s="203">
        <f>IF(DG!$A$132&lt;=11,$M$17,0)</f>
        <v>0</v>
      </c>
      <c r="K193" s="65">
        <f t="shared" si="36"/>
        <v>0</v>
      </c>
      <c r="L193" s="473">
        <f t="shared" si="42"/>
        <v>0</v>
      </c>
      <c r="M193" s="204">
        <f t="shared" si="43"/>
        <v>0</v>
      </c>
      <c r="N193" s="505">
        <f t="shared" si="44"/>
        <v>0</v>
      </c>
      <c r="O193" s="204">
        <f>IF(DG!$A$132&gt;12,0,IF(J193-J192&gt;0,MROUND((L193/12*Q192),1),MROUND(L193/12*P192,1)))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IF(OR(L$73=0,DG!$A$253&gt;16),0,F193+1)</f>
        <v>0</v>
      </c>
      <c r="G194" s="65">
        <f t="shared" si="38"/>
        <v>0</v>
      </c>
      <c r="H194" s="65">
        <f t="shared" si="35"/>
        <v>0</v>
      </c>
      <c r="I194" s="65">
        <f t="shared" si="47"/>
        <v>0</v>
      </c>
      <c r="J194" s="203">
        <f>IF(DG!$A$132&lt;=11,$M$17,0)</f>
        <v>0</v>
      </c>
      <c r="K194" s="65">
        <f t="shared" si="36"/>
        <v>0</v>
      </c>
      <c r="L194" s="473">
        <f t="shared" si="42"/>
        <v>0</v>
      </c>
      <c r="M194" s="204">
        <f t="shared" si="43"/>
        <v>0</v>
      </c>
      <c r="N194" s="505">
        <f t="shared" si="44"/>
        <v>0</v>
      </c>
      <c r="O194" s="204">
        <f>IF(DG!$A$132&gt;12,0,IF(J194-J193&gt;0,MROUND((L194/12*Q193),1),MROUND(L194/12*P193,1)))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IF(OR(L$73=0,DG!$A$253&gt;16),0,F194+1)</f>
        <v>0</v>
      </c>
      <c r="G195" s="65">
        <f t="shared" si="38"/>
        <v>0</v>
      </c>
      <c r="H195" s="65">
        <f t="shared" si="35"/>
        <v>0</v>
      </c>
      <c r="I195" s="65">
        <f t="shared" si="47"/>
        <v>0</v>
      </c>
      <c r="J195" s="203">
        <f>IF(DG!$A$132&lt;=11,$M$17,0)</f>
        <v>0</v>
      </c>
      <c r="K195" s="65">
        <f t="shared" si="36"/>
        <v>0</v>
      </c>
      <c r="L195" s="473">
        <f t="shared" si="42"/>
        <v>0</v>
      </c>
      <c r="M195" s="204">
        <f t="shared" si="43"/>
        <v>0</v>
      </c>
      <c r="N195" s="505">
        <f t="shared" si="44"/>
        <v>0</v>
      </c>
      <c r="O195" s="204">
        <f>IF(DG!$A$132&gt;12,0,IF(J195-J194&gt;0,MROUND((L195/12*Q194),1),MROUND(L195/12*P194,1)))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IF(OR(L$73=0,DG!$A$253&gt;16),0,F195+1)</f>
        <v>0</v>
      </c>
      <c r="G196" s="65">
        <f t="shared" si="38"/>
        <v>0</v>
      </c>
      <c r="H196" s="65">
        <f t="shared" si="35"/>
        <v>0</v>
      </c>
      <c r="I196" s="65">
        <f t="shared" si="47"/>
        <v>0</v>
      </c>
      <c r="J196" s="203">
        <f>IF(DG!$A$132&lt;=11,$M$17,0)</f>
        <v>0</v>
      </c>
      <c r="K196" s="65">
        <f t="shared" si="36"/>
        <v>0</v>
      </c>
      <c r="L196" s="473">
        <f t="shared" si="42"/>
        <v>0</v>
      </c>
      <c r="M196" s="204">
        <f t="shared" si="43"/>
        <v>0</v>
      </c>
      <c r="N196" s="505">
        <f t="shared" si="44"/>
        <v>0</v>
      </c>
      <c r="O196" s="204">
        <f>IF(DG!$A$132&gt;12,0,IF(J196-J195&gt;0,MROUND((L196/12*Q195),1),MROUND(L196/12*P195,1)))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IF(OR(L$73=0,DG!$A$253&gt;16),0,F196+1)</f>
        <v>0</v>
      </c>
      <c r="G197" s="65">
        <f t="shared" si="38"/>
        <v>0</v>
      </c>
      <c r="H197" s="65">
        <f t="shared" si="35"/>
        <v>0</v>
      </c>
      <c r="I197" s="65">
        <f t="shared" si="47"/>
        <v>0</v>
      </c>
      <c r="J197" s="203">
        <f>IF(DG!$A$132&lt;=11,$M$17,0)</f>
        <v>0</v>
      </c>
      <c r="K197" s="65">
        <f t="shared" si="36"/>
        <v>0</v>
      </c>
      <c r="L197" s="473">
        <f t="shared" si="42"/>
        <v>0</v>
      </c>
      <c r="M197" s="204">
        <f t="shared" si="43"/>
        <v>0</v>
      </c>
      <c r="N197" s="505">
        <f t="shared" si="44"/>
        <v>0</v>
      </c>
      <c r="O197" s="204">
        <f>IF(DG!$A$132&gt;12,0,IF(J197-J196&gt;0,MROUND((L197/12*Q196),1),MROUND(L197/12*P196,1)))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IF(OR(L$73=0,DG!$A$253&gt;16),0,F197+1)</f>
        <v>0</v>
      </c>
      <c r="G198" s="65">
        <f t="shared" si="38"/>
        <v>0</v>
      </c>
      <c r="H198" s="65">
        <f t="shared" si="35"/>
        <v>0</v>
      </c>
      <c r="I198" s="65">
        <f t="shared" si="47"/>
        <v>0</v>
      </c>
      <c r="J198" s="203">
        <f>IF(DG!$A$132&lt;=11,$M$17,0)</f>
        <v>0</v>
      </c>
      <c r="K198" s="65">
        <f t="shared" si="36"/>
        <v>0</v>
      </c>
      <c r="L198" s="473">
        <f t="shared" si="42"/>
        <v>0</v>
      </c>
      <c r="M198" s="204">
        <f t="shared" si="43"/>
        <v>0</v>
      </c>
      <c r="N198" s="505">
        <f t="shared" si="44"/>
        <v>0</v>
      </c>
      <c r="O198" s="204">
        <f>IF(DG!$A$132&gt;12,0,IF(J198-J197&gt;0,MROUND((L198/12*Q197),1),MROUND(L198/12*P197,1)))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IF(OR(L$73=0,DG!$A$253&gt;16),0,F198+1)</f>
        <v>0</v>
      </c>
      <c r="G199" s="65">
        <f t="shared" si="38"/>
        <v>0</v>
      </c>
      <c r="H199" s="65">
        <f t="shared" si="35"/>
        <v>0</v>
      </c>
      <c r="I199" s="65">
        <f t="shared" si="47"/>
        <v>0</v>
      </c>
      <c r="J199" s="203">
        <f>IF(DG!$A$132&lt;=11,$M$17,0)</f>
        <v>0</v>
      </c>
      <c r="K199" s="65">
        <f t="shared" si="36"/>
        <v>0</v>
      </c>
      <c r="L199" s="473">
        <f t="shared" si="42"/>
        <v>0</v>
      </c>
      <c r="M199" s="204">
        <f t="shared" si="43"/>
        <v>0</v>
      </c>
      <c r="N199" s="505">
        <f t="shared" si="44"/>
        <v>0</v>
      </c>
      <c r="O199" s="204">
        <f>IF(DG!$A$132&gt;12,0,IF(J199-J198&gt;0,MROUND((L199/12*Q198),1),MROUND(L199/12*P198,1)))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IF(OR(L$73=0,DG!$A$253&gt;16),0,F199+1)</f>
        <v>0</v>
      </c>
      <c r="G200" s="65">
        <f t="shared" si="38"/>
        <v>0</v>
      </c>
      <c r="H200" s="65">
        <f t="shared" si="35"/>
        <v>0</v>
      </c>
      <c r="I200" s="65">
        <f t="shared" si="47"/>
        <v>0</v>
      </c>
      <c r="J200" s="203">
        <f>IF(DG!$A$132&lt;=11,$M$17,0)</f>
        <v>0</v>
      </c>
      <c r="K200" s="65">
        <f t="shared" si="36"/>
        <v>0</v>
      </c>
      <c r="L200" s="473">
        <f t="shared" si="42"/>
        <v>0</v>
      </c>
      <c r="M200" s="204">
        <f t="shared" si="43"/>
        <v>0</v>
      </c>
      <c r="N200" s="505">
        <f t="shared" si="44"/>
        <v>0</v>
      </c>
      <c r="O200" s="204">
        <f>IF(DG!$A$132&gt;12,0,IF(J200-J199&gt;0,MROUND((L200/12*Q199),1),MROUND(L200/12*P199,1)))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IF(OR(L$73=0,DG!$A$253&gt;16),0,F200+1)</f>
        <v>0</v>
      </c>
      <c r="G201" s="65">
        <f t="shared" si="38"/>
        <v>0</v>
      </c>
      <c r="H201" s="65">
        <f t="shared" si="35"/>
        <v>0</v>
      </c>
      <c r="I201" s="65">
        <f t="shared" si="47"/>
        <v>0</v>
      </c>
      <c r="J201" s="203">
        <f>IF(DG!$A$132&lt;=11,$M$17,0)</f>
        <v>0</v>
      </c>
      <c r="K201" s="65">
        <f t="shared" si="36"/>
        <v>0</v>
      </c>
      <c r="L201" s="473">
        <f t="shared" si="42"/>
        <v>0</v>
      </c>
      <c r="M201" s="204">
        <f t="shared" si="43"/>
        <v>0</v>
      </c>
      <c r="N201" s="505">
        <f t="shared" si="44"/>
        <v>0</v>
      </c>
      <c r="O201" s="204">
        <f>IF(DG!$A$132&gt;12,0,IF(J201-J200&gt;0,MROUND((L201/12*Q200),1),MROUND(L201/12*P200,1)))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IF(OR(L$73=0,DG!$A$253&gt;16),0,F201+1)</f>
        <v>0</v>
      </c>
      <c r="G202" s="65">
        <f t="shared" si="38"/>
        <v>0</v>
      </c>
      <c r="H202" s="65">
        <f t="shared" si="35"/>
        <v>0</v>
      </c>
      <c r="I202" s="65">
        <f t="shared" si="47"/>
        <v>0</v>
      </c>
      <c r="J202" s="203">
        <f>IF(DG!$A$132&lt;=11,$M$17,0)</f>
        <v>0</v>
      </c>
      <c r="K202" s="65">
        <f t="shared" si="36"/>
        <v>0</v>
      </c>
      <c r="L202" s="473">
        <f t="shared" si="42"/>
        <v>0</v>
      </c>
      <c r="M202" s="204">
        <f t="shared" si="43"/>
        <v>0</v>
      </c>
      <c r="N202" s="505">
        <f t="shared" si="44"/>
        <v>0</v>
      </c>
      <c r="O202" s="204">
        <f>IF(DG!$A$132&gt;12,0,IF(J202-J201&gt;0,MROUND((L202/12*Q201),1),MROUND(L202/12*P201,1)))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IF(OR(L$73=0,DG!$A$253&gt;16),0,F202+1)</f>
        <v>0</v>
      </c>
      <c r="G203" s="65">
        <f t="shared" si="38"/>
        <v>0</v>
      </c>
      <c r="H203" s="65">
        <f t="shared" si="35"/>
        <v>0</v>
      </c>
      <c r="I203" s="65">
        <f t="shared" si="47"/>
        <v>0</v>
      </c>
      <c r="J203" s="203">
        <f>IF(DG!$A$132&lt;=11,$M$17,0)</f>
        <v>0</v>
      </c>
      <c r="K203" s="65">
        <f t="shared" si="36"/>
        <v>0</v>
      </c>
      <c r="L203" s="473">
        <f t="shared" si="42"/>
        <v>0</v>
      </c>
      <c r="M203" s="204">
        <f t="shared" si="43"/>
        <v>0</v>
      </c>
      <c r="N203" s="505">
        <f t="shared" si="44"/>
        <v>0</v>
      </c>
      <c r="O203" s="204">
        <f>IF(DG!$A$132&gt;12,0,IF(J203-J202&gt;0,MROUND((L203/12*Q202),1),MROUND(L203/12*P202,1)))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IF(OR(L$73=0,DG!$A$253&gt;16),0,F203+1)</f>
        <v>0</v>
      </c>
      <c r="G204" s="65">
        <f t="shared" si="38"/>
        <v>0</v>
      </c>
      <c r="H204" s="65">
        <f t="shared" si="35"/>
        <v>0</v>
      </c>
      <c r="I204" s="65">
        <f t="shared" si="47"/>
        <v>0</v>
      </c>
      <c r="J204" s="203">
        <f>IF(DG!$A$132&lt;=11,$M$17,0)</f>
        <v>0</v>
      </c>
      <c r="K204" s="65">
        <f t="shared" si="36"/>
        <v>0</v>
      </c>
      <c r="L204" s="473">
        <f t="shared" si="42"/>
        <v>0</v>
      </c>
      <c r="M204" s="204">
        <f t="shared" si="43"/>
        <v>0</v>
      </c>
      <c r="N204" s="505">
        <f t="shared" si="44"/>
        <v>0</v>
      </c>
      <c r="O204" s="204">
        <f>IF(DG!$A$132&gt;12,0,IF(J204-J203&gt;0,MROUND((L204/12*Q203),1),MROUND(L204/12*P203,1)))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IF(OR(L$73=0,DG!$A$253&gt;16),0,F204+1)</f>
        <v>0</v>
      </c>
      <c r="G205" s="65">
        <f t="shared" si="38"/>
        <v>0</v>
      </c>
      <c r="H205" s="65">
        <f t="shared" si="35"/>
        <v>0</v>
      </c>
      <c r="I205" s="65">
        <f t="shared" si="47"/>
        <v>0</v>
      </c>
      <c r="J205" s="203">
        <f>IF(DG!$A$132&lt;=11,$M$17,0)</f>
        <v>0</v>
      </c>
      <c r="K205" s="65">
        <f t="shared" si="36"/>
        <v>0</v>
      </c>
      <c r="L205" s="473">
        <f t="shared" si="42"/>
        <v>0</v>
      </c>
      <c r="M205" s="204">
        <f t="shared" si="43"/>
        <v>0</v>
      </c>
      <c r="N205" s="505">
        <f t="shared" si="44"/>
        <v>0</v>
      </c>
      <c r="O205" s="204">
        <f>IF(DG!$A$132&gt;12,0,IF(J205-J204&gt;0,MROUND((L205/12*Q204),1),MROUND(L205/12*P204,1)))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IF(OR(L$73=0,DG!$A$253&gt;16),0,F205+1)</f>
        <v>0</v>
      </c>
      <c r="G206" s="65">
        <f t="shared" si="38"/>
        <v>0</v>
      </c>
      <c r="H206" s="65">
        <f t="shared" si="35"/>
        <v>0</v>
      </c>
      <c r="I206" s="65">
        <f t="shared" si="47"/>
        <v>0</v>
      </c>
      <c r="J206" s="203">
        <f>IF(DG!$A$132&lt;=11,$M$17,0)</f>
        <v>0</v>
      </c>
      <c r="K206" s="65">
        <f t="shared" si="36"/>
        <v>0</v>
      </c>
      <c r="L206" s="473">
        <f t="shared" si="42"/>
        <v>0</v>
      </c>
      <c r="M206" s="204">
        <f t="shared" si="43"/>
        <v>0</v>
      </c>
      <c r="N206" s="505">
        <f t="shared" si="44"/>
        <v>0</v>
      </c>
      <c r="O206" s="204">
        <f>IF(DG!$A$132&gt;12,0,IF(J206-J205&gt;0,MROUND((L206/12*Q205),1),MROUND(L206/12*P205,1)))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IF(OR(L$73=0,DG!$A$253&gt;16),0,F206+1)</f>
        <v>0</v>
      </c>
      <c r="G207" s="65">
        <f t="shared" si="38"/>
        <v>0</v>
      </c>
      <c r="H207" s="65">
        <f t="shared" si="35"/>
        <v>0</v>
      </c>
      <c r="I207" s="65">
        <f t="shared" si="47"/>
        <v>0</v>
      </c>
      <c r="J207" s="203">
        <f>IF(DG!$A$132&lt;=11,$M$17,0)</f>
        <v>0</v>
      </c>
      <c r="K207" s="65">
        <f t="shared" si="36"/>
        <v>0</v>
      </c>
      <c r="L207" s="473">
        <f t="shared" si="42"/>
        <v>0</v>
      </c>
      <c r="M207" s="204">
        <f t="shared" si="43"/>
        <v>0</v>
      </c>
      <c r="N207" s="505">
        <f t="shared" si="44"/>
        <v>0</v>
      </c>
      <c r="O207" s="204">
        <f>IF(DG!$A$132&gt;12,0,IF(J207-J206&gt;0,MROUND((L207/12*Q206),1),MROUND(L207/12*P206,1)))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IF(OR(L$73=0,DG!$A$253&gt;16),0,F207+1)</f>
        <v>0</v>
      </c>
      <c r="G208" s="65">
        <f t="shared" si="38"/>
        <v>0</v>
      </c>
      <c r="H208" s="65">
        <f t="shared" si="35"/>
        <v>0</v>
      </c>
      <c r="I208" s="65">
        <f t="shared" si="47"/>
        <v>0</v>
      </c>
      <c r="J208" s="203">
        <f>IF(DG!$A$132&lt;=11,$M$17,0)</f>
        <v>0</v>
      </c>
      <c r="K208" s="65">
        <f t="shared" si="36"/>
        <v>0</v>
      </c>
      <c r="L208" s="473">
        <f t="shared" si="42"/>
        <v>0</v>
      </c>
      <c r="M208" s="204">
        <f t="shared" si="43"/>
        <v>0</v>
      </c>
      <c r="N208" s="505">
        <f t="shared" si="44"/>
        <v>0</v>
      </c>
      <c r="O208" s="204">
        <f>IF(DG!$A$132&gt;12,0,IF(J208-J207&gt;0,MROUND((L208/12*Q207),1),MROUND(L208/12*P207,1)))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IF(OR(L$73=0,DG!$A$253&gt;16),0,F208+1)</f>
        <v>0</v>
      </c>
      <c r="G209" s="65">
        <f t="shared" si="38"/>
        <v>0</v>
      </c>
      <c r="H209" s="65">
        <f t="shared" si="35"/>
        <v>0</v>
      </c>
      <c r="I209" s="65">
        <f t="shared" si="47"/>
        <v>0</v>
      </c>
      <c r="J209" s="203">
        <f>IF(DG!$A$132&lt;=11,$M$17,0)</f>
        <v>0</v>
      </c>
      <c r="K209" s="65">
        <f t="shared" si="36"/>
        <v>0</v>
      </c>
      <c r="L209" s="473">
        <f t="shared" si="42"/>
        <v>0</v>
      </c>
      <c r="M209" s="204">
        <f t="shared" si="43"/>
        <v>0</v>
      </c>
      <c r="N209" s="505">
        <f t="shared" si="44"/>
        <v>0</v>
      </c>
      <c r="O209" s="204">
        <f>IF(DG!$A$132&gt;12,0,IF(J209-J208&gt;0,MROUND((L209/12*Q208),1),MROUND(L209/12*P208,1)))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IF(OR(L$73=0,DG!$A$253&gt;16),0,F209+1)</f>
        <v>0</v>
      </c>
      <c r="G210" s="65">
        <f t="shared" si="38"/>
        <v>0</v>
      </c>
      <c r="H210" s="65">
        <f t="shared" si="35"/>
        <v>0</v>
      </c>
      <c r="I210" s="65">
        <f t="shared" si="47"/>
        <v>0</v>
      </c>
      <c r="J210" s="203">
        <f>IF(DG!$A$132&lt;=11,$M$17,0)</f>
        <v>0</v>
      </c>
      <c r="K210" s="65">
        <f t="shared" si="36"/>
        <v>0</v>
      </c>
      <c r="L210" s="473">
        <f t="shared" si="42"/>
        <v>0</v>
      </c>
      <c r="M210" s="204">
        <f t="shared" si="43"/>
        <v>0</v>
      </c>
      <c r="N210" s="505">
        <f t="shared" si="44"/>
        <v>0</v>
      </c>
      <c r="O210" s="204">
        <f>IF(DG!$A$132&gt;12,0,IF(J210-J209&gt;0,MROUND((L210/12*Q209),1),MROUND(L210/12*P209,1)))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IF(OR(L$73=0,DG!$A$253&gt;16),0,F210+1)</f>
        <v>0</v>
      </c>
      <c r="G211" s="65">
        <f t="shared" si="38"/>
        <v>0</v>
      </c>
      <c r="H211" s="65">
        <f t="shared" si="35"/>
        <v>0</v>
      </c>
      <c r="I211" s="65">
        <f t="shared" si="47"/>
        <v>0</v>
      </c>
      <c r="J211" s="203">
        <f>IF(DG!$A$132&lt;=11,$M$17,0)</f>
        <v>0</v>
      </c>
      <c r="K211" s="65">
        <f t="shared" si="36"/>
        <v>0</v>
      </c>
      <c r="L211" s="473">
        <f t="shared" si="42"/>
        <v>0</v>
      </c>
      <c r="M211" s="204">
        <f t="shared" si="43"/>
        <v>0</v>
      </c>
      <c r="N211" s="505">
        <f t="shared" si="44"/>
        <v>0</v>
      </c>
      <c r="O211" s="204">
        <f>IF(DG!$A$132&gt;12,0,IF(J211-J210&gt;0,MROUND((L211/12*Q210),1),MROUND(L211/12*P210,1)))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IF(OR(L$73=0,DG!$A$253&gt;16),0,F211+1)</f>
        <v>0</v>
      </c>
      <c r="G212" s="65">
        <f t="shared" si="38"/>
        <v>0</v>
      </c>
      <c r="H212" s="65">
        <f t="shared" si="35"/>
        <v>0</v>
      </c>
      <c r="I212" s="65">
        <f t="shared" si="47"/>
        <v>0</v>
      </c>
      <c r="J212" s="203">
        <f>IF(DG!$A$132&lt;=11,$M$17,0)</f>
        <v>0</v>
      </c>
      <c r="K212" s="65">
        <f t="shared" si="36"/>
        <v>0</v>
      </c>
      <c r="L212" s="473">
        <f t="shared" si="42"/>
        <v>0</v>
      </c>
      <c r="M212" s="204">
        <f t="shared" si="43"/>
        <v>0</v>
      </c>
      <c r="N212" s="505">
        <f t="shared" si="44"/>
        <v>0</v>
      </c>
      <c r="O212" s="204">
        <f>IF(DG!$A$132&gt;12,0,IF(J212-J211&gt;0,MROUND((L212/12*Q211),1),MROUND(L212/12*P211,1)))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IF(OR(L$73=0,DG!$A$253&gt;16),0,F212+1)</f>
        <v>0</v>
      </c>
      <c r="G213" s="65">
        <f t="shared" si="38"/>
        <v>0</v>
      </c>
      <c r="H213" s="65">
        <f t="shared" si="35"/>
        <v>0</v>
      </c>
      <c r="I213" s="65">
        <f t="shared" si="47"/>
        <v>0</v>
      </c>
      <c r="J213" s="203">
        <f>IF(DG!$A$132&lt;=11,$M$17,0)</f>
        <v>0</v>
      </c>
      <c r="K213" s="65">
        <f t="shared" si="36"/>
        <v>0</v>
      </c>
      <c r="L213" s="473">
        <f t="shared" si="42"/>
        <v>0</v>
      </c>
      <c r="M213" s="204">
        <f t="shared" si="43"/>
        <v>0</v>
      </c>
      <c r="N213" s="505">
        <f t="shared" si="44"/>
        <v>0</v>
      </c>
      <c r="O213" s="204">
        <f>IF(DG!$A$132&gt;12,0,IF(J213-J212&gt;0,MROUND((L213/12*Q212),1),MROUND(L213/12*P212,1)))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IF(OR(L$73=0,DG!$A$253&gt;16),0,F213+1)</f>
        <v>0</v>
      </c>
      <c r="G214" s="65">
        <f t="shared" si="38"/>
        <v>0</v>
      </c>
      <c r="H214" s="65">
        <f t="shared" si="35"/>
        <v>0</v>
      </c>
      <c r="I214" s="65">
        <f t="shared" si="47"/>
        <v>0</v>
      </c>
      <c r="J214" s="203">
        <f>IF(DG!$A$132&lt;=11,$M$17,0)</f>
        <v>0</v>
      </c>
      <c r="K214" s="65">
        <f t="shared" si="36"/>
        <v>0</v>
      </c>
      <c r="L214" s="473">
        <f t="shared" si="42"/>
        <v>0</v>
      </c>
      <c r="M214" s="204">
        <f t="shared" si="43"/>
        <v>0</v>
      </c>
      <c r="N214" s="505">
        <f t="shared" si="44"/>
        <v>0</v>
      </c>
      <c r="O214" s="204">
        <f>IF(DG!$A$132&gt;12,0,IF(J214-J213&gt;0,MROUND((L214/12*Q213),1),MROUND(L214/12*P213,1)))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IF(OR(L$73=0,DG!$A$253&gt;16),0,F214+1)</f>
        <v>0</v>
      </c>
      <c r="G215" s="65">
        <f t="shared" si="38"/>
        <v>0</v>
      </c>
      <c r="H215" s="65">
        <f t="shared" si="35"/>
        <v>0</v>
      </c>
      <c r="I215" s="65">
        <f t="shared" si="47"/>
        <v>0</v>
      </c>
      <c r="J215" s="203">
        <f>IF(DG!$A$132&lt;=11,$M$17,0)</f>
        <v>0</v>
      </c>
      <c r="K215" s="65">
        <f t="shared" si="36"/>
        <v>0</v>
      </c>
      <c r="L215" s="473">
        <f t="shared" si="42"/>
        <v>0</v>
      </c>
      <c r="M215" s="204">
        <f t="shared" si="43"/>
        <v>0</v>
      </c>
      <c r="N215" s="505">
        <f t="shared" si="44"/>
        <v>0</v>
      </c>
      <c r="O215" s="204">
        <f>IF(DG!$A$132&gt;12,0,IF(J215-J214&gt;0,MROUND((L215/12*Q214),1),MROUND(L215/12*P214,1)))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IF(OR(L$73=0,DG!$A$253&gt;16),0,F215+1)</f>
        <v>0</v>
      </c>
      <c r="G216" s="65">
        <f t="shared" si="38"/>
        <v>0</v>
      </c>
      <c r="H216" s="65">
        <f t="shared" ref="H216:H265" si="50">IF(I216&gt;=0,0,H215+1)</f>
        <v>0</v>
      </c>
      <c r="I216" s="65">
        <f t="shared" si="47"/>
        <v>0</v>
      </c>
      <c r="J216" s="203">
        <f>IF(DG!$A$132&lt;=11,$M$17,0)</f>
        <v>0</v>
      </c>
      <c r="K216" s="65">
        <f t="shared" ref="K216:K265" si="51">K215</f>
        <v>0</v>
      </c>
      <c r="L216" s="473">
        <f t="shared" si="42"/>
        <v>0</v>
      </c>
      <c r="M216" s="204">
        <f t="shared" si="43"/>
        <v>0</v>
      </c>
      <c r="N216" s="505">
        <f t="shared" si="44"/>
        <v>0</v>
      </c>
      <c r="O216" s="204">
        <f>IF(DG!$A$132&gt;12,0,IF(J216-J215&gt;0,MROUND((L216/12*Q215),1),MROUND(L216/12*P215,1)))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IF(OR(L$73=0,DG!$A$253&gt;16),0,F216+1)</f>
        <v>0</v>
      </c>
      <c r="G217" s="65">
        <f t="shared" si="38"/>
        <v>0</v>
      </c>
      <c r="H217" s="65">
        <f t="shared" si="50"/>
        <v>0</v>
      </c>
      <c r="I217" s="65">
        <f t="shared" si="47"/>
        <v>0</v>
      </c>
      <c r="J217" s="203">
        <f>IF(DG!$A$132&lt;=11,$M$17,0)</f>
        <v>0</v>
      </c>
      <c r="K217" s="65">
        <f t="shared" si="51"/>
        <v>0</v>
      </c>
      <c r="L217" s="473">
        <f t="shared" si="42"/>
        <v>0</v>
      </c>
      <c r="M217" s="204">
        <f t="shared" si="43"/>
        <v>0</v>
      </c>
      <c r="N217" s="505">
        <f t="shared" si="44"/>
        <v>0</v>
      </c>
      <c r="O217" s="204">
        <f>IF(DG!$A$132&gt;12,0,IF(J217-J216&gt;0,MROUND((L217/12*Q216),1),MROUND(L217/12*P216,1)))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IF(OR(L$73=0,DG!$A$253&gt;16),0,F217+1)</f>
        <v>0</v>
      </c>
      <c r="G218" s="65">
        <f t="shared" ref="G218:G265" si="53">IF(E218=0,0,IF(D218-E218-F218&gt;=0,1,0))</f>
        <v>0</v>
      </c>
      <c r="H218" s="65">
        <f t="shared" si="50"/>
        <v>0</v>
      </c>
      <c r="I218" s="65">
        <f t="shared" si="47"/>
        <v>0</v>
      </c>
      <c r="J218" s="203">
        <f>IF(DG!$A$132&lt;=11,$M$17,0)</f>
        <v>0</v>
      </c>
      <c r="K218" s="65">
        <f t="shared" si="51"/>
        <v>0</v>
      </c>
      <c r="L218" s="473">
        <f t="shared" si="42"/>
        <v>0</v>
      </c>
      <c r="M218" s="204">
        <f t="shared" si="43"/>
        <v>0</v>
      </c>
      <c r="N218" s="505">
        <f t="shared" si="44"/>
        <v>0</v>
      </c>
      <c r="O218" s="204">
        <f>IF(DG!$A$132&gt;12,0,IF(J218-J217&gt;0,MROUND((L218/12*Q217),1),MROUND(L218/12*P217,1)))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IF(OR(L$73=0,DG!$A$253&gt;16),0,F218+1)</f>
        <v>0</v>
      </c>
      <c r="G219" s="65">
        <f t="shared" si="53"/>
        <v>0</v>
      </c>
      <c r="H219" s="65">
        <f t="shared" si="50"/>
        <v>0</v>
      </c>
      <c r="I219" s="65">
        <f t="shared" si="47"/>
        <v>0</v>
      </c>
      <c r="J219" s="203">
        <f>IF(DG!$A$132&lt;=11,$M$17,0)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IF(DG!$A$132&gt;12,0,IF(J219-J218&gt;0,MROUND((L219/12*Q218),1),MROUND(L219/12*P218,1)))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IF(OR(L$73=0,DG!$A$253&gt;16),0,F219+1)</f>
        <v>0</v>
      </c>
      <c r="G220" s="65">
        <f t="shared" si="53"/>
        <v>0</v>
      </c>
      <c r="H220" s="65">
        <f t="shared" si="50"/>
        <v>0</v>
      </c>
      <c r="I220" s="65">
        <f t="shared" si="47"/>
        <v>0</v>
      </c>
      <c r="J220" s="203">
        <f>IF(DG!$A$132&lt;=11,$M$17,0)</f>
        <v>0</v>
      </c>
      <c r="K220" s="65">
        <f t="shared" si="51"/>
        <v>0</v>
      </c>
      <c r="L220" s="473">
        <f t="shared" si="57"/>
        <v>0</v>
      </c>
      <c r="M220" s="204">
        <f t="shared" si="58"/>
        <v>0</v>
      </c>
      <c r="N220" s="505">
        <f t="shared" si="59"/>
        <v>0</v>
      </c>
      <c r="O220" s="204">
        <f>IF(DG!$A$132&gt;12,0,IF(J220-J219&gt;0,MROUND((L220/12*Q219),1),MROUND(L220/12*P219,1)))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IF(OR(L$73=0,DG!$A$253&gt;16),0,F220+1)</f>
        <v>0</v>
      </c>
      <c r="G221" s="65">
        <f t="shared" si="53"/>
        <v>0</v>
      </c>
      <c r="H221" s="65">
        <f t="shared" si="50"/>
        <v>0</v>
      </c>
      <c r="I221" s="65">
        <f t="shared" si="47"/>
        <v>0</v>
      </c>
      <c r="J221" s="203">
        <f>IF(DG!$A$132&lt;=11,$M$17,0)</f>
        <v>0</v>
      </c>
      <c r="K221" s="65">
        <f t="shared" si="51"/>
        <v>0</v>
      </c>
      <c r="L221" s="473">
        <f t="shared" si="57"/>
        <v>0</v>
      </c>
      <c r="M221" s="204">
        <f t="shared" si="58"/>
        <v>0</v>
      </c>
      <c r="N221" s="505">
        <f t="shared" si="59"/>
        <v>0</v>
      </c>
      <c r="O221" s="204">
        <f>IF(DG!$A$132&gt;12,0,IF(J221-J220&gt;0,MROUND((L221/12*Q220),1),MROUND(L221/12*P220,1)))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IF(OR(L$73=0,DG!$A$253&gt;16),0,F221+1)</f>
        <v>0</v>
      </c>
      <c r="G222" s="65">
        <f t="shared" si="53"/>
        <v>0</v>
      </c>
      <c r="H222" s="65">
        <f t="shared" si="50"/>
        <v>0</v>
      </c>
      <c r="I222" s="65">
        <f t="shared" si="47"/>
        <v>0</v>
      </c>
      <c r="J222" s="203">
        <f>IF(DG!$A$132&lt;=11,$M$17,0)</f>
        <v>0</v>
      </c>
      <c r="K222" s="65">
        <f t="shared" si="51"/>
        <v>0</v>
      </c>
      <c r="L222" s="473">
        <f t="shared" si="57"/>
        <v>0</v>
      </c>
      <c r="M222" s="204">
        <f t="shared" si="58"/>
        <v>0</v>
      </c>
      <c r="N222" s="505">
        <f t="shared" si="59"/>
        <v>0</v>
      </c>
      <c r="O222" s="204">
        <f>IF(DG!$A$132&gt;12,0,IF(J222-J221&gt;0,MROUND((L222/12*Q221),1),MROUND(L222/12*P221,1)))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IF(OR(L$73=0,DG!$A$253&gt;16),0,F222+1)</f>
        <v>0</v>
      </c>
      <c r="G223" s="65">
        <f t="shared" si="53"/>
        <v>0</v>
      </c>
      <c r="H223" s="65">
        <f t="shared" si="50"/>
        <v>0</v>
      </c>
      <c r="I223" s="65">
        <f t="shared" si="47"/>
        <v>0</v>
      </c>
      <c r="J223" s="203">
        <f>IF(DG!$A$132&lt;=11,$M$17,0)</f>
        <v>0</v>
      </c>
      <c r="K223" s="65">
        <f t="shared" si="51"/>
        <v>0</v>
      </c>
      <c r="L223" s="473">
        <f t="shared" si="57"/>
        <v>0</v>
      </c>
      <c r="M223" s="204">
        <f t="shared" si="58"/>
        <v>0</v>
      </c>
      <c r="N223" s="505">
        <f t="shared" si="59"/>
        <v>0</v>
      </c>
      <c r="O223" s="204">
        <f>IF(DG!$A$132&gt;12,0,IF(J223-J222&gt;0,MROUND((L223/12*Q222),1),MROUND(L223/12*P222,1)))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IF(OR(L$73=0,DG!$A$253&gt;16),0,F223+1)</f>
        <v>0</v>
      </c>
      <c r="G224" s="65">
        <f t="shared" si="53"/>
        <v>0</v>
      </c>
      <c r="H224" s="65">
        <f t="shared" si="50"/>
        <v>0</v>
      </c>
      <c r="I224" s="65">
        <f t="shared" si="47"/>
        <v>0</v>
      </c>
      <c r="J224" s="203">
        <f>IF(DG!$A$132&lt;=11,$M$17,0)</f>
        <v>0</v>
      </c>
      <c r="K224" s="65">
        <f t="shared" si="51"/>
        <v>0</v>
      </c>
      <c r="L224" s="473">
        <f t="shared" si="57"/>
        <v>0</v>
      </c>
      <c r="M224" s="204">
        <f t="shared" si="58"/>
        <v>0</v>
      </c>
      <c r="N224" s="505">
        <f t="shared" si="59"/>
        <v>0</v>
      </c>
      <c r="O224" s="204">
        <f>IF(DG!$A$132&gt;12,0,IF(J224-J223&gt;0,MROUND((L224/12*Q223),1),MROUND(L224/12*P223,1)))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IF(OR(L$73=0,DG!$A$253&gt;16),0,F224+1)</f>
        <v>0</v>
      </c>
      <c r="G225" s="65">
        <f t="shared" si="53"/>
        <v>0</v>
      </c>
      <c r="H225" s="65">
        <f t="shared" si="50"/>
        <v>0</v>
      </c>
      <c r="I225" s="65">
        <f t="shared" si="47"/>
        <v>0</v>
      </c>
      <c r="J225" s="203">
        <f>IF(DG!$A$132&lt;=11,$M$17,0)</f>
        <v>0</v>
      </c>
      <c r="K225" s="65">
        <f t="shared" si="51"/>
        <v>0</v>
      </c>
      <c r="L225" s="473">
        <f t="shared" si="57"/>
        <v>0</v>
      </c>
      <c r="M225" s="204">
        <f t="shared" si="58"/>
        <v>0</v>
      </c>
      <c r="N225" s="505">
        <f t="shared" si="59"/>
        <v>0</v>
      </c>
      <c r="O225" s="204">
        <f>IF(DG!$A$132&gt;12,0,IF(J225-J224&gt;0,MROUND((L225/12*Q224),1),MROUND(L225/12*P224,1)))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IF(OR(L$73=0,DG!$A$253&gt;16),0,F225+1)</f>
        <v>0</v>
      </c>
      <c r="G226" s="65">
        <f t="shared" si="53"/>
        <v>0</v>
      </c>
      <c r="H226" s="65">
        <f t="shared" si="50"/>
        <v>0</v>
      </c>
      <c r="I226" s="65">
        <f t="shared" si="47"/>
        <v>0</v>
      </c>
      <c r="J226" s="203">
        <f>IF(DG!$A$132&lt;=11,$M$17,0)</f>
        <v>0</v>
      </c>
      <c r="K226" s="65">
        <f t="shared" si="51"/>
        <v>0</v>
      </c>
      <c r="L226" s="473">
        <f t="shared" si="57"/>
        <v>0</v>
      </c>
      <c r="M226" s="204">
        <f t="shared" si="58"/>
        <v>0</v>
      </c>
      <c r="N226" s="505">
        <f t="shared" si="59"/>
        <v>0</v>
      </c>
      <c r="O226" s="204">
        <f>IF(DG!$A$132&gt;12,0,IF(J226-J225&gt;0,MROUND((L226/12*Q225),1),MROUND(L226/12*P225,1)))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IF(OR(L$73=0,DG!$A$253&gt;16),0,F226+1)</f>
        <v>0</v>
      </c>
      <c r="G227" s="65">
        <f t="shared" si="53"/>
        <v>0</v>
      </c>
      <c r="H227" s="65">
        <f t="shared" si="50"/>
        <v>0</v>
      </c>
      <c r="I227" s="65">
        <f t="shared" si="47"/>
        <v>0</v>
      </c>
      <c r="J227" s="203">
        <f>IF(DG!$A$132&lt;=11,$M$17,0)</f>
        <v>0</v>
      </c>
      <c r="K227" s="65">
        <f t="shared" si="51"/>
        <v>0</v>
      </c>
      <c r="L227" s="473">
        <f t="shared" si="57"/>
        <v>0</v>
      </c>
      <c r="M227" s="204">
        <f t="shared" si="58"/>
        <v>0</v>
      </c>
      <c r="N227" s="505">
        <f t="shared" si="59"/>
        <v>0</v>
      </c>
      <c r="O227" s="204">
        <f>IF(DG!$A$132&gt;12,0,IF(J227-J226&gt;0,MROUND((L227/12*Q226),1),MROUND(L227/12*P226,1)))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IF(OR(L$73=0,DG!$A$253&gt;16),0,F227+1)</f>
        <v>0</v>
      </c>
      <c r="G228" s="65">
        <f t="shared" si="53"/>
        <v>0</v>
      </c>
      <c r="H228" s="65">
        <f t="shared" si="50"/>
        <v>0</v>
      </c>
      <c r="I228" s="65">
        <f t="shared" si="47"/>
        <v>0</v>
      </c>
      <c r="J228" s="203">
        <f>IF(DG!$A$132&lt;=11,$M$17,0)</f>
        <v>0</v>
      </c>
      <c r="K228" s="65">
        <f t="shared" si="51"/>
        <v>0</v>
      </c>
      <c r="L228" s="473">
        <f t="shared" si="57"/>
        <v>0</v>
      </c>
      <c r="M228" s="204">
        <f t="shared" si="58"/>
        <v>0</v>
      </c>
      <c r="N228" s="505">
        <f t="shared" si="59"/>
        <v>0</v>
      </c>
      <c r="O228" s="204">
        <f>IF(DG!$A$132&gt;12,0,IF(J228-J227&gt;0,MROUND((L228/12*Q227),1),MROUND(L228/12*P227,1)))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IF(OR(L$73=0,DG!$A$253&gt;16),0,F228+1)</f>
        <v>0</v>
      </c>
      <c r="G229" s="65">
        <f t="shared" si="53"/>
        <v>0</v>
      </c>
      <c r="H229" s="65">
        <f t="shared" si="50"/>
        <v>0</v>
      </c>
      <c r="I229" s="65">
        <f t="shared" si="47"/>
        <v>0</v>
      </c>
      <c r="J229" s="203">
        <f>IF(DG!$A$132&lt;=11,$M$17,0)</f>
        <v>0</v>
      </c>
      <c r="K229" s="65">
        <f t="shared" si="51"/>
        <v>0</v>
      </c>
      <c r="L229" s="473">
        <f t="shared" si="57"/>
        <v>0</v>
      </c>
      <c r="M229" s="204">
        <f t="shared" si="58"/>
        <v>0</v>
      </c>
      <c r="N229" s="505">
        <f t="shared" si="59"/>
        <v>0</v>
      </c>
      <c r="O229" s="204">
        <f>IF(DG!$A$132&gt;12,0,IF(J229-J228&gt;0,MROUND((L229/12*Q228),1),MROUND(L229/12*P228,1)))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IF(OR(L$73=0,DG!$A$253&gt;16),0,F229+1)</f>
        <v>0</v>
      </c>
      <c r="G230" s="65">
        <f t="shared" si="53"/>
        <v>0</v>
      </c>
      <c r="H230" s="65">
        <f t="shared" si="50"/>
        <v>0</v>
      </c>
      <c r="I230" s="65">
        <f t="shared" si="47"/>
        <v>0</v>
      </c>
      <c r="J230" s="203">
        <f>IF(DG!$A$132&lt;=11,$M$17,0)</f>
        <v>0</v>
      </c>
      <c r="K230" s="65">
        <f t="shared" si="51"/>
        <v>0</v>
      </c>
      <c r="L230" s="473">
        <f t="shared" si="57"/>
        <v>0</v>
      </c>
      <c r="M230" s="204">
        <f t="shared" si="58"/>
        <v>0</v>
      </c>
      <c r="N230" s="505">
        <f t="shared" si="59"/>
        <v>0</v>
      </c>
      <c r="O230" s="204">
        <f>IF(DG!$A$132&gt;12,0,IF(J230-J229&gt;0,MROUND((L230/12*Q229),1),MROUND(L230/12*P229,1)))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IF(OR(L$73=0,DG!$A$253&gt;16),0,F230+1)</f>
        <v>0</v>
      </c>
      <c r="G231" s="65">
        <f t="shared" si="53"/>
        <v>0</v>
      </c>
      <c r="H231" s="65">
        <f t="shared" si="50"/>
        <v>0</v>
      </c>
      <c r="I231" s="65">
        <f t="shared" si="47"/>
        <v>0</v>
      </c>
      <c r="J231" s="203">
        <f>IF(DG!$A$132&lt;=11,$M$17,0)</f>
        <v>0</v>
      </c>
      <c r="K231" s="65">
        <f t="shared" si="51"/>
        <v>0</v>
      </c>
      <c r="L231" s="473">
        <f t="shared" si="57"/>
        <v>0</v>
      </c>
      <c r="M231" s="204">
        <f t="shared" si="58"/>
        <v>0</v>
      </c>
      <c r="N231" s="505">
        <f t="shared" si="59"/>
        <v>0</v>
      </c>
      <c r="O231" s="204">
        <f>IF(DG!$A$132&gt;12,0,IF(J231-J230&gt;0,MROUND((L231/12*Q230),1),MROUND(L231/12*P230,1)))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IF(OR(L$73=0,DG!$A$253&gt;16),0,F231+1)</f>
        <v>0</v>
      </c>
      <c r="G232" s="65">
        <f t="shared" si="53"/>
        <v>0</v>
      </c>
      <c r="H232" s="65">
        <f t="shared" si="50"/>
        <v>0</v>
      </c>
      <c r="I232" s="65">
        <f t="shared" si="47"/>
        <v>0</v>
      </c>
      <c r="J232" s="203">
        <f>IF(DG!$A$132&lt;=11,$M$17,0)</f>
        <v>0</v>
      </c>
      <c r="K232" s="65">
        <f t="shared" si="51"/>
        <v>0</v>
      </c>
      <c r="L232" s="473">
        <f t="shared" si="57"/>
        <v>0</v>
      </c>
      <c r="M232" s="204">
        <f t="shared" si="58"/>
        <v>0</v>
      </c>
      <c r="N232" s="505">
        <f t="shared" si="59"/>
        <v>0</v>
      </c>
      <c r="O232" s="204">
        <f>IF(DG!$A$132&gt;12,0,IF(J232-J231&gt;0,MROUND((L232/12*Q231),1),MROUND(L232/12*P231,1)))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IF(OR(L$73=0,DG!$A$253&gt;16),0,F232+1)</f>
        <v>0</v>
      </c>
      <c r="G233" s="65">
        <f t="shared" si="53"/>
        <v>0</v>
      </c>
      <c r="H233" s="65">
        <f t="shared" si="50"/>
        <v>0</v>
      </c>
      <c r="I233" s="65">
        <f t="shared" si="47"/>
        <v>0</v>
      </c>
      <c r="J233" s="203">
        <f>IF(DG!$A$132&lt;=11,$M$17,0)</f>
        <v>0</v>
      </c>
      <c r="K233" s="65">
        <f t="shared" si="51"/>
        <v>0</v>
      </c>
      <c r="L233" s="473">
        <f t="shared" si="57"/>
        <v>0</v>
      </c>
      <c r="M233" s="204">
        <f t="shared" si="58"/>
        <v>0</v>
      </c>
      <c r="N233" s="505">
        <f t="shared" si="59"/>
        <v>0</v>
      </c>
      <c r="O233" s="204">
        <f>IF(DG!$A$132&gt;12,0,IF(J233-J232&gt;0,MROUND((L233/12*Q232),1),MROUND(L233/12*P232,1)))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IF(OR(L$73=0,DG!$A$253&gt;16),0,F233+1)</f>
        <v>0</v>
      </c>
      <c r="G234" s="65">
        <f t="shared" si="53"/>
        <v>0</v>
      </c>
      <c r="H234" s="65">
        <f t="shared" si="50"/>
        <v>0</v>
      </c>
      <c r="I234" s="65">
        <f t="shared" si="47"/>
        <v>0</v>
      </c>
      <c r="J234" s="203">
        <f>IF(DG!$A$132&lt;=11,$M$17,0)</f>
        <v>0</v>
      </c>
      <c r="K234" s="65">
        <f t="shared" si="51"/>
        <v>0</v>
      </c>
      <c r="L234" s="473">
        <f t="shared" si="57"/>
        <v>0</v>
      </c>
      <c r="M234" s="204">
        <f t="shared" si="58"/>
        <v>0</v>
      </c>
      <c r="N234" s="505">
        <f t="shared" si="59"/>
        <v>0</v>
      </c>
      <c r="O234" s="204">
        <f>IF(DG!$A$132&gt;12,0,IF(J234-J233&gt;0,MROUND((L234/12*Q233),1),MROUND(L234/12*P233,1)))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IF(OR(L$73=0,DG!$A$253&gt;16),0,F234+1)</f>
        <v>0</v>
      </c>
      <c r="G235" s="65">
        <f t="shared" si="53"/>
        <v>0</v>
      </c>
      <c r="H235" s="65">
        <f t="shared" si="50"/>
        <v>0</v>
      </c>
      <c r="I235" s="65">
        <f t="shared" si="47"/>
        <v>0</v>
      </c>
      <c r="J235" s="203">
        <f>IF(DG!$A$132&lt;=11,$M$17,0)</f>
        <v>0</v>
      </c>
      <c r="K235" s="65">
        <f t="shared" si="51"/>
        <v>0</v>
      </c>
      <c r="L235" s="473">
        <f t="shared" si="57"/>
        <v>0</v>
      </c>
      <c r="M235" s="204">
        <f t="shared" si="58"/>
        <v>0</v>
      </c>
      <c r="N235" s="505">
        <f t="shared" si="59"/>
        <v>0</v>
      </c>
      <c r="O235" s="204">
        <f>IF(DG!$A$132&gt;12,0,IF(J235-J234&gt;0,MROUND((L235/12*Q234),1),MROUND(L235/12*P234,1)))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IF(OR(L$73=0,DG!$A$253&gt;16),0,F235+1)</f>
        <v>0</v>
      </c>
      <c r="G236" s="65">
        <f t="shared" si="53"/>
        <v>0</v>
      </c>
      <c r="H236" s="65">
        <f t="shared" si="50"/>
        <v>0</v>
      </c>
      <c r="I236" s="65">
        <f t="shared" si="47"/>
        <v>0</v>
      </c>
      <c r="J236" s="203">
        <f>IF(DG!$A$132&lt;=11,$M$17,0)</f>
        <v>0</v>
      </c>
      <c r="K236" s="65">
        <f t="shared" si="51"/>
        <v>0</v>
      </c>
      <c r="L236" s="473">
        <f t="shared" si="57"/>
        <v>0</v>
      </c>
      <c r="M236" s="204">
        <f t="shared" si="58"/>
        <v>0</v>
      </c>
      <c r="N236" s="505">
        <f t="shared" si="59"/>
        <v>0</v>
      </c>
      <c r="O236" s="204">
        <f>IF(DG!$A$132&gt;12,0,IF(J236-J235&gt;0,MROUND((L236/12*Q235),1),MROUND(L236/12*P235,1)))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IF(OR(L$73=0,DG!$A$253&gt;16),0,F236+1)</f>
        <v>0</v>
      </c>
      <c r="G237" s="65">
        <f t="shared" si="53"/>
        <v>0</v>
      </c>
      <c r="H237" s="65">
        <f t="shared" si="50"/>
        <v>0</v>
      </c>
      <c r="I237" s="65">
        <f t="shared" si="47"/>
        <v>0</v>
      </c>
      <c r="J237" s="203">
        <f>IF(DG!$A$132&lt;=11,$M$17,0)</f>
        <v>0</v>
      </c>
      <c r="K237" s="65">
        <f t="shared" si="51"/>
        <v>0</v>
      </c>
      <c r="L237" s="473">
        <f t="shared" si="57"/>
        <v>0</v>
      </c>
      <c r="M237" s="204">
        <f t="shared" si="58"/>
        <v>0</v>
      </c>
      <c r="N237" s="505">
        <f t="shared" si="59"/>
        <v>0</v>
      </c>
      <c r="O237" s="204">
        <f>IF(DG!$A$132&gt;12,0,IF(J237-J236&gt;0,MROUND((L237/12*Q236),1),MROUND(L237/12*P236,1)))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IF(OR(L$73=0,DG!$A$253&gt;16),0,F237+1)</f>
        <v>0</v>
      </c>
      <c r="G238" s="65">
        <f t="shared" si="53"/>
        <v>0</v>
      </c>
      <c r="H238" s="65">
        <f t="shared" si="50"/>
        <v>0</v>
      </c>
      <c r="I238" s="65">
        <f t="shared" si="47"/>
        <v>0</v>
      </c>
      <c r="J238" s="203">
        <f>IF(DG!$A$132&lt;=11,$M$17,0)</f>
        <v>0</v>
      </c>
      <c r="K238" s="65">
        <f t="shared" si="51"/>
        <v>0</v>
      </c>
      <c r="L238" s="473">
        <f t="shared" si="57"/>
        <v>0</v>
      </c>
      <c r="M238" s="204">
        <f t="shared" si="58"/>
        <v>0</v>
      </c>
      <c r="N238" s="505">
        <f t="shared" si="59"/>
        <v>0</v>
      </c>
      <c r="O238" s="204">
        <f>IF(DG!$A$132&gt;12,0,IF(J238-J237&gt;0,MROUND((L238/12*Q237),1),MROUND(L238/12*P237,1)))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IF(OR(L$73=0,DG!$A$253&gt;16),0,F238+1)</f>
        <v>0</v>
      </c>
      <c r="G239" s="65">
        <f t="shared" si="53"/>
        <v>0</v>
      </c>
      <c r="H239" s="65">
        <f t="shared" si="50"/>
        <v>0</v>
      </c>
      <c r="I239" s="65">
        <f t="shared" si="47"/>
        <v>0</v>
      </c>
      <c r="J239" s="203">
        <f>IF(DG!$A$132&lt;=11,$M$17,0)</f>
        <v>0</v>
      </c>
      <c r="K239" s="65">
        <f t="shared" si="51"/>
        <v>0</v>
      </c>
      <c r="L239" s="473">
        <f t="shared" si="57"/>
        <v>0</v>
      </c>
      <c r="M239" s="204">
        <f t="shared" si="58"/>
        <v>0</v>
      </c>
      <c r="N239" s="505">
        <f t="shared" si="59"/>
        <v>0</v>
      </c>
      <c r="O239" s="204">
        <f>IF(DG!$A$132&gt;12,0,IF(J239-J238&gt;0,MROUND((L239/12*Q238),1),MROUND(L239/12*P238,1)))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IF(OR(L$73=0,DG!$A$253&gt;16),0,F239+1)</f>
        <v>0</v>
      </c>
      <c r="G240" s="65">
        <f t="shared" si="53"/>
        <v>0</v>
      </c>
      <c r="H240" s="65">
        <f t="shared" si="50"/>
        <v>0</v>
      </c>
      <c r="I240" s="65">
        <f t="shared" si="47"/>
        <v>0</v>
      </c>
      <c r="J240" s="203">
        <f>IF(DG!$A$132&lt;=11,$M$17,0)</f>
        <v>0</v>
      </c>
      <c r="K240" s="65">
        <f t="shared" si="51"/>
        <v>0</v>
      </c>
      <c r="L240" s="473">
        <f t="shared" si="57"/>
        <v>0</v>
      </c>
      <c r="M240" s="204">
        <f t="shared" si="58"/>
        <v>0</v>
      </c>
      <c r="N240" s="505">
        <f t="shared" si="59"/>
        <v>0</v>
      </c>
      <c r="O240" s="204">
        <f>IF(DG!$A$132&gt;12,0,IF(J240-J239&gt;0,MROUND((L240/12*Q239),1),MROUND(L240/12*P239,1)))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IF(OR(L$73=0,DG!$A$253&gt;16),0,F240+1)</f>
        <v>0</v>
      </c>
      <c r="G241" s="65">
        <f t="shared" si="53"/>
        <v>0</v>
      </c>
      <c r="H241" s="65">
        <f t="shared" si="50"/>
        <v>0</v>
      </c>
      <c r="I241" s="65">
        <f t="shared" si="47"/>
        <v>0</v>
      </c>
      <c r="J241" s="203">
        <f>IF(DG!$A$132&lt;=11,$M$17,0)</f>
        <v>0</v>
      </c>
      <c r="K241" s="65">
        <f t="shared" si="51"/>
        <v>0</v>
      </c>
      <c r="L241" s="473">
        <f t="shared" si="57"/>
        <v>0</v>
      </c>
      <c r="M241" s="204">
        <f t="shared" si="58"/>
        <v>0</v>
      </c>
      <c r="N241" s="505">
        <f t="shared" si="59"/>
        <v>0</v>
      </c>
      <c r="O241" s="204">
        <f>IF(DG!$A$132&gt;12,0,IF(J241-J240&gt;0,MROUND((L241/12*Q240),1),MROUND(L241/12*P240,1)))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IF(OR(L$73=0,DG!$A$253&gt;16),0,F241+1)</f>
        <v>0</v>
      </c>
      <c r="G242" s="65">
        <f t="shared" si="53"/>
        <v>0</v>
      </c>
      <c r="H242" s="65">
        <f t="shared" si="50"/>
        <v>0</v>
      </c>
      <c r="I242" s="65">
        <f t="shared" si="47"/>
        <v>0</v>
      </c>
      <c r="J242" s="203">
        <f>IF(DG!$A$132&lt;=11,$M$17,0)</f>
        <v>0</v>
      </c>
      <c r="K242" s="65">
        <f t="shared" si="51"/>
        <v>0</v>
      </c>
      <c r="L242" s="473">
        <f t="shared" si="57"/>
        <v>0</v>
      </c>
      <c r="M242" s="204">
        <f t="shared" si="58"/>
        <v>0</v>
      </c>
      <c r="N242" s="505">
        <f t="shared" si="59"/>
        <v>0</v>
      </c>
      <c r="O242" s="204">
        <f>IF(DG!$A$132&gt;12,0,IF(J242-J241&gt;0,MROUND((L242/12*Q241),1),MROUND(L242/12*P241,1)))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IF(OR(L$73=0,DG!$A$253&gt;16),0,F242+1)</f>
        <v>0</v>
      </c>
      <c r="G243" s="65">
        <f t="shared" si="53"/>
        <v>0</v>
      </c>
      <c r="H243" s="65">
        <f t="shared" si="50"/>
        <v>0</v>
      </c>
      <c r="I243" s="65">
        <f t="shared" si="47"/>
        <v>0</v>
      </c>
      <c r="J243" s="203">
        <f>IF(DG!$A$132&lt;=11,$M$17,0)</f>
        <v>0</v>
      </c>
      <c r="K243" s="65">
        <f t="shared" si="51"/>
        <v>0</v>
      </c>
      <c r="L243" s="473">
        <f t="shared" si="57"/>
        <v>0</v>
      </c>
      <c r="M243" s="204">
        <f t="shared" si="58"/>
        <v>0</v>
      </c>
      <c r="N243" s="505">
        <f t="shared" si="59"/>
        <v>0</v>
      </c>
      <c r="O243" s="204">
        <f>IF(DG!$A$132&gt;12,0,IF(J243-J242&gt;0,MROUND((L243/12*Q242),1),MROUND(L243/12*P242,1)))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IF(OR(L$73=0,DG!$A$253&gt;16),0,F243+1)</f>
        <v>0</v>
      </c>
      <c r="G244" s="65">
        <f t="shared" si="53"/>
        <v>0</v>
      </c>
      <c r="H244" s="65">
        <f t="shared" si="50"/>
        <v>0</v>
      </c>
      <c r="I244" s="65">
        <f t="shared" si="47"/>
        <v>0</v>
      </c>
      <c r="J244" s="203">
        <f>IF(DG!$A$132&lt;=11,$M$17,0)</f>
        <v>0</v>
      </c>
      <c r="K244" s="65">
        <f t="shared" si="51"/>
        <v>0</v>
      </c>
      <c r="L244" s="473">
        <f t="shared" si="57"/>
        <v>0</v>
      </c>
      <c r="M244" s="204">
        <f t="shared" si="58"/>
        <v>0</v>
      </c>
      <c r="N244" s="505">
        <f t="shared" si="59"/>
        <v>0</v>
      </c>
      <c r="O244" s="204">
        <f>IF(DG!$A$132&gt;12,0,IF(J244-J243&gt;0,MROUND((L244/12*Q243),1),MROUND(L244/12*P243,1)))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IF(OR(L$73=0,DG!$A$253&gt;16),0,F244+1)</f>
        <v>0</v>
      </c>
      <c r="G245" s="65">
        <f t="shared" si="53"/>
        <v>0</v>
      </c>
      <c r="H245" s="65">
        <f t="shared" si="50"/>
        <v>0</v>
      </c>
      <c r="I245" s="65">
        <f t="shared" si="47"/>
        <v>0</v>
      </c>
      <c r="J245" s="203">
        <f>IF(DG!$A$132&lt;=11,$M$17,0)</f>
        <v>0</v>
      </c>
      <c r="K245" s="65">
        <f t="shared" si="51"/>
        <v>0</v>
      </c>
      <c r="L245" s="473">
        <f t="shared" si="57"/>
        <v>0</v>
      </c>
      <c r="M245" s="204">
        <f t="shared" si="58"/>
        <v>0</v>
      </c>
      <c r="N245" s="505">
        <f t="shared" si="59"/>
        <v>0</v>
      </c>
      <c r="O245" s="204">
        <f>IF(DG!$A$132&gt;12,0,IF(J245-J244&gt;0,MROUND((L245/12*Q244),1),MROUND(L245/12*P244,1)))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IF(OR(L$73=0,DG!$A$253&gt;16),0,F245+1)</f>
        <v>0</v>
      </c>
      <c r="G246" s="65">
        <f t="shared" si="53"/>
        <v>0</v>
      </c>
      <c r="H246" s="65">
        <f t="shared" si="50"/>
        <v>0</v>
      </c>
      <c r="I246" s="65">
        <f t="shared" si="47"/>
        <v>0</v>
      </c>
      <c r="J246" s="203">
        <f>IF(DG!$A$132&lt;=11,$M$17,0)</f>
        <v>0</v>
      </c>
      <c r="K246" s="65">
        <f t="shared" si="51"/>
        <v>0</v>
      </c>
      <c r="L246" s="473">
        <f t="shared" si="57"/>
        <v>0</v>
      </c>
      <c r="M246" s="204">
        <f t="shared" si="58"/>
        <v>0</v>
      </c>
      <c r="N246" s="505">
        <f t="shared" si="59"/>
        <v>0</v>
      </c>
      <c r="O246" s="204">
        <f>IF(DG!$A$132&gt;12,0,IF(J246-J245&gt;0,MROUND((L246/12*Q245),1),MROUND(L246/12*P245,1)))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IF(OR(L$73=0,DG!$A$253&gt;16),0,F246+1)</f>
        <v>0</v>
      </c>
      <c r="G247" s="65">
        <f t="shared" si="53"/>
        <v>0</v>
      </c>
      <c r="H247" s="65">
        <f t="shared" si="50"/>
        <v>0</v>
      </c>
      <c r="I247" s="65">
        <f t="shared" si="47"/>
        <v>0</v>
      </c>
      <c r="J247" s="203">
        <f>IF(DG!$A$132&lt;=11,$M$17,0)</f>
        <v>0</v>
      </c>
      <c r="K247" s="65">
        <f t="shared" si="51"/>
        <v>0</v>
      </c>
      <c r="L247" s="473">
        <f t="shared" si="57"/>
        <v>0</v>
      </c>
      <c r="M247" s="204">
        <f t="shared" si="58"/>
        <v>0</v>
      </c>
      <c r="N247" s="505">
        <f t="shared" si="59"/>
        <v>0</v>
      </c>
      <c r="O247" s="204">
        <f>IF(DG!$A$132&gt;12,0,IF(J247-J246&gt;0,MROUND((L247/12*Q246),1),MROUND(L247/12*P246,1)))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IF(OR(L$73=0,DG!$A$253&gt;16),0,F247+1)</f>
        <v>0</v>
      </c>
      <c r="G248" s="65">
        <f t="shared" si="53"/>
        <v>0</v>
      </c>
      <c r="H248" s="65">
        <f t="shared" si="50"/>
        <v>0</v>
      </c>
      <c r="I248" s="65">
        <f t="shared" si="47"/>
        <v>0</v>
      </c>
      <c r="J248" s="203">
        <f>IF(DG!$A$132&lt;=11,$M$17,0)</f>
        <v>0</v>
      </c>
      <c r="K248" s="65">
        <f t="shared" si="51"/>
        <v>0</v>
      </c>
      <c r="L248" s="473">
        <f t="shared" si="57"/>
        <v>0</v>
      </c>
      <c r="M248" s="204">
        <f t="shared" si="58"/>
        <v>0</v>
      </c>
      <c r="N248" s="505">
        <f t="shared" si="59"/>
        <v>0</v>
      </c>
      <c r="O248" s="204">
        <f>IF(DG!$A$132&gt;12,0,IF(J248-J247&gt;0,MROUND((L248/12*Q247),1),MROUND(L248/12*P247,1)))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IF(OR(L$73=0,DG!$A$253&gt;16),0,F248+1)</f>
        <v>0</v>
      </c>
      <c r="G249" s="65">
        <f t="shared" si="53"/>
        <v>0</v>
      </c>
      <c r="H249" s="65">
        <f t="shared" si="50"/>
        <v>0</v>
      </c>
      <c r="I249" s="65">
        <f t="shared" si="47"/>
        <v>0</v>
      </c>
      <c r="J249" s="203">
        <f>IF(DG!$A$132&lt;=11,$M$17,0)</f>
        <v>0</v>
      </c>
      <c r="K249" s="65">
        <f t="shared" si="51"/>
        <v>0</v>
      </c>
      <c r="L249" s="473">
        <f t="shared" si="57"/>
        <v>0</v>
      </c>
      <c r="M249" s="204">
        <f t="shared" si="58"/>
        <v>0</v>
      </c>
      <c r="N249" s="505">
        <f t="shared" si="59"/>
        <v>0</v>
      </c>
      <c r="O249" s="204">
        <f>IF(DG!$A$132&gt;12,0,IF(J249-J248&gt;0,MROUND((L249/12*Q248),1),MROUND(L249/12*P248,1)))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IF(OR(L$73=0,DG!$A$253&gt;16),0,F249+1)</f>
        <v>0</v>
      </c>
      <c r="G250" s="65">
        <f t="shared" si="53"/>
        <v>0</v>
      </c>
      <c r="H250" s="65">
        <f t="shared" si="50"/>
        <v>0</v>
      </c>
      <c r="I250" s="65">
        <f t="shared" si="47"/>
        <v>0</v>
      </c>
      <c r="J250" s="203">
        <f>IF(DG!$A$132&lt;=11,$M$17,0)</f>
        <v>0</v>
      </c>
      <c r="K250" s="65">
        <f t="shared" si="51"/>
        <v>0</v>
      </c>
      <c r="L250" s="473">
        <f t="shared" si="57"/>
        <v>0</v>
      </c>
      <c r="M250" s="204">
        <f t="shared" si="58"/>
        <v>0</v>
      </c>
      <c r="N250" s="505">
        <f t="shared" si="59"/>
        <v>0</v>
      </c>
      <c r="O250" s="204">
        <f>IF(DG!$A$132&gt;12,0,IF(J250-J249&gt;0,MROUND((L250/12*Q249),1),MROUND(L250/12*P249,1)))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IF(OR(L$73=0,DG!$A$253&gt;16),0,F250+1)</f>
        <v>0</v>
      </c>
      <c r="G251" s="65">
        <f t="shared" si="53"/>
        <v>0</v>
      </c>
      <c r="H251" s="65">
        <f t="shared" si="50"/>
        <v>0</v>
      </c>
      <c r="I251" s="65">
        <f t="shared" si="47"/>
        <v>0</v>
      </c>
      <c r="J251" s="203">
        <f>IF(DG!$A$132&lt;=11,$M$17,0)</f>
        <v>0</v>
      </c>
      <c r="K251" s="65">
        <f t="shared" si="51"/>
        <v>0</v>
      </c>
      <c r="L251" s="473">
        <f t="shared" si="57"/>
        <v>0</v>
      </c>
      <c r="M251" s="204">
        <f t="shared" si="58"/>
        <v>0</v>
      </c>
      <c r="N251" s="505">
        <f t="shared" si="59"/>
        <v>0</v>
      </c>
      <c r="O251" s="204">
        <f>IF(DG!$A$132&gt;12,0,IF(J251-J250&gt;0,MROUND((L251/12*Q250),1),MROUND(L251/12*P250,1)))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IF(OR(L$73=0,DG!$A$253&gt;16),0,F251+1)</f>
        <v>0</v>
      </c>
      <c r="G252" s="65">
        <f t="shared" si="53"/>
        <v>0</v>
      </c>
      <c r="H252" s="65">
        <f t="shared" si="50"/>
        <v>0</v>
      </c>
      <c r="I252" s="65">
        <f t="shared" si="47"/>
        <v>0</v>
      </c>
      <c r="J252" s="203">
        <f>IF(DG!$A$132&lt;=11,$M$17,0)</f>
        <v>0</v>
      </c>
      <c r="K252" s="65">
        <f t="shared" si="51"/>
        <v>0</v>
      </c>
      <c r="L252" s="473">
        <f t="shared" si="57"/>
        <v>0</v>
      </c>
      <c r="M252" s="204">
        <f t="shared" si="58"/>
        <v>0</v>
      </c>
      <c r="N252" s="505">
        <f t="shared" si="59"/>
        <v>0</v>
      </c>
      <c r="O252" s="204">
        <f>IF(DG!$A$132&gt;12,0,IF(J252-J251&gt;0,MROUND((L252/12*Q251),1),MROUND(L252/12*P251,1)))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IF(OR(L$73=0,DG!$A$253&gt;16),0,F252+1)</f>
        <v>0</v>
      </c>
      <c r="G253" s="65">
        <f t="shared" si="53"/>
        <v>0</v>
      </c>
      <c r="H253" s="65">
        <f t="shared" si="50"/>
        <v>0</v>
      </c>
      <c r="I253" s="65">
        <f t="shared" si="47"/>
        <v>0</v>
      </c>
      <c r="J253" s="203">
        <f>IF(DG!$A$132&lt;=11,$M$17,0)</f>
        <v>0</v>
      </c>
      <c r="K253" s="65">
        <f t="shared" si="51"/>
        <v>0</v>
      </c>
      <c r="L253" s="473">
        <f t="shared" si="57"/>
        <v>0</v>
      </c>
      <c r="M253" s="204">
        <f t="shared" si="58"/>
        <v>0</v>
      </c>
      <c r="N253" s="505">
        <f t="shared" si="59"/>
        <v>0</v>
      </c>
      <c r="O253" s="204">
        <f>IF(DG!$A$132&gt;12,0,IF(J253-J252&gt;0,MROUND((L253/12*Q252),1),MROUND(L253/12*P252,1)))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IF(OR(L$73=0,DG!$A$253&gt;16),0,F253+1)</f>
        <v>0</v>
      </c>
      <c r="G254" s="65">
        <f t="shared" si="53"/>
        <v>0</v>
      </c>
      <c r="H254" s="65">
        <f t="shared" si="50"/>
        <v>0</v>
      </c>
      <c r="I254" s="65">
        <f t="shared" si="47"/>
        <v>0</v>
      </c>
      <c r="J254" s="203">
        <f>IF(DG!$A$132&lt;=11,$M$17,0)</f>
        <v>0</v>
      </c>
      <c r="K254" s="65">
        <f t="shared" si="51"/>
        <v>0</v>
      </c>
      <c r="L254" s="473">
        <f t="shared" si="57"/>
        <v>0</v>
      </c>
      <c r="M254" s="204">
        <f t="shared" si="58"/>
        <v>0</v>
      </c>
      <c r="N254" s="505">
        <f t="shared" si="59"/>
        <v>0</v>
      </c>
      <c r="O254" s="204">
        <f>IF(DG!$A$132&gt;12,0,IF(J254-J253&gt;0,MROUND((L254/12*Q253),1),MROUND(L254/12*P253,1)))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IF(OR(L$73=0,DG!$A$253&gt;16),0,F254+1)</f>
        <v>0</v>
      </c>
      <c r="G255" s="65">
        <f t="shared" si="53"/>
        <v>0</v>
      </c>
      <c r="H255" s="65">
        <f t="shared" si="50"/>
        <v>0</v>
      </c>
      <c r="I255" s="65">
        <f t="shared" si="47"/>
        <v>0</v>
      </c>
      <c r="J255" s="203">
        <f>IF(DG!$A$132&lt;=11,$M$17,0)</f>
        <v>0</v>
      </c>
      <c r="K255" s="65">
        <f t="shared" si="51"/>
        <v>0</v>
      </c>
      <c r="L255" s="473">
        <f t="shared" si="57"/>
        <v>0</v>
      </c>
      <c r="M255" s="204">
        <f t="shared" si="58"/>
        <v>0</v>
      </c>
      <c r="N255" s="505">
        <f t="shared" si="59"/>
        <v>0</v>
      </c>
      <c r="O255" s="204">
        <f>IF(DG!$A$132&gt;12,0,IF(J255-J254&gt;0,MROUND((L255/12*Q254),1),MROUND(L255/12*P254,1)))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IF(OR(L$73=0,DG!$A$253&gt;16),0,F255+1)</f>
        <v>0</v>
      </c>
      <c r="G256" s="65">
        <f t="shared" si="53"/>
        <v>0</v>
      </c>
      <c r="H256" s="65">
        <f t="shared" si="50"/>
        <v>0</v>
      </c>
      <c r="I256" s="65">
        <f t="shared" si="47"/>
        <v>0</v>
      </c>
      <c r="J256" s="203">
        <f>IF(DG!$A$132&lt;=11,$M$17,0)</f>
        <v>0</v>
      </c>
      <c r="K256" s="65">
        <f t="shared" si="51"/>
        <v>0</v>
      </c>
      <c r="L256" s="473">
        <f t="shared" si="57"/>
        <v>0</v>
      </c>
      <c r="M256" s="204">
        <f t="shared" si="58"/>
        <v>0</v>
      </c>
      <c r="N256" s="505">
        <f t="shared" si="59"/>
        <v>0</v>
      </c>
      <c r="O256" s="204">
        <f>IF(DG!$A$132&gt;12,0,IF(J256-J255&gt;0,MROUND((L256/12*Q255),1),MROUND(L256/12*P255,1)))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IF(OR(L$73=0,DG!$A$253&gt;16),0,F256+1)</f>
        <v>0</v>
      </c>
      <c r="G257" s="65">
        <f t="shared" si="53"/>
        <v>0</v>
      </c>
      <c r="H257" s="65">
        <f t="shared" si="50"/>
        <v>0</v>
      </c>
      <c r="I257" s="65">
        <f t="shared" ref="I257:I265" si="62">IF(OR(G257=1,C257=0),0,IF(K257-C257&lt;$G$269,1,-1))</f>
        <v>0</v>
      </c>
      <c r="J257" s="203">
        <f>IF(DG!$A$132&lt;=11,$M$17,0)</f>
        <v>0</v>
      </c>
      <c r="K257" s="65">
        <f t="shared" si="51"/>
        <v>0</v>
      </c>
      <c r="L257" s="473">
        <f t="shared" si="57"/>
        <v>0</v>
      </c>
      <c r="M257" s="204">
        <f t="shared" si="58"/>
        <v>0</v>
      </c>
      <c r="N257" s="505">
        <f t="shared" si="59"/>
        <v>0</v>
      </c>
      <c r="O257" s="204">
        <f>IF(DG!$A$132&gt;12,0,IF(J257-J256&gt;0,MROUND((L257/12*Q256),1),MROUND(L257/12*P256,1)))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IF(OR(L$73=0,DG!$A$253&gt;16),0,F257+1)</f>
        <v>0</v>
      </c>
      <c r="G258" s="65">
        <f t="shared" si="53"/>
        <v>0</v>
      </c>
      <c r="H258" s="65">
        <f t="shared" si="50"/>
        <v>0</v>
      </c>
      <c r="I258" s="65">
        <f t="shared" si="62"/>
        <v>0</v>
      </c>
      <c r="J258" s="203">
        <f>IF(DG!$A$132&lt;=11,$M$17,0)</f>
        <v>0</v>
      </c>
      <c r="K258" s="65">
        <f t="shared" si="51"/>
        <v>0</v>
      </c>
      <c r="L258" s="473">
        <f t="shared" si="57"/>
        <v>0</v>
      </c>
      <c r="M258" s="204">
        <f t="shared" si="58"/>
        <v>0</v>
      </c>
      <c r="N258" s="505">
        <f t="shared" si="59"/>
        <v>0</v>
      </c>
      <c r="O258" s="204">
        <f>IF(DG!$A$132&gt;12,0,IF(J258-J257&gt;0,MROUND((L258/12*Q257),1),MROUND(L258/12*P257,1)))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IF(OR(L$73=0,DG!$A$253&gt;16),0,F258+1)</f>
        <v>0</v>
      </c>
      <c r="G259" s="65">
        <f t="shared" si="53"/>
        <v>0</v>
      </c>
      <c r="H259" s="65">
        <f t="shared" si="50"/>
        <v>0</v>
      </c>
      <c r="I259" s="65">
        <f t="shared" si="62"/>
        <v>0</v>
      </c>
      <c r="J259" s="203">
        <f>IF(DG!$A$132&lt;=11,$M$17,0)</f>
        <v>0</v>
      </c>
      <c r="K259" s="65">
        <f t="shared" si="51"/>
        <v>0</v>
      </c>
      <c r="L259" s="473">
        <f t="shared" si="57"/>
        <v>0</v>
      </c>
      <c r="M259" s="204">
        <f t="shared" si="58"/>
        <v>0</v>
      </c>
      <c r="N259" s="505">
        <f t="shared" si="59"/>
        <v>0</v>
      </c>
      <c r="O259" s="204">
        <f>IF(DG!$A$132&gt;12,0,IF(J259-J258&gt;0,MROUND((L259/12*Q258),1),MROUND(L259/12*P258,1)))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IF(OR(L$73=0,DG!$A$253&gt;16),0,F259+1)</f>
        <v>0</v>
      </c>
      <c r="G260" s="65">
        <f t="shared" si="53"/>
        <v>0</v>
      </c>
      <c r="H260" s="65">
        <f t="shared" si="50"/>
        <v>0</v>
      </c>
      <c r="I260" s="65">
        <f t="shared" si="62"/>
        <v>0</v>
      </c>
      <c r="J260" s="203">
        <f>IF(DG!$A$132&lt;=11,$M$17,0)</f>
        <v>0</v>
      </c>
      <c r="K260" s="65">
        <f t="shared" si="51"/>
        <v>0</v>
      </c>
      <c r="L260" s="473">
        <f t="shared" si="57"/>
        <v>0</v>
      </c>
      <c r="M260" s="204">
        <f t="shared" si="58"/>
        <v>0</v>
      </c>
      <c r="N260" s="505">
        <f t="shared" si="59"/>
        <v>0</v>
      </c>
      <c r="O260" s="204">
        <f>IF(DG!$A$132&gt;12,0,IF(J260-J259&gt;0,MROUND((L260/12*Q259),1),MROUND(L260/12*P259,1)))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IF(OR(L$73=0,DG!$A$253&gt;16),0,F260+1)</f>
        <v>0</v>
      </c>
      <c r="G261" s="65">
        <f t="shared" si="53"/>
        <v>0</v>
      </c>
      <c r="H261" s="65">
        <f t="shared" si="50"/>
        <v>0</v>
      </c>
      <c r="I261" s="65">
        <f t="shared" si="62"/>
        <v>0</v>
      </c>
      <c r="J261" s="203">
        <f>IF(DG!$A$132&lt;=11,$M$17,0)</f>
        <v>0</v>
      </c>
      <c r="K261" s="65">
        <f t="shared" si="51"/>
        <v>0</v>
      </c>
      <c r="L261" s="473">
        <f t="shared" si="57"/>
        <v>0</v>
      </c>
      <c r="M261" s="204">
        <f t="shared" si="58"/>
        <v>0</v>
      </c>
      <c r="N261" s="505">
        <f t="shared" si="59"/>
        <v>0</v>
      </c>
      <c r="O261" s="204">
        <f>IF(DG!$A$132&gt;12,0,IF(J261-J260&gt;0,MROUND((L261/12*Q260),1),MROUND(L261/12*P260,1)))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IF(OR(L$73=0,DG!$A$253&gt;16),0,F261+1)</f>
        <v>0</v>
      </c>
      <c r="G262" s="65">
        <f t="shared" si="53"/>
        <v>0</v>
      </c>
      <c r="H262" s="65">
        <f t="shared" si="50"/>
        <v>0</v>
      </c>
      <c r="I262" s="65">
        <f t="shared" si="62"/>
        <v>0</v>
      </c>
      <c r="J262" s="203">
        <f>IF(DG!$A$132&lt;=11,$M$17,0)</f>
        <v>0</v>
      </c>
      <c r="K262" s="65">
        <f t="shared" si="51"/>
        <v>0</v>
      </c>
      <c r="L262" s="473">
        <f t="shared" si="57"/>
        <v>0</v>
      </c>
      <c r="M262" s="204">
        <f t="shared" si="58"/>
        <v>0</v>
      </c>
      <c r="N262" s="505">
        <f t="shared" si="59"/>
        <v>0</v>
      </c>
      <c r="O262" s="204">
        <f>IF(DG!$A$132&gt;12,0,IF(J262-J261&gt;0,MROUND((L262/12*Q261),1),MROUND(L262/12*P261,1)))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IF(OR(L$73=0,DG!$A$253&gt;16),0,F262+1)</f>
        <v>0</v>
      </c>
      <c r="G263" s="65">
        <f t="shared" si="53"/>
        <v>0</v>
      </c>
      <c r="H263" s="65">
        <f t="shared" si="50"/>
        <v>0</v>
      </c>
      <c r="I263" s="65">
        <f t="shared" si="62"/>
        <v>0</v>
      </c>
      <c r="J263" s="203">
        <f>IF(DG!$A$132&lt;=11,$M$17,0)</f>
        <v>0</v>
      </c>
      <c r="K263" s="65">
        <f t="shared" si="51"/>
        <v>0</v>
      </c>
      <c r="L263" s="473">
        <f t="shared" si="57"/>
        <v>0</v>
      </c>
      <c r="M263" s="204">
        <f t="shared" si="58"/>
        <v>0</v>
      </c>
      <c r="N263" s="505">
        <f t="shared" si="59"/>
        <v>0</v>
      </c>
      <c r="O263" s="204">
        <f>IF(DG!$A$132&gt;12,0,IF(J263-J262&gt;0,MROUND((L263/12*Q262),1),MROUND(L263/12*P262,1)))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IF(OR(L$73=0,DG!$A$253&gt;16),0,F263+1)</f>
        <v>0</v>
      </c>
      <c r="G264" s="65">
        <f t="shared" si="53"/>
        <v>0</v>
      </c>
      <c r="H264" s="65">
        <f t="shared" si="50"/>
        <v>0</v>
      </c>
      <c r="I264" s="65">
        <f t="shared" si="62"/>
        <v>0</v>
      </c>
      <c r="J264" s="203">
        <f>IF(DG!$A$132&lt;=11,$M$17,0)</f>
        <v>0</v>
      </c>
      <c r="K264" s="65">
        <f t="shared" si="51"/>
        <v>0</v>
      </c>
      <c r="L264" s="473">
        <f t="shared" si="57"/>
        <v>0</v>
      </c>
      <c r="M264" s="204">
        <f t="shared" si="58"/>
        <v>0</v>
      </c>
      <c r="N264" s="505">
        <f t="shared" si="59"/>
        <v>0</v>
      </c>
      <c r="O264" s="204">
        <f>IF(DG!$A$132&gt;12,0,IF(J264-J263&gt;0,MROUND((L264/12*Q263),1),MROUND(L264/12*P263,1)))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IF(OR(L$73=0,DG!$A$253&gt;16),0,F264+1)</f>
        <v>0</v>
      </c>
      <c r="G265" s="65">
        <f t="shared" si="53"/>
        <v>0</v>
      </c>
      <c r="H265" s="65">
        <f t="shared" si="50"/>
        <v>0</v>
      </c>
      <c r="I265" s="65">
        <f t="shared" si="62"/>
        <v>0</v>
      </c>
      <c r="J265" s="203">
        <f>IF(DG!$A$132&lt;=11,$M$17,0)</f>
        <v>0</v>
      </c>
      <c r="K265" s="65">
        <f t="shared" si="51"/>
        <v>0</v>
      </c>
      <c r="L265" s="473">
        <f t="shared" si="57"/>
        <v>0</v>
      </c>
      <c r="M265" s="204">
        <f t="shared" si="58"/>
        <v>0</v>
      </c>
      <c r="N265" s="505">
        <f t="shared" si="59"/>
        <v>0</v>
      </c>
      <c r="O265" s="204">
        <f>IF(DG!$A$132&gt;12,0,IF(J265-J264&gt;0,MROUND((L265/12*Q264),1),MROUND(L265/12*P264,1)))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IF(DG!$A$132&gt;12,0,IF(J266-J265&gt;0,MROUND((L266/12*Q265),1),MROUND(L266/12*P265,1)))</f>
        <v>0</v>
      </c>
    </row>
    <row r="267" spans="1:19">
      <c r="H267" s="65">
        <f>IF(B267&gt;0,1,0)</f>
        <v>0</v>
      </c>
      <c r="I267" s="65">
        <f>SUM(E267:H267)</f>
        <v>0</v>
      </c>
      <c r="M267" s="205"/>
      <c r="N267" s="505">
        <f t="shared" si="59"/>
        <v>0</v>
      </c>
      <c r="O267" s="204">
        <f>IF(DG!$A$132&gt;12,0,IF(J267-J266&gt;0,MROUND((L267/12*Q266),1),MROUND(L267/12*P266,1)))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73" r:id="rId4" name="Drop Down 21">
              <controlPr defaultSize="0" autoFill="0" autoLine="0" autoPict="0">
                <anchor moveWithCells="1">
                  <from>
                    <xdr:col>15</xdr:col>
                    <xdr:colOff>0</xdr:colOff>
                    <xdr:row>15</xdr:row>
                    <xdr:rowOff>63500</xdr:rowOff>
                  </from>
                  <to>
                    <xdr:col>16</xdr:col>
                    <xdr:colOff>38100</xdr:colOff>
                    <xdr:row>17</xdr:row>
                    <xdr:rowOff>38100</xdr:rowOff>
                  </to>
                </anchor>
              </controlPr>
            </control>
          </mc:Choice>
        </mc:AlternateContent>
        <mc:AlternateContent xmlns:mc="http://schemas.openxmlformats.org/markup-compatibility/2006">
          <mc:Choice Requires="x14">
            <control shapeId="23577" r:id="rId5" name="Drop Down 25">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23583" r:id="rId6" name="Drop Down 31">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Feuil22">
    <pageSetUpPr fitToPage="1"/>
  </sheetPr>
  <dimension ref="A8:S269"/>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105</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IF(OR(J$26=0,DG!$A$133&gt;1),0,B25+1)</f>
        <v>0</v>
      </c>
      <c r="C26" s="65">
        <f t="shared" ref="C26:C49" si="0">IF(F26-$E$269&gt;0,F26-$E$269,0)</f>
        <v>0</v>
      </c>
      <c r="D26" s="65">
        <v>1</v>
      </c>
      <c r="E26" s="65">
        <f>B26</f>
        <v>0</v>
      </c>
      <c r="F26" s="65">
        <f>IF(OR(L$26=0,DG!$A$254&gt;1),0,F25+1)</f>
        <v>0</v>
      </c>
      <c r="G26" s="65">
        <f t="shared" ref="G26:G89" si="1">IF(E26=0,0,IF(D26-E26-F26&gt;=0,1,0))</f>
        <v>0</v>
      </c>
      <c r="H26" s="65">
        <f t="shared" ref="H26:H89" si="2">IF(I26&gt;=0,0,H25+1)</f>
        <v>0</v>
      </c>
      <c r="I26" s="65">
        <f t="shared" ref="I26:I63" si="3">IF(OR(G26=1,C26=0),0,IF(K26-C26&lt;$G$269,1,-1))</f>
        <v>0</v>
      </c>
      <c r="J26" s="203">
        <f>IF(DG!$A$133&lt;=1,$M$17,0)</f>
        <v>0</v>
      </c>
      <c r="K26" s="65">
        <f>M21</f>
        <v>0</v>
      </c>
      <c r="L26" s="473">
        <f>IF($M$17&gt;0,$M$19+0.0000001,0)</f>
        <v>0</v>
      </c>
      <c r="M26" s="204">
        <f>IF(H26=0,0,IF($R$13=1,N26+O26,IF(N26=0,O26,-PMT(L26/12,K26-$G$269,J26))))</f>
        <v>0</v>
      </c>
      <c r="N26" s="505">
        <f>IF(OR(H26-K26&gt;0,I26&gt;=0),0,MROUND(-PPMT(L26/12,H26,K26-G269,J26),1)+R26)</f>
        <v>0</v>
      </c>
      <c r="O26" s="204">
        <f>IF(DG!$A$133&gt;1,0,IF(J26-J25&gt;0,MROUND((L26/12*Q25),1),MROUND(L26/12*P25,1)))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IF(OR(J$27=0,DG!$A$133&gt;1),0,B26+1)</f>
        <v>0</v>
      </c>
      <c r="C27" s="65">
        <f t="shared" si="0"/>
        <v>0</v>
      </c>
      <c r="D27" s="65">
        <f>D26+1</f>
        <v>2</v>
      </c>
      <c r="E27" s="65">
        <f t="shared" ref="E27:E90" si="6">B27</f>
        <v>0</v>
      </c>
      <c r="F27" s="65">
        <f>IF(OR(L$27=0,DG!$A$254&gt;1),0,F26+1)</f>
        <v>0</v>
      </c>
      <c r="G27" s="65">
        <f t="shared" si="1"/>
        <v>0</v>
      </c>
      <c r="H27" s="65">
        <f t="shared" si="2"/>
        <v>0</v>
      </c>
      <c r="I27" s="65">
        <f t="shared" si="3"/>
        <v>0</v>
      </c>
      <c r="J27" s="203">
        <f>IF(DG!$A$133&lt;=1,$M$17,0)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IF(DG!$A$133&gt;1,0,IF(J27-J26&gt;0,MROUND((L27/12*Q26),1),MROUND(L27/12*P26,1)))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IF(OR(J$28=0,DG!$A$133&gt;1),0,B27+1)</f>
        <v>0</v>
      </c>
      <c r="C28" s="65">
        <f t="shared" si="0"/>
        <v>0</v>
      </c>
      <c r="D28" s="65">
        <f t="shared" ref="D28:D91" si="12">D27+1</f>
        <v>3</v>
      </c>
      <c r="E28" s="65">
        <f t="shared" si="6"/>
        <v>0</v>
      </c>
      <c r="F28" s="65">
        <f>IF(OR(L$28=0,DG!$A$254&gt;1),0,F27+1)</f>
        <v>0</v>
      </c>
      <c r="G28" s="65">
        <f t="shared" si="1"/>
        <v>0</v>
      </c>
      <c r="H28" s="65">
        <f t="shared" si="2"/>
        <v>0</v>
      </c>
      <c r="I28" s="65">
        <f t="shared" si="3"/>
        <v>0</v>
      </c>
      <c r="J28" s="203">
        <f>IF(DG!$A$133&lt;=1,$M$17,0)</f>
        <v>0</v>
      </c>
      <c r="K28" s="65">
        <f t="shared" si="7"/>
        <v>0</v>
      </c>
      <c r="L28" s="473">
        <f t="shared" si="8"/>
        <v>0</v>
      </c>
      <c r="M28" s="204">
        <f t="shared" si="9"/>
        <v>0</v>
      </c>
      <c r="N28" s="505">
        <f t="shared" si="10"/>
        <v>0</v>
      </c>
      <c r="O28" s="204">
        <f>IF(DG!$A$133&gt;1,0,IF(J28-J27&gt;0,MROUND((L28/12*Q27),1),MROUND(L28/12*P27,1)))</f>
        <v>0</v>
      </c>
      <c r="P28" s="204">
        <f t="shared" si="11"/>
        <v>0</v>
      </c>
      <c r="Q28" s="204">
        <f t="shared" si="4"/>
        <v>0</v>
      </c>
      <c r="R28" s="748">
        <v>0</v>
      </c>
    </row>
    <row r="29" spans="1:18" ht="14" thickTop="1" thickBot="1">
      <c r="A29" s="202">
        <f t="shared" si="5"/>
        <v>45383</v>
      </c>
      <c r="B29" s="65">
        <f>IF(OR(J$29=0,DG!$A$133&gt;2),0,B28+1)</f>
        <v>0</v>
      </c>
      <c r="C29" s="65">
        <f t="shared" si="0"/>
        <v>0</v>
      </c>
      <c r="D29" s="65">
        <f t="shared" si="12"/>
        <v>4</v>
      </c>
      <c r="E29" s="65">
        <f t="shared" si="6"/>
        <v>0</v>
      </c>
      <c r="F29" s="65">
        <f>IF(OR(L$29=0,DG!$A$254&gt;2),0,F28+1)</f>
        <v>0</v>
      </c>
      <c r="G29" s="65">
        <f t="shared" si="1"/>
        <v>0</v>
      </c>
      <c r="H29" s="65">
        <f t="shared" si="2"/>
        <v>0</v>
      </c>
      <c r="I29" s="65">
        <f t="shared" si="3"/>
        <v>0</v>
      </c>
      <c r="J29" s="203">
        <f>IF(DG!$A$133&lt;=2,$M$17,0)</f>
        <v>0</v>
      </c>
      <c r="K29" s="65">
        <f t="shared" si="7"/>
        <v>0</v>
      </c>
      <c r="L29" s="473">
        <f t="shared" si="8"/>
        <v>0</v>
      </c>
      <c r="M29" s="204">
        <f t="shared" si="9"/>
        <v>0</v>
      </c>
      <c r="N29" s="505">
        <f t="shared" si="10"/>
        <v>0</v>
      </c>
      <c r="O29" s="204">
        <f>IF(DG!$A$133&gt;2,0,IF(J29-J28&gt;0,MROUND((L29/12*Q28),1),MROUND(L29/12*P28,1)))</f>
        <v>0</v>
      </c>
      <c r="P29" s="204">
        <f t="shared" si="11"/>
        <v>0</v>
      </c>
      <c r="Q29" s="204">
        <f t="shared" si="4"/>
        <v>0</v>
      </c>
      <c r="R29" s="748">
        <v>0</v>
      </c>
    </row>
    <row r="30" spans="1:18" ht="14" thickTop="1" thickBot="1">
      <c r="A30" s="202">
        <f t="shared" si="5"/>
        <v>45413</v>
      </c>
      <c r="B30" s="65">
        <f>IF(OR(J$30=0,DG!$A$133&gt;2),0,B29+1)</f>
        <v>0</v>
      </c>
      <c r="C30" s="65">
        <f t="shared" si="0"/>
        <v>0</v>
      </c>
      <c r="D30" s="65">
        <f t="shared" si="12"/>
        <v>5</v>
      </c>
      <c r="E30" s="65">
        <f t="shared" si="6"/>
        <v>0</v>
      </c>
      <c r="F30" s="65">
        <f>IF(OR(L$30=0,DG!$A$254&gt;2),0,F29+1)</f>
        <v>0</v>
      </c>
      <c r="G30" s="65">
        <f t="shared" si="1"/>
        <v>0</v>
      </c>
      <c r="H30" s="65">
        <f t="shared" si="2"/>
        <v>0</v>
      </c>
      <c r="I30" s="65">
        <f t="shared" si="3"/>
        <v>0</v>
      </c>
      <c r="J30" s="203">
        <f>IF(DG!$A$133&lt;=2,$M$17,0)</f>
        <v>0</v>
      </c>
      <c r="K30" s="65">
        <f t="shared" si="7"/>
        <v>0</v>
      </c>
      <c r="L30" s="473">
        <f t="shared" si="8"/>
        <v>0</v>
      </c>
      <c r="M30" s="204">
        <f t="shared" si="9"/>
        <v>0</v>
      </c>
      <c r="N30" s="505">
        <f t="shared" si="10"/>
        <v>0</v>
      </c>
      <c r="O30" s="204">
        <f>IF(DG!$A$133&gt;2,0,IF(J30-J29&gt;0,MROUND((L30/12*Q29),1),MROUND(L30/12*P29,1)))</f>
        <v>0</v>
      </c>
      <c r="P30" s="204">
        <f t="shared" si="11"/>
        <v>0</v>
      </c>
      <c r="Q30" s="204">
        <f t="shared" si="4"/>
        <v>0</v>
      </c>
      <c r="R30" s="748">
        <v>0</v>
      </c>
    </row>
    <row r="31" spans="1:18" ht="14" thickTop="1" thickBot="1">
      <c r="A31" s="202">
        <f t="shared" si="5"/>
        <v>45444</v>
      </c>
      <c r="B31" s="65">
        <f>IF(OR(J$31=0,DG!$A$133&gt;2),0,B30+1)</f>
        <v>0</v>
      </c>
      <c r="C31" s="65">
        <f t="shared" si="0"/>
        <v>0</v>
      </c>
      <c r="D31" s="65">
        <f t="shared" si="12"/>
        <v>6</v>
      </c>
      <c r="E31" s="65">
        <f t="shared" si="6"/>
        <v>0</v>
      </c>
      <c r="F31" s="65">
        <f>IF(OR(L$31=0,DG!$A$254&gt;2),0,F30+1)</f>
        <v>0</v>
      </c>
      <c r="G31" s="65">
        <f t="shared" si="1"/>
        <v>0</v>
      </c>
      <c r="H31" s="65">
        <f t="shared" si="2"/>
        <v>0</v>
      </c>
      <c r="I31" s="65">
        <f t="shared" si="3"/>
        <v>0</v>
      </c>
      <c r="J31" s="203">
        <f>IF(DG!$A$133&lt;=2,$M$17,0)</f>
        <v>0</v>
      </c>
      <c r="K31" s="65">
        <f t="shared" si="7"/>
        <v>0</v>
      </c>
      <c r="L31" s="473">
        <f t="shared" si="8"/>
        <v>0</v>
      </c>
      <c r="M31" s="204">
        <f t="shared" si="9"/>
        <v>0</v>
      </c>
      <c r="N31" s="505">
        <f t="shared" si="10"/>
        <v>0</v>
      </c>
      <c r="O31" s="204">
        <f>IF(DG!$A$133&gt;2,0,IF(J31-J30&gt;0,MROUND((L31/12*Q30),1),MROUND(L31/12*P30,1)))</f>
        <v>0</v>
      </c>
      <c r="P31" s="204">
        <f t="shared" si="11"/>
        <v>0</v>
      </c>
      <c r="Q31" s="204">
        <f t="shared" si="4"/>
        <v>0</v>
      </c>
      <c r="R31" s="748">
        <v>0</v>
      </c>
    </row>
    <row r="32" spans="1:18" ht="14" thickTop="1" thickBot="1">
      <c r="A32" s="202">
        <f t="shared" si="5"/>
        <v>45474</v>
      </c>
      <c r="B32" s="65">
        <f>IF(OR(J$32=0,DG!$A$133&gt;3),0,B31+1)</f>
        <v>0</v>
      </c>
      <c r="C32" s="65">
        <f t="shared" si="0"/>
        <v>0</v>
      </c>
      <c r="D32" s="65">
        <f t="shared" si="12"/>
        <v>7</v>
      </c>
      <c r="E32" s="65">
        <f t="shared" si="6"/>
        <v>0</v>
      </c>
      <c r="F32" s="65">
        <f>IF(OR(L$32=0,DG!$A$254&gt;3),0,F31+1)</f>
        <v>0</v>
      </c>
      <c r="G32" s="65">
        <f t="shared" si="1"/>
        <v>0</v>
      </c>
      <c r="H32" s="65">
        <f t="shared" si="2"/>
        <v>0</v>
      </c>
      <c r="I32" s="65">
        <f t="shared" si="3"/>
        <v>0</v>
      </c>
      <c r="J32" s="203">
        <f>IF(DG!$A$133&lt;=3,$M$17,0)</f>
        <v>0</v>
      </c>
      <c r="K32" s="65">
        <f t="shared" si="7"/>
        <v>0</v>
      </c>
      <c r="L32" s="473">
        <f t="shared" si="8"/>
        <v>0</v>
      </c>
      <c r="M32" s="204">
        <f t="shared" si="9"/>
        <v>0</v>
      </c>
      <c r="N32" s="505">
        <f t="shared" si="10"/>
        <v>0</v>
      </c>
      <c r="O32" s="204">
        <f>IF(DG!$A$133&gt;3,0,IF(J32-J31&gt;0,MROUND((L32/12*Q31),1),MROUND(L32/12*P31,1)))</f>
        <v>0</v>
      </c>
      <c r="P32" s="204">
        <f t="shared" si="11"/>
        <v>0</v>
      </c>
      <c r="Q32" s="204">
        <f t="shared" si="4"/>
        <v>0</v>
      </c>
      <c r="R32" s="748">
        <v>0</v>
      </c>
    </row>
    <row r="33" spans="1:19" ht="14" thickTop="1" thickBot="1">
      <c r="A33" s="202">
        <f t="shared" si="5"/>
        <v>45505</v>
      </c>
      <c r="B33" s="65">
        <f>IF(OR(J$33=0,DG!$A$133&gt;3),0,B32+1)</f>
        <v>0</v>
      </c>
      <c r="C33" s="65">
        <f t="shared" si="0"/>
        <v>0</v>
      </c>
      <c r="D33" s="65">
        <f t="shared" si="12"/>
        <v>8</v>
      </c>
      <c r="E33" s="65">
        <f t="shared" si="6"/>
        <v>0</v>
      </c>
      <c r="F33" s="65">
        <f>IF(OR(L$33=0,DG!$A$254&gt;3),0,F32+1)</f>
        <v>0</v>
      </c>
      <c r="G33" s="65">
        <f t="shared" si="1"/>
        <v>0</v>
      </c>
      <c r="H33" s="65">
        <f t="shared" si="2"/>
        <v>0</v>
      </c>
      <c r="I33" s="65">
        <f t="shared" si="3"/>
        <v>0</v>
      </c>
      <c r="J33" s="203">
        <f>IF(DG!$A$133&lt;=3,$M$17,0)</f>
        <v>0</v>
      </c>
      <c r="K33" s="65">
        <f t="shared" si="7"/>
        <v>0</v>
      </c>
      <c r="L33" s="473">
        <f t="shared" si="8"/>
        <v>0</v>
      </c>
      <c r="M33" s="204">
        <f t="shared" si="9"/>
        <v>0</v>
      </c>
      <c r="N33" s="505">
        <f t="shared" si="10"/>
        <v>0</v>
      </c>
      <c r="O33" s="204">
        <f>IF(DG!$A$133&gt;3,0,IF(J33-J32&gt;0,MROUND((L33/12*Q32),1),MROUND(L33/12*P32,1)))</f>
        <v>0</v>
      </c>
      <c r="P33" s="204">
        <f t="shared" si="11"/>
        <v>0</v>
      </c>
      <c r="Q33" s="204">
        <f t="shared" si="4"/>
        <v>0</v>
      </c>
      <c r="R33" s="748">
        <v>0</v>
      </c>
    </row>
    <row r="34" spans="1:19" ht="14" thickTop="1" thickBot="1">
      <c r="A34" s="202">
        <f t="shared" si="5"/>
        <v>45536</v>
      </c>
      <c r="B34" s="65">
        <f>IF(OR(J$34=0,DG!$A$133&gt;3),0,B33+1)</f>
        <v>0</v>
      </c>
      <c r="C34" s="65">
        <f t="shared" si="0"/>
        <v>0</v>
      </c>
      <c r="D34" s="65">
        <f t="shared" si="12"/>
        <v>9</v>
      </c>
      <c r="E34" s="65">
        <f t="shared" si="6"/>
        <v>0</v>
      </c>
      <c r="F34" s="65">
        <f>IF(OR(L$34=0,DG!$A$254&gt;3),0,F33+1)</f>
        <v>0</v>
      </c>
      <c r="G34" s="65">
        <f t="shared" si="1"/>
        <v>0</v>
      </c>
      <c r="H34" s="65">
        <f t="shared" si="2"/>
        <v>0</v>
      </c>
      <c r="I34" s="65">
        <f t="shared" si="3"/>
        <v>0</v>
      </c>
      <c r="J34" s="203">
        <f>IF(DG!$A$133&lt;=3,$M$17,0)</f>
        <v>0</v>
      </c>
      <c r="K34" s="65">
        <f t="shared" si="7"/>
        <v>0</v>
      </c>
      <c r="L34" s="473">
        <f t="shared" si="8"/>
        <v>0</v>
      </c>
      <c r="M34" s="204">
        <f t="shared" si="9"/>
        <v>0</v>
      </c>
      <c r="N34" s="505">
        <f t="shared" si="10"/>
        <v>0</v>
      </c>
      <c r="O34" s="204">
        <f>IF(DG!$A$133&gt;3,0,IF(J34-J33&gt;0,MROUND((L34/12*Q33),1),MROUND(L34/12*P33,1)))</f>
        <v>0</v>
      </c>
      <c r="P34" s="204">
        <f t="shared" si="11"/>
        <v>0</v>
      </c>
      <c r="Q34" s="204">
        <f t="shared" si="4"/>
        <v>0</v>
      </c>
      <c r="R34" s="748">
        <v>0</v>
      </c>
    </row>
    <row r="35" spans="1:19" ht="14" thickTop="1" thickBot="1">
      <c r="A35" s="202">
        <f t="shared" si="5"/>
        <v>45566</v>
      </c>
      <c r="B35" s="65">
        <f>IF(OR(J$35=0,DG!$A$133&gt;4),0,B34+1)</f>
        <v>0</v>
      </c>
      <c r="C35" s="65">
        <f t="shared" si="0"/>
        <v>0</v>
      </c>
      <c r="D35" s="65">
        <f t="shared" si="12"/>
        <v>10</v>
      </c>
      <c r="E35" s="65">
        <f t="shared" si="6"/>
        <v>0</v>
      </c>
      <c r="F35" s="65">
        <f>IF(OR(L$35=0,DG!$A$254&gt;4),0,F34+1)</f>
        <v>0</v>
      </c>
      <c r="G35" s="65">
        <f t="shared" si="1"/>
        <v>0</v>
      </c>
      <c r="H35" s="65">
        <f t="shared" si="2"/>
        <v>0</v>
      </c>
      <c r="I35" s="65">
        <f t="shared" si="3"/>
        <v>0</v>
      </c>
      <c r="J35" s="203">
        <f>IF(DG!$A$133&lt;=4,$M$17,0)</f>
        <v>0</v>
      </c>
      <c r="K35" s="65">
        <f t="shared" si="7"/>
        <v>0</v>
      </c>
      <c r="L35" s="473">
        <f t="shared" si="8"/>
        <v>0</v>
      </c>
      <c r="M35" s="204">
        <f t="shared" si="9"/>
        <v>0</v>
      </c>
      <c r="N35" s="505">
        <f t="shared" si="10"/>
        <v>0</v>
      </c>
      <c r="O35" s="204">
        <f>IF(DG!$A$133&gt;4,0,IF(J35-J34&gt;0,MROUND((L35/12*Q34),1),MROUND(L35/12*P34,1)))</f>
        <v>0</v>
      </c>
      <c r="P35" s="204">
        <f t="shared" si="11"/>
        <v>0</v>
      </c>
      <c r="Q35" s="204">
        <f t="shared" si="4"/>
        <v>0</v>
      </c>
      <c r="R35" s="748">
        <v>0</v>
      </c>
    </row>
    <row r="36" spans="1:19" ht="14" thickTop="1" thickBot="1">
      <c r="A36" s="202">
        <f t="shared" si="5"/>
        <v>45597</v>
      </c>
      <c r="B36" s="65">
        <f>IF(OR(J$36=0,DG!$A$133&gt;4),0,B35+1)</f>
        <v>0</v>
      </c>
      <c r="C36" s="65">
        <f t="shared" si="0"/>
        <v>0</v>
      </c>
      <c r="D36" s="65">
        <f t="shared" si="12"/>
        <v>11</v>
      </c>
      <c r="E36" s="65">
        <f t="shared" si="6"/>
        <v>0</v>
      </c>
      <c r="F36" s="65">
        <f>IF(OR(L$36=0,DG!$A$254&gt;4),0,F35+1)</f>
        <v>0</v>
      </c>
      <c r="G36" s="65">
        <f t="shared" si="1"/>
        <v>0</v>
      </c>
      <c r="H36" s="65">
        <f t="shared" si="2"/>
        <v>0</v>
      </c>
      <c r="I36" s="65">
        <f t="shared" si="3"/>
        <v>0</v>
      </c>
      <c r="J36" s="203">
        <f>IF(DG!$A$133&lt;=4,$M$17,0)</f>
        <v>0</v>
      </c>
      <c r="K36" s="65">
        <f t="shared" si="7"/>
        <v>0</v>
      </c>
      <c r="L36" s="473">
        <f t="shared" si="8"/>
        <v>0</v>
      </c>
      <c r="M36" s="204">
        <f t="shared" si="9"/>
        <v>0</v>
      </c>
      <c r="N36" s="505">
        <f t="shared" si="10"/>
        <v>0</v>
      </c>
      <c r="O36" s="204">
        <f>IF(DG!$A$133&gt;4,0,IF(J36-J35&gt;0,MROUND((L36/12*Q35),1),MROUND(L36/12*P35,1)))</f>
        <v>0</v>
      </c>
      <c r="P36" s="204">
        <f t="shared" si="11"/>
        <v>0</v>
      </c>
      <c r="Q36" s="204">
        <f t="shared" si="4"/>
        <v>0</v>
      </c>
      <c r="R36" s="748">
        <v>0</v>
      </c>
    </row>
    <row r="37" spans="1:19" ht="14" thickTop="1" thickBot="1">
      <c r="A37" s="202">
        <f t="shared" si="5"/>
        <v>45627</v>
      </c>
      <c r="B37" s="65">
        <f>IF(OR(J$37=0,DG!$A$133&gt;4),0,B36+1)</f>
        <v>0</v>
      </c>
      <c r="C37" s="65">
        <f t="shared" si="0"/>
        <v>0</v>
      </c>
      <c r="D37" s="65">
        <f t="shared" si="12"/>
        <v>12</v>
      </c>
      <c r="E37" s="65">
        <f t="shared" si="6"/>
        <v>0</v>
      </c>
      <c r="F37" s="65">
        <f>IF(OR(L$37=0,DG!$A$254&gt;4),0,F36+1)</f>
        <v>0</v>
      </c>
      <c r="G37" s="65">
        <f t="shared" si="1"/>
        <v>0</v>
      </c>
      <c r="H37" s="65">
        <f t="shared" si="2"/>
        <v>0</v>
      </c>
      <c r="I37" s="65">
        <f t="shared" si="3"/>
        <v>0</v>
      </c>
      <c r="J37" s="203">
        <f>IF(DG!$A$133&lt;=4,$M$17,0)</f>
        <v>0</v>
      </c>
      <c r="K37" s="65">
        <f t="shared" si="7"/>
        <v>0</v>
      </c>
      <c r="L37" s="473">
        <f t="shared" si="8"/>
        <v>0</v>
      </c>
      <c r="M37" s="204">
        <f t="shared" si="9"/>
        <v>0</v>
      </c>
      <c r="N37" s="505">
        <f t="shared" si="10"/>
        <v>0</v>
      </c>
      <c r="O37" s="204">
        <f>IF(DG!$A$133&gt;4,0,IF(J37-J36&gt;0,MROUND((L37/12*Q36),1),MROUND(L37/12*P36,1)))</f>
        <v>0</v>
      </c>
      <c r="P37" s="204">
        <f t="shared" si="11"/>
        <v>0</v>
      </c>
      <c r="Q37" s="204">
        <f t="shared" si="4"/>
        <v>0</v>
      </c>
      <c r="R37" s="748">
        <v>0</v>
      </c>
      <c r="S37" s="511">
        <f>SUM(N26:N37)</f>
        <v>0</v>
      </c>
    </row>
    <row r="38" spans="1:19" ht="14" thickTop="1" thickBot="1">
      <c r="A38" s="202">
        <f t="shared" si="5"/>
        <v>45658</v>
      </c>
      <c r="B38" s="65">
        <f>IF(OR(J$38=0,DG!$A$133&gt;5),0,B37+1)</f>
        <v>0</v>
      </c>
      <c r="C38" s="65">
        <f t="shared" si="0"/>
        <v>0</v>
      </c>
      <c r="D38" s="65">
        <f t="shared" si="12"/>
        <v>13</v>
      </c>
      <c r="E38" s="65">
        <f t="shared" si="6"/>
        <v>0</v>
      </c>
      <c r="F38" s="65">
        <f>IF(OR(L$38=0,DG!$A$254&gt;5),0,F37+1)</f>
        <v>0</v>
      </c>
      <c r="G38" s="65">
        <f t="shared" si="1"/>
        <v>0</v>
      </c>
      <c r="H38" s="65">
        <f t="shared" si="2"/>
        <v>0</v>
      </c>
      <c r="I38" s="65">
        <f t="shared" si="3"/>
        <v>0</v>
      </c>
      <c r="J38" s="203">
        <f>IF(DG!$A$133&lt;=5,$M$17,0)</f>
        <v>0</v>
      </c>
      <c r="K38" s="65">
        <f t="shared" si="7"/>
        <v>0</v>
      </c>
      <c r="L38" s="473">
        <f t="shared" si="8"/>
        <v>0</v>
      </c>
      <c r="M38" s="204">
        <f t="shared" si="9"/>
        <v>0</v>
      </c>
      <c r="N38" s="505">
        <f t="shared" si="10"/>
        <v>0</v>
      </c>
      <c r="O38" s="204">
        <f>IF(DG!$A$133&gt;5,0,IF(J38-J37&gt;0,MROUND((L38/12*Q37),1),MROUND(L38/12*P37,1)))</f>
        <v>0</v>
      </c>
      <c r="P38" s="204">
        <f t="shared" si="11"/>
        <v>0</v>
      </c>
      <c r="Q38" s="204">
        <f t="shared" si="4"/>
        <v>0</v>
      </c>
      <c r="R38" s="748">
        <v>0</v>
      </c>
    </row>
    <row r="39" spans="1:19" ht="14" thickTop="1" thickBot="1">
      <c r="A39" s="202">
        <f t="shared" si="5"/>
        <v>45689</v>
      </c>
      <c r="B39" s="65">
        <f>IF(OR(J$39=0,DG!$A$133&gt;5),0,B38+1)</f>
        <v>0</v>
      </c>
      <c r="C39" s="65">
        <f t="shared" si="0"/>
        <v>0</v>
      </c>
      <c r="D39" s="65">
        <f t="shared" si="12"/>
        <v>14</v>
      </c>
      <c r="E39" s="65">
        <f t="shared" si="6"/>
        <v>0</v>
      </c>
      <c r="F39" s="65">
        <f>IF(OR(L$39=0,DG!$A$254&gt;5),0,F38+1)</f>
        <v>0</v>
      </c>
      <c r="G39" s="65">
        <f t="shared" si="1"/>
        <v>0</v>
      </c>
      <c r="H39" s="65">
        <f t="shared" si="2"/>
        <v>0</v>
      </c>
      <c r="I39" s="65">
        <f t="shared" si="3"/>
        <v>0</v>
      </c>
      <c r="J39" s="203">
        <f>IF(DG!$A$133&lt;=5,$M$17,0)</f>
        <v>0</v>
      </c>
      <c r="K39" s="65">
        <f t="shared" si="7"/>
        <v>0</v>
      </c>
      <c r="L39" s="473">
        <f t="shared" si="8"/>
        <v>0</v>
      </c>
      <c r="M39" s="204">
        <f t="shared" si="9"/>
        <v>0</v>
      </c>
      <c r="N39" s="505">
        <f t="shared" si="10"/>
        <v>0</v>
      </c>
      <c r="O39" s="204">
        <f>IF(DG!$A$133&gt;5,0,IF(J39-J38&gt;0,MROUND((L39/12*Q38),1),MROUND(L39/12*P38,1)))</f>
        <v>0</v>
      </c>
      <c r="P39" s="204">
        <f t="shared" si="11"/>
        <v>0</v>
      </c>
      <c r="Q39" s="204">
        <f t="shared" si="4"/>
        <v>0</v>
      </c>
      <c r="R39" s="748">
        <v>0</v>
      </c>
    </row>
    <row r="40" spans="1:19" ht="14" thickTop="1" thickBot="1">
      <c r="A40" s="202">
        <f t="shared" si="5"/>
        <v>45717</v>
      </c>
      <c r="B40" s="65">
        <f>IF(OR(J$40=0,DG!$A$133&gt;5),0,B39+1)</f>
        <v>0</v>
      </c>
      <c r="C40" s="65">
        <f t="shared" si="0"/>
        <v>0</v>
      </c>
      <c r="D40" s="65">
        <f t="shared" si="12"/>
        <v>15</v>
      </c>
      <c r="E40" s="65">
        <f t="shared" si="6"/>
        <v>0</v>
      </c>
      <c r="F40" s="65">
        <f>IF(OR(L$40=0,DG!$A$254&gt;5),0,F39+1)</f>
        <v>0</v>
      </c>
      <c r="G40" s="65">
        <f t="shared" si="1"/>
        <v>0</v>
      </c>
      <c r="H40" s="65">
        <f t="shared" si="2"/>
        <v>0</v>
      </c>
      <c r="I40" s="65">
        <f t="shared" si="3"/>
        <v>0</v>
      </c>
      <c r="J40" s="203">
        <f>IF(DG!$A$133&lt;=5,$M$17,0)</f>
        <v>0</v>
      </c>
      <c r="K40" s="65">
        <f t="shared" si="7"/>
        <v>0</v>
      </c>
      <c r="L40" s="473">
        <f t="shared" si="8"/>
        <v>0</v>
      </c>
      <c r="M40" s="204">
        <f t="shared" si="9"/>
        <v>0</v>
      </c>
      <c r="N40" s="505">
        <f t="shared" si="10"/>
        <v>0</v>
      </c>
      <c r="O40" s="204">
        <f>IF(DG!$A$133&gt;5,0,IF(J40-J39&gt;0,MROUND((L40/12*Q39),1),MROUND(L40/12*P39,1)))</f>
        <v>0</v>
      </c>
      <c r="P40" s="204">
        <f t="shared" si="11"/>
        <v>0</v>
      </c>
      <c r="Q40" s="204">
        <f t="shared" si="4"/>
        <v>0</v>
      </c>
      <c r="R40" s="748">
        <v>0</v>
      </c>
    </row>
    <row r="41" spans="1:19" ht="14" thickTop="1" thickBot="1">
      <c r="A41" s="202">
        <f t="shared" si="5"/>
        <v>45748</v>
      </c>
      <c r="B41" s="65">
        <f>IF(OR(J$41=0,DG!$A$133&gt;6),0,B40+1)</f>
        <v>0</v>
      </c>
      <c r="C41" s="65">
        <f t="shared" si="0"/>
        <v>0</v>
      </c>
      <c r="D41" s="65">
        <f t="shared" si="12"/>
        <v>16</v>
      </c>
      <c r="E41" s="65">
        <f t="shared" si="6"/>
        <v>0</v>
      </c>
      <c r="F41" s="65">
        <f>IF(OR(L$41=0,DG!$A$254&gt;6),0,F40+1)</f>
        <v>0</v>
      </c>
      <c r="G41" s="65">
        <f t="shared" si="1"/>
        <v>0</v>
      </c>
      <c r="H41" s="65">
        <f t="shared" si="2"/>
        <v>0</v>
      </c>
      <c r="I41" s="65">
        <f t="shared" si="3"/>
        <v>0</v>
      </c>
      <c r="J41" s="203">
        <f>IF(DG!$A$133&lt;=6,$M$17,0)</f>
        <v>0</v>
      </c>
      <c r="K41" s="65">
        <f t="shared" si="7"/>
        <v>0</v>
      </c>
      <c r="L41" s="473">
        <f t="shared" si="8"/>
        <v>0</v>
      </c>
      <c r="M41" s="204">
        <f t="shared" si="9"/>
        <v>0</v>
      </c>
      <c r="N41" s="505">
        <f t="shared" si="10"/>
        <v>0</v>
      </c>
      <c r="O41" s="204">
        <f>IF(DG!$A$133&gt;6,0,IF(J41-J40&gt;0,MROUND((L41/12*Q40),1),MROUND(L41/12*P40,1)))</f>
        <v>0</v>
      </c>
      <c r="P41" s="204">
        <f t="shared" si="11"/>
        <v>0</v>
      </c>
      <c r="Q41" s="204">
        <f t="shared" si="4"/>
        <v>0</v>
      </c>
      <c r="R41" s="748">
        <v>0</v>
      </c>
    </row>
    <row r="42" spans="1:19" ht="14" thickTop="1" thickBot="1">
      <c r="A42" s="202">
        <f t="shared" si="5"/>
        <v>45778</v>
      </c>
      <c r="B42" s="65">
        <f>IF(OR(J$42=0,DG!$A$133&gt;6),0,B41+1)</f>
        <v>0</v>
      </c>
      <c r="C42" s="65">
        <f t="shared" si="0"/>
        <v>0</v>
      </c>
      <c r="D42" s="65">
        <f t="shared" si="12"/>
        <v>17</v>
      </c>
      <c r="E42" s="65">
        <f t="shared" si="6"/>
        <v>0</v>
      </c>
      <c r="F42" s="65">
        <f>IF(OR(L$42=0,DG!$A$254&gt;6),0,F41+1)</f>
        <v>0</v>
      </c>
      <c r="G42" s="65">
        <f t="shared" si="1"/>
        <v>0</v>
      </c>
      <c r="H42" s="65">
        <f t="shared" si="2"/>
        <v>0</v>
      </c>
      <c r="I42" s="65">
        <f t="shared" si="3"/>
        <v>0</v>
      </c>
      <c r="J42" s="203">
        <f>IF(DG!$A$133&lt;=6,$M$17,0)</f>
        <v>0</v>
      </c>
      <c r="K42" s="65">
        <f t="shared" si="7"/>
        <v>0</v>
      </c>
      <c r="L42" s="473">
        <f t="shared" si="8"/>
        <v>0</v>
      </c>
      <c r="M42" s="204">
        <f t="shared" si="9"/>
        <v>0</v>
      </c>
      <c r="N42" s="505">
        <f t="shared" si="10"/>
        <v>0</v>
      </c>
      <c r="O42" s="204">
        <f>IF(DG!$A$133&gt;6,0,IF(J42-J41&gt;0,MROUND((L42/12*Q41),1),MROUND(L42/12*P41,1)))</f>
        <v>0</v>
      </c>
      <c r="P42" s="204">
        <f t="shared" si="11"/>
        <v>0</v>
      </c>
      <c r="Q42" s="204">
        <f t="shared" si="4"/>
        <v>0</v>
      </c>
      <c r="R42" s="748">
        <v>0</v>
      </c>
    </row>
    <row r="43" spans="1:19" ht="14" thickTop="1" thickBot="1">
      <c r="A43" s="202">
        <f t="shared" si="5"/>
        <v>45809</v>
      </c>
      <c r="B43" s="65">
        <f>IF(OR(J$43=0,DG!$A$133&gt;6),0,B42+1)</f>
        <v>0</v>
      </c>
      <c r="C43" s="65">
        <f t="shared" si="0"/>
        <v>0</v>
      </c>
      <c r="D43" s="65">
        <f t="shared" si="12"/>
        <v>18</v>
      </c>
      <c r="E43" s="65">
        <f t="shared" si="6"/>
        <v>0</v>
      </c>
      <c r="F43" s="65">
        <f>IF(OR(L$43=0,DG!$A$254&gt;6),0,F42+1)</f>
        <v>0</v>
      </c>
      <c r="G43" s="65">
        <f t="shared" si="1"/>
        <v>0</v>
      </c>
      <c r="H43" s="65">
        <f t="shared" si="2"/>
        <v>0</v>
      </c>
      <c r="I43" s="65">
        <f t="shared" si="3"/>
        <v>0</v>
      </c>
      <c r="J43" s="203">
        <f>IF(DG!$A$133&lt;=6,$M$17,0)</f>
        <v>0</v>
      </c>
      <c r="K43" s="65">
        <f t="shared" si="7"/>
        <v>0</v>
      </c>
      <c r="L43" s="473">
        <f t="shared" si="8"/>
        <v>0</v>
      </c>
      <c r="M43" s="204">
        <f t="shared" si="9"/>
        <v>0</v>
      </c>
      <c r="N43" s="505">
        <f t="shared" si="10"/>
        <v>0</v>
      </c>
      <c r="O43" s="204">
        <f>IF(DG!$A$133&gt;6,0,IF(J43-J42&gt;0,MROUND((L43/12*Q42),1),MROUND(L43/12*P42,1)))</f>
        <v>0</v>
      </c>
      <c r="P43" s="204">
        <f t="shared" si="11"/>
        <v>0</v>
      </c>
      <c r="Q43" s="204">
        <f t="shared" si="4"/>
        <v>0</v>
      </c>
      <c r="R43" s="748">
        <v>0</v>
      </c>
    </row>
    <row r="44" spans="1:19" ht="14" thickTop="1" thickBot="1">
      <c r="A44" s="202">
        <f t="shared" si="5"/>
        <v>45839</v>
      </c>
      <c r="B44" s="65">
        <f>IF(OR(J$44=0,DG!$A$133&gt;7),0,B43+1)</f>
        <v>0</v>
      </c>
      <c r="C44" s="65">
        <f t="shared" si="0"/>
        <v>0</v>
      </c>
      <c r="D44" s="65">
        <f t="shared" si="12"/>
        <v>19</v>
      </c>
      <c r="E44" s="65">
        <f t="shared" si="6"/>
        <v>0</v>
      </c>
      <c r="F44" s="65">
        <f>IF(OR(L$44=0,DG!$A$254&gt;7),0,F43+1)</f>
        <v>0</v>
      </c>
      <c r="G44" s="65">
        <f t="shared" si="1"/>
        <v>0</v>
      </c>
      <c r="H44" s="65">
        <f t="shared" si="2"/>
        <v>0</v>
      </c>
      <c r="I44" s="65">
        <f t="shared" si="3"/>
        <v>0</v>
      </c>
      <c r="J44" s="203">
        <f>IF(DG!$A$133&lt;=7,$M$17,0)</f>
        <v>0</v>
      </c>
      <c r="K44" s="65">
        <f t="shared" si="7"/>
        <v>0</v>
      </c>
      <c r="L44" s="473">
        <f t="shared" si="8"/>
        <v>0</v>
      </c>
      <c r="M44" s="204">
        <f t="shared" si="9"/>
        <v>0</v>
      </c>
      <c r="N44" s="505">
        <f t="shared" si="10"/>
        <v>0</v>
      </c>
      <c r="O44" s="204">
        <f>IF(DG!$A$133&gt;7,0,IF(J44-J43&gt;0,MROUND((L44/12*Q43),1),MROUND(L44/12*P43,1)))</f>
        <v>0</v>
      </c>
      <c r="P44" s="204">
        <f t="shared" si="11"/>
        <v>0</v>
      </c>
      <c r="Q44" s="204">
        <f t="shared" si="4"/>
        <v>0</v>
      </c>
      <c r="R44" s="748">
        <v>0</v>
      </c>
    </row>
    <row r="45" spans="1:19" ht="14" thickTop="1" thickBot="1">
      <c r="A45" s="202">
        <f t="shared" si="5"/>
        <v>45870</v>
      </c>
      <c r="B45" s="65">
        <f>IF(OR(J$45=0,DG!$A$133&gt;7),0,B44+1)</f>
        <v>0</v>
      </c>
      <c r="C45" s="65">
        <f t="shared" si="0"/>
        <v>0</v>
      </c>
      <c r="D45" s="65">
        <f t="shared" si="12"/>
        <v>20</v>
      </c>
      <c r="E45" s="65">
        <f t="shared" si="6"/>
        <v>0</v>
      </c>
      <c r="F45" s="65">
        <f>IF(OR(L$45=0,DG!$A$254&gt;7),0,F44+1)</f>
        <v>0</v>
      </c>
      <c r="G45" s="65">
        <f t="shared" si="1"/>
        <v>0</v>
      </c>
      <c r="H45" s="65">
        <f t="shared" si="2"/>
        <v>0</v>
      </c>
      <c r="I45" s="65">
        <f t="shared" si="3"/>
        <v>0</v>
      </c>
      <c r="J45" s="203">
        <f>IF(DG!$A$133&lt;=7,$M$17,0)</f>
        <v>0</v>
      </c>
      <c r="K45" s="65">
        <f t="shared" si="7"/>
        <v>0</v>
      </c>
      <c r="L45" s="473">
        <f t="shared" si="8"/>
        <v>0</v>
      </c>
      <c r="M45" s="204">
        <f t="shared" si="9"/>
        <v>0</v>
      </c>
      <c r="N45" s="505">
        <f t="shared" si="10"/>
        <v>0</v>
      </c>
      <c r="O45" s="204">
        <f>IF(DG!$A$133&gt;7,0,IF(J45-J44&gt;0,MROUND((L45/12*Q44),1),MROUND(L45/12*P44,1)))</f>
        <v>0</v>
      </c>
      <c r="P45" s="204">
        <f t="shared" si="11"/>
        <v>0</v>
      </c>
      <c r="Q45" s="204">
        <f t="shared" si="4"/>
        <v>0</v>
      </c>
      <c r="R45" s="748">
        <v>0</v>
      </c>
    </row>
    <row r="46" spans="1:19" ht="14" thickTop="1" thickBot="1">
      <c r="A46" s="202">
        <f t="shared" si="5"/>
        <v>45901</v>
      </c>
      <c r="B46" s="65">
        <f>IF(OR(J$46=0,DG!$A$133&gt;7),0,B45+1)</f>
        <v>0</v>
      </c>
      <c r="C46" s="65">
        <f t="shared" si="0"/>
        <v>0</v>
      </c>
      <c r="D46" s="65">
        <f t="shared" si="12"/>
        <v>21</v>
      </c>
      <c r="E46" s="65">
        <f t="shared" si="6"/>
        <v>0</v>
      </c>
      <c r="F46" s="65">
        <f>IF(OR(L$46=0,DG!$A$254&gt;7),0,F45+1)</f>
        <v>0</v>
      </c>
      <c r="G46" s="65">
        <f t="shared" si="1"/>
        <v>0</v>
      </c>
      <c r="H46" s="65">
        <f t="shared" si="2"/>
        <v>0</v>
      </c>
      <c r="I46" s="65">
        <f t="shared" si="3"/>
        <v>0</v>
      </c>
      <c r="J46" s="203">
        <f>IF(DG!$A$133&lt;=7,$M$17,0)</f>
        <v>0</v>
      </c>
      <c r="K46" s="65">
        <f t="shared" si="7"/>
        <v>0</v>
      </c>
      <c r="L46" s="473">
        <f t="shared" si="8"/>
        <v>0</v>
      </c>
      <c r="M46" s="204">
        <f t="shared" si="9"/>
        <v>0</v>
      </c>
      <c r="N46" s="505">
        <f t="shared" si="10"/>
        <v>0</v>
      </c>
      <c r="O46" s="204">
        <f>IF(DG!$A$133&gt;7,0,IF(J46-J45&gt;0,MROUND((L46/12*Q45),1),MROUND(L46/12*P45,1)))</f>
        <v>0</v>
      </c>
      <c r="P46" s="204">
        <f t="shared" si="11"/>
        <v>0</v>
      </c>
      <c r="Q46" s="204">
        <f t="shared" si="4"/>
        <v>0</v>
      </c>
      <c r="R46" s="748">
        <v>0</v>
      </c>
    </row>
    <row r="47" spans="1:19" ht="14" thickTop="1" thickBot="1">
      <c r="A47" s="202">
        <f t="shared" si="5"/>
        <v>45931</v>
      </c>
      <c r="B47" s="65">
        <f>IF(OR(J$47=0,DG!$A$133&gt;8),0,B46+1)</f>
        <v>0</v>
      </c>
      <c r="C47" s="65">
        <f t="shared" si="0"/>
        <v>0</v>
      </c>
      <c r="D47" s="65">
        <f t="shared" si="12"/>
        <v>22</v>
      </c>
      <c r="E47" s="65">
        <f t="shared" si="6"/>
        <v>0</v>
      </c>
      <c r="F47" s="65">
        <f>IF(OR(L$47=0,DG!$A$254&gt;8),0,F46+1)</f>
        <v>0</v>
      </c>
      <c r="G47" s="65">
        <f t="shared" si="1"/>
        <v>0</v>
      </c>
      <c r="H47" s="65">
        <f t="shared" si="2"/>
        <v>0</v>
      </c>
      <c r="I47" s="65">
        <f t="shared" si="3"/>
        <v>0</v>
      </c>
      <c r="J47" s="203">
        <f>IF(DG!$A$133&lt;=8,$M$17,0)</f>
        <v>0</v>
      </c>
      <c r="K47" s="65">
        <f t="shared" si="7"/>
        <v>0</v>
      </c>
      <c r="L47" s="473">
        <f t="shared" si="8"/>
        <v>0</v>
      </c>
      <c r="M47" s="204">
        <f t="shared" si="9"/>
        <v>0</v>
      </c>
      <c r="N47" s="505">
        <f t="shared" si="10"/>
        <v>0</v>
      </c>
      <c r="O47" s="204">
        <f>IF(DG!$A$133&gt;8,0,IF(J47-J46&gt;0,MROUND((L47/12*Q46),1),MROUND(L47/12*P46,1)))</f>
        <v>0</v>
      </c>
      <c r="P47" s="204">
        <f t="shared" si="11"/>
        <v>0</v>
      </c>
      <c r="Q47" s="204">
        <f t="shared" si="4"/>
        <v>0</v>
      </c>
      <c r="R47" s="748">
        <v>0</v>
      </c>
    </row>
    <row r="48" spans="1:19" ht="14" thickTop="1" thickBot="1">
      <c r="A48" s="202">
        <f t="shared" si="5"/>
        <v>45962</v>
      </c>
      <c r="B48" s="65">
        <f>IF(OR(J$48=0,DG!$A$133&gt;8),0,B47+1)</f>
        <v>0</v>
      </c>
      <c r="C48" s="65">
        <f t="shared" si="0"/>
        <v>0</v>
      </c>
      <c r="D48" s="65">
        <f t="shared" si="12"/>
        <v>23</v>
      </c>
      <c r="E48" s="65">
        <f t="shared" si="6"/>
        <v>0</v>
      </c>
      <c r="F48" s="65">
        <f>IF(OR(L$48=0,DG!$A$254&gt;8),0,F47+1)</f>
        <v>0</v>
      </c>
      <c r="G48" s="65">
        <f t="shared" si="1"/>
        <v>0</v>
      </c>
      <c r="H48" s="65">
        <f t="shared" si="2"/>
        <v>0</v>
      </c>
      <c r="I48" s="65">
        <f t="shared" si="3"/>
        <v>0</v>
      </c>
      <c r="J48" s="203">
        <f>IF(DG!$A$133&lt;=8,$M$17,0)</f>
        <v>0</v>
      </c>
      <c r="K48" s="65">
        <f t="shared" si="7"/>
        <v>0</v>
      </c>
      <c r="L48" s="473">
        <f t="shared" si="8"/>
        <v>0</v>
      </c>
      <c r="M48" s="204">
        <f t="shared" si="9"/>
        <v>0</v>
      </c>
      <c r="N48" s="505">
        <f t="shared" si="10"/>
        <v>0</v>
      </c>
      <c r="O48" s="204">
        <f>IF(DG!$A$133&gt;8,0,IF(J48-J47&gt;0,MROUND((L48/12*Q47),1),MROUND(L48/12*P47,1)))</f>
        <v>0</v>
      </c>
      <c r="P48" s="204">
        <f t="shared" si="11"/>
        <v>0</v>
      </c>
      <c r="Q48" s="204">
        <f t="shared" si="4"/>
        <v>0</v>
      </c>
      <c r="R48" s="748">
        <v>0</v>
      </c>
    </row>
    <row r="49" spans="1:19" ht="14" thickTop="1" thickBot="1">
      <c r="A49" s="202">
        <f t="shared" si="5"/>
        <v>45992</v>
      </c>
      <c r="B49" s="65">
        <f>IF(OR(J$49=0,DG!$A$133&gt;8),0,B48+1)</f>
        <v>0</v>
      </c>
      <c r="C49" s="65">
        <f t="shared" si="0"/>
        <v>0</v>
      </c>
      <c r="D49" s="65">
        <f t="shared" si="12"/>
        <v>24</v>
      </c>
      <c r="E49" s="65">
        <f t="shared" si="6"/>
        <v>0</v>
      </c>
      <c r="F49" s="65">
        <f>IF(OR(L$49=0,DG!$A$254&gt;8),0,F48+1)</f>
        <v>0</v>
      </c>
      <c r="G49" s="65">
        <f t="shared" si="1"/>
        <v>0</v>
      </c>
      <c r="H49" s="65">
        <f t="shared" si="2"/>
        <v>0</v>
      </c>
      <c r="I49" s="65">
        <f t="shared" si="3"/>
        <v>0</v>
      </c>
      <c r="J49" s="203">
        <f>IF(DG!$A$133&lt;=8,$M$17,0)</f>
        <v>0</v>
      </c>
      <c r="K49" s="65">
        <f t="shared" si="7"/>
        <v>0</v>
      </c>
      <c r="L49" s="473">
        <f t="shared" si="8"/>
        <v>0</v>
      </c>
      <c r="M49" s="204">
        <f t="shared" si="9"/>
        <v>0</v>
      </c>
      <c r="N49" s="505">
        <f t="shared" si="10"/>
        <v>0</v>
      </c>
      <c r="O49" s="204">
        <f>IF(DG!$A$133&gt;8,0,IF(J49-J48&gt;0,MROUND((L49/12*Q48),1),MROUND(L49/12*P48,1)))</f>
        <v>0</v>
      </c>
      <c r="P49" s="204">
        <f t="shared" si="11"/>
        <v>0</v>
      </c>
      <c r="Q49" s="204">
        <f t="shared" si="4"/>
        <v>0</v>
      </c>
      <c r="R49" s="748">
        <v>0</v>
      </c>
      <c r="S49" s="511">
        <f>SUM(N38:N49)</f>
        <v>0</v>
      </c>
    </row>
    <row r="50" spans="1:19" ht="14" thickTop="1" thickBot="1">
      <c r="A50" s="202">
        <f t="shared" si="5"/>
        <v>46023</v>
      </c>
      <c r="B50" s="65">
        <f>IF(OR(J$50=0,DG!$A$133&gt;9),0,B49+1)</f>
        <v>0</v>
      </c>
      <c r="C50" s="65">
        <f>IF(F50-$E$269&gt;0,F50-$E$269,0)</f>
        <v>0</v>
      </c>
      <c r="D50" s="65">
        <f t="shared" si="12"/>
        <v>25</v>
      </c>
      <c r="E50" s="65">
        <f t="shared" si="6"/>
        <v>0</v>
      </c>
      <c r="F50" s="65">
        <f>IF(OR(L$50=0,DG!$A$254&gt;9),0,F49+1)</f>
        <v>0</v>
      </c>
      <c r="G50" s="65">
        <f t="shared" si="1"/>
        <v>0</v>
      </c>
      <c r="H50" s="65">
        <f t="shared" si="2"/>
        <v>0</v>
      </c>
      <c r="I50" s="65">
        <f t="shared" si="3"/>
        <v>0</v>
      </c>
      <c r="J50" s="203">
        <f>IF(DG!$A$133&lt;=9,$M$17,0)</f>
        <v>0</v>
      </c>
      <c r="K50" s="65">
        <f t="shared" si="7"/>
        <v>0</v>
      </c>
      <c r="L50" s="473">
        <f t="shared" si="8"/>
        <v>0</v>
      </c>
      <c r="M50" s="204">
        <f t="shared" si="9"/>
        <v>0</v>
      </c>
      <c r="N50" s="505">
        <f t="shared" si="10"/>
        <v>0</v>
      </c>
      <c r="O50" s="204">
        <f>IF(DG!$A$133&gt;9,0,IF(J50-J49&gt;0,MROUND((L50/12*Q49),1),MROUND(L50/12*P49,1)))</f>
        <v>0</v>
      </c>
      <c r="P50" s="204">
        <f t="shared" si="11"/>
        <v>0</v>
      </c>
      <c r="Q50" s="204">
        <f t="shared" si="4"/>
        <v>0</v>
      </c>
      <c r="R50" s="748">
        <v>0</v>
      </c>
    </row>
    <row r="51" spans="1:19" ht="14" thickTop="1" thickBot="1">
      <c r="A51" s="202">
        <f t="shared" si="5"/>
        <v>46054</v>
      </c>
      <c r="B51" s="65">
        <f>IF(OR(J$50=0,DG!$A$133&gt;10),0,B50+1)</f>
        <v>0</v>
      </c>
      <c r="C51" s="65">
        <f t="shared" ref="C51:C114" si="13">IF(F51-$E$269&gt;0,F51-$E$269,0)</f>
        <v>0</v>
      </c>
      <c r="D51" s="65">
        <f t="shared" si="12"/>
        <v>26</v>
      </c>
      <c r="E51" s="65">
        <f t="shared" si="6"/>
        <v>0</v>
      </c>
      <c r="F51" s="65">
        <f>IF(OR(L$51=0,DG!$A$254&gt;9),0,F50+1)</f>
        <v>0</v>
      </c>
      <c r="G51" s="65">
        <f t="shared" si="1"/>
        <v>0</v>
      </c>
      <c r="H51" s="65">
        <f t="shared" si="2"/>
        <v>0</v>
      </c>
      <c r="I51" s="65">
        <f t="shared" si="3"/>
        <v>0</v>
      </c>
      <c r="J51" s="203">
        <f>IF(DG!$A$133&lt;=10,$M$17,0)</f>
        <v>0</v>
      </c>
      <c r="K51" s="65">
        <f t="shared" si="7"/>
        <v>0</v>
      </c>
      <c r="L51" s="473">
        <f t="shared" si="8"/>
        <v>0</v>
      </c>
      <c r="M51" s="204">
        <f t="shared" si="9"/>
        <v>0</v>
      </c>
      <c r="N51" s="505">
        <f t="shared" si="10"/>
        <v>0</v>
      </c>
      <c r="O51" s="204">
        <f>IF(DG!$A$133&gt;9,0,IF(J51-J50&gt;0,MROUND((L51/12*Q50),1),MROUND(L51/12*P50,1)))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IF(OR(L$52=0,DG!$A$254&gt;9),0,F51+1)</f>
        <v>0</v>
      </c>
      <c r="G52" s="65">
        <f t="shared" si="1"/>
        <v>0</v>
      </c>
      <c r="H52" s="65">
        <f t="shared" si="2"/>
        <v>0</v>
      </c>
      <c r="I52" s="65">
        <f t="shared" si="3"/>
        <v>0</v>
      </c>
      <c r="J52" s="203">
        <f>IF(DG!$A$133&lt;=10,$M$17,0)</f>
        <v>0</v>
      </c>
      <c r="K52" s="65">
        <f t="shared" si="7"/>
        <v>0</v>
      </c>
      <c r="L52" s="473">
        <f t="shared" si="8"/>
        <v>0</v>
      </c>
      <c r="M52" s="204">
        <f t="shared" si="9"/>
        <v>0</v>
      </c>
      <c r="N52" s="505">
        <f t="shared" si="10"/>
        <v>0</v>
      </c>
      <c r="O52" s="204">
        <f>IF(DG!$A$133&gt;9,0,IF(J52-J51&gt;0,MROUND((L52/12*Q51),1),MROUND(L52/12*P51,1)))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IF(OR(L$53=0,DG!$A$254&gt;10),0,F52+1)</f>
        <v>0</v>
      </c>
      <c r="G53" s="65">
        <f t="shared" si="1"/>
        <v>0</v>
      </c>
      <c r="H53" s="65">
        <f t="shared" si="2"/>
        <v>0</v>
      </c>
      <c r="I53" s="65">
        <f t="shared" si="3"/>
        <v>0</v>
      </c>
      <c r="J53" s="203">
        <f>IF(DG!$A$133&lt;=10,$M$17,0)</f>
        <v>0</v>
      </c>
      <c r="K53" s="65">
        <f t="shared" si="7"/>
        <v>0</v>
      </c>
      <c r="L53" s="473">
        <f t="shared" si="8"/>
        <v>0</v>
      </c>
      <c r="M53" s="204">
        <f t="shared" si="9"/>
        <v>0</v>
      </c>
      <c r="N53" s="505">
        <f t="shared" si="10"/>
        <v>0</v>
      </c>
      <c r="O53" s="204">
        <f>IF(DG!$A$133&gt;10,0,IF(J53-J52&gt;0,MROUND((L53/12*Q52),1),MROUND(L53/12*P52,1)))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IF(OR(L$54=0,DG!$A$254&gt;10),0,F53+1)</f>
        <v>0</v>
      </c>
      <c r="G54" s="65">
        <f t="shared" si="1"/>
        <v>0</v>
      </c>
      <c r="H54" s="65">
        <f t="shared" si="2"/>
        <v>0</v>
      </c>
      <c r="I54" s="65">
        <f t="shared" si="3"/>
        <v>0</v>
      </c>
      <c r="J54" s="203">
        <f>IF(DG!$A$133&lt;=10,$M$17,0)</f>
        <v>0</v>
      </c>
      <c r="K54" s="65">
        <f t="shared" si="7"/>
        <v>0</v>
      </c>
      <c r="L54" s="473">
        <f t="shared" si="8"/>
        <v>0</v>
      </c>
      <c r="M54" s="204">
        <f t="shared" si="9"/>
        <v>0</v>
      </c>
      <c r="N54" s="505">
        <f t="shared" si="10"/>
        <v>0</v>
      </c>
      <c r="O54" s="204">
        <f>IF(DG!$A$133&gt;10,0,IF(J54-J53&gt;0,MROUND((L54/12*Q53),1),MROUND(L54/12*P53,1)))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IF(OR(L$55=0,DG!$A$254&gt;10),0,F54+1)</f>
        <v>0</v>
      </c>
      <c r="G55" s="65">
        <f t="shared" si="1"/>
        <v>0</v>
      </c>
      <c r="H55" s="65">
        <f t="shared" si="2"/>
        <v>0</v>
      </c>
      <c r="I55" s="65">
        <f t="shared" si="3"/>
        <v>0</v>
      </c>
      <c r="J55" s="203">
        <f>IF(DG!$A$133&lt;=10,$M$17,0)</f>
        <v>0</v>
      </c>
      <c r="K55" s="65">
        <f t="shared" si="7"/>
        <v>0</v>
      </c>
      <c r="L55" s="473">
        <f t="shared" si="8"/>
        <v>0</v>
      </c>
      <c r="M55" s="204">
        <f t="shared" si="9"/>
        <v>0</v>
      </c>
      <c r="N55" s="505">
        <f t="shared" si="10"/>
        <v>0</v>
      </c>
      <c r="O55" s="204">
        <f>IF(DG!$A$133&gt;10,0,IF(J55-J54&gt;0,MROUND((L55/12*Q54),1),MROUND(L55/12*P54,1)))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IF(OR(L$56=0,DG!$A$254&gt;11),0,F55+1)</f>
        <v>0</v>
      </c>
      <c r="G56" s="65">
        <f t="shared" si="1"/>
        <v>0</v>
      </c>
      <c r="H56" s="65">
        <f t="shared" si="2"/>
        <v>0</v>
      </c>
      <c r="I56" s="65">
        <f t="shared" si="3"/>
        <v>0</v>
      </c>
      <c r="J56" s="203">
        <f>IF(DG!$A$133&lt;=10,$M$17,0)</f>
        <v>0</v>
      </c>
      <c r="K56" s="65">
        <f t="shared" si="7"/>
        <v>0</v>
      </c>
      <c r="L56" s="473">
        <f t="shared" si="8"/>
        <v>0</v>
      </c>
      <c r="M56" s="204">
        <f t="shared" si="9"/>
        <v>0</v>
      </c>
      <c r="N56" s="505">
        <f t="shared" si="10"/>
        <v>0</v>
      </c>
      <c r="O56" s="204">
        <f>IF(DG!$A$133&gt;10,0,IF(J56-J55&gt;0,MROUND((L56/12*Q55),1),MROUND(L56/12*P55,1)))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IF(OR(L$57=0,DG!$A$254&gt;11),0,F56+1)</f>
        <v>0</v>
      </c>
      <c r="G57" s="65">
        <f t="shared" si="1"/>
        <v>0</v>
      </c>
      <c r="H57" s="65">
        <f t="shared" si="2"/>
        <v>0</v>
      </c>
      <c r="I57" s="65">
        <f t="shared" si="3"/>
        <v>0</v>
      </c>
      <c r="J57" s="203">
        <f>IF(DG!$A$133&lt;=10,$M$17,0)</f>
        <v>0</v>
      </c>
      <c r="K57" s="65">
        <f t="shared" si="7"/>
        <v>0</v>
      </c>
      <c r="L57" s="473">
        <f t="shared" si="8"/>
        <v>0</v>
      </c>
      <c r="M57" s="204">
        <f t="shared" si="9"/>
        <v>0</v>
      </c>
      <c r="N57" s="505">
        <f t="shared" si="10"/>
        <v>0</v>
      </c>
      <c r="O57" s="204">
        <f>IF(DG!$A$133&gt;10,0,IF(J57-J56&gt;0,MROUND((L57/12*Q56),1),MROUND(L57/12*P56,1)))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IF(OR(L$58=0,DG!$A$254&gt;11),0,F57+1)</f>
        <v>0</v>
      </c>
      <c r="G58" s="65">
        <f t="shared" si="1"/>
        <v>0</v>
      </c>
      <c r="H58" s="65">
        <f t="shared" si="2"/>
        <v>0</v>
      </c>
      <c r="I58" s="65">
        <f t="shared" si="3"/>
        <v>0</v>
      </c>
      <c r="J58" s="203">
        <f>IF(DG!$A$133&lt;=10,$M$17,0)</f>
        <v>0</v>
      </c>
      <c r="K58" s="65">
        <f t="shared" si="7"/>
        <v>0</v>
      </c>
      <c r="L58" s="473">
        <f t="shared" si="8"/>
        <v>0</v>
      </c>
      <c r="M58" s="204">
        <f t="shared" si="9"/>
        <v>0</v>
      </c>
      <c r="N58" s="505">
        <f t="shared" si="10"/>
        <v>0</v>
      </c>
      <c r="O58" s="204">
        <f>IF(DG!$A$133&gt;10,0,IF(J58-J57&gt;0,MROUND((L58/12*Q57),1),MROUND(L58/12*P57,1)))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IF(OR(L$59=0,DG!$A$254&gt;12),0,F58+1)</f>
        <v>0</v>
      </c>
      <c r="G59" s="65">
        <f t="shared" si="1"/>
        <v>0</v>
      </c>
      <c r="H59" s="65">
        <f t="shared" si="2"/>
        <v>0</v>
      </c>
      <c r="I59" s="65">
        <f t="shared" si="3"/>
        <v>0</v>
      </c>
      <c r="J59" s="203">
        <f>IF(DG!$A$133&lt;=10,$M$17,0)</f>
        <v>0</v>
      </c>
      <c r="K59" s="65">
        <f t="shared" si="7"/>
        <v>0</v>
      </c>
      <c r="L59" s="473">
        <f t="shared" si="8"/>
        <v>0</v>
      </c>
      <c r="M59" s="204">
        <f t="shared" si="9"/>
        <v>0</v>
      </c>
      <c r="N59" s="505">
        <f t="shared" si="10"/>
        <v>0</v>
      </c>
      <c r="O59" s="204">
        <f>IF(DG!$A$133&gt;10,0,IF(J59-J58&gt;0,MROUND((L59/12*Q58),1),MROUND(L59/12*P58,1)))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IF(OR(L$60=0,DG!$A$254&gt;12),0,F59+1)</f>
        <v>0</v>
      </c>
      <c r="G60" s="65">
        <f t="shared" si="1"/>
        <v>0</v>
      </c>
      <c r="H60" s="65">
        <f t="shared" si="2"/>
        <v>0</v>
      </c>
      <c r="I60" s="65">
        <f t="shared" si="3"/>
        <v>0</v>
      </c>
      <c r="J60" s="203">
        <f>IF(DG!$A$133&lt;=10,$M$17,0)</f>
        <v>0</v>
      </c>
      <c r="K60" s="65">
        <f t="shared" si="7"/>
        <v>0</v>
      </c>
      <c r="L60" s="473">
        <f t="shared" si="8"/>
        <v>0</v>
      </c>
      <c r="M60" s="204">
        <f t="shared" si="9"/>
        <v>0</v>
      </c>
      <c r="N60" s="505">
        <f t="shared" si="10"/>
        <v>0</v>
      </c>
      <c r="O60" s="204">
        <f>IF(DG!$A$133&gt;10,0,IF(J60-J59&gt;0,MROUND((L60/12*Q59),1),MROUND(L60/12*P59,1)))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IF(OR(L$61=0,DG!$A$254&gt;12),0,F60+1)</f>
        <v>0</v>
      </c>
      <c r="G61" s="65">
        <f t="shared" si="1"/>
        <v>0</v>
      </c>
      <c r="H61" s="65">
        <f t="shared" si="2"/>
        <v>0</v>
      </c>
      <c r="I61" s="65">
        <f t="shared" si="3"/>
        <v>0</v>
      </c>
      <c r="J61" s="203">
        <f>IF(DG!$A$133&lt;=10,$M$17,0)</f>
        <v>0</v>
      </c>
      <c r="K61" s="65">
        <f t="shared" si="7"/>
        <v>0</v>
      </c>
      <c r="L61" s="473">
        <f t="shared" si="8"/>
        <v>0</v>
      </c>
      <c r="M61" s="204">
        <f t="shared" si="9"/>
        <v>0</v>
      </c>
      <c r="N61" s="505">
        <f t="shared" si="10"/>
        <v>0</v>
      </c>
      <c r="O61" s="204">
        <f>IF(DG!$A$133&gt;10,0,IF(J61-J60&gt;0,MROUND((L61/12*Q60),1),MROUND(L61/12*P60,1)))</f>
        <v>0</v>
      </c>
      <c r="P61" s="204">
        <f t="shared" si="11"/>
        <v>0</v>
      </c>
      <c r="Q61" s="204">
        <f t="shared" si="4"/>
        <v>0</v>
      </c>
      <c r="R61" s="748">
        <v>0</v>
      </c>
      <c r="S61" s="511">
        <f>SUM(N50:N61)</f>
        <v>0</v>
      </c>
    </row>
    <row r="62" spans="1:19" ht="14" thickTop="1" thickBot="1">
      <c r="A62" s="202">
        <f t="shared" si="5"/>
        <v>46388</v>
      </c>
      <c r="B62" s="65">
        <f>IF(OR(J$62=0,DG!$A$133&gt;11),0,B61+1)</f>
        <v>0</v>
      </c>
      <c r="C62" s="65">
        <f t="shared" si="13"/>
        <v>0</v>
      </c>
      <c r="D62" s="65">
        <f t="shared" si="12"/>
        <v>37</v>
      </c>
      <c r="E62" s="65">
        <f t="shared" si="6"/>
        <v>0</v>
      </c>
      <c r="F62" s="65">
        <f>IF(OR(L$62=0,DG!$A$254&gt;13),0,F61+1)</f>
        <v>0</v>
      </c>
      <c r="G62" s="65">
        <f t="shared" si="1"/>
        <v>0</v>
      </c>
      <c r="H62" s="65">
        <f t="shared" si="2"/>
        <v>0</v>
      </c>
      <c r="I62" s="65">
        <f t="shared" si="3"/>
        <v>0</v>
      </c>
      <c r="J62" s="203">
        <f>IF(DG!$A$133&lt;=11,$M$17,0)</f>
        <v>0</v>
      </c>
      <c r="K62" s="65">
        <f t="shared" si="7"/>
        <v>0</v>
      </c>
      <c r="L62" s="473">
        <f t="shared" si="8"/>
        <v>0</v>
      </c>
      <c r="M62" s="204">
        <f t="shared" si="9"/>
        <v>0</v>
      </c>
      <c r="N62" s="505">
        <f t="shared" si="10"/>
        <v>0</v>
      </c>
      <c r="O62" s="204">
        <f>IF(DG!$A$133&gt;10,0,IF(J62-J61&gt;0,MROUND((L62/12*Q61),1),MROUND(L62/12*P61,1)))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IF(OR(L$63=0,DG!$A$254&gt;13),0,F62+1)</f>
        <v>0</v>
      </c>
      <c r="G63" s="65">
        <f t="shared" si="1"/>
        <v>0</v>
      </c>
      <c r="H63" s="65">
        <f t="shared" si="2"/>
        <v>0</v>
      </c>
      <c r="I63" s="65">
        <f t="shared" si="3"/>
        <v>0</v>
      </c>
      <c r="J63" s="203">
        <f>IF(DG!$A$133&lt;=11,$M$17,0)</f>
        <v>0</v>
      </c>
      <c r="K63" s="65">
        <f t="shared" si="7"/>
        <v>0</v>
      </c>
      <c r="L63" s="473">
        <f t="shared" si="8"/>
        <v>0</v>
      </c>
      <c r="M63" s="204">
        <f t="shared" si="9"/>
        <v>0</v>
      </c>
      <c r="N63" s="505">
        <f t="shared" si="10"/>
        <v>0</v>
      </c>
      <c r="O63" s="204">
        <f>IF(DG!$A$133&gt;10,0,IF(J63-J62&gt;0,MROUND((L63/12*Q62),1),MROUND(L63/12*P62,1)))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IF(OR(L$64=0,DG!$A$254&gt;13),0,F63+1)</f>
        <v>0</v>
      </c>
      <c r="G64" s="65">
        <f t="shared" si="1"/>
        <v>0</v>
      </c>
      <c r="H64" s="65">
        <f t="shared" si="2"/>
        <v>0</v>
      </c>
      <c r="I64" s="65">
        <f>IF(OR(G64=1,C64=0),0,IF(K64-C64&lt;$G$269,1,-1))</f>
        <v>0</v>
      </c>
      <c r="J64" s="203">
        <f>IF(DG!$A$133&lt;=11,$M$17,0)</f>
        <v>0</v>
      </c>
      <c r="K64" s="65">
        <f t="shared" si="7"/>
        <v>0</v>
      </c>
      <c r="L64" s="473">
        <f t="shared" si="8"/>
        <v>0</v>
      </c>
      <c r="M64" s="204">
        <f t="shared" si="9"/>
        <v>0</v>
      </c>
      <c r="N64" s="505">
        <f t="shared" si="10"/>
        <v>0</v>
      </c>
      <c r="O64" s="204">
        <f>IF(DG!$A$133&gt;10,0,IF(J64-J63&gt;0,MROUND((L64/12*Q63),1),MROUND(L64/12*P63,1)))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IF(OR(L$65=0,DG!$A$254&gt;14),0,F64+1)</f>
        <v>0</v>
      </c>
      <c r="G65" s="65">
        <f t="shared" si="1"/>
        <v>0</v>
      </c>
      <c r="H65" s="65">
        <f t="shared" si="2"/>
        <v>0</v>
      </c>
      <c r="I65" s="65">
        <f t="shared" ref="I65:I128" si="16">IF(OR(G65=1,C65=0),0,IF(K65-C65&lt;$G$269,1,-1))</f>
        <v>0</v>
      </c>
      <c r="J65" s="203">
        <f>IF(DG!$A$133&lt;=11,$M$17,0)</f>
        <v>0</v>
      </c>
      <c r="K65" s="65">
        <f t="shared" si="7"/>
        <v>0</v>
      </c>
      <c r="L65" s="473">
        <f t="shared" si="8"/>
        <v>0</v>
      </c>
      <c r="M65" s="204">
        <f t="shared" si="9"/>
        <v>0</v>
      </c>
      <c r="N65" s="505">
        <f t="shared" si="10"/>
        <v>0</v>
      </c>
      <c r="O65" s="204">
        <f>IF(DG!$A$133&gt;11,0,IF(J65-J64&gt;0,MROUND((L65/12*Q64),1),MROUND(L65/12*P64,1)))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IF(OR(L$66=0,DG!$A$254&gt;14),0,F65+1)</f>
        <v>0</v>
      </c>
      <c r="G66" s="65">
        <f t="shared" si="1"/>
        <v>0</v>
      </c>
      <c r="H66" s="65">
        <f t="shared" si="2"/>
        <v>0</v>
      </c>
      <c r="I66" s="65">
        <f t="shared" si="16"/>
        <v>0</v>
      </c>
      <c r="J66" s="203">
        <f>IF(DG!$A$133&lt;=11,$M$17,0)</f>
        <v>0</v>
      </c>
      <c r="K66" s="65">
        <f t="shared" si="7"/>
        <v>0</v>
      </c>
      <c r="L66" s="473">
        <f t="shared" si="8"/>
        <v>0</v>
      </c>
      <c r="M66" s="204">
        <f t="shared" si="9"/>
        <v>0</v>
      </c>
      <c r="N66" s="505">
        <f t="shared" si="10"/>
        <v>0</v>
      </c>
      <c r="O66" s="204">
        <f>IF(DG!$A$133&gt;11,0,IF(J66-J65&gt;0,MROUND((L66/12*Q65),1),MROUND(L66/12*P65,1)))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IF(OR(L$67=0,DG!$A$254&gt;14),0,F66+1)</f>
        <v>0</v>
      </c>
      <c r="G67" s="65">
        <f t="shared" si="1"/>
        <v>0</v>
      </c>
      <c r="H67" s="65">
        <f t="shared" si="2"/>
        <v>0</v>
      </c>
      <c r="I67" s="65">
        <f t="shared" si="16"/>
        <v>0</v>
      </c>
      <c r="J67" s="203">
        <f>IF(DG!$A$133&lt;=11,$M$17,0)</f>
        <v>0</v>
      </c>
      <c r="K67" s="65">
        <f t="shared" si="7"/>
        <v>0</v>
      </c>
      <c r="L67" s="473">
        <f t="shared" si="8"/>
        <v>0</v>
      </c>
      <c r="M67" s="204">
        <f t="shared" si="9"/>
        <v>0</v>
      </c>
      <c r="N67" s="505">
        <f t="shared" si="10"/>
        <v>0</v>
      </c>
      <c r="O67" s="204">
        <f>IF(DG!$A$133&gt;11,0,IF(J67-J66&gt;0,MROUND((L67/12*Q66),1),MROUND(L67/12*P66,1)))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IF(OR(L$68=0,DG!$A$254&gt;15),0,F67+1)</f>
        <v>0</v>
      </c>
      <c r="G68" s="65">
        <f t="shared" si="1"/>
        <v>0</v>
      </c>
      <c r="H68" s="65">
        <f t="shared" si="2"/>
        <v>0</v>
      </c>
      <c r="I68" s="65">
        <f t="shared" si="16"/>
        <v>0</v>
      </c>
      <c r="J68" s="203">
        <f>IF(DG!$A$133&lt;=11,$M$17,0)</f>
        <v>0</v>
      </c>
      <c r="K68" s="65">
        <f t="shared" si="7"/>
        <v>0</v>
      </c>
      <c r="L68" s="473">
        <f t="shared" si="8"/>
        <v>0</v>
      </c>
      <c r="M68" s="204">
        <f t="shared" si="9"/>
        <v>0</v>
      </c>
      <c r="N68" s="505">
        <f t="shared" si="10"/>
        <v>0</v>
      </c>
      <c r="O68" s="204">
        <f>IF(DG!$A$133&gt;11,0,IF(J68-J67&gt;0,MROUND((L68/12*Q67),1),MROUND(L68/12*P67,1)))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IF(OR(L$69=0,DG!$A$254&gt;15),0,F68+1)</f>
        <v>0</v>
      </c>
      <c r="G69" s="65">
        <f t="shared" si="1"/>
        <v>0</v>
      </c>
      <c r="H69" s="65">
        <f t="shared" si="2"/>
        <v>0</v>
      </c>
      <c r="I69" s="65">
        <f t="shared" si="16"/>
        <v>0</v>
      </c>
      <c r="J69" s="203">
        <f>IF(DG!$A$133&lt;=11,$M$17,0)</f>
        <v>0</v>
      </c>
      <c r="K69" s="65">
        <f t="shared" si="7"/>
        <v>0</v>
      </c>
      <c r="L69" s="473">
        <f t="shared" si="8"/>
        <v>0</v>
      </c>
      <c r="M69" s="204">
        <f t="shared" si="9"/>
        <v>0</v>
      </c>
      <c r="N69" s="505">
        <f t="shared" si="10"/>
        <v>0</v>
      </c>
      <c r="O69" s="204">
        <f>IF(DG!$A$133&gt;11,0,IF(J69-J68&gt;0,MROUND((L69/12*Q68),1),MROUND(L69/12*P68,1)))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IF(OR(L$70=0,DG!$A$254&gt;15),0,F69+1)</f>
        <v>0</v>
      </c>
      <c r="G70" s="65">
        <f t="shared" si="1"/>
        <v>0</v>
      </c>
      <c r="H70" s="65">
        <f t="shared" si="2"/>
        <v>0</v>
      </c>
      <c r="I70" s="65">
        <f t="shared" si="16"/>
        <v>0</v>
      </c>
      <c r="J70" s="203">
        <f>IF(DG!$A$133&lt;=11,$M$17,0)</f>
        <v>0</v>
      </c>
      <c r="K70" s="65">
        <f t="shared" si="7"/>
        <v>0</v>
      </c>
      <c r="L70" s="473">
        <f t="shared" si="8"/>
        <v>0</v>
      </c>
      <c r="M70" s="204">
        <f t="shared" si="9"/>
        <v>0</v>
      </c>
      <c r="N70" s="505">
        <f t="shared" si="10"/>
        <v>0</v>
      </c>
      <c r="O70" s="204">
        <f>IF(DG!$A$133&gt;11,0,IF(J70-J69&gt;0,MROUND((L70/12*Q69),1),MROUND(L70/12*P69,1)))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IF(OR(L$71=0,DG!$A$254&gt;16),0,F70+1)</f>
        <v>0</v>
      </c>
      <c r="G71" s="65">
        <f t="shared" si="1"/>
        <v>0</v>
      </c>
      <c r="H71" s="65">
        <f t="shared" si="2"/>
        <v>0</v>
      </c>
      <c r="I71" s="65">
        <f t="shared" si="16"/>
        <v>0</v>
      </c>
      <c r="J71" s="203">
        <f>IF(DG!$A$133&lt;=11,$M$17,0)</f>
        <v>0</v>
      </c>
      <c r="K71" s="65">
        <f t="shared" si="7"/>
        <v>0</v>
      </c>
      <c r="L71" s="473">
        <f t="shared" si="8"/>
        <v>0</v>
      </c>
      <c r="M71" s="204">
        <f t="shared" si="9"/>
        <v>0</v>
      </c>
      <c r="N71" s="505">
        <f t="shared" si="10"/>
        <v>0</v>
      </c>
      <c r="O71" s="204">
        <f>IF(DG!$A$133&gt;11,0,IF(J71-J70&gt;0,MROUND((L71/12*Q70),1),MROUND(L71/12*P70,1)))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IF(OR(L$72=0,DG!$A$254&gt;16),0,F71+1)</f>
        <v>0</v>
      </c>
      <c r="G72" s="65">
        <f t="shared" si="1"/>
        <v>0</v>
      </c>
      <c r="H72" s="65">
        <f t="shared" si="2"/>
        <v>0</v>
      </c>
      <c r="I72" s="65">
        <f t="shared" si="16"/>
        <v>0</v>
      </c>
      <c r="J72" s="203">
        <f>IF(DG!$A$133&lt;=11,$M$17,0)</f>
        <v>0</v>
      </c>
      <c r="K72" s="65">
        <f t="shared" si="7"/>
        <v>0</v>
      </c>
      <c r="L72" s="473">
        <f t="shared" si="8"/>
        <v>0</v>
      </c>
      <c r="M72" s="204">
        <f t="shared" si="9"/>
        <v>0</v>
      </c>
      <c r="N72" s="505">
        <f t="shared" si="10"/>
        <v>0</v>
      </c>
      <c r="O72" s="204">
        <f>IF(DG!$A$133&gt;11,0,IF(J72-J71&gt;0,MROUND((L72/12*Q71),1),MROUND(L72/12*P71,1)))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IF(OR(L$73=0,DG!$A$254&gt;16),0,F72+1)</f>
        <v>0</v>
      </c>
      <c r="G73" s="65">
        <f t="shared" si="1"/>
        <v>0</v>
      </c>
      <c r="H73" s="65">
        <f t="shared" si="2"/>
        <v>0</v>
      </c>
      <c r="I73" s="65">
        <f t="shared" si="16"/>
        <v>0</v>
      </c>
      <c r="J73" s="203">
        <f>IF(DG!$A$133&lt;=11,$M$17,0)</f>
        <v>0</v>
      </c>
      <c r="K73" s="65">
        <f t="shared" si="7"/>
        <v>0</v>
      </c>
      <c r="L73" s="473">
        <f t="shared" si="8"/>
        <v>0</v>
      </c>
      <c r="M73" s="204">
        <f t="shared" si="9"/>
        <v>0</v>
      </c>
      <c r="N73" s="505">
        <f t="shared" si="10"/>
        <v>0</v>
      </c>
      <c r="O73" s="204">
        <f>IF(DG!$A$133&gt;11,0,IF(J73-J72&gt;0,MROUND((L73/12*Q72),1),MROUND(L73/12*P72,1)))</f>
        <v>0</v>
      </c>
      <c r="P73" s="204">
        <f t="shared" si="11"/>
        <v>0</v>
      </c>
      <c r="Q73" s="204">
        <f t="shared" si="4"/>
        <v>0</v>
      </c>
      <c r="R73" s="748">
        <v>0</v>
      </c>
      <c r="S73" s="511">
        <f>SUM(N62:N73)</f>
        <v>0</v>
      </c>
    </row>
    <row r="74" spans="1:19" ht="14" thickTop="1" thickBot="1">
      <c r="A74" s="202">
        <f t="shared" si="5"/>
        <v>46753</v>
      </c>
      <c r="B74" s="65">
        <f>IF(OR(J$73=0,DG!$A$133&gt;12),0,B73+1)</f>
        <v>0</v>
      </c>
      <c r="C74" s="65">
        <f t="shared" si="13"/>
        <v>0</v>
      </c>
      <c r="D74" s="65">
        <f t="shared" si="12"/>
        <v>49</v>
      </c>
      <c r="E74" s="65">
        <f t="shared" si="6"/>
        <v>0</v>
      </c>
      <c r="F74" s="65">
        <f>IF(OR(L$73=0,DG!$A$254&gt;16),0,F73+1)</f>
        <v>0</v>
      </c>
      <c r="G74" s="65">
        <f t="shared" si="1"/>
        <v>0</v>
      </c>
      <c r="H74" s="65">
        <f t="shared" si="2"/>
        <v>0</v>
      </c>
      <c r="I74" s="65">
        <f t="shared" si="16"/>
        <v>0</v>
      </c>
      <c r="J74" s="203">
        <f>IF(DG!$A$133&lt;=12,$M$17,0)</f>
        <v>0</v>
      </c>
      <c r="K74" s="65">
        <f t="shared" si="7"/>
        <v>0</v>
      </c>
      <c r="L74" s="473">
        <f t="shared" si="8"/>
        <v>0</v>
      </c>
      <c r="M74" s="204">
        <f t="shared" si="9"/>
        <v>0</v>
      </c>
      <c r="N74" s="505">
        <f t="shared" si="10"/>
        <v>0</v>
      </c>
      <c r="O74" s="204">
        <f>IF(DG!$A$133&gt;11,0,IF(J74-J73&gt;0,MROUND((L74/12*Q73),1),MROUND(L74/12*P73,1)))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IF(OR(L$73=0,DG!$A$254&gt;16),0,F74+1)</f>
        <v>0</v>
      </c>
      <c r="G75" s="65">
        <f t="shared" si="1"/>
        <v>0</v>
      </c>
      <c r="H75" s="65">
        <f t="shared" si="2"/>
        <v>0</v>
      </c>
      <c r="I75" s="65">
        <f t="shared" si="16"/>
        <v>0</v>
      </c>
      <c r="J75" s="203">
        <f>IF(DG!$A$133&lt;=12,$M$17,0)</f>
        <v>0</v>
      </c>
      <c r="K75" s="65">
        <f t="shared" si="7"/>
        <v>0</v>
      </c>
      <c r="L75" s="473">
        <f t="shared" si="8"/>
        <v>0</v>
      </c>
      <c r="M75" s="204">
        <f t="shared" si="9"/>
        <v>0</v>
      </c>
      <c r="N75" s="505">
        <f t="shared" si="10"/>
        <v>0</v>
      </c>
      <c r="O75" s="204">
        <f>IF(DG!$A$133&gt;11,0,IF(J75-J74&gt;0,MROUND((L75/12*Q74),1),MROUND(L75/12*P74,1)))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IF(OR(L$73=0,DG!$A$254&gt;16),0,F75+1)</f>
        <v>0</v>
      </c>
      <c r="G76" s="65">
        <f t="shared" si="1"/>
        <v>0</v>
      </c>
      <c r="H76" s="65">
        <f t="shared" si="2"/>
        <v>0</v>
      </c>
      <c r="I76" s="65">
        <f t="shared" si="16"/>
        <v>0</v>
      </c>
      <c r="J76" s="203">
        <f>IF(DG!$A$133&lt;=11,$M$17,0)</f>
        <v>0</v>
      </c>
      <c r="K76" s="65">
        <f t="shared" si="7"/>
        <v>0</v>
      </c>
      <c r="L76" s="473">
        <f t="shared" si="8"/>
        <v>0</v>
      </c>
      <c r="M76" s="204">
        <f t="shared" si="9"/>
        <v>0</v>
      </c>
      <c r="N76" s="505">
        <f t="shared" si="10"/>
        <v>0</v>
      </c>
      <c r="O76" s="204">
        <f>IF(DG!$A$133&gt;11,0,IF(J76-J75&gt;0,MROUND((L76/12*Q75),1),MROUND(L76/12*P75,1)))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IF(OR(L$73=0,DG!$A$254&gt;16),0,F76+1)</f>
        <v>0</v>
      </c>
      <c r="G77" s="65">
        <f t="shared" si="1"/>
        <v>0</v>
      </c>
      <c r="H77" s="65">
        <f t="shared" si="2"/>
        <v>0</v>
      </c>
      <c r="I77" s="65">
        <f t="shared" si="16"/>
        <v>0</v>
      </c>
      <c r="J77" s="203">
        <f>IF(DG!$A$133&lt;=11,$M$17,0)</f>
        <v>0</v>
      </c>
      <c r="K77" s="65">
        <f t="shared" si="7"/>
        <v>0</v>
      </c>
      <c r="L77" s="473">
        <f t="shared" si="8"/>
        <v>0</v>
      </c>
      <c r="M77" s="204">
        <f t="shared" si="9"/>
        <v>0</v>
      </c>
      <c r="N77" s="505">
        <f t="shared" si="10"/>
        <v>0</v>
      </c>
      <c r="O77" s="204">
        <f>IF(DG!$A$133&gt;12,0,IF(J77-J76&gt;0,MROUND((L77/12*Q76),1),MROUND(L77/12*P76,1)))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IF(OR(L$73=0,DG!$A$254&gt;16),0,F77+1)</f>
        <v>0</v>
      </c>
      <c r="G78" s="65">
        <f t="shared" si="1"/>
        <v>0</v>
      </c>
      <c r="H78" s="65">
        <f t="shared" si="2"/>
        <v>0</v>
      </c>
      <c r="I78" s="65">
        <f t="shared" si="16"/>
        <v>0</v>
      </c>
      <c r="J78" s="203">
        <f>IF(DG!$A$133&lt;=11,$M$17,0)</f>
        <v>0</v>
      </c>
      <c r="K78" s="65">
        <f t="shared" si="7"/>
        <v>0</v>
      </c>
      <c r="L78" s="473">
        <f t="shared" si="8"/>
        <v>0</v>
      </c>
      <c r="M78" s="204">
        <f t="shared" si="9"/>
        <v>0</v>
      </c>
      <c r="N78" s="505">
        <f t="shared" si="10"/>
        <v>0</v>
      </c>
      <c r="O78" s="204">
        <f>IF(DG!$A$133&gt;12,0,IF(J78-J77&gt;0,MROUND((L78/12*Q77),1),MROUND(L78/12*P77,1)))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IF(OR(L$73=0,DG!$A$254&gt;16),0,F78+1)</f>
        <v>0</v>
      </c>
      <c r="G79" s="65">
        <f t="shared" si="1"/>
        <v>0</v>
      </c>
      <c r="H79" s="65">
        <f t="shared" si="2"/>
        <v>0</v>
      </c>
      <c r="I79" s="65">
        <f t="shared" si="16"/>
        <v>0</v>
      </c>
      <c r="J79" s="203">
        <f>IF(DG!$A$133&lt;=11,$M$17,0)</f>
        <v>0</v>
      </c>
      <c r="K79" s="65">
        <f t="shared" si="7"/>
        <v>0</v>
      </c>
      <c r="L79" s="473">
        <f t="shared" si="8"/>
        <v>0</v>
      </c>
      <c r="M79" s="204">
        <f t="shared" si="9"/>
        <v>0</v>
      </c>
      <c r="N79" s="505">
        <f t="shared" si="10"/>
        <v>0</v>
      </c>
      <c r="O79" s="204">
        <f>IF(DG!$A$133&gt;12,0,IF(J79-J78&gt;0,MROUND((L79/12*Q78),1),MROUND(L79/12*P78,1)))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IF(OR(L$73=0,DG!$A$254&gt;16),0,F79+1)</f>
        <v>0</v>
      </c>
      <c r="G80" s="65">
        <f t="shared" si="1"/>
        <v>0</v>
      </c>
      <c r="H80" s="65">
        <f t="shared" si="2"/>
        <v>0</v>
      </c>
      <c r="I80" s="65">
        <f t="shared" si="16"/>
        <v>0</v>
      </c>
      <c r="J80" s="203">
        <f>IF(DG!$A$133&lt;=11,$M$17,0)</f>
        <v>0</v>
      </c>
      <c r="K80" s="65">
        <f t="shared" si="7"/>
        <v>0</v>
      </c>
      <c r="L80" s="473">
        <f t="shared" si="8"/>
        <v>0</v>
      </c>
      <c r="M80" s="204">
        <f t="shared" si="9"/>
        <v>0</v>
      </c>
      <c r="N80" s="505">
        <f t="shared" si="10"/>
        <v>0</v>
      </c>
      <c r="O80" s="204">
        <f>IF(DG!$A$133&gt;12,0,IF(J80-J79&gt;0,MROUND((L80/12*Q79),1),MROUND(L80/12*P79,1)))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IF(OR(L$73=0,DG!$A$254&gt;16),0,F80+1)</f>
        <v>0</v>
      </c>
      <c r="G81" s="65">
        <f t="shared" si="1"/>
        <v>0</v>
      </c>
      <c r="H81" s="65">
        <f t="shared" si="2"/>
        <v>0</v>
      </c>
      <c r="I81" s="65">
        <f t="shared" si="16"/>
        <v>0</v>
      </c>
      <c r="J81" s="203">
        <f>IF(DG!$A$133&lt;=11,$M$17,0)</f>
        <v>0</v>
      </c>
      <c r="K81" s="65">
        <f t="shared" si="7"/>
        <v>0</v>
      </c>
      <c r="L81" s="473">
        <f t="shared" si="8"/>
        <v>0</v>
      </c>
      <c r="M81" s="204">
        <f t="shared" si="9"/>
        <v>0</v>
      </c>
      <c r="N81" s="505">
        <f t="shared" si="10"/>
        <v>0</v>
      </c>
      <c r="O81" s="204">
        <f>IF(DG!$A$133&gt;12,0,IF(J81-J80&gt;0,MROUND((L81/12*Q80),1),MROUND(L81/12*P80,1)))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IF(OR(L$73=0,DG!$A$254&gt;16),0,F81+1)</f>
        <v>0</v>
      </c>
      <c r="G82" s="65">
        <f t="shared" si="1"/>
        <v>0</v>
      </c>
      <c r="H82" s="65">
        <f t="shared" si="2"/>
        <v>0</v>
      </c>
      <c r="I82" s="65">
        <f t="shared" si="16"/>
        <v>0</v>
      </c>
      <c r="J82" s="203">
        <f>IF(DG!$A$133&lt;=11,$M$17,0)</f>
        <v>0</v>
      </c>
      <c r="K82" s="65">
        <f t="shared" si="7"/>
        <v>0</v>
      </c>
      <c r="L82" s="473">
        <f t="shared" si="8"/>
        <v>0</v>
      </c>
      <c r="M82" s="204">
        <f t="shared" si="9"/>
        <v>0</v>
      </c>
      <c r="N82" s="505">
        <f t="shared" si="10"/>
        <v>0</v>
      </c>
      <c r="O82" s="204">
        <f>IF(DG!$A$133&gt;12,0,IF(J82-J81&gt;0,MROUND((L82/12*Q81),1),MROUND(L82/12*P81,1)))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IF(OR(L$73=0,DG!$A$254&gt;16),0,F82+1)</f>
        <v>0</v>
      </c>
      <c r="G83" s="65">
        <f t="shared" si="1"/>
        <v>0</v>
      </c>
      <c r="H83" s="65">
        <f t="shared" si="2"/>
        <v>0</v>
      </c>
      <c r="I83" s="65">
        <f t="shared" si="16"/>
        <v>0</v>
      </c>
      <c r="J83" s="203">
        <f>IF(DG!$A$133&lt;=11,$M$17,0)</f>
        <v>0</v>
      </c>
      <c r="K83" s="65">
        <f t="shared" si="7"/>
        <v>0</v>
      </c>
      <c r="L83" s="473">
        <f t="shared" si="8"/>
        <v>0</v>
      </c>
      <c r="M83" s="204">
        <f t="shared" si="9"/>
        <v>0</v>
      </c>
      <c r="N83" s="505">
        <f t="shared" si="10"/>
        <v>0</v>
      </c>
      <c r="O83" s="204">
        <f>IF(DG!$A$133&gt;12,0,IF(J83-J82&gt;0,MROUND((L83/12*Q82),1),MROUND(L83/12*P82,1)))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IF(OR(L$73=0,DG!$A$254&gt;16),0,F83+1)</f>
        <v>0</v>
      </c>
      <c r="G84" s="65">
        <f t="shared" si="1"/>
        <v>0</v>
      </c>
      <c r="H84" s="65">
        <f t="shared" si="2"/>
        <v>0</v>
      </c>
      <c r="I84" s="65">
        <f t="shared" si="16"/>
        <v>0</v>
      </c>
      <c r="J84" s="203">
        <f>IF(DG!$A$133&lt;=11,$M$17,0)</f>
        <v>0</v>
      </c>
      <c r="K84" s="65">
        <f t="shared" si="7"/>
        <v>0</v>
      </c>
      <c r="L84" s="473">
        <f t="shared" si="8"/>
        <v>0</v>
      </c>
      <c r="M84" s="204">
        <f t="shared" si="9"/>
        <v>0</v>
      </c>
      <c r="N84" s="505">
        <f t="shared" si="10"/>
        <v>0</v>
      </c>
      <c r="O84" s="204">
        <f>IF(DG!$A$133&gt;12,0,IF(J84-J83&gt;0,MROUND((L84/12*Q83),1),MROUND(L84/12*P83,1)))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IF(OR(L$73=0,DG!$A$254&gt;16),0,F84+1)</f>
        <v>0</v>
      </c>
      <c r="G85" s="65">
        <f t="shared" si="1"/>
        <v>0</v>
      </c>
      <c r="H85" s="65">
        <f t="shared" si="2"/>
        <v>0</v>
      </c>
      <c r="I85" s="65">
        <f t="shared" si="16"/>
        <v>0</v>
      </c>
      <c r="J85" s="203">
        <f>IF(DG!$A$133&lt;=11,$M$17,0)</f>
        <v>0</v>
      </c>
      <c r="K85" s="65">
        <f t="shared" si="7"/>
        <v>0</v>
      </c>
      <c r="L85" s="473">
        <f t="shared" si="8"/>
        <v>0</v>
      </c>
      <c r="M85" s="204">
        <f t="shared" si="9"/>
        <v>0</v>
      </c>
      <c r="N85" s="505">
        <f t="shared" si="10"/>
        <v>0</v>
      </c>
      <c r="O85" s="204">
        <f>IF(DG!$A$133&gt;12,0,IF(J85-J84&gt;0,MROUND((L85/12*Q84),1),MROUND(L85/12*P84,1)))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IF(OR(L$73=0,DG!$A$254&gt;16),0,F85+1)</f>
        <v>0</v>
      </c>
      <c r="G86" s="65">
        <f t="shared" si="1"/>
        <v>0</v>
      </c>
      <c r="H86" s="65">
        <f t="shared" si="2"/>
        <v>0</v>
      </c>
      <c r="I86" s="65">
        <f t="shared" si="16"/>
        <v>0</v>
      </c>
      <c r="J86" s="203">
        <f>IF(DG!$A$133&lt;=11,$M$17,0)</f>
        <v>0</v>
      </c>
      <c r="K86" s="65">
        <f t="shared" si="7"/>
        <v>0</v>
      </c>
      <c r="L86" s="473">
        <f t="shared" si="8"/>
        <v>0</v>
      </c>
      <c r="M86" s="204">
        <f t="shared" si="9"/>
        <v>0</v>
      </c>
      <c r="N86" s="505">
        <f t="shared" si="10"/>
        <v>0</v>
      </c>
      <c r="O86" s="204">
        <f>IF(DG!$A$133&gt;12,0,IF(J86-J85&gt;0,MROUND((L86/12*Q85),1),MROUND(L86/12*P85,1)))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IF(OR(L$73=0,DG!$A$254&gt;16),0,F86+1)</f>
        <v>0</v>
      </c>
      <c r="G87" s="65">
        <f t="shared" si="1"/>
        <v>0</v>
      </c>
      <c r="H87" s="65">
        <f t="shared" si="2"/>
        <v>0</v>
      </c>
      <c r="I87" s="65">
        <f t="shared" si="16"/>
        <v>0</v>
      </c>
      <c r="J87" s="203">
        <f>IF(DG!$A$133&lt;=11,$M$17,0)</f>
        <v>0</v>
      </c>
      <c r="K87" s="65">
        <f t="shared" si="7"/>
        <v>0</v>
      </c>
      <c r="L87" s="473">
        <f t="shared" si="8"/>
        <v>0</v>
      </c>
      <c r="M87" s="204">
        <f t="shared" si="9"/>
        <v>0</v>
      </c>
      <c r="N87" s="505">
        <f t="shared" si="10"/>
        <v>0</v>
      </c>
      <c r="O87" s="204">
        <f>IF(DG!$A$133&gt;12,0,IF(J87-J86&gt;0,MROUND((L87/12*Q86),1),MROUND(L87/12*P86,1)))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IF(OR(L$73=0,DG!$A$254&gt;16),0,F87+1)</f>
        <v>0</v>
      </c>
      <c r="G88" s="65">
        <f t="shared" si="1"/>
        <v>0</v>
      </c>
      <c r="H88" s="65">
        <f t="shared" si="2"/>
        <v>0</v>
      </c>
      <c r="I88" s="65">
        <f t="shared" si="16"/>
        <v>0</v>
      </c>
      <c r="J88" s="203">
        <f>IF(DG!$A$133&lt;=11,$M$17,0)</f>
        <v>0</v>
      </c>
      <c r="K88" s="65">
        <f t="shared" si="7"/>
        <v>0</v>
      </c>
      <c r="L88" s="473">
        <f t="shared" si="8"/>
        <v>0</v>
      </c>
      <c r="M88" s="204">
        <f t="shared" si="9"/>
        <v>0</v>
      </c>
      <c r="N88" s="505">
        <f t="shared" si="10"/>
        <v>0</v>
      </c>
      <c r="O88" s="204">
        <f>IF(DG!$A$133&gt;12,0,IF(J88-J87&gt;0,MROUND((L88/12*Q87),1),MROUND(L88/12*P87,1)))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IF(OR(L$73=0,DG!$A$254&gt;16),0,F88+1)</f>
        <v>0</v>
      </c>
      <c r="G89" s="65">
        <f t="shared" si="1"/>
        <v>0</v>
      </c>
      <c r="H89" s="65">
        <f t="shared" si="2"/>
        <v>0</v>
      </c>
      <c r="I89" s="65">
        <f t="shared" si="16"/>
        <v>0</v>
      </c>
      <c r="J89" s="203">
        <f>IF(DG!$A$133&lt;=11,$M$17,0)</f>
        <v>0</v>
      </c>
      <c r="K89" s="65">
        <f t="shared" si="7"/>
        <v>0</v>
      </c>
      <c r="L89" s="473">
        <f t="shared" si="8"/>
        <v>0</v>
      </c>
      <c r="M89" s="204">
        <f t="shared" si="9"/>
        <v>0</v>
      </c>
      <c r="N89" s="505">
        <f t="shared" si="10"/>
        <v>0</v>
      </c>
      <c r="O89" s="204">
        <f>IF(DG!$A$133&gt;12,0,IF(J89-J88&gt;0,MROUND((L89/12*Q88),1),MROUND(L89/12*P88,1)))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IF(OR(L$73=0,DG!$A$254&gt;16),0,F89+1)</f>
        <v>0</v>
      </c>
      <c r="G90" s="65">
        <f t="shared" ref="G90:G153" si="19">IF(E90=0,0,IF(D90-E90-F90&gt;=0,1,0))</f>
        <v>0</v>
      </c>
      <c r="H90" s="65">
        <f t="shared" ref="H90:H150" si="20">IF(I90&gt;=0,0,H89+1)</f>
        <v>0</v>
      </c>
      <c r="I90" s="65">
        <f t="shared" si="16"/>
        <v>0</v>
      </c>
      <c r="J90" s="203">
        <f>IF(DG!$A$133&lt;=11,$M$17,0)</f>
        <v>0</v>
      </c>
      <c r="K90" s="65">
        <f t="shared" si="7"/>
        <v>0</v>
      </c>
      <c r="L90" s="473">
        <f t="shared" si="8"/>
        <v>0</v>
      </c>
      <c r="M90" s="204">
        <f t="shared" si="9"/>
        <v>0</v>
      </c>
      <c r="N90" s="505">
        <f t="shared" si="10"/>
        <v>0</v>
      </c>
      <c r="O90" s="204">
        <f>IF(DG!$A$133&gt;12,0,IF(J90-J89&gt;0,MROUND((L90/12*Q89),1),MROUND(L90/12*P89,1)))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IF(OR(L$73=0,DG!$A$254&gt;16),0,F90+1)</f>
        <v>0</v>
      </c>
      <c r="G91" s="65">
        <f t="shared" si="19"/>
        <v>0</v>
      </c>
      <c r="H91" s="65">
        <f t="shared" si="20"/>
        <v>0</v>
      </c>
      <c r="I91" s="65">
        <f t="shared" si="16"/>
        <v>0</v>
      </c>
      <c r="J91" s="203">
        <f>IF(DG!$A$133&lt;=11,$M$17,0)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IF(DG!$A$133&gt;12,0,IF(J91-J90&gt;0,MROUND((L91/12*Q90),1),MROUND(L91/12*P90,1)))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IF(OR(L$73=0,DG!$A$254&gt;16),0,F91+1)</f>
        <v>0</v>
      </c>
      <c r="G92" s="65">
        <f t="shared" si="19"/>
        <v>0</v>
      </c>
      <c r="H92" s="65">
        <f t="shared" si="20"/>
        <v>0</v>
      </c>
      <c r="I92" s="65">
        <f t="shared" si="16"/>
        <v>0</v>
      </c>
      <c r="J92" s="203">
        <f>IF(DG!$A$133&lt;=11,$M$17,0)</f>
        <v>0</v>
      </c>
      <c r="K92" s="65">
        <f t="shared" si="24"/>
        <v>0</v>
      </c>
      <c r="L92" s="473">
        <f t="shared" si="25"/>
        <v>0</v>
      </c>
      <c r="M92" s="204">
        <f t="shared" si="26"/>
        <v>0</v>
      </c>
      <c r="N92" s="505">
        <f t="shared" si="27"/>
        <v>0</v>
      </c>
      <c r="O92" s="204">
        <f>IF(DG!$A$133&gt;12,0,IF(J92-J91&gt;0,MROUND((L92/12*Q91),1),MROUND(L92/12*P91,1)))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IF(OR(L$73=0,DG!$A$254&gt;16),0,F92+1)</f>
        <v>0</v>
      </c>
      <c r="G93" s="65">
        <f t="shared" si="19"/>
        <v>0</v>
      </c>
      <c r="H93" s="65">
        <f t="shared" si="20"/>
        <v>0</v>
      </c>
      <c r="I93" s="65">
        <f t="shared" si="16"/>
        <v>0</v>
      </c>
      <c r="J93" s="203">
        <f>IF(DG!$A$133&lt;=11,$M$17,0)</f>
        <v>0</v>
      </c>
      <c r="K93" s="65">
        <f t="shared" si="24"/>
        <v>0</v>
      </c>
      <c r="L93" s="473">
        <f t="shared" si="25"/>
        <v>0</v>
      </c>
      <c r="M93" s="204">
        <f t="shared" si="26"/>
        <v>0</v>
      </c>
      <c r="N93" s="505">
        <f t="shared" si="27"/>
        <v>0</v>
      </c>
      <c r="O93" s="204">
        <f>IF(DG!$A$133&gt;12,0,IF(J93-J92&gt;0,MROUND((L93/12*Q92),1),MROUND(L93/12*P92,1)))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IF(OR(L$73=0,DG!$A$254&gt;16),0,F93+1)</f>
        <v>0</v>
      </c>
      <c r="G94" s="65">
        <f t="shared" si="19"/>
        <v>0</v>
      </c>
      <c r="H94" s="65">
        <f t="shared" si="20"/>
        <v>0</v>
      </c>
      <c r="I94" s="65">
        <f t="shared" si="16"/>
        <v>0</v>
      </c>
      <c r="J94" s="203">
        <f>IF(DG!$A$133&lt;=11,$M$17,0)</f>
        <v>0</v>
      </c>
      <c r="K94" s="65">
        <f t="shared" si="24"/>
        <v>0</v>
      </c>
      <c r="L94" s="473">
        <f t="shared" si="25"/>
        <v>0</v>
      </c>
      <c r="M94" s="204">
        <f t="shared" si="26"/>
        <v>0</v>
      </c>
      <c r="N94" s="505">
        <f t="shared" si="27"/>
        <v>0</v>
      </c>
      <c r="O94" s="204">
        <f>IF(DG!$A$133&gt;12,0,IF(J94-J93&gt;0,MROUND((L94/12*Q93),1),MROUND(L94/12*P93,1)))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IF(OR(L$73=0,DG!$A$254&gt;16),0,F94+1)</f>
        <v>0</v>
      </c>
      <c r="G95" s="65">
        <f t="shared" si="19"/>
        <v>0</v>
      </c>
      <c r="H95" s="65">
        <f t="shared" si="20"/>
        <v>0</v>
      </c>
      <c r="I95" s="65">
        <f t="shared" si="16"/>
        <v>0</v>
      </c>
      <c r="J95" s="203">
        <f>IF(DG!$A$133&lt;=11,$M$17,0)</f>
        <v>0</v>
      </c>
      <c r="K95" s="65">
        <f t="shared" si="24"/>
        <v>0</v>
      </c>
      <c r="L95" s="473">
        <f t="shared" si="25"/>
        <v>0</v>
      </c>
      <c r="M95" s="204">
        <f t="shared" si="26"/>
        <v>0</v>
      </c>
      <c r="N95" s="505">
        <f t="shared" si="27"/>
        <v>0</v>
      </c>
      <c r="O95" s="204">
        <f>IF(DG!$A$133&gt;12,0,IF(J95-J94&gt;0,MROUND((L95/12*Q94),1),MROUND(L95/12*P94,1)))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IF(OR(L$73=0,DG!$A$254&gt;16),0,F95+1)</f>
        <v>0</v>
      </c>
      <c r="G96" s="65">
        <f t="shared" si="19"/>
        <v>0</v>
      </c>
      <c r="H96" s="65">
        <f t="shared" si="20"/>
        <v>0</v>
      </c>
      <c r="I96" s="65">
        <f t="shared" si="16"/>
        <v>0</v>
      </c>
      <c r="J96" s="203">
        <f>IF(DG!$A$133&lt;=11,$M$17,0)</f>
        <v>0</v>
      </c>
      <c r="K96" s="65">
        <f t="shared" si="24"/>
        <v>0</v>
      </c>
      <c r="L96" s="473">
        <f t="shared" si="25"/>
        <v>0</v>
      </c>
      <c r="M96" s="204">
        <f t="shared" si="26"/>
        <v>0</v>
      </c>
      <c r="N96" s="505">
        <f t="shared" si="27"/>
        <v>0</v>
      </c>
      <c r="O96" s="204">
        <f>IF(DG!$A$133&gt;12,0,IF(J96-J95&gt;0,MROUND((L96/12*Q95),1),MROUND(L96/12*P95,1)))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IF(OR(L$73=0,DG!$A$254&gt;16),0,F96+1)</f>
        <v>0</v>
      </c>
      <c r="G97" s="65">
        <f t="shared" si="19"/>
        <v>0</v>
      </c>
      <c r="H97" s="65">
        <f t="shared" si="20"/>
        <v>0</v>
      </c>
      <c r="I97" s="65">
        <f t="shared" si="16"/>
        <v>0</v>
      </c>
      <c r="J97" s="203">
        <f>IF(DG!$A$133&lt;=11,$M$17,0)</f>
        <v>0</v>
      </c>
      <c r="K97" s="65">
        <f t="shared" si="24"/>
        <v>0</v>
      </c>
      <c r="L97" s="473">
        <f t="shared" si="25"/>
        <v>0</v>
      </c>
      <c r="M97" s="204">
        <f t="shared" si="26"/>
        <v>0</v>
      </c>
      <c r="N97" s="505">
        <f t="shared" si="27"/>
        <v>0</v>
      </c>
      <c r="O97" s="204">
        <f>IF(DG!$A$133&gt;12,0,IF(J97-J96&gt;0,MROUND((L97/12*Q96),1),MROUND(L97/12*P96,1)))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IF(OR(L$73=0,DG!$A$254&gt;16),0,F97+1)</f>
        <v>0</v>
      </c>
      <c r="G98" s="65">
        <f t="shared" si="19"/>
        <v>0</v>
      </c>
      <c r="H98" s="65">
        <f t="shared" si="20"/>
        <v>0</v>
      </c>
      <c r="I98" s="65">
        <f t="shared" si="16"/>
        <v>0</v>
      </c>
      <c r="J98" s="203">
        <f>IF(DG!$A$133&lt;=11,$M$17,0)</f>
        <v>0</v>
      </c>
      <c r="K98" s="65">
        <f t="shared" si="24"/>
        <v>0</v>
      </c>
      <c r="L98" s="473">
        <f t="shared" si="25"/>
        <v>0</v>
      </c>
      <c r="M98" s="204">
        <f t="shared" si="26"/>
        <v>0</v>
      </c>
      <c r="N98" s="505">
        <f t="shared" si="27"/>
        <v>0</v>
      </c>
      <c r="O98" s="204">
        <f>IF(DG!$A$133&gt;12,0,IF(J98-J97&gt;0,MROUND((L98/12*Q97),1),MROUND(L98/12*P97,1)))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IF(OR(L$73=0,DG!$A$254&gt;16),0,F98+1)</f>
        <v>0</v>
      </c>
      <c r="G99" s="65">
        <f t="shared" si="19"/>
        <v>0</v>
      </c>
      <c r="H99" s="65">
        <f t="shared" si="20"/>
        <v>0</v>
      </c>
      <c r="I99" s="65">
        <f t="shared" si="16"/>
        <v>0</v>
      </c>
      <c r="J99" s="203">
        <f>IF(DG!$A$133&lt;=11,$M$17,0)</f>
        <v>0</v>
      </c>
      <c r="K99" s="65">
        <f t="shared" si="24"/>
        <v>0</v>
      </c>
      <c r="L99" s="473">
        <f t="shared" si="25"/>
        <v>0</v>
      </c>
      <c r="M99" s="204">
        <f t="shared" si="26"/>
        <v>0</v>
      </c>
      <c r="N99" s="505">
        <f t="shared" si="27"/>
        <v>0</v>
      </c>
      <c r="O99" s="204">
        <f>IF(DG!$A$133&gt;12,0,IF(J99-J98&gt;0,MROUND((L99/12*Q98),1),MROUND(L99/12*P98,1)))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IF(OR(L$73=0,DG!$A$254&gt;16),0,F99+1)</f>
        <v>0</v>
      </c>
      <c r="G100" s="65">
        <f t="shared" si="19"/>
        <v>0</v>
      </c>
      <c r="H100" s="65">
        <f t="shared" si="20"/>
        <v>0</v>
      </c>
      <c r="I100" s="65">
        <f t="shared" si="16"/>
        <v>0</v>
      </c>
      <c r="J100" s="203">
        <f>IF(DG!$A$133&lt;=11,$M$17,0)</f>
        <v>0</v>
      </c>
      <c r="K100" s="65">
        <f t="shared" si="24"/>
        <v>0</v>
      </c>
      <c r="L100" s="473">
        <f t="shared" si="25"/>
        <v>0</v>
      </c>
      <c r="M100" s="204">
        <f t="shared" si="26"/>
        <v>0</v>
      </c>
      <c r="N100" s="505">
        <f t="shared" si="27"/>
        <v>0</v>
      </c>
      <c r="O100" s="204">
        <f>IF(DG!$A$133&gt;12,0,IF(J100-J99&gt;0,MROUND((L100/12*Q99),1),MROUND(L100/12*P99,1)))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IF(OR(L$73=0,DG!$A$254&gt;16),0,F100+1)</f>
        <v>0</v>
      </c>
      <c r="G101" s="65">
        <f t="shared" si="19"/>
        <v>0</v>
      </c>
      <c r="H101" s="65">
        <f t="shared" si="20"/>
        <v>0</v>
      </c>
      <c r="I101" s="65">
        <f t="shared" si="16"/>
        <v>0</v>
      </c>
      <c r="J101" s="203">
        <f>IF(DG!$A$133&lt;=11,$M$17,0)</f>
        <v>0</v>
      </c>
      <c r="K101" s="65">
        <f t="shared" si="24"/>
        <v>0</v>
      </c>
      <c r="L101" s="473">
        <f t="shared" si="25"/>
        <v>0</v>
      </c>
      <c r="M101" s="204">
        <f t="shared" si="26"/>
        <v>0</v>
      </c>
      <c r="N101" s="505">
        <f t="shared" si="27"/>
        <v>0</v>
      </c>
      <c r="O101" s="204">
        <f>IF(DG!$A$133&gt;12,0,IF(J101-J100&gt;0,MROUND((L101/12*Q100),1),MROUND(L101/12*P100,1)))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IF(OR(L$73=0,DG!$A$254&gt;16),0,F101+1)</f>
        <v>0</v>
      </c>
      <c r="G102" s="65">
        <f t="shared" si="19"/>
        <v>0</v>
      </c>
      <c r="H102" s="65">
        <f t="shared" si="20"/>
        <v>0</v>
      </c>
      <c r="I102" s="65">
        <f t="shared" si="16"/>
        <v>0</v>
      </c>
      <c r="J102" s="203">
        <f>IF(DG!$A$133&lt;=11,$M$17,0)</f>
        <v>0</v>
      </c>
      <c r="K102" s="65">
        <f t="shared" si="24"/>
        <v>0</v>
      </c>
      <c r="L102" s="473">
        <f t="shared" si="25"/>
        <v>0</v>
      </c>
      <c r="M102" s="204">
        <f t="shared" si="26"/>
        <v>0</v>
      </c>
      <c r="N102" s="505">
        <f t="shared" si="27"/>
        <v>0</v>
      </c>
      <c r="O102" s="204">
        <f>IF(DG!$A$133&gt;12,0,IF(J102-J101&gt;0,MROUND((L102/12*Q101),1),MROUND(L102/12*P101,1)))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IF(OR(L$73=0,DG!$A$254&gt;16),0,F102+1)</f>
        <v>0</v>
      </c>
      <c r="G103" s="65">
        <f t="shared" si="19"/>
        <v>0</v>
      </c>
      <c r="H103" s="65">
        <f t="shared" si="20"/>
        <v>0</v>
      </c>
      <c r="I103" s="65">
        <f t="shared" si="16"/>
        <v>0</v>
      </c>
      <c r="J103" s="203">
        <f>IF(DG!$A$133&lt;=11,$M$17,0)</f>
        <v>0</v>
      </c>
      <c r="K103" s="65">
        <f t="shared" si="24"/>
        <v>0</v>
      </c>
      <c r="L103" s="473">
        <f t="shared" si="25"/>
        <v>0</v>
      </c>
      <c r="M103" s="204">
        <f t="shared" si="26"/>
        <v>0</v>
      </c>
      <c r="N103" s="505">
        <f t="shared" si="27"/>
        <v>0</v>
      </c>
      <c r="O103" s="204">
        <f>IF(DG!$A$133&gt;12,0,IF(J103-J102&gt;0,MROUND((L103/12*Q102),1),MROUND(L103/12*P102,1)))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IF(OR(L$73=0,DG!$A$254&gt;16),0,F103+1)</f>
        <v>0</v>
      </c>
      <c r="G104" s="65">
        <f t="shared" si="19"/>
        <v>0</v>
      </c>
      <c r="H104" s="65">
        <f t="shared" si="20"/>
        <v>0</v>
      </c>
      <c r="I104" s="65">
        <f t="shared" si="16"/>
        <v>0</v>
      </c>
      <c r="J104" s="203">
        <f>IF(DG!$A$133&lt;=11,$M$17,0)</f>
        <v>0</v>
      </c>
      <c r="K104" s="65">
        <f t="shared" si="24"/>
        <v>0</v>
      </c>
      <c r="L104" s="473">
        <f t="shared" si="25"/>
        <v>0</v>
      </c>
      <c r="M104" s="204">
        <f t="shared" si="26"/>
        <v>0</v>
      </c>
      <c r="N104" s="505">
        <f t="shared" si="27"/>
        <v>0</v>
      </c>
      <c r="O104" s="204">
        <f>IF(DG!$A$133&gt;12,0,IF(J104-J103&gt;0,MROUND((L104/12*Q103),1),MROUND(L104/12*P103,1)))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IF(OR(L$73=0,DG!$A$254&gt;16),0,F104+1)</f>
        <v>0</v>
      </c>
      <c r="G105" s="65">
        <f t="shared" si="19"/>
        <v>0</v>
      </c>
      <c r="H105" s="65">
        <f t="shared" si="20"/>
        <v>0</v>
      </c>
      <c r="I105" s="65">
        <f t="shared" si="16"/>
        <v>0</v>
      </c>
      <c r="J105" s="203">
        <f>IF(DG!$A$133&lt;=11,$M$17,0)</f>
        <v>0</v>
      </c>
      <c r="K105" s="65">
        <f t="shared" si="24"/>
        <v>0</v>
      </c>
      <c r="L105" s="473">
        <f t="shared" si="25"/>
        <v>0</v>
      </c>
      <c r="M105" s="204">
        <f t="shared" si="26"/>
        <v>0</v>
      </c>
      <c r="N105" s="505">
        <f t="shared" si="27"/>
        <v>0</v>
      </c>
      <c r="O105" s="204">
        <f>IF(DG!$A$133&gt;12,0,IF(J105-J104&gt;0,MROUND((L105/12*Q104),1),MROUND(L105/12*P104,1)))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IF(OR(L$73=0,DG!$A$254&gt;16),0,F105+1)</f>
        <v>0</v>
      </c>
      <c r="G106" s="65">
        <f t="shared" si="19"/>
        <v>0</v>
      </c>
      <c r="H106" s="65">
        <f t="shared" si="20"/>
        <v>0</v>
      </c>
      <c r="I106" s="65">
        <f t="shared" si="16"/>
        <v>0</v>
      </c>
      <c r="J106" s="203">
        <f>IF(DG!$A$133&lt;=11,$M$17,0)</f>
        <v>0</v>
      </c>
      <c r="K106" s="65">
        <f t="shared" si="24"/>
        <v>0</v>
      </c>
      <c r="L106" s="473">
        <f t="shared" si="25"/>
        <v>0</v>
      </c>
      <c r="M106" s="204">
        <f t="shared" si="26"/>
        <v>0</v>
      </c>
      <c r="N106" s="505">
        <f t="shared" si="27"/>
        <v>0</v>
      </c>
      <c r="O106" s="204">
        <f>IF(DG!$A$133&gt;12,0,IF(J106-J105&gt;0,MROUND((L106/12*Q105),1),MROUND(L106/12*P105,1)))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IF(OR(L$73=0,DG!$A$254&gt;16),0,F106+1)</f>
        <v>0</v>
      </c>
      <c r="G107" s="65">
        <f t="shared" si="19"/>
        <v>0</v>
      </c>
      <c r="H107" s="65">
        <f t="shared" si="20"/>
        <v>0</v>
      </c>
      <c r="I107" s="65">
        <f t="shared" si="16"/>
        <v>0</v>
      </c>
      <c r="J107" s="203">
        <f>IF(DG!$A$133&lt;=11,$M$17,0)</f>
        <v>0</v>
      </c>
      <c r="K107" s="65">
        <f t="shared" si="24"/>
        <v>0</v>
      </c>
      <c r="L107" s="473">
        <f t="shared" si="25"/>
        <v>0</v>
      </c>
      <c r="M107" s="204">
        <f t="shared" si="26"/>
        <v>0</v>
      </c>
      <c r="N107" s="505">
        <f t="shared" si="27"/>
        <v>0</v>
      </c>
      <c r="O107" s="204">
        <f>IF(DG!$A$133&gt;12,0,IF(J107-J106&gt;0,MROUND((L107/12*Q106),1),MROUND(L107/12*P106,1)))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IF(OR(L$73=0,DG!$A$254&gt;16),0,F107+1)</f>
        <v>0</v>
      </c>
      <c r="G108" s="65">
        <f t="shared" si="19"/>
        <v>0</v>
      </c>
      <c r="H108" s="65">
        <f t="shared" si="20"/>
        <v>0</v>
      </c>
      <c r="I108" s="65">
        <f t="shared" si="16"/>
        <v>0</v>
      </c>
      <c r="J108" s="203">
        <f>IF(DG!$A$133&lt;=11,$M$17,0)</f>
        <v>0</v>
      </c>
      <c r="K108" s="65">
        <f t="shared" si="24"/>
        <v>0</v>
      </c>
      <c r="L108" s="473">
        <f t="shared" si="25"/>
        <v>0</v>
      </c>
      <c r="M108" s="204">
        <f t="shared" si="26"/>
        <v>0</v>
      </c>
      <c r="N108" s="505">
        <f t="shared" si="27"/>
        <v>0</v>
      </c>
      <c r="O108" s="204">
        <f>IF(DG!$A$133&gt;12,0,IF(J108-J107&gt;0,MROUND((L108/12*Q107),1),MROUND(L108/12*P107,1)))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IF(OR(L$73=0,DG!$A$254&gt;16),0,F108+1)</f>
        <v>0</v>
      </c>
      <c r="G109" s="65">
        <f t="shared" si="19"/>
        <v>0</v>
      </c>
      <c r="H109" s="65">
        <f t="shared" si="20"/>
        <v>0</v>
      </c>
      <c r="I109" s="65">
        <f t="shared" si="16"/>
        <v>0</v>
      </c>
      <c r="J109" s="203">
        <f>IF(DG!$A$133&lt;=11,$M$17,0)</f>
        <v>0</v>
      </c>
      <c r="K109" s="65">
        <f t="shared" si="24"/>
        <v>0</v>
      </c>
      <c r="L109" s="473">
        <f t="shared" si="25"/>
        <v>0</v>
      </c>
      <c r="M109" s="204">
        <f t="shared" si="26"/>
        <v>0</v>
      </c>
      <c r="N109" s="505">
        <f t="shared" si="27"/>
        <v>0</v>
      </c>
      <c r="O109" s="204">
        <f>IF(DG!$A$133&gt;12,0,IF(J109-J108&gt;0,MROUND((L109/12*Q108),1),MROUND(L109/12*P108,1)))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IF(OR(L$73=0,DG!$A$254&gt;16),0,F109+1)</f>
        <v>0</v>
      </c>
      <c r="G110" s="65">
        <f t="shared" si="19"/>
        <v>0</v>
      </c>
      <c r="H110" s="65">
        <f t="shared" si="20"/>
        <v>0</v>
      </c>
      <c r="I110" s="65">
        <f t="shared" si="16"/>
        <v>0</v>
      </c>
      <c r="J110" s="203">
        <f>IF(DG!$A$133&lt;=11,$M$17,0)</f>
        <v>0</v>
      </c>
      <c r="K110" s="65">
        <f t="shared" si="24"/>
        <v>0</v>
      </c>
      <c r="L110" s="473">
        <f t="shared" si="25"/>
        <v>0</v>
      </c>
      <c r="M110" s="204">
        <f t="shared" si="26"/>
        <v>0</v>
      </c>
      <c r="N110" s="505">
        <f t="shared" si="27"/>
        <v>0</v>
      </c>
      <c r="O110" s="204">
        <f>IF(DG!$A$133&gt;12,0,IF(J110-J109&gt;0,MROUND((L110/12*Q109),1),MROUND(L110/12*P109,1)))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IF(OR(L$73=0,DG!$A$254&gt;16),0,F110+1)</f>
        <v>0</v>
      </c>
      <c r="G111" s="65">
        <f t="shared" si="19"/>
        <v>0</v>
      </c>
      <c r="H111" s="65">
        <f t="shared" si="20"/>
        <v>0</v>
      </c>
      <c r="I111" s="65">
        <f t="shared" si="16"/>
        <v>0</v>
      </c>
      <c r="J111" s="203">
        <f>IF(DG!$A$133&lt;=11,$M$17,0)</f>
        <v>0</v>
      </c>
      <c r="K111" s="65">
        <f t="shared" si="24"/>
        <v>0</v>
      </c>
      <c r="L111" s="473">
        <f t="shared" si="25"/>
        <v>0</v>
      </c>
      <c r="M111" s="204">
        <f t="shared" si="26"/>
        <v>0</v>
      </c>
      <c r="N111" s="505">
        <f t="shared" si="27"/>
        <v>0</v>
      </c>
      <c r="O111" s="204">
        <f>IF(DG!$A$133&gt;12,0,IF(J111-J110&gt;0,MROUND((L111/12*Q110),1),MROUND(L111/12*P110,1)))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IF(OR(L$73=0,DG!$A$254&gt;16),0,F111+1)</f>
        <v>0</v>
      </c>
      <c r="G112" s="65">
        <f t="shared" si="19"/>
        <v>0</v>
      </c>
      <c r="H112" s="65">
        <f t="shared" si="20"/>
        <v>0</v>
      </c>
      <c r="I112" s="65">
        <f t="shared" si="16"/>
        <v>0</v>
      </c>
      <c r="J112" s="203">
        <f>IF(DG!$A$133&lt;=11,$M$17,0)</f>
        <v>0</v>
      </c>
      <c r="K112" s="65">
        <f t="shared" si="24"/>
        <v>0</v>
      </c>
      <c r="L112" s="473">
        <f t="shared" si="25"/>
        <v>0</v>
      </c>
      <c r="M112" s="204">
        <f t="shared" si="26"/>
        <v>0</v>
      </c>
      <c r="N112" s="505">
        <f t="shared" si="27"/>
        <v>0</v>
      </c>
      <c r="O112" s="204">
        <f>IF(DG!$A$133&gt;12,0,IF(J112-J111&gt;0,MROUND((L112/12*Q111),1),MROUND(L112/12*P111,1)))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IF(OR(L$73=0,DG!$A$254&gt;16),0,F112+1)</f>
        <v>0</v>
      </c>
      <c r="G113" s="65">
        <f t="shared" si="19"/>
        <v>0</v>
      </c>
      <c r="H113" s="65">
        <f t="shared" si="20"/>
        <v>0</v>
      </c>
      <c r="I113" s="65">
        <f t="shared" si="16"/>
        <v>0</v>
      </c>
      <c r="J113" s="203">
        <f>IF(DG!$A$133&lt;=11,$M$17,0)</f>
        <v>0</v>
      </c>
      <c r="K113" s="65">
        <f t="shared" si="24"/>
        <v>0</v>
      </c>
      <c r="L113" s="473">
        <f t="shared" si="25"/>
        <v>0</v>
      </c>
      <c r="M113" s="204">
        <f t="shared" si="26"/>
        <v>0</v>
      </c>
      <c r="N113" s="505">
        <f t="shared" si="27"/>
        <v>0</v>
      </c>
      <c r="O113" s="204">
        <f>IF(DG!$A$133&gt;12,0,IF(J113-J112&gt;0,MROUND((L113/12*Q112),1),MROUND(L113/12*P112,1)))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IF(OR(L$73=0,DG!$A$254&gt;16),0,F113+1)</f>
        <v>0</v>
      </c>
      <c r="G114" s="65">
        <f t="shared" si="19"/>
        <v>0</v>
      </c>
      <c r="H114" s="65">
        <f t="shared" si="20"/>
        <v>0</v>
      </c>
      <c r="I114" s="65">
        <f t="shared" si="16"/>
        <v>0</v>
      </c>
      <c r="J114" s="203">
        <f>IF(DG!$A$133&lt;=11,$M$17,0)</f>
        <v>0</v>
      </c>
      <c r="K114" s="65">
        <f t="shared" si="24"/>
        <v>0</v>
      </c>
      <c r="L114" s="473">
        <f t="shared" si="25"/>
        <v>0</v>
      </c>
      <c r="M114" s="204">
        <f t="shared" si="26"/>
        <v>0</v>
      </c>
      <c r="N114" s="505">
        <f t="shared" si="27"/>
        <v>0</v>
      </c>
      <c r="O114" s="204">
        <f>IF(DG!$A$133&gt;12,0,IF(J114-J113&gt;0,MROUND((L114/12*Q113),1),MROUND(L114/12*P113,1)))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IF(OR(L$73=0,DG!$A$254&gt;16),0,F114+1)</f>
        <v>0</v>
      </c>
      <c r="G115" s="65">
        <f t="shared" si="19"/>
        <v>0</v>
      </c>
      <c r="H115" s="65">
        <f t="shared" si="20"/>
        <v>0</v>
      </c>
      <c r="I115" s="65">
        <f t="shared" si="16"/>
        <v>0</v>
      </c>
      <c r="J115" s="203">
        <f>IF(DG!$A$133&lt;=11,$M$17,0)</f>
        <v>0</v>
      </c>
      <c r="K115" s="65">
        <f t="shared" si="24"/>
        <v>0</v>
      </c>
      <c r="L115" s="473">
        <f t="shared" si="25"/>
        <v>0</v>
      </c>
      <c r="M115" s="204">
        <f t="shared" si="26"/>
        <v>0</v>
      </c>
      <c r="N115" s="505">
        <f t="shared" si="27"/>
        <v>0</v>
      </c>
      <c r="O115" s="204">
        <f>IF(DG!$A$133&gt;12,0,IF(J115-J114&gt;0,MROUND((L115/12*Q114),1),MROUND(L115/12*P114,1)))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IF(OR(L$73=0,DG!$A$254&gt;16),0,F115+1)</f>
        <v>0</v>
      </c>
      <c r="G116" s="65">
        <f t="shared" si="19"/>
        <v>0</v>
      </c>
      <c r="H116" s="65">
        <f t="shared" si="20"/>
        <v>0</v>
      </c>
      <c r="I116" s="65">
        <f t="shared" si="16"/>
        <v>0</v>
      </c>
      <c r="J116" s="203">
        <f>IF(DG!$A$133&lt;=11,$M$17,0)</f>
        <v>0</v>
      </c>
      <c r="K116" s="65">
        <f t="shared" si="24"/>
        <v>0</v>
      </c>
      <c r="L116" s="473">
        <f t="shared" si="25"/>
        <v>0</v>
      </c>
      <c r="M116" s="204">
        <f t="shared" si="26"/>
        <v>0</v>
      </c>
      <c r="N116" s="505">
        <f t="shared" si="27"/>
        <v>0</v>
      </c>
      <c r="O116" s="204">
        <f>IF(DG!$A$133&gt;12,0,IF(J116-J115&gt;0,MROUND((L116/12*Q115),1),MROUND(L116/12*P115,1)))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IF(OR(L$73=0,DG!$A$254&gt;16),0,F116+1)</f>
        <v>0</v>
      </c>
      <c r="G117" s="65">
        <f t="shared" si="19"/>
        <v>0</v>
      </c>
      <c r="H117" s="65">
        <f t="shared" si="20"/>
        <v>0</v>
      </c>
      <c r="I117" s="65">
        <f t="shared" si="16"/>
        <v>0</v>
      </c>
      <c r="J117" s="203">
        <f>IF(DG!$A$133&lt;=11,$M$17,0)</f>
        <v>0</v>
      </c>
      <c r="K117" s="65">
        <f t="shared" si="24"/>
        <v>0</v>
      </c>
      <c r="L117" s="473">
        <f t="shared" si="25"/>
        <v>0</v>
      </c>
      <c r="M117" s="204">
        <f t="shared" si="26"/>
        <v>0</v>
      </c>
      <c r="N117" s="505">
        <f t="shared" si="27"/>
        <v>0</v>
      </c>
      <c r="O117" s="204">
        <f>IF(DG!$A$133&gt;12,0,IF(J117-J116&gt;0,MROUND((L117/12*Q116),1),MROUND(L117/12*P116,1)))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IF(OR(L$73=0,DG!$A$254&gt;16),0,F117+1)</f>
        <v>0</v>
      </c>
      <c r="G118" s="65">
        <f t="shared" si="19"/>
        <v>0</v>
      </c>
      <c r="H118" s="65">
        <f t="shared" si="20"/>
        <v>0</v>
      </c>
      <c r="I118" s="65">
        <f t="shared" si="16"/>
        <v>0</v>
      </c>
      <c r="J118" s="203">
        <f>IF(DG!$A$133&lt;=11,$M$17,0)</f>
        <v>0</v>
      </c>
      <c r="K118" s="65">
        <f t="shared" si="24"/>
        <v>0</v>
      </c>
      <c r="L118" s="473">
        <f t="shared" si="25"/>
        <v>0</v>
      </c>
      <c r="M118" s="204">
        <f t="shared" si="26"/>
        <v>0</v>
      </c>
      <c r="N118" s="505">
        <f t="shared" si="27"/>
        <v>0</v>
      </c>
      <c r="O118" s="204">
        <f>IF(DG!$A$133&gt;12,0,IF(J118-J117&gt;0,MROUND((L118/12*Q117),1),MROUND(L118/12*P117,1)))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IF(OR(L$73=0,DG!$A$254&gt;16),0,F118+1)</f>
        <v>0</v>
      </c>
      <c r="G119" s="65">
        <f t="shared" si="19"/>
        <v>0</v>
      </c>
      <c r="H119" s="65">
        <f t="shared" si="20"/>
        <v>0</v>
      </c>
      <c r="I119" s="65">
        <f t="shared" si="16"/>
        <v>0</v>
      </c>
      <c r="J119" s="203">
        <f>IF(DG!$A$133&lt;=11,$M$17,0)</f>
        <v>0</v>
      </c>
      <c r="K119" s="65">
        <f t="shared" si="24"/>
        <v>0</v>
      </c>
      <c r="L119" s="473">
        <f t="shared" si="25"/>
        <v>0</v>
      </c>
      <c r="M119" s="204">
        <f t="shared" si="26"/>
        <v>0</v>
      </c>
      <c r="N119" s="505">
        <f t="shared" si="27"/>
        <v>0</v>
      </c>
      <c r="O119" s="204">
        <f>IF(DG!$A$133&gt;12,0,IF(J119-J118&gt;0,MROUND((L119/12*Q118),1),MROUND(L119/12*P118,1)))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IF(OR(L$73=0,DG!$A$254&gt;16),0,F119+1)</f>
        <v>0</v>
      </c>
      <c r="G120" s="65">
        <f t="shared" si="19"/>
        <v>0</v>
      </c>
      <c r="H120" s="65">
        <f t="shared" si="20"/>
        <v>0</v>
      </c>
      <c r="I120" s="65">
        <f t="shared" si="16"/>
        <v>0</v>
      </c>
      <c r="J120" s="203">
        <f>IF(DG!$A$133&lt;=11,$M$17,0)</f>
        <v>0</v>
      </c>
      <c r="K120" s="65">
        <f t="shared" si="24"/>
        <v>0</v>
      </c>
      <c r="L120" s="473">
        <f t="shared" si="25"/>
        <v>0</v>
      </c>
      <c r="M120" s="204">
        <f t="shared" si="26"/>
        <v>0</v>
      </c>
      <c r="N120" s="505">
        <f t="shared" si="27"/>
        <v>0</v>
      </c>
      <c r="O120" s="204">
        <f>IF(DG!$A$133&gt;12,0,IF(J120-J119&gt;0,MROUND((L120/12*Q119),1),MROUND(L120/12*P119,1)))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IF(OR(L$73=0,DG!$A$254&gt;16),0,F120+1)</f>
        <v>0</v>
      </c>
      <c r="G121" s="65">
        <f t="shared" si="19"/>
        <v>0</v>
      </c>
      <c r="H121" s="65">
        <f t="shared" si="20"/>
        <v>0</v>
      </c>
      <c r="I121" s="65">
        <f t="shared" si="16"/>
        <v>0</v>
      </c>
      <c r="J121" s="203">
        <f>IF(DG!$A$133&lt;=11,$M$17,0)</f>
        <v>0</v>
      </c>
      <c r="K121" s="65">
        <f t="shared" si="24"/>
        <v>0</v>
      </c>
      <c r="L121" s="473">
        <f t="shared" si="25"/>
        <v>0</v>
      </c>
      <c r="M121" s="204">
        <f t="shared" si="26"/>
        <v>0</v>
      </c>
      <c r="N121" s="505">
        <f t="shared" si="27"/>
        <v>0</v>
      </c>
      <c r="O121" s="204">
        <f>IF(DG!$A$133&gt;12,0,IF(J121-J120&gt;0,MROUND((L121/12*Q120),1),MROUND(L121/12*P120,1)))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IF(OR(L$73=0,DG!$A$254&gt;16),0,F121+1)</f>
        <v>0</v>
      </c>
      <c r="G122" s="65">
        <f t="shared" si="19"/>
        <v>0</v>
      </c>
      <c r="H122" s="65">
        <f t="shared" si="20"/>
        <v>0</v>
      </c>
      <c r="I122" s="65">
        <f t="shared" si="16"/>
        <v>0</v>
      </c>
      <c r="J122" s="203">
        <f>IF(DG!$A$133&lt;=11,$M$17,0)</f>
        <v>0</v>
      </c>
      <c r="K122" s="65">
        <f t="shared" si="24"/>
        <v>0</v>
      </c>
      <c r="L122" s="473">
        <f t="shared" si="25"/>
        <v>0</v>
      </c>
      <c r="M122" s="204">
        <f t="shared" si="26"/>
        <v>0</v>
      </c>
      <c r="N122" s="505">
        <f t="shared" si="27"/>
        <v>0</v>
      </c>
      <c r="O122" s="204">
        <f>IF(DG!$A$133&gt;12,0,IF(J122-J121&gt;0,MROUND((L122/12*Q121),1),MROUND(L122/12*P121,1)))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IF(OR(L$73=0,DG!$A$254&gt;16),0,F122+1)</f>
        <v>0</v>
      </c>
      <c r="G123" s="65">
        <f t="shared" si="19"/>
        <v>0</v>
      </c>
      <c r="H123" s="65">
        <f t="shared" si="20"/>
        <v>0</v>
      </c>
      <c r="I123" s="65">
        <f t="shared" si="16"/>
        <v>0</v>
      </c>
      <c r="J123" s="203">
        <f>IF(DG!$A$133&lt;=11,$M$17,0)</f>
        <v>0</v>
      </c>
      <c r="K123" s="65">
        <f t="shared" si="24"/>
        <v>0</v>
      </c>
      <c r="L123" s="473">
        <f t="shared" si="25"/>
        <v>0</v>
      </c>
      <c r="M123" s="204">
        <f t="shared" si="26"/>
        <v>0</v>
      </c>
      <c r="N123" s="505">
        <f t="shared" si="27"/>
        <v>0</v>
      </c>
      <c r="O123" s="204">
        <f>IF(DG!$A$133&gt;12,0,IF(J123-J122&gt;0,MROUND((L123/12*Q122),1),MROUND(L123/12*P122,1)))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IF(OR(L$73=0,DG!$A$254&gt;16),0,F123+1)</f>
        <v>0</v>
      </c>
      <c r="G124" s="65">
        <f t="shared" si="19"/>
        <v>0</v>
      </c>
      <c r="H124" s="65">
        <f t="shared" si="20"/>
        <v>0</v>
      </c>
      <c r="I124" s="65">
        <f t="shared" si="16"/>
        <v>0</v>
      </c>
      <c r="J124" s="203">
        <f>IF(DG!$A$133&lt;=11,$M$17,0)</f>
        <v>0</v>
      </c>
      <c r="K124" s="65">
        <f t="shared" si="24"/>
        <v>0</v>
      </c>
      <c r="L124" s="473">
        <f t="shared" si="25"/>
        <v>0</v>
      </c>
      <c r="M124" s="204">
        <f t="shared" si="26"/>
        <v>0</v>
      </c>
      <c r="N124" s="505">
        <f t="shared" si="27"/>
        <v>0</v>
      </c>
      <c r="O124" s="204">
        <f>IF(DG!$A$133&gt;12,0,IF(J124-J123&gt;0,MROUND((L124/12*Q123),1),MROUND(L124/12*P123,1)))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IF(OR(L$73=0,DG!$A$254&gt;16),0,F124+1)</f>
        <v>0</v>
      </c>
      <c r="G125" s="65">
        <f t="shared" si="19"/>
        <v>0</v>
      </c>
      <c r="H125" s="65">
        <f t="shared" si="20"/>
        <v>0</v>
      </c>
      <c r="I125" s="65">
        <f t="shared" si="16"/>
        <v>0</v>
      </c>
      <c r="J125" s="203">
        <f>IF(DG!$A$133&lt;=11,$M$17,0)</f>
        <v>0</v>
      </c>
      <c r="K125" s="65">
        <f t="shared" si="24"/>
        <v>0</v>
      </c>
      <c r="L125" s="473">
        <f t="shared" si="25"/>
        <v>0</v>
      </c>
      <c r="M125" s="204">
        <f t="shared" si="26"/>
        <v>0</v>
      </c>
      <c r="N125" s="505">
        <f t="shared" si="27"/>
        <v>0</v>
      </c>
      <c r="O125" s="204">
        <f>IF(DG!$A$133&gt;12,0,IF(J125-J124&gt;0,MROUND((L125/12*Q124),1),MROUND(L125/12*P124,1)))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IF(OR(L$73=0,DG!$A$254&gt;16),0,F125+1)</f>
        <v>0</v>
      </c>
      <c r="G126" s="65">
        <f t="shared" si="19"/>
        <v>0</v>
      </c>
      <c r="H126" s="65">
        <f t="shared" si="20"/>
        <v>0</v>
      </c>
      <c r="I126" s="65">
        <f t="shared" si="16"/>
        <v>0</v>
      </c>
      <c r="J126" s="203">
        <f>IF(DG!$A$133&lt;=11,$M$17,0)</f>
        <v>0</v>
      </c>
      <c r="K126" s="65">
        <f t="shared" si="24"/>
        <v>0</v>
      </c>
      <c r="L126" s="473">
        <f t="shared" si="25"/>
        <v>0</v>
      </c>
      <c r="M126" s="204">
        <f t="shared" si="26"/>
        <v>0</v>
      </c>
      <c r="N126" s="505">
        <f t="shared" si="27"/>
        <v>0</v>
      </c>
      <c r="O126" s="204">
        <f>IF(DG!$A$133&gt;12,0,IF(J126-J125&gt;0,MROUND((L126/12*Q125),1),MROUND(L126/12*P125,1)))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IF(OR(L$73=0,DG!$A$254&gt;16),0,F126+1)</f>
        <v>0</v>
      </c>
      <c r="G127" s="65">
        <f t="shared" si="19"/>
        <v>0</v>
      </c>
      <c r="H127" s="65">
        <f t="shared" si="20"/>
        <v>0</v>
      </c>
      <c r="I127" s="65">
        <f t="shared" si="16"/>
        <v>0</v>
      </c>
      <c r="J127" s="203">
        <f>IF(DG!$A$133&lt;=11,$M$17,0)</f>
        <v>0</v>
      </c>
      <c r="K127" s="65">
        <f t="shared" si="24"/>
        <v>0</v>
      </c>
      <c r="L127" s="473">
        <f t="shared" si="25"/>
        <v>0</v>
      </c>
      <c r="M127" s="204">
        <f t="shared" si="26"/>
        <v>0</v>
      </c>
      <c r="N127" s="505">
        <f t="shared" si="27"/>
        <v>0</v>
      </c>
      <c r="O127" s="204">
        <f>IF(DG!$A$133&gt;12,0,IF(J127-J126&gt;0,MROUND((L127/12*Q126),1),MROUND(L127/12*P126,1)))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IF(OR(L$73=0,DG!$A$254&gt;16),0,F127+1)</f>
        <v>0</v>
      </c>
      <c r="G128" s="65">
        <f t="shared" si="19"/>
        <v>0</v>
      </c>
      <c r="H128" s="65">
        <f t="shared" si="20"/>
        <v>0</v>
      </c>
      <c r="I128" s="65">
        <f t="shared" si="16"/>
        <v>0</v>
      </c>
      <c r="J128" s="203">
        <f>IF(DG!$A$133&lt;=11,$M$17,0)</f>
        <v>0</v>
      </c>
      <c r="K128" s="65">
        <f t="shared" si="24"/>
        <v>0</v>
      </c>
      <c r="L128" s="473">
        <f t="shared" si="25"/>
        <v>0</v>
      </c>
      <c r="M128" s="204">
        <f t="shared" si="26"/>
        <v>0</v>
      </c>
      <c r="N128" s="505">
        <f t="shared" si="27"/>
        <v>0</v>
      </c>
      <c r="O128" s="204">
        <f>IF(DG!$A$133&gt;12,0,IF(J128-J127&gt;0,MROUND((L128/12*Q127),1),MROUND(L128/12*P127,1)))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IF(OR(L$73=0,DG!$A$254&gt;16),0,F128+1)</f>
        <v>0</v>
      </c>
      <c r="G129" s="65">
        <f t="shared" si="19"/>
        <v>0</v>
      </c>
      <c r="H129" s="65">
        <f t="shared" si="20"/>
        <v>0</v>
      </c>
      <c r="I129" s="65">
        <f t="shared" ref="I129:I192" si="31">IF(OR(G129=1,C129=0),0,IF(K129-C129&lt;$G$269,1,-1))</f>
        <v>0</v>
      </c>
      <c r="J129" s="203">
        <f>IF(DG!$A$133&lt;=11,$M$17,0)</f>
        <v>0</v>
      </c>
      <c r="K129" s="65">
        <f t="shared" si="24"/>
        <v>0</v>
      </c>
      <c r="L129" s="473">
        <f t="shared" si="25"/>
        <v>0</v>
      </c>
      <c r="M129" s="204">
        <f t="shared" si="26"/>
        <v>0</v>
      </c>
      <c r="N129" s="505">
        <f t="shared" si="27"/>
        <v>0</v>
      </c>
      <c r="O129" s="204">
        <f>IF(DG!$A$133&gt;12,0,IF(J129-J128&gt;0,MROUND((L129/12*Q128),1),MROUND(L129/12*P128,1)))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IF(OR(L$73=0,DG!$A$254&gt;16),0,F129+1)</f>
        <v>0</v>
      </c>
      <c r="G130" s="65">
        <f t="shared" si="19"/>
        <v>0</v>
      </c>
      <c r="H130" s="65">
        <f t="shared" si="20"/>
        <v>0</v>
      </c>
      <c r="I130" s="65">
        <f t="shared" si="31"/>
        <v>0</v>
      </c>
      <c r="J130" s="203">
        <f>IF(DG!$A$133&lt;=11,$M$17,0)</f>
        <v>0</v>
      </c>
      <c r="K130" s="65">
        <f t="shared" si="24"/>
        <v>0</v>
      </c>
      <c r="L130" s="473">
        <f t="shared" si="25"/>
        <v>0</v>
      </c>
      <c r="M130" s="204">
        <f t="shared" si="26"/>
        <v>0</v>
      </c>
      <c r="N130" s="505">
        <f t="shared" si="27"/>
        <v>0</v>
      </c>
      <c r="O130" s="204">
        <f>IF(DG!$A$133&gt;12,0,IF(J130-J129&gt;0,MROUND((L130/12*Q129),1),MROUND(L130/12*P129,1)))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IF(OR(L$73=0,DG!$A$254&gt;16),0,F130+1)</f>
        <v>0</v>
      </c>
      <c r="G131" s="65">
        <f t="shared" si="19"/>
        <v>0</v>
      </c>
      <c r="H131" s="65">
        <f t="shared" si="20"/>
        <v>0</v>
      </c>
      <c r="I131" s="65">
        <f t="shared" si="31"/>
        <v>0</v>
      </c>
      <c r="J131" s="203">
        <f>IF(DG!$A$133&lt;=11,$M$17,0)</f>
        <v>0</v>
      </c>
      <c r="K131" s="65">
        <f t="shared" si="24"/>
        <v>0</v>
      </c>
      <c r="L131" s="473">
        <f t="shared" si="25"/>
        <v>0</v>
      </c>
      <c r="M131" s="204">
        <f t="shared" si="26"/>
        <v>0</v>
      </c>
      <c r="N131" s="505">
        <f t="shared" si="27"/>
        <v>0</v>
      </c>
      <c r="O131" s="204">
        <f>IF(DG!$A$133&gt;12,0,IF(J131-J130&gt;0,MROUND((L131/12*Q130),1),MROUND(L131/12*P130,1)))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IF(OR(L$73=0,DG!$A$254&gt;16),0,F131+1)</f>
        <v>0</v>
      </c>
      <c r="G132" s="65">
        <f t="shared" si="19"/>
        <v>0</v>
      </c>
      <c r="H132" s="65">
        <f t="shared" si="20"/>
        <v>0</v>
      </c>
      <c r="I132" s="65">
        <f t="shared" si="31"/>
        <v>0</v>
      </c>
      <c r="J132" s="203">
        <f>IF(DG!$A$133&lt;=11,$M$17,0)</f>
        <v>0</v>
      </c>
      <c r="K132" s="65">
        <f t="shared" si="24"/>
        <v>0</v>
      </c>
      <c r="L132" s="473">
        <f t="shared" si="25"/>
        <v>0</v>
      </c>
      <c r="M132" s="204">
        <f t="shared" si="26"/>
        <v>0</v>
      </c>
      <c r="N132" s="505">
        <f t="shared" si="27"/>
        <v>0</v>
      </c>
      <c r="O132" s="204">
        <f>IF(DG!$A$133&gt;12,0,IF(J132-J131&gt;0,MROUND((L132/12*Q131),1),MROUND(L132/12*P131,1)))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IF(OR(L$73=0,DG!$A$254&gt;16),0,F132+1)</f>
        <v>0</v>
      </c>
      <c r="G133" s="65">
        <f t="shared" si="19"/>
        <v>0</v>
      </c>
      <c r="H133" s="65">
        <f t="shared" si="20"/>
        <v>0</v>
      </c>
      <c r="I133" s="65">
        <f t="shared" si="31"/>
        <v>0</v>
      </c>
      <c r="J133" s="203">
        <f>IF(DG!$A$133&lt;=11,$M$17,0)</f>
        <v>0</v>
      </c>
      <c r="K133" s="65">
        <f t="shared" si="24"/>
        <v>0</v>
      </c>
      <c r="L133" s="473">
        <f t="shared" si="25"/>
        <v>0</v>
      </c>
      <c r="M133" s="204">
        <f t="shared" si="26"/>
        <v>0</v>
      </c>
      <c r="N133" s="505">
        <f t="shared" si="27"/>
        <v>0</v>
      </c>
      <c r="O133" s="204">
        <f>IF(DG!$A$133&gt;12,0,IF(J133-J132&gt;0,MROUND((L133/12*Q132),1),MROUND(L133/12*P132,1)))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IF(OR(L$73=0,DG!$A$254&gt;16),0,F133+1)</f>
        <v>0</v>
      </c>
      <c r="G134" s="65">
        <f t="shared" si="19"/>
        <v>0</v>
      </c>
      <c r="H134" s="65">
        <f t="shared" si="20"/>
        <v>0</v>
      </c>
      <c r="I134" s="65">
        <f t="shared" si="31"/>
        <v>0</v>
      </c>
      <c r="J134" s="203">
        <f>IF(DG!$A$133&lt;=11,$M$17,0)</f>
        <v>0</v>
      </c>
      <c r="K134" s="65">
        <f t="shared" si="24"/>
        <v>0</v>
      </c>
      <c r="L134" s="473">
        <f t="shared" si="25"/>
        <v>0</v>
      </c>
      <c r="M134" s="204">
        <f t="shared" si="26"/>
        <v>0</v>
      </c>
      <c r="N134" s="505">
        <f t="shared" si="27"/>
        <v>0</v>
      </c>
      <c r="O134" s="204">
        <f>IF(DG!$A$133&gt;12,0,IF(J134-J133&gt;0,MROUND((L134/12*Q133),1),MROUND(L134/12*P133,1)))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IF(OR(L$73=0,DG!$A$254&gt;16),0,F134+1)</f>
        <v>0</v>
      </c>
      <c r="G135" s="65">
        <f t="shared" si="19"/>
        <v>0</v>
      </c>
      <c r="H135" s="65">
        <f t="shared" si="20"/>
        <v>0</v>
      </c>
      <c r="I135" s="65">
        <f t="shared" si="31"/>
        <v>0</v>
      </c>
      <c r="J135" s="203">
        <f>IF(DG!$A$133&lt;=11,$M$17,0)</f>
        <v>0</v>
      </c>
      <c r="K135" s="65">
        <f t="shared" si="24"/>
        <v>0</v>
      </c>
      <c r="L135" s="473">
        <f t="shared" si="25"/>
        <v>0</v>
      </c>
      <c r="M135" s="204">
        <f t="shared" si="26"/>
        <v>0</v>
      </c>
      <c r="N135" s="505">
        <f t="shared" si="27"/>
        <v>0</v>
      </c>
      <c r="O135" s="204">
        <f>IF(DG!$A$133&gt;12,0,IF(J135-J134&gt;0,MROUND((L135/12*Q134),1),MROUND(L135/12*P134,1)))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IF(OR(L$73=0,DG!$A$254&gt;16),0,F135+1)</f>
        <v>0</v>
      </c>
      <c r="G136" s="65">
        <f t="shared" si="19"/>
        <v>0</v>
      </c>
      <c r="H136" s="65">
        <f t="shared" si="20"/>
        <v>0</v>
      </c>
      <c r="I136" s="65">
        <f t="shared" si="31"/>
        <v>0</v>
      </c>
      <c r="J136" s="203">
        <f>IF(DG!$A$133&lt;=11,$M$17,0)</f>
        <v>0</v>
      </c>
      <c r="K136" s="65">
        <f t="shared" si="24"/>
        <v>0</v>
      </c>
      <c r="L136" s="473">
        <f t="shared" si="25"/>
        <v>0</v>
      </c>
      <c r="M136" s="204">
        <f t="shared" si="26"/>
        <v>0</v>
      </c>
      <c r="N136" s="505">
        <f t="shared" si="27"/>
        <v>0</v>
      </c>
      <c r="O136" s="204">
        <f>IF(DG!$A$133&gt;12,0,IF(J136-J135&gt;0,MROUND((L136/12*Q135),1),MROUND(L136/12*P135,1)))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IF(OR(L$73=0,DG!$A$254&gt;16),0,F136+1)</f>
        <v>0</v>
      </c>
      <c r="G137" s="65">
        <f t="shared" si="19"/>
        <v>0</v>
      </c>
      <c r="H137" s="65">
        <f t="shared" si="20"/>
        <v>0</v>
      </c>
      <c r="I137" s="65">
        <f t="shared" si="31"/>
        <v>0</v>
      </c>
      <c r="J137" s="203">
        <f>IF(DG!$A$133&lt;=11,$M$17,0)</f>
        <v>0</v>
      </c>
      <c r="K137" s="65">
        <f t="shared" si="24"/>
        <v>0</v>
      </c>
      <c r="L137" s="473">
        <f t="shared" si="25"/>
        <v>0</v>
      </c>
      <c r="M137" s="204">
        <f t="shared" si="26"/>
        <v>0</v>
      </c>
      <c r="N137" s="505">
        <f t="shared" si="27"/>
        <v>0</v>
      </c>
      <c r="O137" s="204">
        <f>IF(DG!$A$133&gt;12,0,IF(J137-J136&gt;0,MROUND((L137/12*Q136),1),MROUND(L137/12*P136,1)))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IF(OR(L$73=0,DG!$A$254&gt;16),0,F137+1)</f>
        <v>0</v>
      </c>
      <c r="G138" s="65">
        <f t="shared" si="19"/>
        <v>0</v>
      </c>
      <c r="H138" s="65">
        <f t="shared" si="20"/>
        <v>0</v>
      </c>
      <c r="I138" s="65">
        <f t="shared" si="31"/>
        <v>0</v>
      </c>
      <c r="J138" s="203">
        <f>IF(DG!$A$133&lt;=11,$M$17,0)</f>
        <v>0</v>
      </c>
      <c r="K138" s="65">
        <f t="shared" si="24"/>
        <v>0</v>
      </c>
      <c r="L138" s="473">
        <f t="shared" si="25"/>
        <v>0</v>
      </c>
      <c r="M138" s="204">
        <f t="shared" si="26"/>
        <v>0</v>
      </c>
      <c r="N138" s="505">
        <f t="shared" si="27"/>
        <v>0</v>
      </c>
      <c r="O138" s="204">
        <f>IF(DG!$A$133&gt;12,0,IF(J138-J137&gt;0,MROUND((L138/12*Q137),1),MROUND(L138/12*P137,1)))</f>
        <v>0</v>
      </c>
      <c r="P138" s="204">
        <f t="shared" si="28"/>
        <v>0</v>
      </c>
      <c r="Q138" s="204">
        <f t="shared" si="21"/>
        <v>0</v>
      </c>
      <c r="R138" s="476">
        <v>0</v>
      </c>
      <c r="S138" s="511">
        <f t="shared" ref="S138:S151" si="32">SUM(N127:N138)</f>
        <v>0</v>
      </c>
    </row>
    <row r="139" spans="1:19" ht="14" thickTop="1" thickBot="1">
      <c r="A139" s="202">
        <f t="shared" si="22"/>
        <v>48731</v>
      </c>
      <c r="B139" s="65">
        <f t="shared" si="18"/>
        <v>0</v>
      </c>
      <c r="C139" s="65">
        <f t="shared" si="30"/>
        <v>0</v>
      </c>
      <c r="D139" s="65">
        <f t="shared" si="29"/>
        <v>114</v>
      </c>
      <c r="E139" s="65">
        <f t="shared" si="23"/>
        <v>0</v>
      </c>
      <c r="F139" s="65">
        <f>IF(OR(L$73=0,DG!$A$254&gt;16),0,F138+1)</f>
        <v>0</v>
      </c>
      <c r="G139" s="65">
        <f t="shared" si="19"/>
        <v>0</v>
      </c>
      <c r="H139" s="65">
        <f t="shared" si="20"/>
        <v>0</v>
      </c>
      <c r="I139" s="65">
        <f t="shared" si="31"/>
        <v>0</v>
      </c>
      <c r="J139" s="203">
        <f>IF(DG!$A$133&lt;=11,$M$17,0)</f>
        <v>0</v>
      </c>
      <c r="K139" s="65">
        <f t="shared" si="24"/>
        <v>0</v>
      </c>
      <c r="L139" s="473">
        <f t="shared" si="25"/>
        <v>0</v>
      </c>
      <c r="M139" s="204">
        <f t="shared" si="26"/>
        <v>0</v>
      </c>
      <c r="N139" s="505">
        <f t="shared" si="27"/>
        <v>0</v>
      </c>
      <c r="O139" s="204">
        <f>IF(DG!$A$133&gt;12,0,IF(J139-J138&gt;0,MROUND((L139/12*Q138),1),MROUND(L139/12*P138,1)))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IF(OR(L$73=0,DG!$A$254&gt;16),0,F139+1)</f>
        <v>0</v>
      </c>
      <c r="G140" s="65">
        <f t="shared" si="19"/>
        <v>0</v>
      </c>
      <c r="H140" s="65">
        <f t="shared" si="20"/>
        <v>0</v>
      </c>
      <c r="I140" s="65">
        <f t="shared" si="31"/>
        <v>0</v>
      </c>
      <c r="J140" s="203">
        <f>IF(DG!$A$133&lt;=11,$M$17,0)</f>
        <v>0</v>
      </c>
      <c r="K140" s="65">
        <f t="shared" si="24"/>
        <v>0</v>
      </c>
      <c r="L140" s="473">
        <f t="shared" si="25"/>
        <v>0</v>
      </c>
      <c r="M140" s="204">
        <f t="shared" si="26"/>
        <v>0</v>
      </c>
      <c r="N140" s="505">
        <f t="shared" si="27"/>
        <v>0</v>
      </c>
      <c r="O140" s="204">
        <f>IF(DG!$A$133&gt;12,0,IF(J140-J139&gt;0,MROUND((L140/12*Q139),1),MROUND(L140/12*P139,1)))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IF(OR(L$73=0,DG!$A$254&gt;16),0,F140+1)</f>
        <v>0</v>
      </c>
      <c r="G141" s="65">
        <f t="shared" si="19"/>
        <v>0</v>
      </c>
      <c r="H141" s="65">
        <f t="shared" si="20"/>
        <v>0</v>
      </c>
      <c r="I141" s="65">
        <f t="shared" si="31"/>
        <v>0</v>
      </c>
      <c r="J141" s="203">
        <f>IF(DG!$A$133&lt;=11,$M$17,0)</f>
        <v>0</v>
      </c>
      <c r="K141" s="65">
        <f t="shared" si="24"/>
        <v>0</v>
      </c>
      <c r="L141" s="473">
        <f t="shared" si="25"/>
        <v>0</v>
      </c>
      <c r="M141" s="204">
        <f t="shared" si="26"/>
        <v>0</v>
      </c>
      <c r="N141" s="505">
        <f t="shared" si="27"/>
        <v>0</v>
      </c>
      <c r="O141" s="204">
        <f>IF(DG!$A$133&gt;12,0,IF(J141-J140&gt;0,MROUND((L141/12*Q140),1),MROUND(L141/12*P140,1)))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IF(OR(L$73=0,DG!$A$254&gt;16),0,F141+1)</f>
        <v>0</v>
      </c>
      <c r="G142" s="65">
        <f t="shared" si="19"/>
        <v>0</v>
      </c>
      <c r="H142" s="65">
        <f t="shared" si="20"/>
        <v>0</v>
      </c>
      <c r="I142" s="65">
        <f t="shared" si="31"/>
        <v>0</v>
      </c>
      <c r="J142" s="203">
        <f>IF(DG!$A$133&lt;=11,$M$17,0)</f>
        <v>0</v>
      </c>
      <c r="K142" s="65">
        <f t="shared" si="24"/>
        <v>0</v>
      </c>
      <c r="L142" s="473">
        <f t="shared" si="25"/>
        <v>0</v>
      </c>
      <c r="M142" s="204">
        <f t="shared" si="26"/>
        <v>0</v>
      </c>
      <c r="N142" s="505">
        <f t="shared" si="27"/>
        <v>0</v>
      </c>
      <c r="O142" s="204">
        <f>IF(DG!$A$133&gt;12,0,IF(J142-J141&gt;0,MROUND((L142/12*Q141),1),MROUND(L142/12*P141,1)))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IF(OR(L$73=0,DG!$A$254&gt;16),0,F142+1)</f>
        <v>0</v>
      </c>
      <c r="G143" s="65">
        <f t="shared" si="19"/>
        <v>0</v>
      </c>
      <c r="H143" s="65">
        <f t="shared" si="20"/>
        <v>0</v>
      </c>
      <c r="I143" s="65">
        <f t="shared" si="31"/>
        <v>0</v>
      </c>
      <c r="J143" s="203">
        <f>IF(DG!$A$133&lt;=11,$M$17,0)</f>
        <v>0</v>
      </c>
      <c r="K143" s="65">
        <f t="shared" si="24"/>
        <v>0</v>
      </c>
      <c r="L143" s="473">
        <f t="shared" si="25"/>
        <v>0</v>
      </c>
      <c r="M143" s="204">
        <f t="shared" si="26"/>
        <v>0</v>
      </c>
      <c r="N143" s="505">
        <f t="shared" si="27"/>
        <v>0</v>
      </c>
      <c r="O143" s="204">
        <f>IF(DG!$A$133&gt;12,0,IF(J143-J142&gt;0,MROUND((L143/12*Q142),1),MROUND(L143/12*P142,1)))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IF(OR(L$73=0,DG!$A$254&gt;16),0,F143+1)</f>
        <v>0</v>
      </c>
      <c r="G144" s="65">
        <f t="shared" si="19"/>
        <v>0</v>
      </c>
      <c r="H144" s="65">
        <f t="shared" si="20"/>
        <v>0</v>
      </c>
      <c r="I144" s="65">
        <f t="shared" si="31"/>
        <v>0</v>
      </c>
      <c r="J144" s="203">
        <f>IF(DG!$A$133&lt;=11,$M$17,0)</f>
        <v>0</v>
      </c>
      <c r="K144" s="65">
        <f t="shared" si="24"/>
        <v>0</v>
      </c>
      <c r="L144" s="473">
        <f t="shared" si="25"/>
        <v>0</v>
      </c>
      <c r="M144" s="204">
        <f t="shared" si="26"/>
        <v>0</v>
      </c>
      <c r="N144" s="505">
        <f t="shared" si="27"/>
        <v>0</v>
      </c>
      <c r="O144" s="204">
        <f>IF(DG!$A$133&gt;12,0,IF(J144-J143&gt;0,MROUND((L144/12*Q143),1),MROUND(L144/12*P143,1)))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IF(OR(L$73=0,DG!$A$254&gt;16),0,F144+1)</f>
        <v>0</v>
      </c>
      <c r="G145" s="65">
        <f t="shared" si="19"/>
        <v>0</v>
      </c>
      <c r="H145" s="65">
        <f t="shared" si="20"/>
        <v>0</v>
      </c>
      <c r="I145" s="65">
        <f t="shared" si="31"/>
        <v>0</v>
      </c>
      <c r="J145" s="203">
        <f>IF(DG!$A$133&lt;=11,$M$17,0)</f>
        <v>0</v>
      </c>
      <c r="K145" s="65">
        <f t="shared" si="24"/>
        <v>0</v>
      </c>
      <c r="L145" s="473">
        <f t="shared" si="25"/>
        <v>0</v>
      </c>
      <c r="M145" s="204">
        <f t="shared" si="26"/>
        <v>0</v>
      </c>
      <c r="N145" s="505">
        <f t="shared" si="27"/>
        <v>0</v>
      </c>
      <c r="O145" s="204">
        <f>IF(DG!$A$133&gt;12,0,IF(J145-J144&gt;0,MROUND((L145/12*Q144),1),MROUND(L145/12*P144,1)))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IF(OR(L$73=0,DG!$A$254&gt;16),0,F145+1)</f>
        <v>0</v>
      </c>
      <c r="G146" s="65">
        <f t="shared" si="19"/>
        <v>0</v>
      </c>
      <c r="H146" s="65">
        <f t="shared" si="20"/>
        <v>0</v>
      </c>
      <c r="I146" s="65">
        <f t="shared" si="31"/>
        <v>0</v>
      </c>
      <c r="J146" s="203">
        <f>IF(DG!$A$133&lt;=11,$M$17,0)</f>
        <v>0</v>
      </c>
      <c r="K146" s="65">
        <f t="shared" si="24"/>
        <v>0</v>
      </c>
      <c r="L146" s="473">
        <f t="shared" si="25"/>
        <v>0</v>
      </c>
      <c r="M146" s="204">
        <f t="shared" si="26"/>
        <v>0</v>
      </c>
      <c r="N146" s="505">
        <f t="shared" si="27"/>
        <v>0</v>
      </c>
      <c r="O146" s="204">
        <f>IF(DG!$A$133&gt;12,0,IF(J146-J145&gt;0,MROUND((L146/12*Q145),1),MROUND(L146/12*P145,1)))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IF(OR(L$73=0,DG!$A$254&gt;16),0,F146+1)</f>
        <v>0</v>
      </c>
      <c r="G147" s="65">
        <f t="shared" si="19"/>
        <v>0</v>
      </c>
      <c r="H147" s="65">
        <f t="shared" si="20"/>
        <v>0</v>
      </c>
      <c r="I147" s="65">
        <f t="shared" si="31"/>
        <v>0</v>
      </c>
      <c r="J147" s="203">
        <f>IF(DG!$A$133&lt;=11,$M$17,0)</f>
        <v>0</v>
      </c>
      <c r="K147" s="65">
        <f t="shared" si="24"/>
        <v>0</v>
      </c>
      <c r="L147" s="473">
        <f t="shared" si="25"/>
        <v>0</v>
      </c>
      <c r="M147" s="204">
        <f t="shared" si="26"/>
        <v>0</v>
      </c>
      <c r="N147" s="505">
        <f t="shared" si="27"/>
        <v>0</v>
      </c>
      <c r="O147" s="204">
        <f>IF(DG!$A$133&gt;12,0,IF(J147-J146&gt;0,MROUND((L147/12*Q146),1),MROUND(L147/12*P146,1)))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IF(OR(L$73=0,DG!$A$254&gt;16),0,F147+1)</f>
        <v>0</v>
      </c>
      <c r="G148" s="65">
        <f t="shared" si="19"/>
        <v>0</v>
      </c>
      <c r="H148" s="65">
        <f t="shared" si="20"/>
        <v>0</v>
      </c>
      <c r="I148" s="65">
        <f t="shared" si="31"/>
        <v>0</v>
      </c>
      <c r="J148" s="203">
        <f>IF(DG!$A$133&lt;=11,$M$17,0)</f>
        <v>0</v>
      </c>
      <c r="K148" s="65">
        <f t="shared" si="24"/>
        <v>0</v>
      </c>
      <c r="L148" s="473">
        <f t="shared" si="25"/>
        <v>0</v>
      </c>
      <c r="M148" s="204">
        <f t="shared" si="26"/>
        <v>0</v>
      </c>
      <c r="N148" s="505">
        <f t="shared" si="27"/>
        <v>0</v>
      </c>
      <c r="O148" s="204">
        <f>IF(DG!$A$133&gt;12,0,IF(J148-J147&gt;0,MROUND((L148/12*Q147),1),MROUND(L148/12*P147,1)))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IF(OR(L$73=0,DG!$A$254&gt;16),0,F148+1)</f>
        <v>0</v>
      </c>
      <c r="G149" s="65">
        <f t="shared" si="19"/>
        <v>0</v>
      </c>
      <c r="H149" s="65">
        <f t="shared" si="20"/>
        <v>0</v>
      </c>
      <c r="I149" s="65">
        <f t="shared" si="31"/>
        <v>0</v>
      </c>
      <c r="J149" s="203">
        <f>IF(DG!$A$133&lt;=11,$M$17,0)</f>
        <v>0</v>
      </c>
      <c r="K149" s="65">
        <f t="shared" si="24"/>
        <v>0</v>
      </c>
      <c r="L149" s="473">
        <f t="shared" si="25"/>
        <v>0</v>
      </c>
      <c r="M149" s="204">
        <f t="shared" si="26"/>
        <v>0</v>
      </c>
      <c r="N149" s="505">
        <f t="shared" si="27"/>
        <v>0</v>
      </c>
      <c r="O149" s="204">
        <f>IF(DG!$A$133&gt;12,0,IF(J149-J148&gt;0,MROUND((L149/12*Q148),1),MROUND(L149/12*P148,1)))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IF(OR(L$73=0,DG!$A$254&gt;16),0,F149+1)</f>
        <v>0</v>
      </c>
      <c r="G150" s="65">
        <f t="shared" si="19"/>
        <v>0</v>
      </c>
      <c r="H150" s="65">
        <f t="shared" si="20"/>
        <v>0</v>
      </c>
      <c r="I150" s="65">
        <f t="shared" si="31"/>
        <v>0</v>
      </c>
      <c r="J150" s="203">
        <f>IF(DG!$A$133&lt;=11,$M$17,0)</f>
        <v>0</v>
      </c>
      <c r="K150" s="65">
        <f t="shared" si="24"/>
        <v>0</v>
      </c>
      <c r="L150" s="473">
        <f t="shared" si="25"/>
        <v>0</v>
      </c>
      <c r="M150" s="204">
        <f t="shared" si="26"/>
        <v>0</v>
      </c>
      <c r="N150" s="505">
        <f t="shared" si="27"/>
        <v>0</v>
      </c>
      <c r="O150" s="204">
        <f>IF(DG!$A$133&gt;12,0,IF(J150-J149&gt;0,MROUND((L150/12*Q149),1),MROUND(L150/12*P149,1)))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IF(OR(L$73=0,DG!$A$254&gt;16),0,F150+1)</f>
        <v>0</v>
      </c>
      <c r="G151" s="65">
        <f t="shared" si="19"/>
        <v>0</v>
      </c>
      <c r="H151" s="65">
        <f>IF(I151&gt;=0,0,H150+1)</f>
        <v>0</v>
      </c>
      <c r="I151" s="65">
        <f t="shared" si="31"/>
        <v>0</v>
      </c>
      <c r="J151" s="203">
        <f>IF(DG!$A$133&lt;=11,$M$17,0)</f>
        <v>0</v>
      </c>
      <c r="K151" s="65">
        <f>K150</f>
        <v>0</v>
      </c>
      <c r="L151" s="473">
        <f t="shared" si="25"/>
        <v>0</v>
      </c>
      <c r="M151" s="204">
        <f t="shared" si="26"/>
        <v>0</v>
      </c>
      <c r="N151" s="505">
        <f t="shared" si="27"/>
        <v>0</v>
      </c>
      <c r="O151" s="204">
        <f>IF(DG!$A$133&gt;12,0,IF(J151-J150&gt;0,MROUND((L151/12*Q150),1),MROUND(L151/12*P150,1)))</f>
        <v>0</v>
      </c>
      <c r="P151" s="204">
        <f t="shared" si="28"/>
        <v>0</v>
      </c>
      <c r="Q151" s="204">
        <f t="shared" si="21"/>
        <v>0</v>
      </c>
      <c r="R151" s="476">
        <v>0</v>
      </c>
      <c r="S151" s="511">
        <f t="shared" si="32"/>
        <v>0</v>
      </c>
    </row>
    <row r="152" spans="1:19" ht="14" thickTop="1" thickBot="1">
      <c r="A152" s="202">
        <f t="shared" si="22"/>
        <v>49126</v>
      </c>
      <c r="B152" s="65">
        <f t="shared" si="33"/>
        <v>0</v>
      </c>
      <c r="C152" s="65">
        <f t="shared" si="30"/>
        <v>0</v>
      </c>
      <c r="D152" s="65">
        <f t="shared" ref="D152:D215" si="34">D151+1</f>
        <v>127</v>
      </c>
      <c r="E152" s="65">
        <f t="shared" si="23"/>
        <v>0</v>
      </c>
      <c r="F152" s="65">
        <f>IF(OR(L$73=0,DG!$A$254&gt;16),0,F151+1)</f>
        <v>0</v>
      </c>
      <c r="G152" s="65">
        <f t="shared" si="19"/>
        <v>0</v>
      </c>
      <c r="H152" s="65">
        <f t="shared" ref="H152:H215" si="35">IF(I152&gt;=0,0,H151+1)</f>
        <v>0</v>
      </c>
      <c r="I152" s="65">
        <f t="shared" si="31"/>
        <v>0</v>
      </c>
      <c r="J152" s="203">
        <f>IF(DG!$A$133&lt;=11,$M$17,0)</f>
        <v>0</v>
      </c>
      <c r="K152" s="65">
        <f t="shared" ref="K152:K215" si="36">K151</f>
        <v>0</v>
      </c>
      <c r="L152" s="473">
        <f t="shared" si="25"/>
        <v>0</v>
      </c>
      <c r="M152" s="204">
        <f t="shared" si="26"/>
        <v>0</v>
      </c>
      <c r="N152" s="505">
        <f t="shared" si="27"/>
        <v>0</v>
      </c>
      <c r="O152" s="204">
        <f>IF(DG!$A$133&gt;12,0,IF(J152-J151&gt;0,MROUND((L152/12*Q151),1),MROUND(L152/12*P151,1)))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IF(OR(L$73=0,DG!$A$254&gt;16),0,F152+1)</f>
        <v>0</v>
      </c>
      <c r="G153" s="65">
        <f t="shared" si="19"/>
        <v>0</v>
      </c>
      <c r="H153" s="65">
        <f t="shared" si="35"/>
        <v>0</v>
      </c>
      <c r="I153" s="65">
        <f t="shared" si="31"/>
        <v>0</v>
      </c>
      <c r="J153" s="203">
        <f>IF(DG!$A$133&lt;=11,$M$17,0)</f>
        <v>0</v>
      </c>
      <c r="K153" s="65">
        <f t="shared" si="36"/>
        <v>0</v>
      </c>
      <c r="L153" s="473">
        <f t="shared" si="25"/>
        <v>0</v>
      </c>
      <c r="M153" s="204">
        <f t="shared" si="26"/>
        <v>0</v>
      </c>
      <c r="N153" s="505">
        <f t="shared" si="27"/>
        <v>0</v>
      </c>
      <c r="O153" s="204">
        <f>IF(DG!$A$133&gt;12,0,IF(J153-J152&gt;0,MROUND((L153/12*Q152),1),MROUND(L153/12*P152,1)))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IF(OR(L$73=0,DG!$A$254&gt;16),0,F153+1)</f>
        <v>0</v>
      </c>
      <c r="G154" s="65">
        <f t="shared" ref="G154:G217" si="38">IF(E154=0,0,IF(D154-E154-F154&gt;=0,1,0))</f>
        <v>0</v>
      </c>
      <c r="H154" s="65">
        <f t="shared" si="35"/>
        <v>0</v>
      </c>
      <c r="I154" s="65">
        <f t="shared" si="31"/>
        <v>0</v>
      </c>
      <c r="J154" s="203">
        <f>IF(DG!$A$133&lt;=11,$M$17,0)</f>
        <v>0</v>
      </c>
      <c r="K154" s="65">
        <f t="shared" si="36"/>
        <v>0</v>
      </c>
      <c r="L154" s="473">
        <f t="shared" si="25"/>
        <v>0</v>
      </c>
      <c r="M154" s="204">
        <f t="shared" si="26"/>
        <v>0</v>
      </c>
      <c r="N154" s="505">
        <f t="shared" si="27"/>
        <v>0</v>
      </c>
      <c r="O154" s="204">
        <f>IF(DG!$A$133&gt;12,0,IF(J154-J153&gt;0,MROUND((L154/12*Q153),1),MROUND(L154/12*P153,1)))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IF(OR(L$73=0,DG!$A$254&gt;16),0,F154+1)</f>
        <v>0</v>
      </c>
      <c r="G155" s="65">
        <f t="shared" si="38"/>
        <v>0</v>
      </c>
      <c r="H155" s="65">
        <f t="shared" si="35"/>
        <v>0</v>
      </c>
      <c r="I155" s="65">
        <f t="shared" si="31"/>
        <v>0</v>
      </c>
      <c r="J155" s="203">
        <f>IF(DG!$A$133&lt;=11,$M$17,0)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IF(DG!$A$133&gt;12,0,IF(J155-J154&gt;0,MROUND((L155/12*Q154),1),MROUND(L155/12*P154,1)))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IF(OR(L$73=0,DG!$A$254&gt;16),0,F155+1)</f>
        <v>0</v>
      </c>
      <c r="G156" s="65">
        <f t="shared" si="38"/>
        <v>0</v>
      </c>
      <c r="H156" s="65">
        <f t="shared" si="35"/>
        <v>0</v>
      </c>
      <c r="I156" s="65">
        <f t="shared" si="31"/>
        <v>0</v>
      </c>
      <c r="J156" s="203">
        <f>IF(DG!$A$133&lt;=11,$M$17,0)</f>
        <v>0</v>
      </c>
      <c r="K156" s="65">
        <f t="shared" si="36"/>
        <v>0</v>
      </c>
      <c r="L156" s="473">
        <f t="shared" si="42"/>
        <v>0</v>
      </c>
      <c r="M156" s="204">
        <f t="shared" si="43"/>
        <v>0</v>
      </c>
      <c r="N156" s="505">
        <f t="shared" si="44"/>
        <v>0</v>
      </c>
      <c r="O156" s="204">
        <f>IF(DG!$A$133&gt;12,0,IF(J156-J155&gt;0,MROUND((L156/12*Q155),1),MROUND(L156/12*P155,1)))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IF(OR(L$73=0,DG!$A$254&gt;16),0,F156+1)</f>
        <v>0</v>
      </c>
      <c r="G157" s="65">
        <f t="shared" si="38"/>
        <v>0</v>
      </c>
      <c r="H157" s="65">
        <f t="shared" si="35"/>
        <v>0</v>
      </c>
      <c r="I157" s="65">
        <f t="shared" si="31"/>
        <v>0</v>
      </c>
      <c r="J157" s="203">
        <f>IF(DG!$A$133&lt;=11,$M$17,0)</f>
        <v>0</v>
      </c>
      <c r="K157" s="65">
        <f t="shared" si="36"/>
        <v>0</v>
      </c>
      <c r="L157" s="473">
        <f t="shared" si="42"/>
        <v>0</v>
      </c>
      <c r="M157" s="204">
        <f t="shared" si="43"/>
        <v>0</v>
      </c>
      <c r="N157" s="505">
        <f t="shared" si="44"/>
        <v>0</v>
      </c>
      <c r="O157" s="204">
        <f>IF(DG!$A$133&gt;12,0,IF(J157-J156&gt;0,MROUND((L157/12*Q156),1),MROUND(L157/12*P156,1)))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IF(OR(L$73=0,DG!$A$254&gt;16),0,F157+1)</f>
        <v>0</v>
      </c>
      <c r="G158" s="65">
        <f t="shared" si="38"/>
        <v>0</v>
      </c>
      <c r="H158" s="65">
        <f t="shared" si="35"/>
        <v>0</v>
      </c>
      <c r="I158" s="65">
        <f t="shared" si="31"/>
        <v>0</v>
      </c>
      <c r="J158" s="203">
        <f>IF(DG!$A$133&lt;=11,$M$17,0)</f>
        <v>0</v>
      </c>
      <c r="K158" s="65">
        <f t="shared" si="36"/>
        <v>0</v>
      </c>
      <c r="L158" s="473">
        <f t="shared" si="42"/>
        <v>0</v>
      </c>
      <c r="M158" s="204">
        <f t="shared" si="43"/>
        <v>0</v>
      </c>
      <c r="N158" s="505">
        <f t="shared" si="44"/>
        <v>0</v>
      </c>
      <c r="O158" s="204">
        <f>IF(DG!$A$133&gt;12,0,IF(J158-J157&gt;0,MROUND((L158/12*Q157),1),MROUND(L158/12*P157,1)))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IF(OR(L$73=0,DG!$A$254&gt;16),0,F158+1)</f>
        <v>0</v>
      </c>
      <c r="G159" s="65">
        <f t="shared" si="38"/>
        <v>0</v>
      </c>
      <c r="H159" s="65">
        <f t="shared" si="35"/>
        <v>0</v>
      </c>
      <c r="I159" s="65">
        <f t="shared" si="31"/>
        <v>0</v>
      </c>
      <c r="J159" s="203">
        <f>IF(DG!$A$133&lt;=11,$M$17,0)</f>
        <v>0</v>
      </c>
      <c r="K159" s="65">
        <f t="shared" si="36"/>
        <v>0</v>
      </c>
      <c r="L159" s="473">
        <f t="shared" si="42"/>
        <v>0</v>
      </c>
      <c r="M159" s="204">
        <f t="shared" si="43"/>
        <v>0</v>
      </c>
      <c r="N159" s="505">
        <f t="shared" si="44"/>
        <v>0</v>
      </c>
      <c r="O159" s="204">
        <f>IF(DG!$A$133&gt;12,0,IF(J159-J158&gt;0,MROUND((L159/12*Q158),1),MROUND(L159/12*P158,1)))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IF(OR(L$73=0,DG!$A$254&gt;16),0,F159+1)</f>
        <v>0</v>
      </c>
      <c r="G160" s="65">
        <f t="shared" si="38"/>
        <v>0</v>
      </c>
      <c r="H160" s="65">
        <f t="shared" si="35"/>
        <v>0</v>
      </c>
      <c r="I160" s="65">
        <f t="shared" si="31"/>
        <v>0</v>
      </c>
      <c r="J160" s="203">
        <f>IF(DG!$A$133&lt;=11,$M$17,0)</f>
        <v>0</v>
      </c>
      <c r="K160" s="65">
        <f t="shared" si="36"/>
        <v>0</v>
      </c>
      <c r="L160" s="473">
        <f t="shared" si="42"/>
        <v>0</v>
      </c>
      <c r="M160" s="204">
        <f t="shared" si="43"/>
        <v>0</v>
      </c>
      <c r="N160" s="505">
        <f t="shared" si="44"/>
        <v>0</v>
      </c>
      <c r="O160" s="204">
        <f>IF(DG!$A$133&gt;12,0,IF(J160-J159&gt;0,MROUND((L160/12*Q159),1),MROUND(L160/12*P159,1)))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IF(OR(L$73=0,DG!$A$254&gt;16),0,F160+1)</f>
        <v>0</v>
      </c>
      <c r="G161" s="65">
        <f t="shared" si="38"/>
        <v>0</v>
      </c>
      <c r="H161" s="65">
        <f t="shared" si="35"/>
        <v>0</v>
      </c>
      <c r="I161" s="65">
        <f t="shared" si="31"/>
        <v>0</v>
      </c>
      <c r="J161" s="203">
        <f>IF(DG!$A$133&lt;=11,$M$17,0)</f>
        <v>0</v>
      </c>
      <c r="K161" s="65">
        <f t="shared" si="36"/>
        <v>0</v>
      </c>
      <c r="L161" s="473">
        <f t="shared" si="42"/>
        <v>0</v>
      </c>
      <c r="M161" s="204">
        <f t="shared" si="43"/>
        <v>0</v>
      </c>
      <c r="N161" s="505">
        <f t="shared" si="44"/>
        <v>0</v>
      </c>
      <c r="O161" s="204">
        <f>IF(DG!$A$133&gt;12,0,IF(J161-J160&gt;0,MROUND((L161/12*Q160),1),MROUND(L161/12*P160,1)))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IF(OR(L$73=0,DG!$A$254&gt;16),0,F161+1)</f>
        <v>0</v>
      </c>
      <c r="G162" s="65">
        <f t="shared" si="38"/>
        <v>0</v>
      </c>
      <c r="H162" s="65">
        <f t="shared" si="35"/>
        <v>0</v>
      </c>
      <c r="I162" s="65">
        <f t="shared" si="31"/>
        <v>0</v>
      </c>
      <c r="J162" s="203">
        <f>IF(DG!$A$133&lt;=11,$M$17,0)</f>
        <v>0</v>
      </c>
      <c r="K162" s="65">
        <f t="shared" si="36"/>
        <v>0</v>
      </c>
      <c r="L162" s="473">
        <f t="shared" si="42"/>
        <v>0</v>
      </c>
      <c r="M162" s="204">
        <f t="shared" si="43"/>
        <v>0</v>
      </c>
      <c r="N162" s="505">
        <f t="shared" si="44"/>
        <v>0</v>
      </c>
      <c r="O162" s="204">
        <f>IF(DG!$A$133&gt;12,0,IF(J162-J161&gt;0,MROUND((L162/12*Q161),1),MROUND(L162/12*P161,1)))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IF(OR(L$73=0,DG!$A$254&gt;16),0,F162+1)</f>
        <v>0</v>
      </c>
      <c r="G163" s="65">
        <f t="shared" si="38"/>
        <v>0</v>
      </c>
      <c r="H163" s="65">
        <f t="shared" si="35"/>
        <v>0</v>
      </c>
      <c r="I163" s="65">
        <f t="shared" si="31"/>
        <v>0</v>
      </c>
      <c r="J163" s="203">
        <f>IF(DG!$A$133&lt;=11,$M$17,0)</f>
        <v>0</v>
      </c>
      <c r="K163" s="65">
        <f t="shared" si="36"/>
        <v>0</v>
      </c>
      <c r="L163" s="473">
        <f t="shared" si="42"/>
        <v>0</v>
      </c>
      <c r="M163" s="204">
        <f t="shared" si="43"/>
        <v>0</v>
      </c>
      <c r="N163" s="505">
        <f t="shared" si="44"/>
        <v>0</v>
      </c>
      <c r="O163" s="204">
        <f>IF(DG!$A$133&gt;12,0,IF(J163-J162&gt;0,MROUND((L163/12*Q162),1),MROUND(L163/12*P162,1)))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IF(OR(L$73=0,DG!$A$254&gt;16),0,F163+1)</f>
        <v>0</v>
      </c>
      <c r="G164" s="65">
        <f t="shared" si="38"/>
        <v>0</v>
      </c>
      <c r="H164" s="65">
        <f t="shared" si="35"/>
        <v>0</v>
      </c>
      <c r="I164" s="65">
        <f t="shared" si="31"/>
        <v>0</v>
      </c>
      <c r="J164" s="203">
        <f>IF(DG!$A$133&lt;=11,$M$17,0)</f>
        <v>0</v>
      </c>
      <c r="K164" s="65">
        <f t="shared" si="36"/>
        <v>0</v>
      </c>
      <c r="L164" s="473">
        <f t="shared" si="42"/>
        <v>0</v>
      </c>
      <c r="M164" s="204">
        <f t="shared" si="43"/>
        <v>0</v>
      </c>
      <c r="N164" s="505">
        <f t="shared" si="44"/>
        <v>0</v>
      </c>
      <c r="O164" s="204">
        <f>IF(DG!$A$133&gt;12,0,IF(J164-J163&gt;0,MROUND((L164/12*Q163),1),MROUND(L164/12*P163,1)))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IF(OR(L$73=0,DG!$A$254&gt;16),0,F164+1)</f>
        <v>0</v>
      </c>
      <c r="G165" s="65">
        <f t="shared" si="38"/>
        <v>0</v>
      </c>
      <c r="H165" s="65">
        <f t="shared" si="35"/>
        <v>0</v>
      </c>
      <c r="I165" s="65">
        <f t="shared" si="31"/>
        <v>0</v>
      </c>
      <c r="J165" s="203">
        <f>IF(DG!$A$133&lt;=11,$M$17,0)</f>
        <v>0</v>
      </c>
      <c r="K165" s="65">
        <f t="shared" si="36"/>
        <v>0</v>
      </c>
      <c r="L165" s="473">
        <f t="shared" si="42"/>
        <v>0</v>
      </c>
      <c r="M165" s="204">
        <f t="shared" si="43"/>
        <v>0</v>
      </c>
      <c r="N165" s="505">
        <f t="shared" si="44"/>
        <v>0</v>
      </c>
      <c r="O165" s="204">
        <f>IF(DG!$A$133&gt;12,0,IF(J165-J164&gt;0,MROUND((L165/12*Q164),1),MROUND(L165/12*P164,1)))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IF(OR(L$73=0,DG!$A$254&gt;16),0,F165+1)</f>
        <v>0</v>
      </c>
      <c r="G166" s="65">
        <f t="shared" si="38"/>
        <v>0</v>
      </c>
      <c r="H166" s="65">
        <f t="shared" si="35"/>
        <v>0</v>
      </c>
      <c r="I166" s="65">
        <f t="shared" si="31"/>
        <v>0</v>
      </c>
      <c r="J166" s="203">
        <f>IF(DG!$A$133&lt;=11,$M$17,0)</f>
        <v>0</v>
      </c>
      <c r="K166" s="65">
        <f t="shared" si="36"/>
        <v>0</v>
      </c>
      <c r="L166" s="473">
        <f t="shared" si="42"/>
        <v>0</v>
      </c>
      <c r="M166" s="204">
        <f t="shared" si="43"/>
        <v>0</v>
      </c>
      <c r="N166" s="505">
        <f t="shared" si="44"/>
        <v>0</v>
      </c>
      <c r="O166" s="204">
        <f>IF(DG!$A$133&gt;12,0,IF(J166-J165&gt;0,MROUND((L166/12*Q165),1),MROUND(L166/12*P165,1)))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IF(OR(L$73=0,DG!$A$254&gt;16),0,F166+1)</f>
        <v>0</v>
      </c>
      <c r="G167" s="65">
        <f t="shared" si="38"/>
        <v>0</v>
      </c>
      <c r="H167" s="65">
        <f t="shared" si="35"/>
        <v>0</v>
      </c>
      <c r="I167" s="65">
        <f t="shared" si="31"/>
        <v>0</v>
      </c>
      <c r="J167" s="203">
        <f>IF(DG!$A$133&lt;=11,$M$17,0)</f>
        <v>0</v>
      </c>
      <c r="K167" s="65">
        <f t="shared" si="36"/>
        <v>0</v>
      </c>
      <c r="L167" s="473">
        <f t="shared" si="42"/>
        <v>0</v>
      </c>
      <c r="M167" s="204">
        <f t="shared" si="43"/>
        <v>0</v>
      </c>
      <c r="N167" s="505">
        <f t="shared" si="44"/>
        <v>0</v>
      </c>
      <c r="O167" s="204">
        <f>IF(DG!$A$133&gt;12,0,IF(J167-J166&gt;0,MROUND((L167/12*Q166),1),MROUND(L167/12*P166,1)))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IF(OR(L$73=0,DG!$A$254&gt;16),0,F167+1)</f>
        <v>0</v>
      </c>
      <c r="G168" s="65">
        <f t="shared" si="38"/>
        <v>0</v>
      </c>
      <c r="H168" s="65">
        <f t="shared" si="35"/>
        <v>0</v>
      </c>
      <c r="I168" s="65">
        <f t="shared" si="31"/>
        <v>0</v>
      </c>
      <c r="J168" s="203">
        <f>IF(DG!$A$133&lt;=11,$M$17,0)</f>
        <v>0</v>
      </c>
      <c r="K168" s="65">
        <f t="shared" si="36"/>
        <v>0</v>
      </c>
      <c r="L168" s="473">
        <f t="shared" si="42"/>
        <v>0</v>
      </c>
      <c r="M168" s="204">
        <f t="shared" si="43"/>
        <v>0</v>
      </c>
      <c r="N168" s="505">
        <f t="shared" si="44"/>
        <v>0</v>
      </c>
      <c r="O168" s="204">
        <f>IF(DG!$A$133&gt;12,0,IF(J168-J167&gt;0,MROUND((L168/12*Q167),1),MROUND(L168/12*P167,1)))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IF(OR(L$73=0,DG!$A$254&gt;16),0,F168+1)</f>
        <v>0</v>
      </c>
      <c r="G169" s="65">
        <f t="shared" si="38"/>
        <v>0</v>
      </c>
      <c r="H169" s="65">
        <f t="shared" si="35"/>
        <v>0</v>
      </c>
      <c r="I169" s="65">
        <f t="shared" si="31"/>
        <v>0</v>
      </c>
      <c r="J169" s="203">
        <f>IF(DG!$A$133&lt;=11,$M$17,0)</f>
        <v>0</v>
      </c>
      <c r="K169" s="65">
        <f t="shared" si="36"/>
        <v>0</v>
      </c>
      <c r="L169" s="473">
        <f t="shared" si="42"/>
        <v>0</v>
      </c>
      <c r="M169" s="204">
        <f t="shared" si="43"/>
        <v>0</v>
      </c>
      <c r="N169" s="505">
        <f t="shared" si="44"/>
        <v>0</v>
      </c>
      <c r="O169" s="204">
        <f>IF(DG!$A$133&gt;12,0,IF(J169-J168&gt;0,MROUND((L169/12*Q168),1),MROUND(L169/12*P168,1)))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IF(OR(L$73=0,DG!$A$254&gt;16),0,F169+1)</f>
        <v>0</v>
      </c>
      <c r="G170" s="65">
        <f t="shared" si="38"/>
        <v>0</v>
      </c>
      <c r="H170" s="65">
        <f t="shared" si="35"/>
        <v>0</v>
      </c>
      <c r="I170" s="65">
        <f t="shared" si="31"/>
        <v>0</v>
      </c>
      <c r="J170" s="203">
        <f>IF(DG!$A$133&lt;=11,$M$17,0)</f>
        <v>0</v>
      </c>
      <c r="K170" s="65">
        <f t="shared" si="36"/>
        <v>0</v>
      </c>
      <c r="L170" s="473">
        <f t="shared" si="42"/>
        <v>0</v>
      </c>
      <c r="M170" s="204">
        <f t="shared" si="43"/>
        <v>0</v>
      </c>
      <c r="N170" s="505">
        <f t="shared" si="44"/>
        <v>0</v>
      </c>
      <c r="O170" s="204">
        <f>IF(DG!$A$133&gt;12,0,IF(J170-J169&gt;0,MROUND((L170/12*Q169),1),MROUND(L170/12*P169,1)))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IF(OR(L$73=0,DG!$A$254&gt;16),0,F170+1)</f>
        <v>0</v>
      </c>
      <c r="G171" s="65">
        <f t="shared" si="38"/>
        <v>0</v>
      </c>
      <c r="H171" s="65">
        <f t="shared" si="35"/>
        <v>0</v>
      </c>
      <c r="I171" s="65">
        <f t="shared" si="31"/>
        <v>0</v>
      </c>
      <c r="J171" s="203">
        <f>IF(DG!$A$133&lt;=11,$M$17,0)</f>
        <v>0</v>
      </c>
      <c r="K171" s="65">
        <f t="shared" si="36"/>
        <v>0</v>
      </c>
      <c r="L171" s="473">
        <f t="shared" si="42"/>
        <v>0</v>
      </c>
      <c r="M171" s="204">
        <f t="shared" si="43"/>
        <v>0</v>
      </c>
      <c r="N171" s="505">
        <f t="shared" si="44"/>
        <v>0</v>
      </c>
      <c r="O171" s="204">
        <f>IF(DG!$A$133&gt;12,0,IF(J171-J170&gt;0,MROUND((L171/12*Q170),1),MROUND(L171/12*P170,1)))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IF(OR(L$73=0,DG!$A$254&gt;16),0,F171+1)</f>
        <v>0</v>
      </c>
      <c r="G172" s="65">
        <f t="shared" si="38"/>
        <v>0</v>
      </c>
      <c r="H172" s="65">
        <f t="shared" si="35"/>
        <v>0</v>
      </c>
      <c r="I172" s="65">
        <f t="shared" si="31"/>
        <v>0</v>
      </c>
      <c r="J172" s="203">
        <f>IF(DG!$A$133&lt;=11,$M$17,0)</f>
        <v>0</v>
      </c>
      <c r="K172" s="65">
        <f t="shared" si="36"/>
        <v>0</v>
      </c>
      <c r="L172" s="473">
        <f t="shared" si="42"/>
        <v>0</v>
      </c>
      <c r="M172" s="204">
        <f t="shared" si="43"/>
        <v>0</v>
      </c>
      <c r="N172" s="505">
        <f t="shared" si="44"/>
        <v>0</v>
      </c>
      <c r="O172" s="204">
        <f>IF(DG!$A$133&gt;12,0,IF(J172-J171&gt;0,MROUND((L172/12*Q171),1),MROUND(L172/12*P171,1)))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IF(OR(L$73=0,DG!$A$254&gt;16),0,F172+1)</f>
        <v>0</v>
      </c>
      <c r="G173" s="65">
        <f t="shared" si="38"/>
        <v>0</v>
      </c>
      <c r="H173" s="65">
        <f t="shared" si="35"/>
        <v>0</v>
      </c>
      <c r="I173" s="65">
        <f t="shared" si="31"/>
        <v>0</v>
      </c>
      <c r="J173" s="203">
        <f>IF(DG!$A$133&lt;=11,$M$17,0)</f>
        <v>0</v>
      </c>
      <c r="K173" s="65">
        <f t="shared" si="36"/>
        <v>0</v>
      </c>
      <c r="L173" s="473">
        <f t="shared" si="42"/>
        <v>0</v>
      </c>
      <c r="M173" s="204">
        <f t="shared" si="43"/>
        <v>0</v>
      </c>
      <c r="N173" s="505">
        <f t="shared" si="44"/>
        <v>0</v>
      </c>
      <c r="O173" s="204">
        <f>IF(DG!$A$133&gt;12,0,IF(J173-J172&gt;0,MROUND((L173/12*Q172),1),MROUND(L173/12*P172,1)))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IF(OR(L$73=0,DG!$A$254&gt;16),0,F173+1)</f>
        <v>0</v>
      </c>
      <c r="G174" s="65">
        <f t="shared" si="38"/>
        <v>0</v>
      </c>
      <c r="H174" s="65">
        <f t="shared" si="35"/>
        <v>0</v>
      </c>
      <c r="I174" s="65">
        <f t="shared" si="31"/>
        <v>0</v>
      </c>
      <c r="J174" s="203">
        <f>IF(DG!$A$133&lt;=11,$M$17,0)</f>
        <v>0</v>
      </c>
      <c r="K174" s="65">
        <f t="shared" si="36"/>
        <v>0</v>
      </c>
      <c r="L174" s="473">
        <f t="shared" si="42"/>
        <v>0</v>
      </c>
      <c r="M174" s="204">
        <f t="shared" si="43"/>
        <v>0</v>
      </c>
      <c r="N174" s="505">
        <f t="shared" si="44"/>
        <v>0</v>
      </c>
      <c r="O174" s="204">
        <f>IF(DG!$A$133&gt;12,0,IF(J174-J173&gt;0,MROUND((L174/12*Q173),1),MROUND(L174/12*P173,1)))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IF(OR(L$73=0,DG!$A$254&gt;16),0,F174+1)</f>
        <v>0</v>
      </c>
      <c r="G175" s="65">
        <f t="shared" si="38"/>
        <v>0</v>
      </c>
      <c r="H175" s="65">
        <f t="shared" si="35"/>
        <v>0</v>
      </c>
      <c r="I175" s="65">
        <f t="shared" si="31"/>
        <v>0</v>
      </c>
      <c r="J175" s="203">
        <f>IF(DG!$A$133&lt;=11,$M$17,0)</f>
        <v>0</v>
      </c>
      <c r="K175" s="65">
        <f t="shared" si="36"/>
        <v>0</v>
      </c>
      <c r="L175" s="473">
        <f t="shared" si="42"/>
        <v>0</v>
      </c>
      <c r="M175" s="204">
        <f t="shared" si="43"/>
        <v>0</v>
      </c>
      <c r="N175" s="505">
        <f t="shared" si="44"/>
        <v>0</v>
      </c>
      <c r="O175" s="204">
        <f>IF(DG!$A$133&gt;12,0,IF(J175-J174&gt;0,MROUND((L175/12*Q174),1),MROUND(L175/12*P174,1)))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IF(OR(L$73=0,DG!$A$254&gt;16),0,F175+1)</f>
        <v>0</v>
      </c>
      <c r="G176" s="65">
        <f t="shared" si="38"/>
        <v>0</v>
      </c>
      <c r="H176" s="65">
        <f t="shared" si="35"/>
        <v>0</v>
      </c>
      <c r="I176" s="65">
        <f t="shared" si="31"/>
        <v>0</v>
      </c>
      <c r="J176" s="203">
        <f>IF(DG!$A$133&lt;=11,$M$17,0)</f>
        <v>0</v>
      </c>
      <c r="K176" s="65">
        <f t="shared" si="36"/>
        <v>0</v>
      </c>
      <c r="L176" s="473">
        <f t="shared" si="42"/>
        <v>0</v>
      </c>
      <c r="M176" s="204">
        <f t="shared" si="43"/>
        <v>0</v>
      </c>
      <c r="N176" s="505">
        <f t="shared" si="44"/>
        <v>0</v>
      </c>
      <c r="O176" s="204">
        <f>IF(DG!$A$133&gt;12,0,IF(J176-J175&gt;0,MROUND((L176/12*Q175),1),MROUND(L176/12*P175,1)))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IF(OR(L$73=0,DG!$A$254&gt;16),0,F176+1)</f>
        <v>0</v>
      </c>
      <c r="G177" s="65">
        <f t="shared" si="38"/>
        <v>0</v>
      </c>
      <c r="H177" s="65">
        <f t="shared" si="35"/>
        <v>0</v>
      </c>
      <c r="I177" s="65">
        <f t="shared" si="31"/>
        <v>0</v>
      </c>
      <c r="J177" s="203">
        <f>IF(DG!$A$133&lt;=11,$M$17,0)</f>
        <v>0</v>
      </c>
      <c r="K177" s="65">
        <f t="shared" si="36"/>
        <v>0</v>
      </c>
      <c r="L177" s="473">
        <f t="shared" si="42"/>
        <v>0</v>
      </c>
      <c r="M177" s="204">
        <f t="shared" si="43"/>
        <v>0</v>
      </c>
      <c r="N177" s="505">
        <f t="shared" si="44"/>
        <v>0</v>
      </c>
      <c r="O177" s="204">
        <f>IF(DG!$A$133&gt;12,0,IF(J177-J176&gt;0,MROUND((L177/12*Q176),1),MROUND(L177/12*P176,1)))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IF(OR(L$73=0,DG!$A$254&gt;16),0,F177+1)</f>
        <v>0</v>
      </c>
      <c r="G178" s="65">
        <f t="shared" si="38"/>
        <v>0</v>
      </c>
      <c r="H178" s="65">
        <f t="shared" si="35"/>
        <v>0</v>
      </c>
      <c r="I178" s="65">
        <f t="shared" si="31"/>
        <v>0</v>
      </c>
      <c r="J178" s="203">
        <f>IF(DG!$A$133&lt;=11,$M$17,0)</f>
        <v>0</v>
      </c>
      <c r="K178" s="65">
        <f t="shared" si="36"/>
        <v>0</v>
      </c>
      <c r="L178" s="473">
        <f t="shared" si="42"/>
        <v>0</v>
      </c>
      <c r="M178" s="204">
        <f t="shared" si="43"/>
        <v>0</v>
      </c>
      <c r="N178" s="505">
        <f t="shared" si="44"/>
        <v>0</v>
      </c>
      <c r="O178" s="204">
        <f>IF(DG!$A$133&gt;12,0,IF(J178-J177&gt;0,MROUND((L178/12*Q177),1),MROUND(L178/12*P177,1)))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IF(OR(L$73=0,DG!$A$254&gt;16),0,F178+1)</f>
        <v>0</v>
      </c>
      <c r="G179" s="65">
        <f t="shared" si="38"/>
        <v>0</v>
      </c>
      <c r="H179" s="65">
        <f t="shared" si="35"/>
        <v>0</v>
      </c>
      <c r="I179" s="65">
        <f t="shared" si="31"/>
        <v>0</v>
      </c>
      <c r="J179" s="203">
        <f>IF(DG!$A$133&lt;=11,$M$17,0)</f>
        <v>0</v>
      </c>
      <c r="K179" s="65">
        <f t="shared" si="36"/>
        <v>0</v>
      </c>
      <c r="L179" s="473">
        <f t="shared" si="42"/>
        <v>0</v>
      </c>
      <c r="M179" s="204">
        <f t="shared" si="43"/>
        <v>0</v>
      </c>
      <c r="N179" s="505">
        <f t="shared" si="44"/>
        <v>0</v>
      </c>
      <c r="O179" s="204">
        <f>IF(DG!$A$133&gt;12,0,IF(J179-J178&gt;0,MROUND((L179/12*Q178),1),MROUND(L179/12*P178,1)))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IF(OR(L$73=0,DG!$A$254&gt;16),0,F179+1)</f>
        <v>0</v>
      </c>
      <c r="G180" s="65">
        <f t="shared" si="38"/>
        <v>0</v>
      </c>
      <c r="H180" s="65">
        <f t="shared" si="35"/>
        <v>0</v>
      </c>
      <c r="I180" s="65">
        <f t="shared" si="31"/>
        <v>0</v>
      </c>
      <c r="J180" s="203">
        <f>IF(DG!$A$133&lt;=11,$M$17,0)</f>
        <v>0</v>
      </c>
      <c r="K180" s="65">
        <f t="shared" si="36"/>
        <v>0</v>
      </c>
      <c r="L180" s="473">
        <f t="shared" si="42"/>
        <v>0</v>
      </c>
      <c r="M180" s="204">
        <f t="shared" si="43"/>
        <v>0</v>
      </c>
      <c r="N180" s="505">
        <f t="shared" si="44"/>
        <v>0</v>
      </c>
      <c r="O180" s="204">
        <f>IF(DG!$A$133&gt;12,0,IF(J180-J179&gt;0,MROUND((L180/12*Q179),1),MROUND(L180/12*P179,1)))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IF(OR(L$73=0,DG!$A$254&gt;16),0,F180+1)</f>
        <v>0</v>
      </c>
      <c r="G181" s="65">
        <f t="shared" si="38"/>
        <v>0</v>
      </c>
      <c r="H181" s="65">
        <f t="shared" si="35"/>
        <v>0</v>
      </c>
      <c r="I181" s="65">
        <f t="shared" si="31"/>
        <v>0</v>
      </c>
      <c r="J181" s="203">
        <f>IF(DG!$A$133&lt;=11,$M$17,0)</f>
        <v>0</v>
      </c>
      <c r="K181" s="65">
        <f t="shared" si="36"/>
        <v>0</v>
      </c>
      <c r="L181" s="473">
        <f t="shared" si="42"/>
        <v>0</v>
      </c>
      <c r="M181" s="204">
        <f t="shared" si="43"/>
        <v>0</v>
      </c>
      <c r="N181" s="505">
        <f t="shared" si="44"/>
        <v>0</v>
      </c>
      <c r="O181" s="204">
        <f>IF(DG!$A$133&gt;12,0,IF(J181-J180&gt;0,MROUND((L181/12*Q180),1),MROUND(L181/12*P180,1)))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IF(OR(L$73=0,DG!$A$254&gt;16),0,F181+1)</f>
        <v>0</v>
      </c>
      <c r="G182" s="65">
        <f t="shared" si="38"/>
        <v>0</v>
      </c>
      <c r="H182" s="65">
        <f t="shared" si="35"/>
        <v>0</v>
      </c>
      <c r="I182" s="65">
        <f t="shared" si="31"/>
        <v>0</v>
      </c>
      <c r="J182" s="203">
        <f>IF(DG!$A$133&lt;=11,$M$17,0)</f>
        <v>0</v>
      </c>
      <c r="K182" s="65">
        <f t="shared" si="36"/>
        <v>0</v>
      </c>
      <c r="L182" s="473">
        <f t="shared" si="42"/>
        <v>0</v>
      </c>
      <c r="M182" s="204">
        <f t="shared" si="43"/>
        <v>0</v>
      </c>
      <c r="N182" s="505">
        <f t="shared" si="44"/>
        <v>0</v>
      </c>
      <c r="O182" s="204">
        <f>IF(DG!$A$133&gt;12,0,IF(J182-J181&gt;0,MROUND((L182/12*Q181),1),MROUND(L182/12*P181,1)))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IF(OR(L$73=0,DG!$A$254&gt;16),0,F182+1)</f>
        <v>0</v>
      </c>
      <c r="G183" s="65">
        <f t="shared" si="38"/>
        <v>0</v>
      </c>
      <c r="H183" s="65">
        <f t="shared" si="35"/>
        <v>0</v>
      </c>
      <c r="I183" s="65">
        <f t="shared" si="31"/>
        <v>0</v>
      </c>
      <c r="J183" s="203">
        <f>IF(DG!$A$133&lt;=11,$M$17,0)</f>
        <v>0</v>
      </c>
      <c r="K183" s="65">
        <f t="shared" si="36"/>
        <v>0</v>
      </c>
      <c r="L183" s="473">
        <f t="shared" si="42"/>
        <v>0</v>
      </c>
      <c r="M183" s="204">
        <f t="shared" si="43"/>
        <v>0</v>
      </c>
      <c r="N183" s="505">
        <f t="shared" si="44"/>
        <v>0</v>
      </c>
      <c r="O183" s="204">
        <f>IF(DG!$A$133&gt;12,0,IF(J183-J182&gt;0,MROUND((L183/12*Q182),1),MROUND(L183/12*P182,1)))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IF(OR(L$73=0,DG!$A$254&gt;16),0,F183+1)</f>
        <v>0</v>
      </c>
      <c r="G184" s="65">
        <f t="shared" si="38"/>
        <v>0</v>
      </c>
      <c r="H184" s="65">
        <f t="shared" si="35"/>
        <v>0</v>
      </c>
      <c r="I184" s="65">
        <f t="shared" si="31"/>
        <v>0</v>
      </c>
      <c r="J184" s="203">
        <f>IF(DG!$A$133&lt;=11,$M$17,0)</f>
        <v>0</v>
      </c>
      <c r="K184" s="65">
        <f t="shared" si="36"/>
        <v>0</v>
      </c>
      <c r="L184" s="473">
        <f t="shared" si="42"/>
        <v>0</v>
      </c>
      <c r="M184" s="204">
        <f t="shared" si="43"/>
        <v>0</v>
      </c>
      <c r="N184" s="505">
        <f t="shared" si="44"/>
        <v>0</v>
      </c>
      <c r="O184" s="204">
        <f>IF(DG!$A$133&gt;12,0,IF(J184-J183&gt;0,MROUND((L184/12*Q183),1),MROUND(L184/12*P183,1)))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IF(OR(L$73=0,DG!$A$254&gt;16),0,F184+1)</f>
        <v>0</v>
      </c>
      <c r="G185" s="65">
        <f t="shared" si="38"/>
        <v>0</v>
      </c>
      <c r="H185" s="65">
        <f t="shared" si="35"/>
        <v>0</v>
      </c>
      <c r="I185" s="65">
        <f t="shared" si="31"/>
        <v>0</v>
      </c>
      <c r="J185" s="203">
        <f>IF(DG!$A$133&lt;=11,$M$17,0)</f>
        <v>0</v>
      </c>
      <c r="K185" s="65">
        <f t="shared" si="36"/>
        <v>0</v>
      </c>
      <c r="L185" s="473">
        <f t="shared" si="42"/>
        <v>0</v>
      </c>
      <c r="M185" s="204">
        <f t="shared" si="43"/>
        <v>0</v>
      </c>
      <c r="N185" s="505">
        <f t="shared" si="44"/>
        <v>0</v>
      </c>
      <c r="O185" s="204">
        <f>IF(DG!$A$133&gt;12,0,IF(J185-J184&gt;0,MROUND((L185/12*Q184),1),MROUND(L185/12*P184,1)))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IF(OR(L$73=0,DG!$A$254&gt;16),0,F185+1)</f>
        <v>0</v>
      </c>
      <c r="G186" s="65">
        <f t="shared" si="38"/>
        <v>0</v>
      </c>
      <c r="H186" s="65">
        <f t="shared" si="35"/>
        <v>0</v>
      </c>
      <c r="I186" s="65">
        <f t="shared" si="31"/>
        <v>0</v>
      </c>
      <c r="J186" s="203">
        <f>IF(DG!$A$133&lt;=11,$M$17,0)</f>
        <v>0</v>
      </c>
      <c r="K186" s="65">
        <f t="shared" si="36"/>
        <v>0</v>
      </c>
      <c r="L186" s="473">
        <f t="shared" si="42"/>
        <v>0</v>
      </c>
      <c r="M186" s="204">
        <f t="shared" si="43"/>
        <v>0</v>
      </c>
      <c r="N186" s="505">
        <f t="shared" si="44"/>
        <v>0</v>
      </c>
      <c r="O186" s="204">
        <f>IF(DG!$A$133&gt;12,0,IF(J186-J185&gt;0,MROUND((L186/12*Q185),1),MROUND(L186/12*P185,1)))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IF(OR(L$73=0,DG!$A$254&gt;16),0,F186+1)</f>
        <v>0</v>
      </c>
      <c r="G187" s="65">
        <f t="shared" si="38"/>
        <v>0</v>
      </c>
      <c r="H187" s="65">
        <f t="shared" si="35"/>
        <v>0</v>
      </c>
      <c r="I187" s="65">
        <f t="shared" si="31"/>
        <v>0</v>
      </c>
      <c r="J187" s="203">
        <f>IF(DG!$A$133&lt;=11,$M$17,0)</f>
        <v>0</v>
      </c>
      <c r="K187" s="65">
        <f t="shared" si="36"/>
        <v>0</v>
      </c>
      <c r="L187" s="473">
        <f t="shared" si="42"/>
        <v>0</v>
      </c>
      <c r="M187" s="204">
        <f t="shared" si="43"/>
        <v>0</v>
      </c>
      <c r="N187" s="505">
        <f t="shared" si="44"/>
        <v>0</v>
      </c>
      <c r="O187" s="204">
        <f>IF(DG!$A$133&gt;12,0,IF(J187-J186&gt;0,MROUND((L187/12*Q186),1),MROUND(L187/12*P186,1)))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IF(OR(L$73=0,DG!$A$254&gt;16),0,F187+1)</f>
        <v>0</v>
      </c>
      <c r="G188" s="65">
        <f t="shared" si="38"/>
        <v>0</v>
      </c>
      <c r="H188" s="65">
        <f t="shared" si="35"/>
        <v>0</v>
      </c>
      <c r="I188" s="65">
        <f t="shared" si="31"/>
        <v>0</v>
      </c>
      <c r="J188" s="203">
        <f>IF(DG!$A$133&lt;=11,$M$17,0)</f>
        <v>0</v>
      </c>
      <c r="K188" s="65">
        <f t="shared" si="36"/>
        <v>0</v>
      </c>
      <c r="L188" s="473">
        <f t="shared" si="42"/>
        <v>0</v>
      </c>
      <c r="M188" s="204">
        <f t="shared" si="43"/>
        <v>0</v>
      </c>
      <c r="N188" s="505">
        <f t="shared" si="44"/>
        <v>0</v>
      </c>
      <c r="O188" s="204">
        <f>IF(DG!$A$133&gt;12,0,IF(J188-J187&gt;0,MROUND((L188/12*Q187),1),MROUND(L188/12*P187,1)))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IF(OR(L$73=0,DG!$A$254&gt;16),0,F188+1)</f>
        <v>0</v>
      </c>
      <c r="G189" s="65">
        <f t="shared" si="38"/>
        <v>0</v>
      </c>
      <c r="H189" s="65">
        <f t="shared" si="35"/>
        <v>0</v>
      </c>
      <c r="I189" s="65">
        <f t="shared" si="31"/>
        <v>0</v>
      </c>
      <c r="J189" s="203">
        <f>IF(DG!$A$133&lt;=11,$M$17,0)</f>
        <v>0</v>
      </c>
      <c r="K189" s="65">
        <f t="shared" si="36"/>
        <v>0</v>
      </c>
      <c r="L189" s="473">
        <f t="shared" si="42"/>
        <v>0</v>
      </c>
      <c r="M189" s="204">
        <f t="shared" si="43"/>
        <v>0</v>
      </c>
      <c r="N189" s="505">
        <f t="shared" si="44"/>
        <v>0</v>
      </c>
      <c r="O189" s="204">
        <f>IF(DG!$A$133&gt;12,0,IF(J189-J188&gt;0,MROUND((L189/12*Q188),1),MROUND(L189/12*P188,1)))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IF(OR(L$73=0,DG!$A$254&gt;16),0,F189+1)</f>
        <v>0</v>
      </c>
      <c r="G190" s="65">
        <f t="shared" si="38"/>
        <v>0</v>
      </c>
      <c r="H190" s="65">
        <f t="shared" si="35"/>
        <v>0</v>
      </c>
      <c r="I190" s="65">
        <f t="shared" si="31"/>
        <v>0</v>
      </c>
      <c r="J190" s="203">
        <f>IF(DG!$A$133&lt;=11,$M$17,0)</f>
        <v>0</v>
      </c>
      <c r="K190" s="65">
        <f t="shared" si="36"/>
        <v>0</v>
      </c>
      <c r="L190" s="473">
        <f t="shared" si="42"/>
        <v>0</v>
      </c>
      <c r="M190" s="204">
        <f t="shared" si="43"/>
        <v>0</v>
      </c>
      <c r="N190" s="505">
        <f t="shared" si="44"/>
        <v>0</v>
      </c>
      <c r="O190" s="204">
        <f>IF(DG!$A$133&gt;12,0,IF(J190-J189&gt;0,MROUND((L190/12*Q189),1),MROUND(L190/12*P189,1)))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IF(OR(L$73=0,DG!$A$254&gt;16),0,F190+1)</f>
        <v>0</v>
      </c>
      <c r="G191" s="65">
        <f t="shared" si="38"/>
        <v>0</v>
      </c>
      <c r="H191" s="65">
        <f t="shared" si="35"/>
        <v>0</v>
      </c>
      <c r="I191" s="65">
        <f t="shared" si="31"/>
        <v>0</v>
      </c>
      <c r="J191" s="203">
        <f>IF(DG!$A$133&lt;=11,$M$17,0)</f>
        <v>0</v>
      </c>
      <c r="K191" s="65">
        <f t="shared" si="36"/>
        <v>0</v>
      </c>
      <c r="L191" s="473">
        <f t="shared" si="42"/>
        <v>0</v>
      </c>
      <c r="M191" s="204">
        <f t="shared" si="43"/>
        <v>0</v>
      </c>
      <c r="N191" s="505">
        <f t="shared" si="44"/>
        <v>0</v>
      </c>
      <c r="O191" s="204">
        <f>IF(DG!$A$133&gt;12,0,IF(J191-J190&gt;0,MROUND((L191/12*Q190),1),MROUND(L191/12*P190,1)))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IF(OR(L$73=0,DG!$A$254&gt;16),0,F191+1)</f>
        <v>0</v>
      </c>
      <c r="G192" s="65">
        <f t="shared" si="38"/>
        <v>0</v>
      </c>
      <c r="H192" s="65">
        <f t="shared" si="35"/>
        <v>0</v>
      </c>
      <c r="I192" s="65">
        <f t="shared" si="31"/>
        <v>0</v>
      </c>
      <c r="J192" s="203">
        <f>IF(DG!$A$133&lt;=11,$M$17,0)</f>
        <v>0</v>
      </c>
      <c r="K192" s="65">
        <f t="shared" si="36"/>
        <v>0</v>
      </c>
      <c r="L192" s="473">
        <f t="shared" si="42"/>
        <v>0</v>
      </c>
      <c r="M192" s="204">
        <f t="shared" si="43"/>
        <v>0</v>
      </c>
      <c r="N192" s="505">
        <f t="shared" si="44"/>
        <v>0</v>
      </c>
      <c r="O192" s="204">
        <f>IF(DG!$A$133&gt;12,0,IF(J192-J191&gt;0,MROUND((L192/12*Q191),1),MROUND(L192/12*P191,1)))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IF(OR(L$73=0,DG!$A$254&gt;16),0,F192+1)</f>
        <v>0</v>
      </c>
      <c r="G193" s="65">
        <f t="shared" si="38"/>
        <v>0</v>
      </c>
      <c r="H193" s="65">
        <f t="shared" si="35"/>
        <v>0</v>
      </c>
      <c r="I193" s="65">
        <f t="shared" ref="I193:I256" si="47">IF(OR(G193=1,C193=0),0,IF(K193-C193&lt;$G$269,1,-1))</f>
        <v>0</v>
      </c>
      <c r="J193" s="203">
        <f>IF(DG!$A$133&lt;=11,$M$17,0)</f>
        <v>0</v>
      </c>
      <c r="K193" s="65">
        <f t="shared" si="36"/>
        <v>0</v>
      </c>
      <c r="L193" s="473">
        <f t="shared" si="42"/>
        <v>0</v>
      </c>
      <c r="M193" s="204">
        <f t="shared" si="43"/>
        <v>0</v>
      </c>
      <c r="N193" s="505">
        <f t="shared" si="44"/>
        <v>0</v>
      </c>
      <c r="O193" s="204">
        <f>IF(DG!$A$133&gt;12,0,IF(J193-J192&gt;0,MROUND((L193/12*Q192),1),MROUND(L193/12*P192,1)))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IF(OR(L$73=0,DG!$A$254&gt;16),0,F193+1)</f>
        <v>0</v>
      </c>
      <c r="G194" s="65">
        <f t="shared" si="38"/>
        <v>0</v>
      </c>
      <c r="H194" s="65">
        <f t="shared" si="35"/>
        <v>0</v>
      </c>
      <c r="I194" s="65">
        <f t="shared" si="47"/>
        <v>0</v>
      </c>
      <c r="J194" s="203">
        <f>IF(DG!$A$133&lt;=11,$M$17,0)</f>
        <v>0</v>
      </c>
      <c r="K194" s="65">
        <f t="shared" si="36"/>
        <v>0</v>
      </c>
      <c r="L194" s="473">
        <f t="shared" si="42"/>
        <v>0</v>
      </c>
      <c r="M194" s="204">
        <f t="shared" si="43"/>
        <v>0</v>
      </c>
      <c r="N194" s="505">
        <f t="shared" si="44"/>
        <v>0</v>
      </c>
      <c r="O194" s="204">
        <f>IF(DG!$A$133&gt;12,0,IF(J194-J193&gt;0,MROUND((L194/12*Q193),1),MROUND(L194/12*P193,1)))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IF(OR(L$73=0,DG!$A$254&gt;16),0,F194+1)</f>
        <v>0</v>
      </c>
      <c r="G195" s="65">
        <f t="shared" si="38"/>
        <v>0</v>
      </c>
      <c r="H195" s="65">
        <f t="shared" si="35"/>
        <v>0</v>
      </c>
      <c r="I195" s="65">
        <f t="shared" si="47"/>
        <v>0</v>
      </c>
      <c r="J195" s="203">
        <f>IF(DG!$A$133&lt;=11,$M$17,0)</f>
        <v>0</v>
      </c>
      <c r="K195" s="65">
        <f t="shared" si="36"/>
        <v>0</v>
      </c>
      <c r="L195" s="473">
        <f t="shared" si="42"/>
        <v>0</v>
      </c>
      <c r="M195" s="204">
        <f t="shared" si="43"/>
        <v>0</v>
      </c>
      <c r="N195" s="505">
        <f t="shared" si="44"/>
        <v>0</v>
      </c>
      <c r="O195" s="204">
        <f>IF(DG!$A$133&gt;12,0,IF(J195-J194&gt;0,MROUND((L195/12*Q194),1),MROUND(L195/12*P194,1)))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IF(OR(L$73=0,DG!$A$254&gt;16),0,F195+1)</f>
        <v>0</v>
      </c>
      <c r="G196" s="65">
        <f t="shared" si="38"/>
        <v>0</v>
      </c>
      <c r="H196" s="65">
        <f t="shared" si="35"/>
        <v>0</v>
      </c>
      <c r="I196" s="65">
        <f t="shared" si="47"/>
        <v>0</v>
      </c>
      <c r="J196" s="203">
        <f>IF(DG!$A$133&lt;=11,$M$17,0)</f>
        <v>0</v>
      </c>
      <c r="K196" s="65">
        <f t="shared" si="36"/>
        <v>0</v>
      </c>
      <c r="L196" s="473">
        <f t="shared" si="42"/>
        <v>0</v>
      </c>
      <c r="M196" s="204">
        <f t="shared" si="43"/>
        <v>0</v>
      </c>
      <c r="N196" s="505">
        <f t="shared" si="44"/>
        <v>0</v>
      </c>
      <c r="O196" s="204">
        <f>IF(DG!$A$133&gt;12,0,IF(J196-J195&gt;0,MROUND((L196/12*Q195),1),MROUND(L196/12*P195,1)))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IF(OR(L$73=0,DG!$A$254&gt;16),0,F196+1)</f>
        <v>0</v>
      </c>
      <c r="G197" s="65">
        <f t="shared" si="38"/>
        <v>0</v>
      </c>
      <c r="H197" s="65">
        <f t="shared" si="35"/>
        <v>0</v>
      </c>
      <c r="I197" s="65">
        <f t="shared" si="47"/>
        <v>0</v>
      </c>
      <c r="J197" s="203">
        <f>IF(DG!$A$133&lt;=11,$M$17,0)</f>
        <v>0</v>
      </c>
      <c r="K197" s="65">
        <f t="shared" si="36"/>
        <v>0</v>
      </c>
      <c r="L197" s="473">
        <f t="shared" si="42"/>
        <v>0</v>
      </c>
      <c r="M197" s="204">
        <f t="shared" si="43"/>
        <v>0</v>
      </c>
      <c r="N197" s="505">
        <f t="shared" si="44"/>
        <v>0</v>
      </c>
      <c r="O197" s="204">
        <f>IF(DG!$A$133&gt;12,0,IF(J197-J196&gt;0,MROUND((L197/12*Q196),1),MROUND(L197/12*P196,1)))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IF(OR(L$73=0,DG!$A$254&gt;16),0,F197+1)</f>
        <v>0</v>
      </c>
      <c r="G198" s="65">
        <f t="shared" si="38"/>
        <v>0</v>
      </c>
      <c r="H198" s="65">
        <f t="shared" si="35"/>
        <v>0</v>
      </c>
      <c r="I198" s="65">
        <f t="shared" si="47"/>
        <v>0</v>
      </c>
      <c r="J198" s="203">
        <f>IF(DG!$A$133&lt;=11,$M$17,0)</f>
        <v>0</v>
      </c>
      <c r="K198" s="65">
        <f t="shared" si="36"/>
        <v>0</v>
      </c>
      <c r="L198" s="473">
        <f t="shared" si="42"/>
        <v>0</v>
      </c>
      <c r="M198" s="204">
        <f t="shared" si="43"/>
        <v>0</v>
      </c>
      <c r="N198" s="505">
        <f t="shared" si="44"/>
        <v>0</v>
      </c>
      <c r="O198" s="204">
        <f>IF(DG!$A$133&gt;12,0,IF(J198-J197&gt;0,MROUND((L198/12*Q197),1),MROUND(L198/12*P197,1)))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IF(OR(L$73=0,DG!$A$254&gt;16),0,F198+1)</f>
        <v>0</v>
      </c>
      <c r="G199" s="65">
        <f t="shared" si="38"/>
        <v>0</v>
      </c>
      <c r="H199" s="65">
        <f t="shared" si="35"/>
        <v>0</v>
      </c>
      <c r="I199" s="65">
        <f t="shared" si="47"/>
        <v>0</v>
      </c>
      <c r="J199" s="203">
        <f>IF(DG!$A$133&lt;=11,$M$17,0)</f>
        <v>0</v>
      </c>
      <c r="K199" s="65">
        <f t="shared" si="36"/>
        <v>0</v>
      </c>
      <c r="L199" s="473">
        <f t="shared" si="42"/>
        <v>0</v>
      </c>
      <c r="M199" s="204">
        <f t="shared" si="43"/>
        <v>0</v>
      </c>
      <c r="N199" s="505">
        <f t="shared" si="44"/>
        <v>0</v>
      </c>
      <c r="O199" s="204">
        <f>IF(DG!$A$133&gt;12,0,IF(J199-J198&gt;0,MROUND((L199/12*Q198),1),MROUND(L199/12*P198,1)))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IF(OR(L$73=0,DG!$A$254&gt;16),0,F199+1)</f>
        <v>0</v>
      </c>
      <c r="G200" s="65">
        <f t="shared" si="38"/>
        <v>0</v>
      </c>
      <c r="H200" s="65">
        <f t="shared" si="35"/>
        <v>0</v>
      </c>
      <c r="I200" s="65">
        <f t="shared" si="47"/>
        <v>0</v>
      </c>
      <c r="J200" s="203">
        <f>IF(DG!$A$133&lt;=11,$M$17,0)</f>
        <v>0</v>
      </c>
      <c r="K200" s="65">
        <f t="shared" si="36"/>
        <v>0</v>
      </c>
      <c r="L200" s="473">
        <f t="shared" si="42"/>
        <v>0</v>
      </c>
      <c r="M200" s="204">
        <f t="shared" si="43"/>
        <v>0</v>
      </c>
      <c r="N200" s="505">
        <f t="shared" si="44"/>
        <v>0</v>
      </c>
      <c r="O200" s="204">
        <f>IF(DG!$A$133&gt;12,0,IF(J200-J199&gt;0,MROUND((L200/12*Q199),1),MROUND(L200/12*P199,1)))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IF(OR(L$73=0,DG!$A$254&gt;16),0,F200+1)</f>
        <v>0</v>
      </c>
      <c r="G201" s="65">
        <f t="shared" si="38"/>
        <v>0</v>
      </c>
      <c r="H201" s="65">
        <f t="shared" si="35"/>
        <v>0</v>
      </c>
      <c r="I201" s="65">
        <f t="shared" si="47"/>
        <v>0</v>
      </c>
      <c r="J201" s="203">
        <f>IF(DG!$A$133&lt;=11,$M$17,0)</f>
        <v>0</v>
      </c>
      <c r="K201" s="65">
        <f t="shared" si="36"/>
        <v>0</v>
      </c>
      <c r="L201" s="473">
        <f t="shared" si="42"/>
        <v>0</v>
      </c>
      <c r="M201" s="204">
        <f t="shared" si="43"/>
        <v>0</v>
      </c>
      <c r="N201" s="505">
        <f t="shared" si="44"/>
        <v>0</v>
      </c>
      <c r="O201" s="204">
        <f>IF(DG!$A$133&gt;12,0,IF(J201-J200&gt;0,MROUND((L201/12*Q200),1),MROUND(L201/12*P200,1)))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IF(OR(L$73=0,DG!$A$254&gt;16),0,F201+1)</f>
        <v>0</v>
      </c>
      <c r="G202" s="65">
        <f t="shared" si="38"/>
        <v>0</v>
      </c>
      <c r="H202" s="65">
        <f t="shared" si="35"/>
        <v>0</v>
      </c>
      <c r="I202" s="65">
        <f t="shared" si="47"/>
        <v>0</v>
      </c>
      <c r="J202" s="203">
        <f>IF(DG!$A$133&lt;=11,$M$17,0)</f>
        <v>0</v>
      </c>
      <c r="K202" s="65">
        <f t="shared" si="36"/>
        <v>0</v>
      </c>
      <c r="L202" s="473">
        <f t="shared" si="42"/>
        <v>0</v>
      </c>
      <c r="M202" s="204">
        <f t="shared" si="43"/>
        <v>0</v>
      </c>
      <c r="N202" s="505">
        <f t="shared" si="44"/>
        <v>0</v>
      </c>
      <c r="O202" s="204">
        <f>IF(DG!$A$133&gt;12,0,IF(J202-J201&gt;0,MROUND((L202/12*Q201),1),MROUND(L202/12*P201,1)))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IF(OR(L$73=0,DG!$A$254&gt;16),0,F202+1)</f>
        <v>0</v>
      </c>
      <c r="G203" s="65">
        <f t="shared" si="38"/>
        <v>0</v>
      </c>
      <c r="H203" s="65">
        <f t="shared" si="35"/>
        <v>0</v>
      </c>
      <c r="I203" s="65">
        <f t="shared" si="47"/>
        <v>0</v>
      </c>
      <c r="J203" s="203">
        <f>IF(DG!$A$133&lt;=11,$M$17,0)</f>
        <v>0</v>
      </c>
      <c r="K203" s="65">
        <f t="shared" si="36"/>
        <v>0</v>
      </c>
      <c r="L203" s="473">
        <f t="shared" si="42"/>
        <v>0</v>
      </c>
      <c r="M203" s="204">
        <f t="shared" si="43"/>
        <v>0</v>
      </c>
      <c r="N203" s="505">
        <f t="shared" si="44"/>
        <v>0</v>
      </c>
      <c r="O203" s="204">
        <f>IF(DG!$A$133&gt;12,0,IF(J203-J202&gt;0,MROUND((L203/12*Q202),1),MROUND(L203/12*P202,1)))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IF(OR(L$73=0,DG!$A$254&gt;16),0,F203+1)</f>
        <v>0</v>
      </c>
      <c r="G204" s="65">
        <f t="shared" si="38"/>
        <v>0</v>
      </c>
      <c r="H204" s="65">
        <f t="shared" si="35"/>
        <v>0</v>
      </c>
      <c r="I204" s="65">
        <f t="shared" si="47"/>
        <v>0</v>
      </c>
      <c r="J204" s="203">
        <f>IF(DG!$A$133&lt;=11,$M$17,0)</f>
        <v>0</v>
      </c>
      <c r="K204" s="65">
        <f t="shared" si="36"/>
        <v>0</v>
      </c>
      <c r="L204" s="473">
        <f t="shared" si="42"/>
        <v>0</v>
      </c>
      <c r="M204" s="204">
        <f t="shared" si="43"/>
        <v>0</v>
      </c>
      <c r="N204" s="505">
        <f t="shared" si="44"/>
        <v>0</v>
      </c>
      <c r="O204" s="204">
        <f>IF(DG!$A$133&gt;12,0,IF(J204-J203&gt;0,MROUND((L204/12*Q203),1),MROUND(L204/12*P203,1)))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IF(OR(L$73=0,DG!$A$254&gt;16),0,F204+1)</f>
        <v>0</v>
      </c>
      <c r="G205" s="65">
        <f t="shared" si="38"/>
        <v>0</v>
      </c>
      <c r="H205" s="65">
        <f t="shared" si="35"/>
        <v>0</v>
      </c>
      <c r="I205" s="65">
        <f t="shared" si="47"/>
        <v>0</v>
      </c>
      <c r="J205" s="203">
        <f>IF(DG!$A$133&lt;=11,$M$17,0)</f>
        <v>0</v>
      </c>
      <c r="K205" s="65">
        <f t="shared" si="36"/>
        <v>0</v>
      </c>
      <c r="L205" s="473">
        <f t="shared" si="42"/>
        <v>0</v>
      </c>
      <c r="M205" s="204">
        <f t="shared" si="43"/>
        <v>0</v>
      </c>
      <c r="N205" s="505">
        <f t="shared" si="44"/>
        <v>0</v>
      </c>
      <c r="O205" s="204">
        <f>IF(DG!$A$133&gt;12,0,IF(J205-J204&gt;0,MROUND((L205/12*Q204),1),MROUND(L205/12*P204,1)))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IF(OR(L$73=0,DG!$A$254&gt;16),0,F205+1)</f>
        <v>0</v>
      </c>
      <c r="G206" s="65">
        <f t="shared" si="38"/>
        <v>0</v>
      </c>
      <c r="H206" s="65">
        <f t="shared" si="35"/>
        <v>0</v>
      </c>
      <c r="I206" s="65">
        <f t="shared" si="47"/>
        <v>0</v>
      </c>
      <c r="J206" s="203">
        <f>IF(DG!$A$133&lt;=11,$M$17,0)</f>
        <v>0</v>
      </c>
      <c r="K206" s="65">
        <f t="shared" si="36"/>
        <v>0</v>
      </c>
      <c r="L206" s="473">
        <f t="shared" si="42"/>
        <v>0</v>
      </c>
      <c r="M206" s="204">
        <f t="shared" si="43"/>
        <v>0</v>
      </c>
      <c r="N206" s="505">
        <f t="shared" si="44"/>
        <v>0</v>
      </c>
      <c r="O206" s="204">
        <f>IF(DG!$A$133&gt;12,0,IF(J206-J205&gt;0,MROUND((L206/12*Q205),1),MROUND(L206/12*P205,1)))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IF(OR(L$73=0,DG!$A$254&gt;16),0,F206+1)</f>
        <v>0</v>
      </c>
      <c r="G207" s="65">
        <f t="shared" si="38"/>
        <v>0</v>
      </c>
      <c r="H207" s="65">
        <f t="shared" si="35"/>
        <v>0</v>
      </c>
      <c r="I207" s="65">
        <f t="shared" si="47"/>
        <v>0</v>
      </c>
      <c r="J207" s="203">
        <f>IF(DG!$A$133&lt;=11,$M$17,0)</f>
        <v>0</v>
      </c>
      <c r="K207" s="65">
        <f t="shared" si="36"/>
        <v>0</v>
      </c>
      <c r="L207" s="473">
        <f t="shared" si="42"/>
        <v>0</v>
      </c>
      <c r="M207" s="204">
        <f t="shared" si="43"/>
        <v>0</v>
      </c>
      <c r="N207" s="505">
        <f t="shared" si="44"/>
        <v>0</v>
      </c>
      <c r="O207" s="204">
        <f>IF(DG!$A$133&gt;12,0,IF(J207-J206&gt;0,MROUND((L207/12*Q206),1),MROUND(L207/12*P206,1)))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IF(OR(L$73=0,DG!$A$254&gt;16),0,F207+1)</f>
        <v>0</v>
      </c>
      <c r="G208" s="65">
        <f t="shared" si="38"/>
        <v>0</v>
      </c>
      <c r="H208" s="65">
        <f t="shared" si="35"/>
        <v>0</v>
      </c>
      <c r="I208" s="65">
        <f t="shared" si="47"/>
        <v>0</v>
      </c>
      <c r="J208" s="203">
        <f>IF(DG!$A$133&lt;=11,$M$17,0)</f>
        <v>0</v>
      </c>
      <c r="K208" s="65">
        <f t="shared" si="36"/>
        <v>0</v>
      </c>
      <c r="L208" s="473">
        <f t="shared" si="42"/>
        <v>0</v>
      </c>
      <c r="M208" s="204">
        <f t="shared" si="43"/>
        <v>0</v>
      </c>
      <c r="N208" s="505">
        <f t="shared" si="44"/>
        <v>0</v>
      </c>
      <c r="O208" s="204">
        <f>IF(DG!$A$133&gt;12,0,IF(J208-J207&gt;0,MROUND((L208/12*Q207),1),MROUND(L208/12*P207,1)))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IF(OR(L$73=0,DG!$A$254&gt;16),0,F208+1)</f>
        <v>0</v>
      </c>
      <c r="G209" s="65">
        <f t="shared" si="38"/>
        <v>0</v>
      </c>
      <c r="H209" s="65">
        <f t="shared" si="35"/>
        <v>0</v>
      </c>
      <c r="I209" s="65">
        <f t="shared" si="47"/>
        <v>0</v>
      </c>
      <c r="J209" s="203">
        <f>IF(DG!$A$133&lt;=11,$M$17,0)</f>
        <v>0</v>
      </c>
      <c r="K209" s="65">
        <f t="shared" si="36"/>
        <v>0</v>
      </c>
      <c r="L209" s="473">
        <f t="shared" si="42"/>
        <v>0</v>
      </c>
      <c r="M209" s="204">
        <f t="shared" si="43"/>
        <v>0</v>
      </c>
      <c r="N209" s="505">
        <f t="shared" si="44"/>
        <v>0</v>
      </c>
      <c r="O209" s="204">
        <f>IF(DG!$A$133&gt;12,0,IF(J209-J208&gt;0,MROUND((L209/12*Q208),1),MROUND(L209/12*P208,1)))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IF(OR(L$73=0,DG!$A$254&gt;16),0,F209+1)</f>
        <v>0</v>
      </c>
      <c r="G210" s="65">
        <f t="shared" si="38"/>
        <v>0</v>
      </c>
      <c r="H210" s="65">
        <f t="shared" si="35"/>
        <v>0</v>
      </c>
      <c r="I210" s="65">
        <f t="shared" si="47"/>
        <v>0</v>
      </c>
      <c r="J210" s="203">
        <f>IF(DG!$A$133&lt;=11,$M$17,0)</f>
        <v>0</v>
      </c>
      <c r="K210" s="65">
        <f t="shared" si="36"/>
        <v>0</v>
      </c>
      <c r="L210" s="473">
        <f t="shared" si="42"/>
        <v>0</v>
      </c>
      <c r="M210" s="204">
        <f t="shared" si="43"/>
        <v>0</v>
      </c>
      <c r="N210" s="505">
        <f t="shared" si="44"/>
        <v>0</v>
      </c>
      <c r="O210" s="204">
        <f>IF(DG!$A$133&gt;12,0,IF(J210-J209&gt;0,MROUND((L210/12*Q209),1),MROUND(L210/12*P209,1)))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IF(OR(L$73=0,DG!$A$254&gt;16),0,F210+1)</f>
        <v>0</v>
      </c>
      <c r="G211" s="65">
        <f t="shared" si="38"/>
        <v>0</v>
      </c>
      <c r="H211" s="65">
        <f t="shared" si="35"/>
        <v>0</v>
      </c>
      <c r="I211" s="65">
        <f t="shared" si="47"/>
        <v>0</v>
      </c>
      <c r="J211" s="203">
        <f>IF(DG!$A$133&lt;=11,$M$17,0)</f>
        <v>0</v>
      </c>
      <c r="K211" s="65">
        <f t="shared" si="36"/>
        <v>0</v>
      </c>
      <c r="L211" s="473">
        <f t="shared" si="42"/>
        <v>0</v>
      </c>
      <c r="M211" s="204">
        <f t="shared" si="43"/>
        <v>0</v>
      </c>
      <c r="N211" s="505">
        <f t="shared" si="44"/>
        <v>0</v>
      </c>
      <c r="O211" s="204">
        <f>IF(DG!$A$133&gt;12,0,IF(J211-J210&gt;0,MROUND((L211/12*Q210),1),MROUND(L211/12*P210,1)))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IF(OR(L$73=0,DG!$A$254&gt;16),0,F211+1)</f>
        <v>0</v>
      </c>
      <c r="G212" s="65">
        <f t="shared" si="38"/>
        <v>0</v>
      </c>
      <c r="H212" s="65">
        <f t="shared" si="35"/>
        <v>0</v>
      </c>
      <c r="I212" s="65">
        <f t="shared" si="47"/>
        <v>0</v>
      </c>
      <c r="J212" s="203">
        <f>IF(DG!$A$133&lt;=11,$M$17,0)</f>
        <v>0</v>
      </c>
      <c r="K212" s="65">
        <f t="shared" si="36"/>
        <v>0</v>
      </c>
      <c r="L212" s="473">
        <f t="shared" si="42"/>
        <v>0</v>
      </c>
      <c r="M212" s="204">
        <f t="shared" si="43"/>
        <v>0</v>
      </c>
      <c r="N212" s="505">
        <f t="shared" si="44"/>
        <v>0</v>
      </c>
      <c r="O212" s="204">
        <f>IF(DG!$A$133&gt;12,0,IF(J212-J211&gt;0,MROUND((L212/12*Q211),1),MROUND(L212/12*P211,1)))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IF(OR(L$73=0,DG!$A$254&gt;16),0,F212+1)</f>
        <v>0</v>
      </c>
      <c r="G213" s="65">
        <f t="shared" si="38"/>
        <v>0</v>
      </c>
      <c r="H213" s="65">
        <f t="shared" si="35"/>
        <v>0</v>
      </c>
      <c r="I213" s="65">
        <f t="shared" si="47"/>
        <v>0</v>
      </c>
      <c r="J213" s="203">
        <f>IF(DG!$A$133&lt;=11,$M$17,0)</f>
        <v>0</v>
      </c>
      <c r="K213" s="65">
        <f t="shared" si="36"/>
        <v>0</v>
      </c>
      <c r="L213" s="473">
        <f t="shared" si="42"/>
        <v>0</v>
      </c>
      <c r="M213" s="204">
        <f t="shared" si="43"/>
        <v>0</v>
      </c>
      <c r="N213" s="505">
        <f t="shared" si="44"/>
        <v>0</v>
      </c>
      <c r="O213" s="204">
        <f>IF(DG!$A$133&gt;12,0,IF(J213-J212&gt;0,MROUND((L213/12*Q212),1),MROUND(L213/12*P212,1)))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IF(OR(L$73=0,DG!$A$254&gt;16),0,F213+1)</f>
        <v>0</v>
      </c>
      <c r="G214" s="65">
        <f t="shared" si="38"/>
        <v>0</v>
      </c>
      <c r="H214" s="65">
        <f t="shared" si="35"/>
        <v>0</v>
      </c>
      <c r="I214" s="65">
        <f t="shared" si="47"/>
        <v>0</v>
      </c>
      <c r="J214" s="203">
        <f>IF(DG!$A$133&lt;=11,$M$17,0)</f>
        <v>0</v>
      </c>
      <c r="K214" s="65">
        <f t="shared" si="36"/>
        <v>0</v>
      </c>
      <c r="L214" s="473">
        <f t="shared" si="42"/>
        <v>0</v>
      </c>
      <c r="M214" s="204">
        <f t="shared" si="43"/>
        <v>0</v>
      </c>
      <c r="N214" s="505">
        <f t="shared" si="44"/>
        <v>0</v>
      </c>
      <c r="O214" s="204">
        <f>IF(DG!$A$133&gt;12,0,IF(J214-J213&gt;0,MROUND((L214/12*Q213),1),MROUND(L214/12*P213,1)))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IF(OR(L$73=0,DG!$A$254&gt;16),0,F214+1)</f>
        <v>0</v>
      </c>
      <c r="G215" s="65">
        <f t="shared" si="38"/>
        <v>0</v>
      </c>
      <c r="H215" s="65">
        <f t="shared" si="35"/>
        <v>0</v>
      </c>
      <c r="I215" s="65">
        <f t="shared" si="47"/>
        <v>0</v>
      </c>
      <c r="J215" s="203">
        <f>IF(DG!$A$133&lt;=11,$M$17,0)</f>
        <v>0</v>
      </c>
      <c r="K215" s="65">
        <f t="shared" si="36"/>
        <v>0</v>
      </c>
      <c r="L215" s="473">
        <f t="shared" si="42"/>
        <v>0</v>
      </c>
      <c r="M215" s="204">
        <f t="shared" si="43"/>
        <v>0</v>
      </c>
      <c r="N215" s="505">
        <f t="shared" si="44"/>
        <v>0</v>
      </c>
      <c r="O215" s="204">
        <f>IF(DG!$A$133&gt;12,0,IF(J215-J214&gt;0,MROUND((L215/12*Q214),1),MROUND(L215/12*P214,1)))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IF(OR(L$73=0,DG!$A$254&gt;16),0,F215+1)</f>
        <v>0</v>
      </c>
      <c r="G216" s="65">
        <f t="shared" si="38"/>
        <v>0</v>
      </c>
      <c r="H216" s="65">
        <f t="shared" ref="H216:H265" si="50">IF(I216&gt;=0,0,H215+1)</f>
        <v>0</v>
      </c>
      <c r="I216" s="65">
        <f t="shared" si="47"/>
        <v>0</v>
      </c>
      <c r="J216" s="203">
        <f>IF(DG!$A$133&lt;=11,$M$17,0)</f>
        <v>0</v>
      </c>
      <c r="K216" s="65">
        <f t="shared" ref="K216:K265" si="51">K215</f>
        <v>0</v>
      </c>
      <c r="L216" s="473">
        <f t="shared" si="42"/>
        <v>0</v>
      </c>
      <c r="M216" s="204">
        <f t="shared" si="43"/>
        <v>0</v>
      </c>
      <c r="N216" s="505">
        <f t="shared" si="44"/>
        <v>0</v>
      </c>
      <c r="O216" s="204">
        <f>IF(DG!$A$133&gt;12,0,IF(J216-J215&gt;0,MROUND((L216/12*Q215),1),MROUND(L216/12*P215,1)))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IF(OR(L$73=0,DG!$A$254&gt;16),0,F216+1)</f>
        <v>0</v>
      </c>
      <c r="G217" s="65">
        <f t="shared" si="38"/>
        <v>0</v>
      </c>
      <c r="H217" s="65">
        <f t="shared" si="50"/>
        <v>0</v>
      </c>
      <c r="I217" s="65">
        <f t="shared" si="47"/>
        <v>0</v>
      </c>
      <c r="J217" s="203">
        <f>IF(DG!$A$133&lt;=11,$M$17,0)</f>
        <v>0</v>
      </c>
      <c r="K217" s="65">
        <f t="shared" si="51"/>
        <v>0</v>
      </c>
      <c r="L217" s="473">
        <f t="shared" si="42"/>
        <v>0</v>
      </c>
      <c r="M217" s="204">
        <f t="shared" si="43"/>
        <v>0</v>
      </c>
      <c r="N217" s="505">
        <f t="shared" si="44"/>
        <v>0</v>
      </c>
      <c r="O217" s="204">
        <f>IF(DG!$A$133&gt;12,0,IF(J217-J216&gt;0,MROUND((L217/12*Q216),1),MROUND(L217/12*P216,1)))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IF(OR(L$73=0,DG!$A$254&gt;16),0,F217+1)</f>
        <v>0</v>
      </c>
      <c r="G218" s="65">
        <f t="shared" ref="G218:G265" si="53">IF(E218=0,0,IF(D218-E218-F218&gt;=0,1,0))</f>
        <v>0</v>
      </c>
      <c r="H218" s="65">
        <f t="shared" si="50"/>
        <v>0</v>
      </c>
      <c r="I218" s="65">
        <f t="shared" si="47"/>
        <v>0</v>
      </c>
      <c r="J218" s="203">
        <f>IF(DG!$A$133&lt;=11,$M$17,0)</f>
        <v>0</v>
      </c>
      <c r="K218" s="65">
        <f t="shared" si="51"/>
        <v>0</v>
      </c>
      <c r="L218" s="473">
        <f t="shared" si="42"/>
        <v>0</v>
      </c>
      <c r="M218" s="204">
        <f t="shared" si="43"/>
        <v>0</v>
      </c>
      <c r="N218" s="505">
        <f t="shared" si="44"/>
        <v>0</v>
      </c>
      <c r="O218" s="204">
        <f>IF(DG!$A$133&gt;12,0,IF(J218-J217&gt;0,MROUND((L218/12*Q217),1),MROUND(L218/12*P217,1)))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IF(OR(L$73=0,DG!$A$254&gt;16),0,F218+1)</f>
        <v>0</v>
      </c>
      <c r="G219" s="65">
        <f t="shared" si="53"/>
        <v>0</v>
      </c>
      <c r="H219" s="65">
        <f t="shared" si="50"/>
        <v>0</v>
      </c>
      <c r="I219" s="65">
        <f t="shared" si="47"/>
        <v>0</v>
      </c>
      <c r="J219" s="203">
        <f>IF(DG!$A$133&lt;=11,$M$17,0)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IF(DG!$A$133&gt;12,0,IF(J219-J218&gt;0,MROUND((L219/12*Q218),1),MROUND(L219/12*P218,1)))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IF(OR(L$73=0,DG!$A$254&gt;16),0,F219+1)</f>
        <v>0</v>
      </c>
      <c r="G220" s="65">
        <f t="shared" si="53"/>
        <v>0</v>
      </c>
      <c r="H220" s="65">
        <f t="shared" si="50"/>
        <v>0</v>
      </c>
      <c r="I220" s="65">
        <f t="shared" si="47"/>
        <v>0</v>
      </c>
      <c r="J220" s="203">
        <f>IF(DG!$A$133&lt;=11,$M$17,0)</f>
        <v>0</v>
      </c>
      <c r="K220" s="65">
        <f t="shared" si="51"/>
        <v>0</v>
      </c>
      <c r="L220" s="473">
        <f t="shared" si="57"/>
        <v>0</v>
      </c>
      <c r="M220" s="204">
        <f t="shared" si="58"/>
        <v>0</v>
      </c>
      <c r="N220" s="505">
        <f t="shared" si="59"/>
        <v>0</v>
      </c>
      <c r="O220" s="204">
        <f>IF(DG!$A$133&gt;12,0,IF(J220-J219&gt;0,MROUND((L220/12*Q219),1),MROUND(L220/12*P219,1)))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IF(OR(L$73=0,DG!$A$254&gt;16),0,F220+1)</f>
        <v>0</v>
      </c>
      <c r="G221" s="65">
        <f t="shared" si="53"/>
        <v>0</v>
      </c>
      <c r="H221" s="65">
        <f t="shared" si="50"/>
        <v>0</v>
      </c>
      <c r="I221" s="65">
        <f t="shared" si="47"/>
        <v>0</v>
      </c>
      <c r="J221" s="203">
        <f>IF(DG!$A$133&lt;=11,$M$17,0)</f>
        <v>0</v>
      </c>
      <c r="K221" s="65">
        <f t="shared" si="51"/>
        <v>0</v>
      </c>
      <c r="L221" s="473">
        <f t="shared" si="57"/>
        <v>0</v>
      </c>
      <c r="M221" s="204">
        <f t="shared" si="58"/>
        <v>0</v>
      </c>
      <c r="N221" s="505">
        <f t="shared" si="59"/>
        <v>0</v>
      </c>
      <c r="O221" s="204">
        <f>IF(DG!$A$133&gt;12,0,IF(J221-J220&gt;0,MROUND((L221/12*Q220),1),MROUND(L221/12*P220,1)))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IF(OR(L$73=0,DG!$A$254&gt;16),0,F221+1)</f>
        <v>0</v>
      </c>
      <c r="G222" s="65">
        <f t="shared" si="53"/>
        <v>0</v>
      </c>
      <c r="H222" s="65">
        <f t="shared" si="50"/>
        <v>0</v>
      </c>
      <c r="I222" s="65">
        <f t="shared" si="47"/>
        <v>0</v>
      </c>
      <c r="J222" s="203">
        <f>IF(DG!$A$133&lt;=11,$M$17,0)</f>
        <v>0</v>
      </c>
      <c r="K222" s="65">
        <f t="shared" si="51"/>
        <v>0</v>
      </c>
      <c r="L222" s="473">
        <f t="shared" si="57"/>
        <v>0</v>
      </c>
      <c r="M222" s="204">
        <f t="shared" si="58"/>
        <v>0</v>
      </c>
      <c r="N222" s="505">
        <f t="shared" si="59"/>
        <v>0</v>
      </c>
      <c r="O222" s="204">
        <f>IF(DG!$A$133&gt;12,0,IF(J222-J221&gt;0,MROUND((L222/12*Q221),1),MROUND(L222/12*P221,1)))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IF(OR(L$73=0,DG!$A$254&gt;16),0,F222+1)</f>
        <v>0</v>
      </c>
      <c r="G223" s="65">
        <f t="shared" si="53"/>
        <v>0</v>
      </c>
      <c r="H223" s="65">
        <f t="shared" si="50"/>
        <v>0</v>
      </c>
      <c r="I223" s="65">
        <f t="shared" si="47"/>
        <v>0</v>
      </c>
      <c r="J223" s="203">
        <f>IF(DG!$A$133&lt;=11,$M$17,0)</f>
        <v>0</v>
      </c>
      <c r="K223" s="65">
        <f t="shared" si="51"/>
        <v>0</v>
      </c>
      <c r="L223" s="473">
        <f t="shared" si="57"/>
        <v>0</v>
      </c>
      <c r="M223" s="204">
        <f t="shared" si="58"/>
        <v>0</v>
      </c>
      <c r="N223" s="505">
        <f t="shared" si="59"/>
        <v>0</v>
      </c>
      <c r="O223" s="204">
        <f>IF(DG!$A$133&gt;12,0,IF(J223-J222&gt;0,MROUND((L223/12*Q222),1),MROUND(L223/12*P222,1)))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IF(OR(L$73=0,DG!$A$254&gt;16),0,F223+1)</f>
        <v>0</v>
      </c>
      <c r="G224" s="65">
        <f t="shared" si="53"/>
        <v>0</v>
      </c>
      <c r="H224" s="65">
        <f t="shared" si="50"/>
        <v>0</v>
      </c>
      <c r="I224" s="65">
        <f t="shared" si="47"/>
        <v>0</v>
      </c>
      <c r="J224" s="203">
        <f>IF(DG!$A$133&lt;=11,$M$17,0)</f>
        <v>0</v>
      </c>
      <c r="K224" s="65">
        <f t="shared" si="51"/>
        <v>0</v>
      </c>
      <c r="L224" s="473">
        <f t="shared" si="57"/>
        <v>0</v>
      </c>
      <c r="M224" s="204">
        <f t="shared" si="58"/>
        <v>0</v>
      </c>
      <c r="N224" s="505">
        <f t="shared" si="59"/>
        <v>0</v>
      </c>
      <c r="O224" s="204">
        <f>IF(DG!$A$133&gt;12,0,IF(J224-J223&gt;0,MROUND((L224/12*Q223),1),MROUND(L224/12*P223,1)))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IF(OR(L$73=0,DG!$A$254&gt;16),0,F224+1)</f>
        <v>0</v>
      </c>
      <c r="G225" s="65">
        <f t="shared" si="53"/>
        <v>0</v>
      </c>
      <c r="H225" s="65">
        <f t="shared" si="50"/>
        <v>0</v>
      </c>
      <c r="I225" s="65">
        <f t="shared" si="47"/>
        <v>0</v>
      </c>
      <c r="J225" s="203">
        <f>IF(DG!$A$133&lt;=11,$M$17,0)</f>
        <v>0</v>
      </c>
      <c r="K225" s="65">
        <f t="shared" si="51"/>
        <v>0</v>
      </c>
      <c r="L225" s="473">
        <f t="shared" si="57"/>
        <v>0</v>
      </c>
      <c r="M225" s="204">
        <f t="shared" si="58"/>
        <v>0</v>
      </c>
      <c r="N225" s="505">
        <f t="shared" si="59"/>
        <v>0</v>
      </c>
      <c r="O225" s="204">
        <f>IF(DG!$A$133&gt;12,0,IF(J225-J224&gt;0,MROUND((L225/12*Q224),1),MROUND(L225/12*P224,1)))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IF(OR(L$73=0,DG!$A$254&gt;16),0,F225+1)</f>
        <v>0</v>
      </c>
      <c r="G226" s="65">
        <f t="shared" si="53"/>
        <v>0</v>
      </c>
      <c r="H226" s="65">
        <f t="shared" si="50"/>
        <v>0</v>
      </c>
      <c r="I226" s="65">
        <f t="shared" si="47"/>
        <v>0</v>
      </c>
      <c r="J226" s="203">
        <f>IF(DG!$A$133&lt;=11,$M$17,0)</f>
        <v>0</v>
      </c>
      <c r="K226" s="65">
        <f t="shared" si="51"/>
        <v>0</v>
      </c>
      <c r="L226" s="473">
        <f t="shared" si="57"/>
        <v>0</v>
      </c>
      <c r="M226" s="204">
        <f t="shared" si="58"/>
        <v>0</v>
      </c>
      <c r="N226" s="505">
        <f t="shared" si="59"/>
        <v>0</v>
      </c>
      <c r="O226" s="204">
        <f>IF(DG!$A$133&gt;12,0,IF(J226-J225&gt;0,MROUND((L226/12*Q225),1),MROUND(L226/12*P225,1)))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IF(OR(L$73=0,DG!$A$254&gt;16),0,F226+1)</f>
        <v>0</v>
      </c>
      <c r="G227" s="65">
        <f t="shared" si="53"/>
        <v>0</v>
      </c>
      <c r="H227" s="65">
        <f t="shared" si="50"/>
        <v>0</v>
      </c>
      <c r="I227" s="65">
        <f t="shared" si="47"/>
        <v>0</v>
      </c>
      <c r="J227" s="203">
        <f>IF(DG!$A$133&lt;=11,$M$17,0)</f>
        <v>0</v>
      </c>
      <c r="K227" s="65">
        <f t="shared" si="51"/>
        <v>0</v>
      </c>
      <c r="L227" s="473">
        <f t="shared" si="57"/>
        <v>0</v>
      </c>
      <c r="M227" s="204">
        <f t="shared" si="58"/>
        <v>0</v>
      </c>
      <c r="N227" s="505">
        <f t="shared" si="59"/>
        <v>0</v>
      </c>
      <c r="O227" s="204">
        <f>IF(DG!$A$133&gt;12,0,IF(J227-J226&gt;0,MROUND((L227/12*Q226),1),MROUND(L227/12*P226,1)))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IF(OR(L$73=0,DG!$A$254&gt;16),0,F227+1)</f>
        <v>0</v>
      </c>
      <c r="G228" s="65">
        <f t="shared" si="53"/>
        <v>0</v>
      </c>
      <c r="H228" s="65">
        <f t="shared" si="50"/>
        <v>0</v>
      </c>
      <c r="I228" s="65">
        <f t="shared" si="47"/>
        <v>0</v>
      </c>
      <c r="J228" s="203">
        <f>IF(DG!$A$133&lt;=11,$M$17,0)</f>
        <v>0</v>
      </c>
      <c r="K228" s="65">
        <f t="shared" si="51"/>
        <v>0</v>
      </c>
      <c r="L228" s="473">
        <f t="shared" si="57"/>
        <v>0</v>
      </c>
      <c r="M228" s="204">
        <f t="shared" si="58"/>
        <v>0</v>
      </c>
      <c r="N228" s="505">
        <f t="shared" si="59"/>
        <v>0</v>
      </c>
      <c r="O228" s="204">
        <f>IF(DG!$A$133&gt;12,0,IF(J228-J227&gt;0,MROUND((L228/12*Q227),1),MROUND(L228/12*P227,1)))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IF(OR(L$73=0,DG!$A$254&gt;16),0,F228+1)</f>
        <v>0</v>
      </c>
      <c r="G229" s="65">
        <f t="shared" si="53"/>
        <v>0</v>
      </c>
      <c r="H229" s="65">
        <f t="shared" si="50"/>
        <v>0</v>
      </c>
      <c r="I229" s="65">
        <f t="shared" si="47"/>
        <v>0</v>
      </c>
      <c r="J229" s="203">
        <f>IF(DG!$A$133&lt;=11,$M$17,0)</f>
        <v>0</v>
      </c>
      <c r="K229" s="65">
        <f t="shared" si="51"/>
        <v>0</v>
      </c>
      <c r="L229" s="473">
        <f t="shared" si="57"/>
        <v>0</v>
      </c>
      <c r="M229" s="204">
        <f t="shared" si="58"/>
        <v>0</v>
      </c>
      <c r="N229" s="505">
        <f t="shared" si="59"/>
        <v>0</v>
      </c>
      <c r="O229" s="204">
        <f>IF(DG!$A$133&gt;12,0,IF(J229-J228&gt;0,MROUND((L229/12*Q228),1),MROUND(L229/12*P228,1)))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IF(OR(L$73=0,DG!$A$254&gt;16),0,F229+1)</f>
        <v>0</v>
      </c>
      <c r="G230" s="65">
        <f t="shared" si="53"/>
        <v>0</v>
      </c>
      <c r="H230" s="65">
        <f t="shared" si="50"/>
        <v>0</v>
      </c>
      <c r="I230" s="65">
        <f t="shared" si="47"/>
        <v>0</v>
      </c>
      <c r="J230" s="203">
        <f>IF(DG!$A$133&lt;=11,$M$17,0)</f>
        <v>0</v>
      </c>
      <c r="K230" s="65">
        <f t="shared" si="51"/>
        <v>0</v>
      </c>
      <c r="L230" s="473">
        <f t="shared" si="57"/>
        <v>0</v>
      </c>
      <c r="M230" s="204">
        <f t="shared" si="58"/>
        <v>0</v>
      </c>
      <c r="N230" s="505">
        <f t="shared" si="59"/>
        <v>0</v>
      </c>
      <c r="O230" s="204">
        <f>IF(DG!$A$133&gt;12,0,IF(J230-J229&gt;0,MROUND((L230/12*Q229),1),MROUND(L230/12*P229,1)))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IF(OR(L$73=0,DG!$A$254&gt;16),0,F230+1)</f>
        <v>0</v>
      </c>
      <c r="G231" s="65">
        <f t="shared" si="53"/>
        <v>0</v>
      </c>
      <c r="H231" s="65">
        <f t="shared" si="50"/>
        <v>0</v>
      </c>
      <c r="I231" s="65">
        <f t="shared" si="47"/>
        <v>0</v>
      </c>
      <c r="J231" s="203">
        <f>IF(DG!$A$133&lt;=11,$M$17,0)</f>
        <v>0</v>
      </c>
      <c r="K231" s="65">
        <f t="shared" si="51"/>
        <v>0</v>
      </c>
      <c r="L231" s="473">
        <f t="shared" si="57"/>
        <v>0</v>
      </c>
      <c r="M231" s="204">
        <f t="shared" si="58"/>
        <v>0</v>
      </c>
      <c r="N231" s="505">
        <f t="shared" si="59"/>
        <v>0</v>
      </c>
      <c r="O231" s="204">
        <f>IF(DG!$A$133&gt;12,0,IF(J231-J230&gt;0,MROUND((L231/12*Q230),1),MROUND(L231/12*P230,1)))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IF(OR(L$73=0,DG!$A$254&gt;16),0,F231+1)</f>
        <v>0</v>
      </c>
      <c r="G232" s="65">
        <f t="shared" si="53"/>
        <v>0</v>
      </c>
      <c r="H232" s="65">
        <f t="shared" si="50"/>
        <v>0</v>
      </c>
      <c r="I232" s="65">
        <f t="shared" si="47"/>
        <v>0</v>
      </c>
      <c r="J232" s="203">
        <f>IF(DG!$A$133&lt;=11,$M$17,0)</f>
        <v>0</v>
      </c>
      <c r="K232" s="65">
        <f t="shared" si="51"/>
        <v>0</v>
      </c>
      <c r="L232" s="473">
        <f t="shared" si="57"/>
        <v>0</v>
      </c>
      <c r="M232" s="204">
        <f t="shared" si="58"/>
        <v>0</v>
      </c>
      <c r="N232" s="505">
        <f t="shared" si="59"/>
        <v>0</v>
      </c>
      <c r="O232" s="204">
        <f>IF(DG!$A$133&gt;12,0,IF(J232-J231&gt;0,MROUND((L232/12*Q231),1),MROUND(L232/12*P231,1)))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IF(OR(L$73=0,DG!$A$254&gt;16),0,F232+1)</f>
        <v>0</v>
      </c>
      <c r="G233" s="65">
        <f t="shared" si="53"/>
        <v>0</v>
      </c>
      <c r="H233" s="65">
        <f t="shared" si="50"/>
        <v>0</v>
      </c>
      <c r="I233" s="65">
        <f t="shared" si="47"/>
        <v>0</v>
      </c>
      <c r="J233" s="203">
        <f>IF(DG!$A$133&lt;=11,$M$17,0)</f>
        <v>0</v>
      </c>
      <c r="K233" s="65">
        <f t="shared" si="51"/>
        <v>0</v>
      </c>
      <c r="L233" s="473">
        <f t="shared" si="57"/>
        <v>0</v>
      </c>
      <c r="M233" s="204">
        <f t="shared" si="58"/>
        <v>0</v>
      </c>
      <c r="N233" s="505">
        <f t="shared" si="59"/>
        <v>0</v>
      </c>
      <c r="O233" s="204">
        <f>IF(DG!$A$133&gt;12,0,IF(J233-J232&gt;0,MROUND((L233/12*Q232),1),MROUND(L233/12*P232,1)))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IF(OR(L$73=0,DG!$A$254&gt;16),0,F233+1)</f>
        <v>0</v>
      </c>
      <c r="G234" s="65">
        <f t="shared" si="53"/>
        <v>0</v>
      </c>
      <c r="H234" s="65">
        <f t="shared" si="50"/>
        <v>0</v>
      </c>
      <c r="I234" s="65">
        <f t="shared" si="47"/>
        <v>0</v>
      </c>
      <c r="J234" s="203">
        <f>IF(DG!$A$133&lt;=11,$M$17,0)</f>
        <v>0</v>
      </c>
      <c r="K234" s="65">
        <f t="shared" si="51"/>
        <v>0</v>
      </c>
      <c r="L234" s="473">
        <f t="shared" si="57"/>
        <v>0</v>
      </c>
      <c r="M234" s="204">
        <f t="shared" si="58"/>
        <v>0</v>
      </c>
      <c r="N234" s="505">
        <f t="shared" si="59"/>
        <v>0</v>
      </c>
      <c r="O234" s="204">
        <f>IF(DG!$A$133&gt;12,0,IF(J234-J233&gt;0,MROUND((L234/12*Q233),1),MROUND(L234/12*P233,1)))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IF(OR(L$73=0,DG!$A$254&gt;16),0,F234+1)</f>
        <v>0</v>
      </c>
      <c r="G235" s="65">
        <f t="shared" si="53"/>
        <v>0</v>
      </c>
      <c r="H235" s="65">
        <f t="shared" si="50"/>
        <v>0</v>
      </c>
      <c r="I235" s="65">
        <f t="shared" si="47"/>
        <v>0</v>
      </c>
      <c r="J235" s="203">
        <f>IF(DG!$A$133&lt;=11,$M$17,0)</f>
        <v>0</v>
      </c>
      <c r="K235" s="65">
        <f t="shared" si="51"/>
        <v>0</v>
      </c>
      <c r="L235" s="473">
        <f t="shared" si="57"/>
        <v>0</v>
      </c>
      <c r="M235" s="204">
        <f t="shared" si="58"/>
        <v>0</v>
      </c>
      <c r="N235" s="505">
        <f t="shared" si="59"/>
        <v>0</v>
      </c>
      <c r="O235" s="204">
        <f>IF(DG!$A$133&gt;12,0,IF(J235-J234&gt;0,MROUND((L235/12*Q234),1),MROUND(L235/12*P234,1)))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IF(OR(L$73=0,DG!$A$254&gt;16),0,F235+1)</f>
        <v>0</v>
      </c>
      <c r="G236" s="65">
        <f t="shared" si="53"/>
        <v>0</v>
      </c>
      <c r="H236" s="65">
        <f t="shared" si="50"/>
        <v>0</v>
      </c>
      <c r="I236" s="65">
        <f t="shared" si="47"/>
        <v>0</v>
      </c>
      <c r="J236" s="203">
        <f>IF(DG!$A$133&lt;=11,$M$17,0)</f>
        <v>0</v>
      </c>
      <c r="K236" s="65">
        <f t="shared" si="51"/>
        <v>0</v>
      </c>
      <c r="L236" s="473">
        <f t="shared" si="57"/>
        <v>0</v>
      </c>
      <c r="M236" s="204">
        <f t="shared" si="58"/>
        <v>0</v>
      </c>
      <c r="N236" s="505">
        <f t="shared" si="59"/>
        <v>0</v>
      </c>
      <c r="O236" s="204">
        <f>IF(DG!$A$133&gt;12,0,IF(J236-J235&gt;0,MROUND((L236/12*Q235),1),MROUND(L236/12*P235,1)))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IF(OR(L$73=0,DG!$A$254&gt;16),0,F236+1)</f>
        <v>0</v>
      </c>
      <c r="G237" s="65">
        <f t="shared" si="53"/>
        <v>0</v>
      </c>
      <c r="H237" s="65">
        <f t="shared" si="50"/>
        <v>0</v>
      </c>
      <c r="I237" s="65">
        <f t="shared" si="47"/>
        <v>0</v>
      </c>
      <c r="J237" s="203">
        <f>IF(DG!$A$133&lt;=11,$M$17,0)</f>
        <v>0</v>
      </c>
      <c r="K237" s="65">
        <f t="shared" si="51"/>
        <v>0</v>
      </c>
      <c r="L237" s="473">
        <f t="shared" si="57"/>
        <v>0</v>
      </c>
      <c r="M237" s="204">
        <f t="shared" si="58"/>
        <v>0</v>
      </c>
      <c r="N237" s="505">
        <f t="shared" si="59"/>
        <v>0</v>
      </c>
      <c r="O237" s="204">
        <f>IF(DG!$A$133&gt;12,0,IF(J237-J236&gt;0,MROUND((L237/12*Q236),1),MROUND(L237/12*P236,1)))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IF(OR(L$73=0,DG!$A$254&gt;16),0,F237+1)</f>
        <v>0</v>
      </c>
      <c r="G238" s="65">
        <f t="shared" si="53"/>
        <v>0</v>
      </c>
      <c r="H238" s="65">
        <f t="shared" si="50"/>
        <v>0</v>
      </c>
      <c r="I238" s="65">
        <f t="shared" si="47"/>
        <v>0</v>
      </c>
      <c r="J238" s="203">
        <f>IF(DG!$A$133&lt;=11,$M$17,0)</f>
        <v>0</v>
      </c>
      <c r="K238" s="65">
        <f t="shared" si="51"/>
        <v>0</v>
      </c>
      <c r="L238" s="473">
        <f t="shared" si="57"/>
        <v>0</v>
      </c>
      <c r="M238" s="204">
        <f t="shared" si="58"/>
        <v>0</v>
      </c>
      <c r="N238" s="505">
        <f t="shared" si="59"/>
        <v>0</v>
      </c>
      <c r="O238" s="204">
        <f>IF(DG!$A$133&gt;12,0,IF(J238-J237&gt;0,MROUND((L238/12*Q237),1),MROUND(L238/12*P237,1)))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IF(OR(L$73=0,DG!$A$254&gt;16),0,F238+1)</f>
        <v>0</v>
      </c>
      <c r="G239" s="65">
        <f t="shared" si="53"/>
        <v>0</v>
      </c>
      <c r="H239" s="65">
        <f t="shared" si="50"/>
        <v>0</v>
      </c>
      <c r="I239" s="65">
        <f t="shared" si="47"/>
        <v>0</v>
      </c>
      <c r="J239" s="203">
        <f>IF(DG!$A$133&lt;=11,$M$17,0)</f>
        <v>0</v>
      </c>
      <c r="K239" s="65">
        <f t="shared" si="51"/>
        <v>0</v>
      </c>
      <c r="L239" s="473">
        <f t="shared" si="57"/>
        <v>0</v>
      </c>
      <c r="M239" s="204">
        <f t="shared" si="58"/>
        <v>0</v>
      </c>
      <c r="N239" s="505">
        <f t="shared" si="59"/>
        <v>0</v>
      </c>
      <c r="O239" s="204">
        <f>IF(DG!$A$133&gt;12,0,IF(J239-J238&gt;0,MROUND((L239/12*Q238),1),MROUND(L239/12*P238,1)))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IF(OR(L$73=0,DG!$A$254&gt;16),0,F239+1)</f>
        <v>0</v>
      </c>
      <c r="G240" s="65">
        <f t="shared" si="53"/>
        <v>0</v>
      </c>
      <c r="H240" s="65">
        <f t="shared" si="50"/>
        <v>0</v>
      </c>
      <c r="I240" s="65">
        <f t="shared" si="47"/>
        <v>0</v>
      </c>
      <c r="J240" s="203">
        <f>IF(DG!$A$133&lt;=11,$M$17,0)</f>
        <v>0</v>
      </c>
      <c r="K240" s="65">
        <f t="shared" si="51"/>
        <v>0</v>
      </c>
      <c r="L240" s="473">
        <f t="shared" si="57"/>
        <v>0</v>
      </c>
      <c r="M240" s="204">
        <f t="shared" si="58"/>
        <v>0</v>
      </c>
      <c r="N240" s="505">
        <f t="shared" si="59"/>
        <v>0</v>
      </c>
      <c r="O240" s="204">
        <f>IF(DG!$A$133&gt;12,0,IF(J240-J239&gt;0,MROUND((L240/12*Q239),1),MROUND(L240/12*P239,1)))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IF(OR(L$73=0,DG!$A$254&gt;16),0,F240+1)</f>
        <v>0</v>
      </c>
      <c r="G241" s="65">
        <f t="shared" si="53"/>
        <v>0</v>
      </c>
      <c r="H241" s="65">
        <f t="shared" si="50"/>
        <v>0</v>
      </c>
      <c r="I241" s="65">
        <f t="shared" si="47"/>
        <v>0</v>
      </c>
      <c r="J241" s="203">
        <f>IF(DG!$A$133&lt;=11,$M$17,0)</f>
        <v>0</v>
      </c>
      <c r="K241" s="65">
        <f t="shared" si="51"/>
        <v>0</v>
      </c>
      <c r="L241" s="473">
        <f t="shared" si="57"/>
        <v>0</v>
      </c>
      <c r="M241" s="204">
        <f t="shared" si="58"/>
        <v>0</v>
      </c>
      <c r="N241" s="505">
        <f t="shared" si="59"/>
        <v>0</v>
      </c>
      <c r="O241" s="204">
        <f>IF(DG!$A$133&gt;12,0,IF(J241-J240&gt;0,MROUND((L241/12*Q240),1),MROUND(L241/12*P240,1)))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IF(OR(L$73=0,DG!$A$254&gt;16),0,F241+1)</f>
        <v>0</v>
      </c>
      <c r="G242" s="65">
        <f t="shared" si="53"/>
        <v>0</v>
      </c>
      <c r="H242" s="65">
        <f t="shared" si="50"/>
        <v>0</v>
      </c>
      <c r="I242" s="65">
        <f t="shared" si="47"/>
        <v>0</v>
      </c>
      <c r="J242" s="203">
        <f>IF(DG!$A$133&lt;=11,$M$17,0)</f>
        <v>0</v>
      </c>
      <c r="K242" s="65">
        <f t="shared" si="51"/>
        <v>0</v>
      </c>
      <c r="L242" s="473">
        <f t="shared" si="57"/>
        <v>0</v>
      </c>
      <c r="M242" s="204">
        <f t="shared" si="58"/>
        <v>0</v>
      </c>
      <c r="N242" s="505">
        <f t="shared" si="59"/>
        <v>0</v>
      </c>
      <c r="O242" s="204">
        <f>IF(DG!$A$133&gt;12,0,IF(J242-J241&gt;0,MROUND((L242/12*Q241),1),MROUND(L242/12*P241,1)))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IF(OR(L$73=0,DG!$A$254&gt;16),0,F242+1)</f>
        <v>0</v>
      </c>
      <c r="G243" s="65">
        <f t="shared" si="53"/>
        <v>0</v>
      </c>
      <c r="H243" s="65">
        <f t="shared" si="50"/>
        <v>0</v>
      </c>
      <c r="I243" s="65">
        <f t="shared" si="47"/>
        <v>0</v>
      </c>
      <c r="J243" s="203">
        <f>IF(DG!$A$133&lt;=11,$M$17,0)</f>
        <v>0</v>
      </c>
      <c r="K243" s="65">
        <f t="shared" si="51"/>
        <v>0</v>
      </c>
      <c r="L243" s="473">
        <f t="shared" si="57"/>
        <v>0</v>
      </c>
      <c r="M243" s="204">
        <f t="shared" si="58"/>
        <v>0</v>
      </c>
      <c r="N243" s="505">
        <f t="shared" si="59"/>
        <v>0</v>
      </c>
      <c r="O243" s="204">
        <f>IF(DG!$A$133&gt;12,0,IF(J243-J242&gt;0,MROUND((L243/12*Q242),1),MROUND(L243/12*P242,1)))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IF(OR(L$73=0,DG!$A$254&gt;16),0,F243+1)</f>
        <v>0</v>
      </c>
      <c r="G244" s="65">
        <f t="shared" si="53"/>
        <v>0</v>
      </c>
      <c r="H244" s="65">
        <f t="shared" si="50"/>
        <v>0</v>
      </c>
      <c r="I244" s="65">
        <f t="shared" si="47"/>
        <v>0</v>
      </c>
      <c r="J244" s="203">
        <f>IF(DG!$A$133&lt;=11,$M$17,0)</f>
        <v>0</v>
      </c>
      <c r="K244" s="65">
        <f t="shared" si="51"/>
        <v>0</v>
      </c>
      <c r="L244" s="473">
        <f t="shared" si="57"/>
        <v>0</v>
      </c>
      <c r="M244" s="204">
        <f t="shared" si="58"/>
        <v>0</v>
      </c>
      <c r="N244" s="505">
        <f t="shared" si="59"/>
        <v>0</v>
      </c>
      <c r="O244" s="204">
        <f>IF(DG!$A$133&gt;12,0,IF(J244-J243&gt;0,MROUND((L244/12*Q243),1),MROUND(L244/12*P243,1)))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IF(OR(L$73=0,DG!$A$254&gt;16),0,F244+1)</f>
        <v>0</v>
      </c>
      <c r="G245" s="65">
        <f t="shared" si="53"/>
        <v>0</v>
      </c>
      <c r="H245" s="65">
        <f t="shared" si="50"/>
        <v>0</v>
      </c>
      <c r="I245" s="65">
        <f t="shared" si="47"/>
        <v>0</v>
      </c>
      <c r="J245" s="203">
        <f>IF(DG!$A$133&lt;=11,$M$17,0)</f>
        <v>0</v>
      </c>
      <c r="K245" s="65">
        <f t="shared" si="51"/>
        <v>0</v>
      </c>
      <c r="L245" s="473">
        <f t="shared" si="57"/>
        <v>0</v>
      </c>
      <c r="M245" s="204">
        <f t="shared" si="58"/>
        <v>0</v>
      </c>
      <c r="N245" s="505">
        <f t="shared" si="59"/>
        <v>0</v>
      </c>
      <c r="O245" s="204">
        <f>IF(DG!$A$133&gt;12,0,IF(J245-J244&gt;0,MROUND((L245/12*Q244),1),MROUND(L245/12*P244,1)))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IF(OR(L$73=0,DG!$A$254&gt;16),0,F245+1)</f>
        <v>0</v>
      </c>
      <c r="G246" s="65">
        <f t="shared" si="53"/>
        <v>0</v>
      </c>
      <c r="H246" s="65">
        <f t="shared" si="50"/>
        <v>0</v>
      </c>
      <c r="I246" s="65">
        <f t="shared" si="47"/>
        <v>0</v>
      </c>
      <c r="J246" s="203">
        <f>IF(DG!$A$133&lt;=11,$M$17,0)</f>
        <v>0</v>
      </c>
      <c r="K246" s="65">
        <f t="shared" si="51"/>
        <v>0</v>
      </c>
      <c r="L246" s="473">
        <f t="shared" si="57"/>
        <v>0</v>
      </c>
      <c r="M246" s="204">
        <f t="shared" si="58"/>
        <v>0</v>
      </c>
      <c r="N246" s="505">
        <f t="shared" si="59"/>
        <v>0</v>
      </c>
      <c r="O246" s="204">
        <f>IF(DG!$A$133&gt;12,0,IF(J246-J245&gt;0,MROUND((L246/12*Q245),1),MROUND(L246/12*P245,1)))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IF(OR(L$73=0,DG!$A$254&gt;16),0,F246+1)</f>
        <v>0</v>
      </c>
      <c r="G247" s="65">
        <f t="shared" si="53"/>
        <v>0</v>
      </c>
      <c r="H247" s="65">
        <f t="shared" si="50"/>
        <v>0</v>
      </c>
      <c r="I247" s="65">
        <f t="shared" si="47"/>
        <v>0</v>
      </c>
      <c r="J247" s="203">
        <f>IF(DG!$A$133&lt;=11,$M$17,0)</f>
        <v>0</v>
      </c>
      <c r="K247" s="65">
        <f t="shared" si="51"/>
        <v>0</v>
      </c>
      <c r="L247" s="473">
        <f t="shared" si="57"/>
        <v>0</v>
      </c>
      <c r="M247" s="204">
        <f t="shared" si="58"/>
        <v>0</v>
      </c>
      <c r="N247" s="505">
        <f t="shared" si="59"/>
        <v>0</v>
      </c>
      <c r="O247" s="204">
        <f>IF(DG!$A$133&gt;12,0,IF(J247-J246&gt;0,MROUND((L247/12*Q246),1),MROUND(L247/12*P246,1)))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IF(OR(L$73=0,DG!$A$254&gt;16),0,F247+1)</f>
        <v>0</v>
      </c>
      <c r="G248" s="65">
        <f t="shared" si="53"/>
        <v>0</v>
      </c>
      <c r="H248" s="65">
        <f t="shared" si="50"/>
        <v>0</v>
      </c>
      <c r="I248" s="65">
        <f t="shared" si="47"/>
        <v>0</v>
      </c>
      <c r="J248" s="203">
        <f>IF(DG!$A$133&lt;=11,$M$17,0)</f>
        <v>0</v>
      </c>
      <c r="K248" s="65">
        <f t="shared" si="51"/>
        <v>0</v>
      </c>
      <c r="L248" s="473">
        <f t="shared" si="57"/>
        <v>0</v>
      </c>
      <c r="M248" s="204">
        <f t="shared" si="58"/>
        <v>0</v>
      </c>
      <c r="N248" s="505">
        <f t="shared" si="59"/>
        <v>0</v>
      </c>
      <c r="O248" s="204">
        <f>IF(DG!$A$133&gt;12,0,IF(J248-J247&gt;0,MROUND((L248/12*Q247),1),MROUND(L248/12*P247,1)))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IF(OR(L$73=0,DG!$A$254&gt;16),0,F248+1)</f>
        <v>0</v>
      </c>
      <c r="G249" s="65">
        <f t="shared" si="53"/>
        <v>0</v>
      </c>
      <c r="H249" s="65">
        <f t="shared" si="50"/>
        <v>0</v>
      </c>
      <c r="I249" s="65">
        <f t="shared" si="47"/>
        <v>0</v>
      </c>
      <c r="J249" s="203">
        <f>IF(DG!$A$133&lt;=11,$M$17,0)</f>
        <v>0</v>
      </c>
      <c r="K249" s="65">
        <f t="shared" si="51"/>
        <v>0</v>
      </c>
      <c r="L249" s="473">
        <f t="shared" si="57"/>
        <v>0</v>
      </c>
      <c r="M249" s="204">
        <f t="shared" si="58"/>
        <v>0</v>
      </c>
      <c r="N249" s="505">
        <f t="shared" si="59"/>
        <v>0</v>
      </c>
      <c r="O249" s="204">
        <f>IF(DG!$A$133&gt;12,0,IF(J249-J248&gt;0,MROUND((L249/12*Q248),1),MROUND(L249/12*P248,1)))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IF(OR(L$73=0,DG!$A$254&gt;16),0,F249+1)</f>
        <v>0</v>
      </c>
      <c r="G250" s="65">
        <f t="shared" si="53"/>
        <v>0</v>
      </c>
      <c r="H250" s="65">
        <f t="shared" si="50"/>
        <v>0</v>
      </c>
      <c r="I250" s="65">
        <f t="shared" si="47"/>
        <v>0</v>
      </c>
      <c r="J250" s="203">
        <f>IF(DG!$A$133&lt;=11,$M$17,0)</f>
        <v>0</v>
      </c>
      <c r="K250" s="65">
        <f t="shared" si="51"/>
        <v>0</v>
      </c>
      <c r="L250" s="473">
        <f t="shared" si="57"/>
        <v>0</v>
      </c>
      <c r="M250" s="204">
        <f t="shared" si="58"/>
        <v>0</v>
      </c>
      <c r="N250" s="505">
        <f t="shared" si="59"/>
        <v>0</v>
      </c>
      <c r="O250" s="204">
        <f>IF(DG!$A$133&gt;12,0,IF(J250-J249&gt;0,MROUND((L250/12*Q249),1),MROUND(L250/12*P249,1)))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IF(OR(L$73=0,DG!$A$254&gt;16),0,F250+1)</f>
        <v>0</v>
      </c>
      <c r="G251" s="65">
        <f t="shared" si="53"/>
        <v>0</v>
      </c>
      <c r="H251" s="65">
        <f t="shared" si="50"/>
        <v>0</v>
      </c>
      <c r="I251" s="65">
        <f t="shared" si="47"/>
        <v>0</v>
      </c>
      <c r="J251" s="203">
        <f>IF(DG!$A$133&lt;=11,$M$17,0)</f>
        <v>0</v>
      </c>
      <c r="K251" s="65">
        <f t="shared" si="51"/>
        <v>0</v>
      </c>
      <c r="L251" s="473">
        <f t="shared" si="57"/>
        <v>0</v>
      </c>
      <c r="M251" s="204">
        <f t="shared" si="58"/>
        <v>0</v>
      </c>
      <c r="N251" s="505">
        <f t="shared" si="59"/>
        <v>0</v>
      </c>
      <c r="O251" s="204">
        <f>IF(DG!$A$133&gt;12,0,IF(J251-J250&gt;0,MROUND((L251/12*Q250),1),MROUND(L251/12*P250,1)))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IF(OR(L$73=0,DG!$A$254&gt;16),0,F251+1)</f>
        <v>0</v>
      </c>
      <c r="G252" s="65">
        <f t="shared" si="53"/>
        <v>0</v>
      </c>
      <c r="H252" s="65">
        <f t="shared" si="50"/>
        <v>0</v>
      </c>
      <c r="I252" s="65">
        <f t="shared" si="47"/>
        <v>0</v>
      </c>
      <c r="J252" s="203">
        <f>IF(DG!$A$133&lt;=11,$M$17,0)</f>
        <v>0</v>
      </c>
      <c r="K252" s="65">
        <f t="shared" si="51"/>
        <v>0</v>
      </c>
      <c r="L252" s="473">
        <f t="shared" si="57"/>
        <v>0</v>
      </c>
      <c r="M252" s="204">
        <f t="shared" si="58"/>
        <v>0</v>
      </c>
      <c r="N252" s="505">
        <f t="shared" si="59"/>
        <v>0</v>
      </c>
      <c r="O252" s="204">
        <f>IF(DG!$A$133&gt;12,0,IF(J252-J251&gt;0,MROUND((L252/12*Q251),1),MROUND(L252/12*P251,1)))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IF(OR(L$73=0,DG!$A$254&gt;16),0,F252+1)</f>
        <v>0</v>
      </c>
      <c r="G253" s="65">
        <f t="shared" si="53"/>
        <v>0</v>
      </c>
      <c r="H253" s="65">
        <f t="shared" si="50"/>
        <v>0</v>
      </c>
      <c r="I253" s="65">
        <f t="shared" si="47"/>
        <v>0</v>
      </c>
      <c r="J253" s="203">
        <f>IF(DG!$A$133&lt;=11,$M$17,0)</f>
        <v>0</v>
      </c>
      <c r="K253" s="65">
        <f t="shared" si="51"/>
        <v>0</v>
      </c>
      <c r="L253" s="473">
        <f t="shared" si="57"/>
        <v>0</v>
      </c>
      <c r="M253" s="204">
        <f t="shared" si="58"/>
        <v>0</v>
      </c>
      <c r="N253" s="505">
        <f t="shared" si="59"/>
        <v>0</v>
      </c>
      <c r="O253" s="204">
        <f>IF(DG!$A$133&gt;12,0,IF(J253-J252&gt;0,MROUND((L253/12*Q252),1),MROUND(L253/12*P252,1)))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IF(OR(L$73=0,DG!$A$254&gt;16),0,F253+1)</f>
        <v>0</v>
      </c>
      <c r="G254" s="65">
        <f t="shared" si="53"/>
        <v>0</v>
      </c>
      <c r="H254" s="65">
        <f t="shared" si="50"/>
        <v>0</v>
      </c>
      <c r="I254" s="65">
        <f t="shared" si="47"/>
        <v>0</v>
      </c>
      <c r="J254" s="203">
        <f>IF(DG!$A$133&lt;=11,$M$17,0)</f>
        <v>0</v>
      </c>
      <c r="K254" s="65">
        <f t="shared" si="51"/>
        <v>0</v>
      </c>
      <c r="L254" s="473">
        <f t="shared" si="57"/>
        <v>0</v>
      </c>
      <c r="M254" s="204">
        <f t="shared" si="58"/>
        <v>0</v>
      </c>
      <c r="N254" s="505">
        <f t="shared" si="59"/>
        <v>0</v>
      </c>
      <c r="O254" s="204">
        <f>IF(DG!$A$133&gt;12,0,IF(J254-J253&gt;0,MROUND((L254/12*Q253),1),MROUND(L254/12*P253,1)))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IF(OR(L$73=0,DG!$A$254&gt;16),0,F254+1)</f>
        <v>0</v>
      </c>
      <c r="G255" s="65">
        <f t="shared" si="53"/>
        <v>0</v>
      </c>
      <c r="H255" s="65">
        <f t="shared" si="50"/>
        <v>0</v>
      </c>
      <c r="I255" s="65">
        <f t="shared" si="47"/>
        <v>0</v>
      </c>
      <c r="J255" s="203">
        <f>IF(DG!$A$133&lt;=11,$M$17,0)</f>
        <v>0</v>
      </c>
      <c r="K255" s="65">
        <f t="shared" si="51"/>
        <v>0</v>
      </c>
      <c r="L255" s="473">
        <f t="shared" si="57"/>
        <v>0</v>
      </c>
      <c r="M255" s="204">
        <f t="shared" si="58"/>
        <v>0</v>
      </c>
      <c r="N255" s="505">
        <f t="shared" si="59"/>
        <v>0</v>
      </c>
      <c r="O255" s="204">
        <f>IF(DG!$A$133&gt;12,0,IF(J255-J254&gt;0,MROUND((L255/12*Q254),1),MROUND(L255/12*P254,1)))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IF(OR(L$73=0,DG!$A$254&gt;16),0,F255+1)</f>
        <v>0</v>
      </c>
      <c r="G256" s="65">
        <f t="shared" si="53"/>
        <v>0</v>
      </c>
      <c r="H256" s="65">
        <f t="shared" si="50"/>
        <v>0</v>
      </c>
      <c r="I256" s="65">
        <f t="shared" si="47"/>
        <v>0</v>
      </c>
      <c r="J256" s="203">
        <f>IF(DG!$A$133&lt;=11,$M$17,0)</f>
        <v>0</v>
      </c>
      <c r="K256" s="65">
        <f t="shared" si="51"/>
        <v>0</v>
      </c>
      <c r="L256" s="473">
        <f t="shared" si="57"/>
        <v>0</v>
      </c>
      <c r="M256" s="204">
        <f t="shared" si="58"/>
        <v>0</v>
      </c>
      <c r="N256" s="505">
        <f t="shared" si="59"/>
        <v>0</v>
      </c>
      <c r="O256" s="204">
        <f>IF(DG!$A$133&gt;12,0,IF(J256-J255&gt;0,MROUND((L256/12*Q255),1),MROUND(L256/12*P255,1)))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IF(OR(L$73=0,DG!$A$254&gt;16),0,F256+1)</f>
        <v>0</v>
      </c>
      <c r="G257" s="65">
        <f t="shared" si="53"/>
        <v>0</v>
      </c>
      <c r="H257" s="65">
        <f t="shared" si="50"/>
        <v>0</v>
      </c>
      <c r="I257" s="65">
        <f t="shared" ref="I257:I265" si="62">IF(OR(G257=1,C257=0),0,IF(K257-C257&lt;$G$269,1,-1))</f>
        <v>0</v>
      </c>
      <c r="J257" s="203">
        <f>IF(DG!$A$133&lt;=11,$M$17,0)</f>
        <v>0</v>
      </c>
      <c r="K257" s="65">
        <f t="shared" si="51"/>
        <v>0</v>
      </c>
      <c r="L257" s="473">
        <f t="shared" si="57"/>
        <v>0</v>
      </c>
      <c r="M257" s="204">
        <f t="shared" si="58"/>
        <v>0</v>
      </c>
      <c r="N257" s="505">
        <f t="shared" si="59"/>
        <v>0</v>
      </c>
      <c r="O257" s="204">
        <f>IF(DG!$A$133&gt;12,0,IF(J257-J256&gt;0,MROUND((L257/12*Q256),1),MROUND(L257/12*P256,1)))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IF(OR(L$73=0,DG!$A$254&gt;16),0,F257+1)</f>
        <v>0</v>
      </c>
      <c r="G258" s="65">
        <f t="shared" si="53"/>
        <v>0</v>
      </c>
      <c r="H258" s="65">
        <f t="shared" si="50"/>
        <v>0</v>
      </c>
      <c r="I258" s="65">
        <f t="shared" si="62"/>
        <v>0</v>
      </c>
      <c r="J258" s="203">
        <f>IF(DG!$A$133&lt;=11,$M$17,0)</f>
        <v>0</v>
      </c>
      <c r="K258" s="65">
        <f t="shared" si="51"/>
        <v>0</v>
      </c>
      <c r="L258" s="473">
        <f t="shared" si="57"/>
        <v>0</v>
      </c>
      <c r="M258" s="204">
        <f t="shared" si="58"/>
        <v>0</v>
      </c>
      <c r="N258" s="505">
        <f t="shared" si="59"/>
        <v>0</v>
      </c>
      <c r="O258" s="204">
        <f>IF(DG!$A$133&gt;12,0,IF(J258-J257&gt;0,MROUND((L258/12*Q257),1),MROUND(L258/12*P257,1)))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IF(OR(L$73=0,DG!$A$254&gt;16),0,F258+1)</f>
        <v>0</v>
      </c>
      <c r="G259" s="65">
        <f t="shared" si="53"/>
        <v>0</v>
      </c>
      <c r="H259" s="65">
        <f t="shared" si="50"/>
        <v>0</v>
      </c>
      <c r="I259" s="65">
        <f t="shared" si="62"/>
        <v>0</v>
      </c>
      <c r="J259" s="203">
        <f>IF(DG!$A$133&lt;=11,$M$17,0)</f>
        <v>0</v>
      </c>
      <c r="K259" s="65">
        <f t="shared" si="51"/>
        <v>0</v>
      </c>
      <c r="L259" s="473">
        <f t="shared" si="57"/>
        <v>0</v>
      </c>
      <c r="M259" s="204">
        <f t="shared" si="58"/>
        <v>0</v>
      </c>
      <c r="N259" s="505">
        <f t="shared" si="59"/>
        <v>0</v>
      </c>
      <c r="O259" s="204">
        <f>IF(DG!$A$133&gt;12,0,IF(J259-J258&gt;0,MROUND((L259/12*Q258),1),MROUND(L259/12*P258,1)))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IF(OR(L$73=0,DG!$A$254&gt;16),0,F259+1)</f>
        <v>0</v>
      </c>
      <c r="G260" s="65">
        <f t="shared" si="53"/>
        <v>0</v>
      </c>
      <c r="H260" s="65">
        <f t="shared" si="50"/>
        <v>0</v>
      </c>
      <c r="I260" s="65">
        <f t="shared" si="62"/>
        <v>0</v>
      </c>
      <c r="J260" s="203">
        <f>IF(DG!$A$133&lt;=11,$M$17,0)</f>
        <v>0</v>
      </c>
      <c r="K260" s="65">
        <f t="shared" si="51"/>
        <v>0</v>
      </c>
      <c r="L260" s="473">
        <f t="shared" si="57"/>
        <v>0</v>
      </c>
      <c r="M260" s="204">
        <f t="shared" si="58"/>
        <v>0</v>
      </c>
      <c r="N260" s="505">
        <f t="shared" si="59"/>
        <v>0</v>
      </c>
      <c r="O260" s="204">
        <f>IF(DG!$A$133&gt;12,0,IF(J260-J259&gt;0,MROUND((L260/12*Q259),1),MROUND(L260/12*P259,1)))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IF(OR(L$73=0,DG!$A$254&gt;16),0,F260+1)</f>
        <v>0</v>
      </c>
      <c r="G261" s="65">
        <f t="shared" si="53"/>
        <v>0</v>
      </c>
      <c r="H261" s="65">
        <f t="shared" si="50"/>
        <v>0</v>
      </c>
      <c r="I261" s="65">
        <f t="shared" si="62"/>
        <v>0</v>
      </c>
      <c r="J261" s="203">
        <f>IF(DG!$A$133&lt;=11,$M$17,0)</f>
        <v>0</v>
      </c>
      <c r="K261" s="65">
        <f t="shared" si="51"/>
        <v>0</v>
      </c>
      <c r="L261" s="473">
        <f t="shared" si="57"/>
        <v>0</v>
      </c>
      <c r="M261" s="204">
        <f t="shared" si="58"/>
        <v>0</v>
      </c>
      <c r="N261" s="505">
        <f t="shared" si="59"/>
        <v>0</v>
      </c>
      <c r="O261" s="204">
        <f>IF(DG!$A$133&gt;12,0,IF(J261-J260&gt;0,MROUND((L261/12*Q260),1),MROUND(L261/12*P260,1)))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IF(OR(L$73=0,DG!$A$254&gt;16),0,F261+1)</f>
        <v>0</v>
      </c>
      <c r="G262" s="65">
        <f t="shared" si="53"/>
        <v>0</v>
      </c>
      <c r="H262" s="65">
        <f t="shared" si="50"/>
        <v>0</v>
      </c>
      <c r="I262" s="65">
        <f t="shared" si="62"/>
        <v>0</v>
      </c>
      <c r="J262" s="203">
        <f>IF(DG!$A$133&lt;=11,$M$17,0)</f>
        <v>0</v>
      </c>
      <c r="K262" s="65">
        <f t="shared" si="51"/>
        <v>0</v>
      </c>
      <c r="L262" s="473">
        <f t="shared" si="57"/>
        <v>0</v>
      </c>
      <c r="M262" s="204">
        <f t="shared" si="58"/>
        <v>0</v>
      </c>
      <c r="N262" s="505">
        <f t="shared" si="59"/>
        <v>0</v>
      </c>
      <c r="O262" s="204">
        <f>IF(DG!$A$133&gt;12,0,IF(J262-J261&gt;0,MROUND((L262/12*Q261),1),MROUND(L262/12*P261,1)))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IF(OR(L$73=0,DG!$A$254&gt;16),0,F262+1)</f>
        <v>0</v>
      </c>
      <c r="G263" s="65">
        <f t="shared" si="53"/>
        <v>0</v>
      </c>
      <c r="H263" s="65">
        <f t="shared" si="50"/>
        <v>0</v>
      </c>
      <c r="I263" s="65">
        <f t="shared" si="62"/>
        <v>0</v>
      </c>
      <c r="J263" s="203">
        <f>IF(DG!$A$133&lt;=11,$M$17,0)</f>
        <v>0</v>
      </c>
      <c r="K263" s="65">
        <f t="shared" si="51"/>
        <v>0</v>
      </c>
      <c r="L263" s="473">
        <f t="shared" si="57"/>
        <v>0</v>
      </c>
      <c r="M263" s="204">
        <f t="shared" si="58"/>
        <v>0</v>
      </c>
      <c r="N263" s="505">
        <f t="shared" si="59"/>
        <v>0</v>
      </c>
      <c r="O263" s="204">
        <f>IF(DG!$A$133&gt;12,0,IF(J263-J262&gt;0,MROUND((L263/12*Q262),1),MROUND(L263/12*P262,1)))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IF(OR(L$73=0,DG!$A$254&gt;16),0,F263+1)</f>
        <v>0</v>
      </c>
      <c r="G264" s="65">
        <f t="shared" si="53"/>
        <v>0</v>
      </c>
      <c r="H264" s="65">
        <f t="shared" si="50"/>
        <v>0</v>
      </c>
      <c r="I264" s="65">
        <f t="shared" si="62"/>
        <v>0</v>
      </c>
      <c r="J264" s="203">
        <f>IF(DG!$A$133&lt;=11,$M$17,0)</f>
        <v>0</v>
      </c>
      <c r="K264" s="65">
        <f t="shared" si="51"/>
        <v>0</v>
      </c>
      <c r="L264" s="473">
        <f t="shared" si="57"/>
        <v>0</v>
      </c>
      <c r="M264" s="204">
        <f t="shared" si="58"/>
        <v>0</v>
      </c>
      <c r="N264" s="505">
        <f t="shared" si="59"/>
        <v>0</v>
      </c>
      <c r="O264" s="204">
        <f>IF(DG!$A$133&gt;12,0,IF(J264-J263&gt;0,MROUND((L264/12*Q263),1),MROUND(L264/12*P263,1)))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IF(OR(L$73=0,DG!$A$254&gt;16),0,F264+1)</f>
        <v>0</v>
      </c>
      <c r="G265" s="65">
        <f t="shared" si="53"/>
        <v>0</v>
      </c>
      <c r="H265" s="65">
        <f t="shared" si="50"/>
        <v>0</v>
      </c>
      <c r="I265" s="65">
        <f t="shared" si="62"/>
        <v>0</v>
      </c>
      <c r="J265" s="203">
        <f>IF(DG!$A$133&lt;=11,$M$17,0)</f>
        <v>0</v>
      </c>
      <c r="K265" s="65">
        <f t="shared" si="51"/>
        <v>0</v>
      </c>
      <c r="L265" s="473">
        <f t="shared" si="57"/>
        <v>0</v>
      </c>
      <c r="M265" s="204">
        <f t="shared" si="58"/>
        <v>0</v>
      </c>
      <c r="N265" s="505">
        <f t="shared" si="59"/>
        <v>0</v>
      </c>
      <c r="O265" s="204">
        <f>IF(DG!$A$133&gt;12,0,IF(J265-J264&gt;0,MROUND((L265/12*Q264),1),MROUND(L265/12*P264,1)))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IF(DG!$A$133&gt;12,0,IF(J266-J265&gt;0,MROUND((L266/12*Q265),1),MROUND(L266/12*P265,1)))</f>
        <v>0</v>
      </c>
    </row>
    <row r="267" spans="1:19">
      <c r="H267" s="65">
        <f>IF(B267&gt;0,1,0)</f>
        <v>0</v>
      </c>
      <c r="I267" s="65">
        <f>SUM(E267:H267)</f>
        <v>0</v>
      </c>
      <c r="M267" s="205"/>
      <c r="N267" s="505">
        <f t="shared" si="59"/>
        <v>0</v>
      </c>
      <c r="O267" s="204">
        <f>IF(DG!$A$133&gt;12,0,IF(J267-J266&gt;0,MROUND((L267/12*Q266),1),MROUND(L267/12*P266,1)))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97" r:id="rId4" name="Drop Down 21">
              <controlPr defaultSize="0" autoFill="0" autoLine="0" autoPict="0">
                <anchor moveWithCells="1">
                  <from>
                    <xdr:col>15</xdr:col>
                    <xdr:colOff>0</xdr:colOff>
                    <xdr:row>15</xdr:row>
                    <xdr:rowOff>63500</xdr:rowOff>
                  </from>
                  <to>
                    <xdr:col>16</xdr:col>
                    <xdr:colOff>63500</xdr:colOff>
                    <xdr:row>17</xdr:row>
                    <xdr:rowOff>38100</xdr:rowOff>
                  </to>
                </anchor>
              </controlPr>
            </control>
          </mc:Choice>
        </mc:AlternateContent>
        <mc:AlternateContent xmlns:mc="http://schemas.openxmlformats.org/markup-compatibility/2006">
          <mc:Choice Requires="x14">
            <control shapeId="24601" r:id="rId5" name="Drop Down 25">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24607" r:id="rId6" name="Drop Down 31">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Feuil23">
    <pageSetUpPr fitToPage="1"/>
  </sheetPr>
  <dimension ref="A8:S269"/>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7" width="12.81640625" style="43" customWidth="1"/>
    <col min="18" max="18" width="12.63281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103</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IF(OR(J$26=0,DG!$A$134&gt;1),0,B25+1)</f>
        <v>0</v>
      </c>
      <c r="C26" s="65">
        <f t="shared" ref="C26:C49" si="0">IF(F26-$E$269&gt;0,F26-$E$269,0)</f>
        <v>0</v>
      </c>
      <c r="D26" s="65">
        <v>1</v>
      </c>
      <c r="E26" s="65">
        <f>B26</f>
        <v>0</v>
      </c>
      <c r="F26" s="65">
        <f>IF(OR(L$26=0,DG!$A$255&gt;1),0,F25+1)</f>
        <v>0</v>
      </c>
      <c r="G26" s="65">
        <f t="shared" ref="G26:G89" si="1">IF(E26=0,0,IF(D26-E26-F26&gt;=0,1,0))</f>
        <v>0</v>
      </c>
      <c r="H26" s="65">
        <f t="shared" ref="H26:H89" si="2">IF(I26&gt;=0,0,H25+1)</f>
        <v>0</v>
      </c>
      <c r="I26" s="65">
        <f t="shared" ref="I26:I63" si="3">IF(OR(G26=1,C26=0),0,IF(K26-C26&lt;$G$269,1,-1))</f>
        <v>0</v>
      </c>
      <c r="J26" s="203">
        <f>IF(DG!$A$134&lt;=1,$M$17,0)</f>
        <v>0</v>
      </c>
      <c r="K26" s="65">
        <f>M21</f>
        <v>0</v>
      </c>
      <c r="L26" s="473">
        <f>IF($M$17&gt;0,$M$19+0.0000001,0)</f>
        <v>0</v>
      </c>
      <c r="M26" s="204">
        <f>IF(H26=0,0,IF($R$13=1,N26+O26,IF(N26=0,O26,-PMT(L26/12,K26-$G$269,J26))))</f>
        <v>0</v>
      </c>
      <c r="N26" s="505">
        <f>IF(OR(H26-K26&gt;0,I26&gt;=0),0,MROUND(-PPMT(L26/12,H26,K26-G269,J26),1)+R26)</f>
        <v>0</v>
      </c>
      <c r="O26" s="204">
        <f>IF(DG!$A$134&gt;1,0,IF(J26-J25&gt;0,MROUND((L26/12*Q25),1),MROUND(L26/12*P25,1)))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IF(OR(J$27=0,DG!$A$134&gt;1),0,B26+1)</f>
        <v>0</v>
      </c>
      <c r="C27" s="65">
        <f t="shared" si="0"/>
        <v>0</v>
      </c>
      <c r="D27" s="65">
        <f>D26+1</f>
        <v>2</v>
      </c>
      <c r="E27" s="65">
        <f t="shared" ref="E27:E90" si="6">B27</f>
        <v>0</v>
      </c>
      <c r="F27" s="65">
        <f>IF(OR(L$27=0,DG!$A$255&gt;1),0,F26+1)</f>
        <v>0</v>
      </c>
      <c r="G27" s="65">
        <f t="shared" si="1"/>
        <v>0</v>
      </c>
      <c r="H27" s="65">
        <f t="shared" si="2"/>
        <v>0</v>
      </c>
      <c r="I27" s="65">
        <f t="shared" si="3"/>
        <v>0</v>
      </c>
      <c r="J27" s="203">
        <f>IF(DG!$A$134&lt;=1,$M$17,0)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IF(DG!$A$134&gt;1,0,IF(J27-J26&gt;0,MROUND((L27/12*Q26),1),MROUND(L27/12*P26,1)))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IF(OR(J$28=0,DG!$A$134&gt;1),0,B27+1)</f>
        <v>0</v>
      </c>
      <c r="C28" s="65">
        <f t="shared" si="0"/>
        <v>0</v>
      </c>
      <c r="D28" s="65">
        <f t="shared" ref="D28:D91" si="12">D27+1</f>
        <v>3</v>
      </c>
      <c r="E28" s="65">
        <f t="shared" si="6"/>
        <v>0</v>
      </c>
      <c r="F28" s="65">
        <f>IF(OR(L$28=0,DG!$A$255&gt;1),0,F27+1)</f>
        <v>0</v>
      </c>
      <c r="G28" s="65">
        <f t="shared" si="1"/>
        <v>0</v>
      </c>
      <c r="H28" s="65">
        <f t="shared" si="2"/>
        <v>0</v>
      </c>
      <c r="I28" s="65">
        <f t="shared" si="3"/>
        <v>0</v>
      </c>
      <c r="J28" s="203">
        <f>IF(DG!$A$134&lt;=1,$M$17,0)</f>
        <v>0</v>
      </c>
      <c r="K28" s="65">
        <f t="shared" si="7"/>
        <v>0</v>
      </c>
      <c r="L28" s="473">
        <f t="shared" si="8"/>
        <v>0</v>
      </c>
      <c r="M28" s="204">
        <f t="shared" si="9"/>
        <v>0</v>
      </c>
      <c r="N28" s="505">
        <f t="shared" si="10"/>
        <v>0</v>
      </c>
      <c r="O28" s="204">
        <f>IF(DG!$A$134&gt;1,0,IF(J28-J27&gt;0,MROUND((L28/12*Q27),1),MROUND(L28/12*P27,1)))</f>
        <v>0</v>
      </c>
      <c r="P28" s="204">
        <f t="shared" si="11"/>
        <v>0</v>
      </c>
      <c r="Q28" s="204">
        <f t="shared" si="4"/>
        <v>0</v>
      </c>
      <c r="R28" s="748">
        <v>0</v>
      </c>
    </row>
    <row r="29" spans="1:18" ht="14" thickTop="1" thickBot="1">
      <c r="A29" s="202">
        <f t="shared" si="5"/>
        <v>45383</v>
      </c>
      <c r="B29" s="65">
        <f>IF(OR(J$29=0,DG!$A$134&gt;2),0,B28+1)</f>
        <v>0</v>
      </c>
      <c r="C29" s="65">
        <f t="shared" si="0"/>
        <v>0</v>
      </c>
      <c r="D29" s="65">
        <f t="shared" si="12"/>
        <v>4</v>
      </c>
      <c r="E29" s="65">
        <f t="shared" si="6"/>
        <v>0</v>
      </c>
      <c r="F29" s="65">
        <f>IF(OR(L$29=0,DG!$A$255&gt;2),0,F28+1)</f>
        <v>0</v>
      </c>
      <c r="G29" s="65">
        <f t="shared" si="1"/>
        <v>0</v>
      </c>
      <c r="H29" s="65">
        <f t="shared" si="2"/>
        <v>0</v>
      </c>
      <c r="I29" s="65">
        <f t="shared" si="3"/>
        <v>0</v>
      </c>
      <c r="J29" s="203">
        <f>IF(DG!$A$134&lt;=2,$M$17,0)</f>
        <v>0</v>
      </c>
      <c r="K29" s="65">
        <f t="shared" si="7"/>
        <v>0</v>
      </c>
      <c r="L29" s="473">
        <f t="shared" si="8"/>
        <v>0</v>
      </c>
      <c r="M29" s="204">
        <f t="shared" si="9"/>
        <v>0</v>
      </c>
      <c r="N29" s="505">
        <f t="shared" si="10"/>
        <v>0</v>
      </c>
      <c r="O29" s="204">
        <f>IF(DG!$A$134&gt;2,0,IF(J29-J28&gt;0,MROUND((L29/12*Q28),1),MROUND(L29/12*P28,1)))</f>
        <v>0</v>
      </c>
      <c r="P29" s="204">
        <f t="shared" si="11"/>
        <v>0</v>
      </c>
      <c r="Q29" s="204">
        <f t="shared" si="4"/>
        <v>0</v>
      </c>
      <c r="R29" s="748">
        <v>0</v>
      </c>
    </row>
    <row r="30" spans="1:18" ht="14" thickTop="1" thickBot="1">
      <c r="A30" s="202">
        <f t="shared" si="5"/>
        <v>45413</v>
      </c>
      <c r="B30" s="65">
        <f>IF(OR(J$30=0,DG!$A$134&gt;2),0,B29+1)</f>
        <v>0</v>
      </c>
      <c r="C30" s="65">
        <f t="shared" si="0"/>
        <v>0</v>
      </c>
      <c r="D30" s="65">
        <f t="shared" si="12"/>
        <v>5</v>
      </c>
      <c r="E30" s="65">
        <f t="shared" si="6"/>
        <v>0</v>
      </c>
      <c r="F30" s="65">
        <f>IF(OR(L$30=0,DG!$A$255&gt;2),0,F29+1)</f>
        <v>0</v>
      </c>
      <c r="G30" s="65">
        <f t="shared" si="1"/>
        <v>0</v>
      </c>
      <c r="H30" s="65">
        <f t="shared" si="2"/>
        <v>0</v>
      </c>
      <c r="I30" s="65">
        <f t="shared" si="3"/>
        <v>0</v>
      </c>
      <c r="J30" s="203">
        <f>IF(DG!$A$134&lt;=2,$M$17,0)</f>
        <v>0</v>
      </c>
      <c r="K30" s="65">
        <f t="shared" si="7"/>
        <v>0</v>
      </c>
      <c r="L30" s="473">
        <f t="shared" si="8"/>
        <v>0</v>
      </c>
      <c r="M30" s="204">
        <f t="shared" si="9"/>
        <v>0</v>
      </c>
      <c r="N30" s="505">
        <f t="shared" si="10"/>
        <v>0</v>
      </c>
      <c r="O30" s="204">
        <f>IF(DG!$A$134&gt;2,0,IF(J30-J29&gt;0,MROUND((L30/12*Q29),1),MROUND(L30/12*P29,1)))</f>
        <v>0</v>
      </c>
      <c r="P30" s="204">
        <f t="shared" si="11"/>
        <v>0</v>
      </c>
      <c r="Q30" s="204">
        <f t="shared" si="4"/>
        <v>0</v>
      </c>
      <c r="R30" s="748">
        <v>0</v>
      </c>
    </row>
    <row r="31" spans="1:18" ht="14" thickTop="1" thickBot="1">
      <c r="A31" s="202">
        <f t="shared" si="5"/>
        <v>45444</v>
      </c>
      <c r="B31" s="65">
        <f>IF(OR(J$31=0,DG!$A$134&gt;2),0,B30+1)</f>
        <v>0</v>
      </c>
      <c r="C31" s="65">
        <f t="shared" si="0"/>
        <v>0</v>
      </c>
      <c r="D31" s="65">
        <f t="shared" si="12"/>
        <v>6</v>
      </c>
      <c r="E31" s="65">
        <f t="shared" si="6"/>
        <v>0</v>
      </c>
      <c r="F31" s="65">
        <f>IF(OR(L$31=0,DG!$A$255&gt;2),0,F30+1)</f>
        <v>0</v>
      </c>
      <c r="G31" s="65">
        <f t="shared" si="1"/>
        <v>0</v>
      </c>
      <c r="H31" s="65">
        <f t="shared" si="2"/>
        <v>0</v>
      </c>
      <c r="I31" s="65">
        <f t="shared" si="3"/>
        <v>0</v>
      </c>
      <c r="J31" s="203">
        <f>IF(DG!$A$134&lt;=2,$M$17,0)</f>
        <v>0</v>
      </c>
      <c r="K31" s="65">
        <f t="shared" si="7"/>
        <v>0</v>
      </c>
      <c r="L31" s="473">
        <f t="shared" si="8"/>
        <v>0</v>
      </c>
      <c r="M31" s="204">
        <f t="shared" si="9"/>
        <v>0</v>
      </c>
      <c r="N31" s="505">
        <f t="shared" si="10"/>
        <v>0</v>
      </c>
      <c r="O31" s="204">
        <f>IF(DG!$A$134&gt;2,0,IF(J31-J30&gt;0,MROUND((L31/12*Q30),1),MROUND(L31/12*P30,1)))</f>
        <v>0</v>
      </c>
      <c r="P31" s="204">
        <f t="shared" si="11"/>
        <v>0</v>
      </c>
      <c r="Q31" s="204">
        <f t="shared" si="4"/>
        <v>0</v>
      </c>
      <c r="R31" s="748">
        <v>0</v>
      </c>
    </row>
    <row r="32" spans="1:18" ht="14" thickTop="1" thickBot="1">
      <c r="A32" s="202">
        <f t="shared" si="5"/>
        <v>45474</v>
      </c>
      <c r="B32" s="65">
        <f>IF(OR(J$32=0,DG!$A$134&gt;3),0,B31+1)</f>
        <v>0</v>
      </c>
      <c r="C32" s="65">
        <f t="shared" si="0"/>
        <v>0</v>
      </c>
      <c r="D32" s="65">
        <f t="shared" si="12"/>
        <v>7</v>
      </c>
      <c r="E32" s="65">
        <f t="shared" si="6"/>
        <v>0</v>
      </c>
      <c r="F32" s="65">
        <f>IF(OR(L$32=0,DG!$A$255&gt;3),0,F31+1)</f>
        <v>0</v>
      </c>
      <c r="G32" s="65">
        <f t="shared" si="1"/>
        <v>0</v>
      </c>
      <c r="H32" s="65">
        <f t="shared" si="2"/>
        <v>0</v>
      </c>
      <c r="I32" s="65">
        <f t="shared" si="3"/>
        <v>0</v>
      </c>
      <c r="J32" s="203">
        <f>IF(DG!$A$134&lt;=3,$M$17,0)</f>
        <v>0</v>
      </c>
      <c r="K32" s="65">
        <f t="shared" si="7"/>
        <v>0</v>
      </c>
      <c r="L32" s="473">
        <f t="shared" si="8"/>
        <v>0</v>
      </c>
      <c r="M32" s="204">
        <f t="shared" si="9"/>
        <v>0</v>
      </c>
      <c r="N32" s="505">
        <f t="shared" si="10"/>
        <v>0</v>
      </c>
      <c r="O32" s="204">
        <f>IF(DG!$A$134&gt;3,0,IF(J32-J31&gt;0,MROUND((L32/12*Q31),1),MROUND(L32/12*P31,1)))</f>
        <v>0</v>
      </c>
      <c r="P32" s="204">
        <f t="shared" si="11"/>
        <v>0</v>
      </c>
      <c r="Q32" s="204">
        <f t="shared" si="4"/>
        <v>0</v>
      </c>
      <c r="R32" s="748">
        <v>0</v>
      </c>
    </row>
    <row r="33" spans="1:19" ht="14" thickTop="1" thickBot="1">
      <c r="A33" s="202">
        <f t="shared" si="5"/>
        <v>45505</v>
      </c>
      <c r="B33" s="65">
        <f>IF(OR(J$33=0,DG!$A$134&gt;3),0,B32+1)</f>
        <v>0</v>
      </c>
      <c r="C33" s="65">
        <f t="shared" si="0"/>
        <v>0</v>
      </c>
      <c r="D33" s="65">
        <f t="shared" si="12"/>
        <v>8</v>
      </c>
      <c r="E33" s="65">
        <f t="shared" si="6"/>
        <v>0</v>
      </c>
      <c r="F33" s="65">
        <f>IF(OR(L$33=0,DG!$A$255&gt;3),0,F32+1)</f>
        <v>0</v>
      </c>
      <c r="G33" s="65">
        <f t="shared" si="1"/>
        <v>0</v>
      </c>
      <c r="H33" s="65">
        <f t="shared" si="2"/>
        <v>0</v>
      </c>
      <c r="I33" s="65">
        <f t="shared" si="3"/>
        <v>0</v>
      </c>
      <c r="J33" s="203">
        <f>IF(DG!$A$134&lt;=3,$M$17,0)</f>
        <v>0</v>
      </c>
      <c r="K33" s="65">
        <f t="shared" si="7"/>
        <v>0</v>
      </c>
      <c r="L33" s="473">
        <f t="shared" si="8"/>
        <v>0</v>
      </c>
      <c r="M33" s="204">
        <f t="shared" si="9"/>
        <v>0</v>
      </c>
      <c r="N33" s="505">
        <f t="shared" si="10"/>
        <v>0</v>
      </c>
      <c r="O33" s="204">
        <f>IF(DG!$A$134&gt;3,0,IF(J33-J32&gt;0,MROUND((L33/12*Q32),1),MROUND(L33/12*P32,1)))</f>
        <v>0</v>
      </c>
      <c r="P33" s="204">
        <f t="shared" si="11"/>
        <v>0</v>
      </c>
      <c r="Q33" s="204">
        <f t="shared" si="4"/>
        <v>0</v>
      </c>
      <c r="R33" s="748">
        <v>0</v>
      </c>
    </row>
    <row r="34" spans="1:19" ht="14" thickTop="1" thickBot="1">
      <c r="A34" s="202">
        <f t="shared" si="5"/>
        <v>45536</v>
      </c>
      <c r="B34" s="65">
        <f>IF(OR(J$34=0,DG!$A$134&gt;3),0,B33+1)</f>
        <v>0</v>
      </c>
      <c r="C34" s="65">
        <f t="shared" si="0"/>
        <v>0</v>
      </c>
      <c r="D34" s="65">
        <f t="shared" si="12"/>
        <v>9</v>
      </c>
      <c r="E34" s="65">
        <f t="shared" si="6"/>
        <v>0</v>
      </c>
      <c r="F34" s="65">
        <f>IF(OR(L$34=0,DG!$A$255&gt;3),0,F33+1)</f>
        <v>0</v>
      </c>
      <c r="G34" s="65">
        <f t="shared" si="1"/>
        <v>0</v>
      </c>
      <c r="H34" s="65">
        <f t="shared" si="2"/>
        <v>0</v>
      </c>
      <c r="I34" s="65">
        <f t="shared" si="3"/>
        <v>0</v>
      </c>
      <c r="J34" s="203">
        <f>IF(DG!$A$134&lt;=3,$M$17,0)</f>
        <v>0</v>
      </c>
      <c r="K34" s="65">
        <f t="shared" si="7"/>
        <v>0</v>
      </c>
      <c r="L34" s="473">
        <f t="shared" si="8"/>
        <v>0</v>
      </c>
      <c r="M34" s="204">
        <f t="shared" si="9"/>
        <v>0</v>
      </c>
      <c r="N34" s="505">
        <f t="shared" si="10"/>
        <v>0</v>
      </c>
      <c r="O34" s="204">
        <f>IF(DG!$A$134&gt;3,0,IF(J34-J33&gt;0,MROUND((L34/12*Q33),1),MROUND(L34/12*P33,1)))</f>
        <v>0</v>
      </c>
      <c r="P34" s="204">
        <f t="shared" si="11"/>
        <v>0</v>
      </c>
      <c r="Q34" s="204">
        <f t="shared" si="4"/>
        <v>0</v>
      </c>
      <c r="R34" s="748">
        <v>0</v>
      </c>
    </row>
    <row r="35" spans="1:19" ht="14" thickTop="1" thickBot="1">
      <c r="A35" s="202">
        <f t="shared" si="5"/>
        <v>45566</v>
      </c>
      <c r="B35" s="65">
        <f>IF(OR(J$35=0,DG!$A$134&gt;4),0,B34+1)</f>
        <v>0</v>
      </c>
      <c r="C35" s="65">
        <f t="shared" si="0"/>
        <v>0</v>
      </c>
      <c r="D35" s="65">
        <f t="shared" si="12"/>
        <v>10</v>
      </c>
      <c r="E35" s="65">
        <f t="shared" si="6"/>
        <v>0</v>
      </c>
      <c r="F35" s="65">
        <f>IF(OR(L$35=0,DG!$A$255&gt;4),0,F34+1)</f>
        <v>0</v>
      </c>
      <c r="G35" s="65">
        <f t="shared" si="1"/>
        <v>0</v>
      </c>
      <c r="H35" s="65">
        <f t="shared" si="2"/>
        <v>0</v>
      </c>
      <c r="I35" s="65">
        <f t="shared" si="3"/>
        <v>0</v>
      </c>
      <c r="J35" s="203">
        <f>IF(DG!$A$134&lt;=4,$M$17,0)</f>
        <v>0</v>
      </c>
      <c r="K35" s="65">
        <f t="shared" si="7"/>
        <v>0</v>
      </c>
      <c r="L35" s="473">
        <f t="shared" si="8"/>
        <v>0</v>
      </c>
      <c r="M35" s="204">
        <f t="shared" si="9"/>
        <v>0</v>
      </c>
      <c r="N35" s="505">
        <f t="shared" si="10"/>
        <v>0</v>
      </c>
      <c r="O35" s="204">
        <f>IF(DG!$A$134&gt;4,0,IF(J35-J34&gt;0,MROUND((L35/12*Q34),1),MROUND(L35/12*P34,1)))</f>
        <v>0</v>
      </c>
      <c r="P35" s="204">
        <f t="shared" si="11"/>
        <v>0</v>
      </c>
      <c r="Q35" s="204">
        <f t="shared" si="4"/>
        <v>0</v>
      </c>
      <c r="R35" s="748">
        <v>0</v>
      </c>
    </row>
    <row r="36" spans="1:19" ht="14" thickTop="1" thickBot="1">
      <c r="A36" s="202">
        <f t="shared" si="5"/>
        <v>45597</v>
      </c>
      <c r="B36" s="65">
        <f>IF(OR(J$36=0,DG!$A$134&gt;4),0,B35+1)</f>
        <v>0</v>
      </c>
      <c r="C36" s="65">
        <f t="shared" si="0"/>
        <v>0</v>
      </c>
      <c r="D36" s="65">
        <f t="shared" si="12"/>
        <v>11</v>
      </c>
      <c r="E36" s="65">
        <f t="shared" si="6"/>
        <v>0</v>
      </c>
      <c r="F36" s="65">
        <f>IF(OR(L$36=0,DG!$A$255&gt;4),0,F35+1)</f>
        <v>0</v>
      </c>
      <c r="G36" s="65">
        <f t="shared" si="1"/>
        <v>0</v>
      </c>
      <c r="H36" s="65">
        <f t="shared" si="2"/>
        <v>0</v>
      </c>
      <c r="I36" s="65">
        <f t="shared" si="3"/>
        <v>0</v>
      </c>
      <c r="J36" s="203">
        <f>IF(DG!$A$134&lt;=4,$M$17,0)</f>
        <v>0</v>
      </c>
      <c r="K36" s="65">
        <f t="shared" si="7"/>
        <v>0</v>
      </c>
      <c r="L36" s="473">
        <f t="shared" si="8"/>
        <v>0</v>
      </c>
      <c r="M36" s="204">
        <f t="shared" si="9"/>
        <v>0</v>
      </c>
      <c r="N36" s="505">
        <f t="shared" si="10"/>
        <v>0</v>
      </c>
      <c r="O36" s="204">
        <f>IF(DG!$A$134&gt;4,0,IF(J36-J35&gt;0,MROUND((L36/12*Q35),1),MROUND(L36/12*P35,1)))</f>
        <v>0</v>
      </c>
      <c r="P36" s="204">
        <f t="shared" si="11"/>
        <v>0</v>
      </c>
      <c r="Q36" s="204">
        <f t="shared" si="4"/>
        <v>0</v>
      </c>
      <c r="R36" s="748">
        <v>0</v>
      </c>
    </row>
    <row r="37" spans="1:19" ht="14" thickTop="1" thickBot="1">
      <c r="A37" s="202">
        <f t="shared" si="5"/>
        <v>45627</v>
      </c>
      <c r="B37" s="65">
        <f>IF(OR(J$37=0,DG!$A$134&gt;4),0,B36+1)</f>
        <v>0</v>
      </c>
      <c r="C37" s="65">
        <f t="shared" si="0"/>
        <v>0</v>
      </c>
      <c r="D37" s="65">
        <f t="shared" si="12"/>
        <v>12</v>
      </c>
      <c r="E37" s="65">
        <f t="shared" si="6"/>
        <v>0</v>
      </c>
      <c r="F37" s="65">
        <f>IF(OR(L$37=0,DG!$A$255&gt;4),0,F36+1)</f>
        <v>0</v>
      </c>
      <c r="G37" s="65">
        <f t="shared" si="1"/>
        <v>0</v>
      </c>
      <c r="H37" s="65">
        <f t="shared" si="2"/>
        <v>0</v>
      </c>
      <c r="I37" s="65">
        <f t="shared" si="3"/>
        <v>0</v>
      </c>
      <c r="J37" s="203">
        <f>IF(DG!$A$134&lt;=4,$M$17,0)</f>
        <v>0</v>
      </c>
      <c r="K37" s="65">
        <f t="shared" si="7"/>
        <v>0</v>
      </c>
      <c r="L37" s="473">
        <f t="shared" si="8"/>
        <v>0</v>
      </c>
      <c r="M37" s="204">
        <f t="shared" si="9"/>
        <v>0</v>
      </c>
      <c r="N37" s="505">
        <f t="shared" si="10"/>
        <v>0</v>
      </c>
      <c r="O37" s="204">
        <f>IF(DG!$A$134&gt;4,0,IF(J37-J36&gt;0,MROUND((L37/12*Q36),1),MROUND(L37/12*P36,1)))</f>
        <v>0</v>
      </c>
      <c r="P37" s="204">
        <f t="shared" si="11"/>
        <v>0</v>
      </c>
      <c r="Q37" s="204">
        <f t="shared" si="4"/>
        <v>0</v>
      </c>
      <c r="R37" s="748">
        <v>0</v>
      </c>
      <c r="S37" s="511">
        <f>SUM(N26:N37)</f>
        <v>0</v>
      </c>
    </row>
    <row r="38" spans="1:19" ht="14" thickTop="1" thickBot="1">
      <c r="A38" s="202">
        <f t="shared" si="5"/>
        <v>45658</v>
      </c>
      <c r="B38" s="65">
        <f>IF(OR(J$38=0,DG!$A$134&gt;5),0,B37+1)</f>
        <v>0</v>
      </c>
      <c r="C38" s="65">
        <f t="shared" si="0"/>
        <v>0</v>
      </c>
      <c r="D38" s="65">
        <f t="shared" si="12"/>
        <v>13</v>
      </c>
      <c r="E38" s="65">
        <f t="shared" si="6"/>
        <v>0</v>
      </c>
      <c r="F38" s="65">
        <f>IF(OR(L$38=0,DG!$A$255&gt;5),0,F37+1)</f>
        <v>0</v>
      </c>
      <c r="G38" s="65">
        <f t="shared" si="1"/>
        <v>0</v>
      </c>
      <c r="H38" s="65">
        <f t="shared" si="2"/>
        <v>0</v>
      </c>
      <c r="I38" s="65">
        <f t="shared" si="3"/>
        <v>0</v>
      </c>
      <c r="J38" s="203">
        <f>IF(DG!$A$134&lt;=5,$M$17,0)</f>
        <v>0</v>
      </c>
      <c r="K38" s="65">
        <f t="shared" si="7"/>
        <v>0</v>
      </c>
      <c r="L38" s="473">
        <f t="shared" si="8"/>
        <v>0</v>
      </c>
      <c r="M38" s="204">
        <f t="shared" si="9"/>
        <v>0</v>
      </c>
      <c r="N38" s="505">
        <f t="shared" si="10"/>
        <v>0</v>
      </c>
      <c r="O38" s="204">
        <f>IF(DG!$A$134&gt;5,0,IF(J38-J37&gt;0,MROUND((L38/12*Q37),1),MROUND(L38/12*P37,1)))</f>
        <v>0</v>
      </c>
      <c r="P38" s="204">
        <f t="shared" si="11"/>
        <v>0</v>
      </c>
      <c r="Q38" s="204">
        <f t="shared" si="4"/>
        <v>0</v>
      </c>
      <c r="R38" s="748">
        <v>0</v>
      </c>
    </row>
    <row r="39" spans="1:19" ht="14" thickTop="1" thickBot="1">
      <c r="A39" s="202">
        <f t="shared" si="5"/>
        <v>45689</v>
      </c>
      <c r="B39" s="65">
        <f>IF(OR(J$39=0,DG!$A$134&gt;5),0,B38+1)</f>
        <v>0</v>
      </c>
      <c r="C39" s="65">
        <f t="shared" si="0"/>
        <v>0</v>
      </c>
      <c r="D39" s="65">
        <f t="shared" si="12"/>
        <v>14</v>
      </c>
      <c r="E39" s="65">
        <f t="shared" si="6"/>
        <v>0</v>
      </c>
      <c r="F39" s="65">
        <f>IF(OR(L$39=0,DG!$A$255&gt;5),0,F38+1)</f>
        <v>0</v>
      </c>
      <c r="G39" s="65">
        <f t="shared" si="1"/>
        <v>0</v>
      </c>
      <c r="H39" s="65">
        <f t="shared" si="2"/>
        <v>0</v>
      </c>
      <c r="I39" s="65">
        <f t="shared" si="3"/>
        <v>0</v>
      </c>
      <c r="J39" s="203">
        <f>IF(DG!$A$134&lt;=5,$M$17,0)</f>
        <v>0</v>
      </c>
      <c r="K39" s="65">
        <f t="shared" si="7"/>
        <v>0</v>
      </c>
      <c r="L39" s="473">
        <f t="shared" si="8"/>
        <v>0</v>
      </c>
      <c r="M39" s="204">
        <f t="shared" si="9"/>
        <v>0</v>
      </c>
      <c r="N39" s="505">
        <f t="shared" si="10"/>
        <v>0</v>
      </c>
      <c r="O39" s="204">
        <f>IF(DG!$A$134&gt;5,0,IF(J39-J38&gt;0,MROUND((L39/12*Q38),1),MROUND(L39/12*P38,1)))</f>
        <v>0</v>
      </c>
      <c r="P39" s="204">
        <f t="shared" si="11"/>
        <v>0</v>
      </c>
      <c r="Q39" s="204">
        <f t="shared" si="4"/>
        <v>0</v>
      </c>
      <c r="R39" s="748">
        <v>0</v>
      </c>
    </row>
    <row r="40" spans="1:19" ht="14" thickTop="1" thickBot="1">
      <c r="A40" s="202">
        <f t="shared" si="5"/>
        <v>45717</v>
      </c>
      <c r="B40" s="65">
        <f>IF(OR(J$40=0,DG!$A$134&gt;5),0,B39+1)</f>
        <v>0</v>
      </c>
      <c r="C40" s="65">
        <f t="shared" si="0"/>
        <v>0</v>
      </c>
      <c r="D40" s="65">
        <f t="shared" si="12"/>
        <v>15</v>
      </c>
      <c r="E40" s="65">
        <f t="shared" si="6"/>
        <v>0</v>
      </c>
      <c r="F40" s="65">
        <f>IF(OR(L$40=0,DG!$A$255&gt;5),0,F39+1)</f>
        <v>0</v>
      </c>
      <c r="G40" s="65">
        <f t="shared" si="1"/>
        <v>0</v>
      </c>
      <c r="H40" s="65">
        <f t="shared" si="2"/>
        <v>0</v>
      </c>
      <c r="I40" s="65">
        <f t="shared" si="3"/>
        <v>0</v>
      </c>
      <c r="J40" s="203">
        <f>IF(DG!$A$134&lt;=5,$M$17,0)</f>
        <v>0</v>
      </c>
      <c r="K40" s="65">
        <f t="shared" si="7"/>
        <v>0</v>
      </c>
      <c r="L40" s="473">
        <f t="shared" si="8"/>
        <v>0</v>
      </c>
      <c r="M40" s="204">
        <f t="shared" si="9"/>
        <v>0</v>
      </c>
      <c r="N40" s="505">
        <f t="shared" si="10"/>
        <v>0</v>
      </c>
      <c r="O40" s="204">
        <f>IF(DG!$A$134&gt;5,0,IF(J40-J39&gt;0,MROUND((L40/12*Q39),1),MROUND(L40/12*P39,1)))</f>
        <v>0</v>
      </c>
      <c r="P40" s="204">
        <f t="shared" si="11"/>
        <v>0</v>
      </c>
      <c r="Q40" s="204">
        <f t="shared" si="4"/>
        <v>0</v>
      </c>
      <c r="R40" s="748">
        <v>0</v>
      </c>
    </row>
    <row r="41" spans="1:19" ht="14" thickTop="1" thickBot="1">
      <c r="A41" s="202">
        <f t="shared" si="5"/>
        <v>45748</v>
      </c>
      <c r="B41" s="65">
        <f>IF(OR(J$41=0,DG!$A$134&gt;6),0,B40+1)</f>
        <v>0</v>
      </c>
      <c r="C41" s="65">
        <f t="shared" si="0"/>
        <v>0</v>
      </c>
      <c r="D41" s="65">
        <f t="shared" si="12"/>
        <v>16</v>
      </c>
      <c r="E41" s="65">
        <f t="shared" si="6"/>
        <v>0</v>
      </c>
      <c r="F41" s="65">
        <f>IF(OR(L$41=0,DG!$A$255&gt;6),0,F40+1)</f>
        <v>0</v>
      </c>
      <c r="G41" s="65">
        <f t="shared" si="1"/>
        <v>0</v>
      </c>
      <c r="H41" s="65">
        <f t="shared" si="2"/>
        <v>0</v>
      </c>
      <c r="I41" s="65">
        <f t="shared" si="3"/>
        <v>0</v>
      </c>
      <c r="J41" s="203">
        <f>IF(DG!$A$134&lt;=6,$M$17,0)</f>
        <v>0</v>
      </c>
      <c r="K41" s="65">
        <f t="shared" si="7"/>
        <v>0</v>
      </c>
      <c r="L41" s="473">
        <f t="shared" si="8"/>
        <v>0</v>
      </c>
      <c r="M41" s="204">
        <f t="shared" si="9"/>
        <v>0</v>
      </c>
      <c r="N41" s="505">
        <f t="shared" si="10"/>
        <v>0</v>
      </c>
      <c r="O41" s="204">
        <f>IF(DG!$A$134&gt;6,0,IF(J41-J40&gt;0,MROUND((L41/12*Q40),1),MROUND(L41/12*P40,1)))</f>
        <v>0</v>
      </c>
      <c r="P41" s="204">
        <f t="shared" si="11"/>
        <v>0</v>
      </c>
      <c r="Q41" s="204">
        <f t="shared" si="4"/>
        <v>0</v>
      </c>
      <c r="R41" s="748">
        <v>0</v>
      </c>
    </row>
    <row r="42" spans="1:19" ht="14" thickTop="1" thickBot="1">
      <c r="A42" s="202">
        <f t="shared" si="5"/>
        <v>45778</v>
      </c>
      <c r="B42" s="65">
        <f>IF(OR(J$42=0,DG!$A$134&gt;6),0,B41+1)</f>
        <v>0</v>
      </c>
      <c r="C42" s="65">
        <f t="shared" si="0"/>
        <v>0</v>
      </c>
      <c r="D42" s="65">
        <f t="shared" si="12"/>
        <v>17</v>
      </c>
      <c r="E42" s="65">
        <f t="shared" si="6"/>
        <v>0</v>
      </c>
      <c r="F42" s="65">
        <f>IF(OR(L$42=0,DG!$A$255&gt;6),0,F41+1)</f>
        <v>0</v>
      </c>
      <c r="G42" s="65">
        <f t="shared" si="1"/>
        <v>0</v>
      </c>
      <c r="H42" s="65">
        <f t="shared" si="2"/>
        <v>0</v>
      </c>
      <c r="I42" s="65">
        <f t="shared" si="3"/>
        <v>0</v>
      </c>
      <c r="J42" s="203">
        <f>IF(DG!$A$134&lt;=6,$M$17,0)</f>
        <v>0</v>
      </c>
      <c r="K42" s="65">
        <f t="shared" si="7"/>
        <v>0</v>
      </c>
      <c r="L42" s="473">
        <f t="shared" si="8"/>
        <v>0</v>
      </c>
      <c r="M42" s="204">
        <f t="shared" si="9"/>
        <v>0</v>
      </c>
      <c r="N42" s="505">
        <f t="shared" si="10"/>
        <v>0</v>
      </c>
      <c r="O42" s="204">
        <f>IF(DG!$A$134&gt;6,0,IF(J42-J41&gt;0,MROUND((L42/12*Q41),1),MROUND(L42/12*P41,1)))</f>
        <v>0</v>
      </c>
      <c r="P42" s="204">
        <f t="shared" si="11"/>
        <v>0</v>
      </c>
      <c r="Q42" s="204">
        <f t="shared" si="4"/>
        <v>0</v>
      </c>
      <c r="R42" s="748">
        <v>0</v>
      </c>
    </row>
    <row r="43" spans="1:19" ht="14" thickTop="1" thickBot="1">
      <c r="A43" s="202">
        <f t="shared" si="5"/>
        <v>45809</v>
      </c>
      <c r="B43" s="65">
        <f>IF(OR(J$43=0,DG!$A$134&gt;6),0,B42+1)</f>
        <v>0</v>
      </c>
      <c r="C43" s="65">
        <f t="shared" si="0"/>
        <v>0</v>
      </c>
      <c r="D43" s="65">
        <f t="shared" si="12"/>
        <v>18</v>
      </c>
      <c r="E43" s="65">
        <f t="shared" si="6"/>
        <v>0</v>
      </c>
      <c r="F43" s="65">
        <f>IF(OR(L$43=0,DG!$A$255&gt;6),0,F42+1)</f>
        <v>0</v>
      </c>
      <c r="G43" s="65">
        <f t="shared" si="1"/>
        <v>0</v>
      </c>
      <c r="H43" s="65">
        <f t="shared" si="2"/>
        <v>0</v>
      </c>
      <c r="I43" s="65">
        <f t="shared" si="3"/>
        <v>0</v>
      </c>
      <c r="J43" s="203">
        <f>IF(DG!$A$134&lt;=6,$M$17,0)</f>
        <v>0</v>
      </c>
      <c r="K43" s="65">
        <f t="shared" si="7"/>
        <v>0</v>
      </c>
      <c r="L43" s="473">
        <f t="shared" si="8"/>
        <v>0</v>
      </c>
      <c r="M43" s="204">
        <f t="shared" si="9"/>
        <v>0</v>
      </c>
      <c r="N43" s="505">
        <f t="shared" si="10"/>
        <v>0</v>
      </c>
      <c r="O43" s="204">
        <f>IF(DG!$A$134&gt;6,0,IF(J43-J42&gt;0,MROUND((L43/12*Q42),1),MROUND(L43/12*P42,1)))</f>
        <v>0</v>
      </c>
      <c r="P43" s="204">
        <f t="shared" si="11"/>
        <v>0</v>
      </c>
      <c r="Q43" s="204">
        <f t="shared" si="4"/>
        <v>0</v>
      </c>
      <c r="R43" s="748">
        <v>0</v>
      </c>
    </row>
    <row r="44" spans="1:19" ht="14" thickTop="1" thickBot="1">
      <c r="A44" s="202">
        <f t="shared" si="5"/>
        <v>45839</v>
      </c>
      <c r="B44" s="65">
        <f>IF(OR(J$44=0,DG!$A$134&gt;7),0,B43+1)</f>
        <v>0</v>
      </c>
      <c r="C44" s="65">
        <f t="shared" si="0"/>
        <v>0</v>
      </c>
      <c r="D44" s="65">
        <f t="shared" si="12"/>
        <v>19</v>
      </c>
      <c r="E44" s="65">
        <f t="shared" si="6"/>
        <v>0</v>
      </c>
      <c r="F44" s="65">
        <f>IF(OR(L$44=0,DG!$A$255&gt;7),0,F43+1)</f>
        <v>0</v>
      </c>
      <c r="G44" s="65">
        <f t="shared" si="1"/>
        <v>0</v>
      </c>
      <c r="H44" s="65">
        <f t="shared" si="2"/>
        <v>0</v>
      </c>
      <c r="I44" s="65">
        <f t="shared" si="3"/>
        <v>0</v>
      </c>
      <c r="J44" s="203">
        <f>IF(DG!$A$134&lt;=7,$M$17,0)</f>
        <v>0</v>
      </c>
      <c r="K44" s="65">
        <f t="shared" si="7"/>
        <v>0</v>
      </c>
      <c r="L44" s="473">
        <f t="shared" si="8"/>
        <v>0</v>
      </c>
      <c r="M44" s="204">
        <f t="shared" si="9"/>
        <v>0</v>
      </c>
      <c r="N44" s="505">
        <f t="shared" si="10"/>
        <v>0</v>
      </c>
      <c r="O44" s="204">
        <f>IF(DG!$A$134&gt;7,0,IF(J44-J43&gt;0,MROUND((L44/12*Q43),1),MROUND(L44/12*P43,1)))</f>
        <v>0</v>
      </c>
      <c r="P44" s="204">
        <f t="shared" si="11"/>
        <v>0</v>
      </c>
      <c r="Q44" s="204">
        <f t="shared" si="4"/>
        <v>0</v>
      </c>
      <c r="R44" s="748">
        <v>0</v>
      </c>
    </row>
    <row r="45" spans="1:19" ht="14" thickTop="1" thickBot="1">
      <c r="A45" s="202">
        <f t="shared" si="5"/>
        <v>45870</v>
      </c>
      <c r="B45" s="65">
        <f>IF(OR(J$45=0,DG!$A$134&gt;7),0,B44+1)</f>
        <v>0</v>
      </c>
      <c r="C45" s="65">
        <f t="shared" si="0"/>
        <v>0</v>
      </c>
      <c r="D45" s="65">
        <f t="shared" si="12"/>
        <v>20</v>
      </c>
      <c r="E45" s="65">
        <f t="shared" si="6"/>
        <v>0</v>
      </c>
      <c r="F45" s="65">
        <f>IF(OR(L$45=0,DG!$A$255&gt;7),0,F44+1)</f>
        <v>0</v>
      </c>
      <c r="G45" s="65">
        <f t="shared" si="1"/>
        <v>0</v>
      </c>
      <c r="H45" s="65">
        <f t="shared" si="2"/>
        <v>0</v>
      </c>
      <c r="I45" s="65">
        <f t="shared" si="3"/>
        <v>0</v>
      </c>
      <c r="J45" s="203">
        <f>IF(DG!$A$134&lt;=7,$M$17,0)</f>
        <v>0</v>
      </c>
      <c r="K45" s="65">
        <f t="shared" si="7"/>
        <v>0</v>
      </c>
      <c r="L45" s="473">
        <f t="shared" si="8"/>
        <v>0</v>
      </c>
      <c r="M45" s="204">
        <f t="shared" si="9"/>
        <v>0</v>
      </c>
      <c r="N45" s="505">
        <f t="shared" si="10"/>
        <v>0</v>
      </c>
      <c r="O45" s="204">
        <f>IF(DG!$A$134&gt;7,0,IF(J45-J44&gt;0,MROUND((L45/12*Q44),1),MROUND(L45/12*P44,1)))</f>
        <v>0</v>
      </c>
      <c r="P45" s="204">
        <f t="shared" si="11"/>
        <v>0</v>
      </c>
      <c r="Q45" s="204">
        <f t="shared" si="4"/>
        <v>0</v>
      </c>
      <c r="R45" s="748">
        <v>0</v>
      </c>
    </row>
    <row r="46" spans="1:19" ht="14" thickTop="1" thickBot="1">
      <c r="A46" s="202">
        <f t="shared" si="5"/>
        <v>45901</v>
      </c>
      <c r="B46" s="65">
        <f>IF(OR(J$46=0,DG!$A$134&gt;7),0,B45+1)</f>
        <v>0</v>
      </c>
      <c r="C46" s="65">
        <f t="shared" si="0"/>
        <v>0</v>
      </c>
      <c r="D46" s="65">
        <f t="shared" si="12"/>
        <v>21</v>
      </c>
      <c r="E46" s="65">
        <f t="shared" si="6"/>
        <v>0</v>
      </c>
      <c r="F46" s="65">
        <f>IF(OR(L$46=0,DG!$A$255&gt;7),0,F45+1)</f>
        <v>0</v>
      </c>
      <c r="G46" s="65">
        <f t="shared" si="1"/>
        <v>0</v>
      </c>
      <c r="H46" s="65">
        <f t="shared" si="2"/>
        <v>0</v>
      </c>
      <c r="I46" s="65">
        <f t="shared" si="3"/>
        <v>0</v>
      </c>
      <c r="J46" s="203">
        <f>IF(DG!$A$134&lt;=7,$M$17,0)</f>
        <v>0</v>
      </c>
      <c r="K46" s="65">
        <f t="shared" si="7"/>
        <v>0</v>
      </c>
      <c r="L46" s="473">
        <f t="shared" si="8"/>
        <v>0</v>
      </c>
      <c r="M46" s="204">
        <f t="shared" si="9"/>
        <v>0</v>
      </c>
      <c r="N46" s="505">
        <f t="shared" si="10"/>
        <v>0</v>
      </c>
      <c r="O46" s="204">
        <f>IF(DG!$A$134&gt;7,0,IF(J46-J45&gt;0,MROUND((L46/12*Q45),1),MROUND(L46/12*P45,1)))</f>
        <v>0</v>
      </c>
      <c r="P46" s="204">
        <f t="shared" si="11"/>
        <v>0</v>
      </c>
      <c r="Q46" s="204">
        <f t="shared" si="4"/>
        <v>0</v>
      </c>
      <c r="R46" s="748">
        <v>0</v>
      </c>
    </row>
    <row r="47" spans="1:19" ht="14" thickTop="1" thickBot="1">
      <c r="A47" s="202">
        <f t="shared" si="5"/>
        <v>45931</v>
      </c>
      <c r="B47" s="65">
        <f>IF(OR(J$47=0,DG!$A$134&gt;8),0,B46+1)</f>
        <v>0</v>
      </c>
      <c r="C47" s="65">
        <f t="shared" si="0"/>
        <v>0</v>
      </c>
      <c r="D47" s="65">
        <f t="shared" si="12"/>
        <v>22</v>
      </c>
      <c r="E47" s="65">
        <f t="shared" si="6"/>
        <v>0</v>
      </c>
      <c r="F47" s="65">
        <f>IF(OR(L$47=0,DG!$A$255&gt;8),0,F46+1)</f>
        <v>0</v>
      </c>
      <c r="G47" s="65">
        <f t="shared" si="1"/>
        <v>0</v>
      </c>
      <c r="H47" s="65">
        <f t="shared" si="2"/>
        <v>0</v>
      </c>
      <c r="I47" s="65">
        <f t="shared" si="3"/>
        <v>0</v>
      </c>
      <c r="J47" s="203">
        <f>IF(DG!$A$134&lt;=8,$M$17,0)</f>
        <v>0</v>
      </c>
      <c r="K47" s="65">
        <f t="shared" si="7"/>
        <v>0</v>
      </c>
      <c r="L47" s="473">
        <f t="shared" si="8"/>
        <v>0</v>
      </c>
      <c r="M47" s="204">
        <f t="shared" si="9"/>
        <v>0</v>
      </c>
      <c r="N47" s="505">
        <f t="shared" si="10"/>
        <v>0</v>
      </c>
      <c r="O47" s="204">
        <f>IF(DG!$A$134&gt;8,0,IF(J47-J46&gt;0,MROUND((L47/12*Q46),1),MROUND(L47/12*P46,1)))</f>
        <v>0</v>
      </c>
      <c r="P47" s="204">
        <f t="shared" si="11"/>
        <v>0</v>
      </c>
      <c r="Q47" s="204">
        <f t="shared" si="4"/>
        <v>0</v>
      </c>
      <c r="R47" s="748">
        <v>0</v>
      </c>
    </row>
    <row r="48" spans="1:19" ht="14" thickTop="1" thickBot="1">
      <c r="A48" s="202">
        <f t="shared" si="5"/>
        <v>45962</v>
      </c>
      <c r="B48" s="65">
        <f>IF(OR(J$48=0,DG!$A$134&gt;8),0,B47+1)</f>
        <v>0</v>
      </c>
      <c r="C48" s="65">
        <f t="shared" si="0"/>
        <v>0</v>
      </c>
      <c r="D48" s="65">
        <f t="shared" si="12"/>
        <v>23</v>
      </c>
      <c r="E48" s="65">
        <f t="shared" si="6"/>
        <v>0</v>
      </c>
      <c r="F48" s="65">
        <f>IF(OR(L$48=0,DG!$A$255&gt;8),0,F47+1)</f>
        <v>0</v>
      </c>
      <c r="G48" s="65">
        <f t="shared" si="1"/>
        <v>0</v>
      </c>
      <c r="H48" s="65">
        <f t="shared" si="2"/>
        <v>0</v>
      </c>
      <c r="I48" s="65">
        <f t="shared" si="3"/>
        <v>0</v>
      </c>
      <c r="J48" s="203">
        <f>IF(DG!$A$134&lt;=8,$M$17,0)</f>
        <v>0</v>
      </c>
      <c r="K48" s="65">
        <f t="shared" si="7"/>
        <v>0</v>
      </c>
      <c r="L48" s="473">
        <f t="shared" si="8"/>
        <v>0</v>
      </c>
      <c r="M48" s="204">
        <f t="shared" si="9"/>
        <v>0</v>
      </c>
      <c r="N48" s="505">
        <f t="shared" si="10"/>
        <v>0</v>
      </c>
      <c r="O48" s="204">
        <f>IF(DG!$A$134&gt;8,0,IF(J48-J47&gt;0,MROUND((L48/12*Q47),1),MROUND(L48/12*P47,1)))</f>
        <v>0</v>
      </c>
      <c r="P48" s="204">
        <f t="shared" si="11"/>
        <v>0</v>
      </c>
      <c r="Q48" s="204">
        <f t="shared" si="4"/>
        <v>0</v>
      </c>
      <c r="R48" s="748">
        <v>0</v>
      </c>
    </row>
    <row r="49" spans="1:19" ht="14" thickTop="1" thickBot="1">
      <c r="A49" s="202">
        <f t="shared" si="5"/>
        <v>45992</v>
      </c>
      <c r="B49" s="65">
        <f>IF(OR(J$49=0,DG!$A$134&gt;8),0,B48+1)</f>
        <v>0</v>
      </c>
      <c r="C49" s="65">
        <f t="shared" si="0"/>
        <v>0</v>
      </c>
      <c r="D49" s="65">
        <f t="shared" si="12"/>
        <v>24</v>
      </c>
      <c r="E49" s="65">
        <f t="shared" si="6"/>
        <v>0</v>
      </c>
      <c r="F49" s="65">
        <f>IF(OR(L$49=0,DG!$A$255&gt;8),0,F48+1)</f>
        <v>0</v>
      </c>
      <c r="G49" s="65">
        <f t="shared" si="1"/>
        <v>0</v>
      </c>
      <c r="H49" s="65">
        <f t="shared" si="2"/>
        <v>0</v>
      </c>
      <c r="I49" s="65">
        <f t="shared" si="3"/>
        <v>0</v>
      </c>
      <c r="J49" s="203">
        <f>IF(DG!$A$134&lt;=8,$M$17,0)</f>
        <v>0</v>
      </c>
      <c r="K49" s="65">
        <f t="shared" si="7"/>
        <v>0</v>
      </c>
      <c r="L49" s="473">
        <f t="shared" si="8"/>
        <v>0</v>
      </c>
      <c r="M49" s="204">
        <f t="shared" si="9"/>
        <v>0</v>
      </c>
      <c r="N49" s="505">
        <f t="shared" si="10"/>
        <v>0</v>
      </c>
      <c r="O49" s="204">
        <f>IF(DG!$A$134&gt;8,0,IF(J49-J48&gt;0,MROUND((L49/12*Q48),1),MROUND(L49/12*P48,1)))</f>
        <v>0</v>
      </c>
      <c r="P49" s="204">
        <f t="shared" si="11"/>
        <v>0</v>
      </c>
      <c r="Q49" s="204">
        <f t="shared" si="4"/>
        <v>0</v>
      </c>
      <c r="R49" s="748">
        <v>0</v>
      </c>
      <c r="S49" s="511">
        <f>SUM(N38:N49)</f>
        <v>0</v>
      </c>
    </row>
    <row r="50" spans="1:19" ht="14" thickTop="1" thickBot="1">
      <c r="A50" s="202">
        <f t="shared" si="5"/>
        <v>46023</v>
      </c>
      <c r="B50" s="65">
        <f>IF(OR(J$50=0,DG!$A$134&gt;9),0,B49+1)</f>
        <v>0</v>
      </c>
      <c r="C50" s="65">
        <f>IF(F50-$E$269&gt;0,F50-$E$269,0)</f>
        <v>0</v>
      </c>
      <c r="D50" s="65">
        <f t="shared" si="12"/>
        <v>25</v>
      </c>
      <c r="E50" s="65">
        <f t="shared" si="6"/>
        <v>0</v>
      </c>
      <c r="F50" s="65">
        <f>IF(OR(L$50=0,DG!$A$255&gt;9),0,F49+1)</f>
        <v>0</v>
      </c>
      <c r="G50" s="65">
        <f t="shared" si="1"/>
        <v>0</v>
      </c>
      <c r="H50" s="65">
        <f t="shared" si="2"/>
        <v>0</v>
      </c>
      <c r="I50" s="65">
        <f t="shared" si="3"/>
        <v>0</v>
      </c>
      <c r="J50" s="203">
        <f>IF(DG!$A$134&lt;=9,$M$17,0)</f>
        <v>0</v>
      </c>
      <c r="K50" s="65">
        <f t="shared" si="7"/>
        <v>0</v>
      </c>
      <c r="L50" s="473">
        <f t="shared" si="8"/>
        <v>0</v>
      </c>
      <c r="M50" s="204">
        <f t="shared" si="9"/>
        <v>0</v>
      </c>
      <c r="N50" s="505">
        <f t="shared" si="10"/>
        <v>0</v>
      </c>
      <c r="O50" s="204">
        <f>IF(DG!$A$134&gt;9,0,IF(J50-J49&gt;0,MROUND((L50/12*Q49),1),MROUND(L50/12*P49,1)))</f>
        <v>0</v>
      </c>
      <c r="P50" s="204">
        <f t="shared" si="11"/>
        <v>0</v>
      </c>
      <c r="Q50" s="204">
        <f t="shared" si="4"/>
        <v>0</v>
      </c>
      <c r="R50" s="748">
        <v>0</v>
      </c>
    </row>
    <row r="51" spans="1:19" ht="14" thickTop="1" thickBot="1">
      <c r="A51" s="202">
        <f t="shared" si="5"/>
        <v>46054</v>
      </c>
      <c r="B51" s="65">
        <f>IF(OR(J$50=0,DG!$A$134&gt;10),0,B50+1)</f>
        <v>0</v>
      </c>
      <c r="C51" s="65">
        <f t="shared" ref="C51:C114" si="13">IF(F51-$E$269&gt;0,F51-$E$269,0)</f>
        <v>0</v>
      </c>
      <c r="D51" s="65">
        <f t="shared" si="12"/>
        <v>26</v>
      </c>
      <c r="E51" s="65">
        <f t="shared" si="6"/>
        <v>0</v>
      </c>
      <c r="F51" s="65">
        <f>IF(OR(L$51=0,DG!$A$255&gt;9),0,F50+1)</f>
        <v>0</v>
      </c>
      <c r="G51" s="65">
        <f t="shared" si="1"/>
        <v>0</v>
      </c>
      <c r="H51" s="65">
        <f t="shared" si="2"/>
        <v>0</v>
      </c>
      <c r="I51" s="65">
        <f t="shared" si="3"/>
        <v>0</v>
      </c>
      <c r="J51" s="203">
        <f>IF(DG!$A$134&lt;=10,$M$17,0)</f>
        <v>0</v>
      </c>
      <c r="K51" s="65">
        <f t="shared" si="7"/>
        <v>0</v>
      </c>
      <c r="L51" s="473">
        <f t="shared" si="8"/>
        <v>0</v>
      </c>
      <c r="M51" s="204">
        <f t="shared" si="9"/>
        <v>0</v>
      </c>
      <c r="N51" s="505">
        <f t="shared" si="10"/>
        <v>0</v>
      </c>
      <c r="O51" s="204">
        <f>IF(DG!$A$134&gt;9,0,IF(J51-J50&gt;0,MROUND((L51/12*Q50),1),MROUND(L51/12*P50,1)))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IF(OR(L$52=0,DG!$A$255&gt;9),0,F51+1)</f>
        <v>0</v>
      </c>
      <c r="G52" s="65">
        <f t="shared" si="1"/>
        <v>0</v>
      </c>
      <c r="H52" s="65">
        <f t="shared" si="2"/>
        <v>0</v>
      </c>
      <c r="I52" s="65">
        <f t="shared" si="3"/>
        <v>0</v>
      </c>
      <c r="J52" s="203">
        <f>IF(DG!$A$134&lt;=10,$M$17,0)</f>
        <v>0</v>
      </c>
      <c r="K52" s="65">
        <f t="shared" si="7"/>
        <v>0</v>
      </c>
      <c r="L52" s="473">
        <f t="shared" si="8"/>
        <v>0</v>
      </c>
      <c r="M52" s="204">
        <f t="shared" si="9"/>
        <v>0</v>
      </c>
      <c r="N52" s="505">
        <f t="shared" si="10"/>
        <v>0</v>
      </c>
      <c r="O52" s="204">
        <f>IF(DG!$A$134&gt;9,0,IF(J52-J51&gt;0,MROUND((L52/12*Q51),1),MROUND(L52/12*P51,1)))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IF(OR(L$53=0,DG!$A$255&gt;10),0,F52+1)</f>
        <v>0</v>
      </c>
      <c r="G53" s="65">
        <f t="shared" si="1"/>
        <v>0</v>
      </c>
      <c r="H53" s="65">
        <f t="shared" si="2"/>
        <v>0</v>
      </c>
      <c r="I53" s="65">
        <f t="shared" si="3"/>
        <v>0</v>
      </c>
      <c r="J53" s="203">
        <f>IF(DG!$A$134&lt;=10,$M$17,0)</f>
        <v>0</v>
      </c>
      <c r="K53" s="65">
        <f t="shared" si="7"/>
        <v>0</v>
      </c>
      <c r="L53" s="473">
        <f t="shared" si="8"/>
        <v>0</v>
      </c>
      <c r="M53" s="204">
        <f t="shared" si="9"/>
        <v>0</v>
      </c>
      <c r="N53" s="505">
        <f t="shared" si="10"/>
        <v>0</v>
      </c>
      <c r="O53" s="204">
        <f>IF(DG!$A$134&gt;10,0,IF(J53-J52&gt;0,MROUND((L53/12*Q52),1),MROUND(L53/12*P52,1)))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IF(OR(L$54=0,DG!$A$255&gt;10),0,F53+1)</f>
        <v>0</v>
      </c>
      <c r="G54" s="65">
        <f t="shared" si="1"/>
        <v>0</v>
      </c>
      <c r="H54" s="65">
        <f t="shared" si="2"/>
        <v>0</v>
      </c>
      <c r="I54" s="65">
        <f t="shared" si="3"/>
        <v>0</v>
      </c>
      <c r="J54" s="203">
        <f>IF(DG!$A$134&lt;=10,$M$17,0)</f>
        <v>0</v>
      </c>
      <c r="K54" s="65">
        <f t="shared" si="7"/>
        <v>0</v>
      </c>
      <c r="L54" s="473">
        <f t="shared" si="8"/>
        <v>0</v>
      </c>
      <c r="M54" s="204">
        <f t="shared" si="9"/>
        <v>0</v>
      </c>
      <c r="N54" s="505">
        <f t="shared" si="10"/>
        <v>0</v>
      </c>
      <c r="O54" s="204">
        <f>IF(DG!$A$134&gt;10,0,IF(J54-J53&gt;0,MROUND((L54/12*Q53),1),MROUND(L54/12*P53,1)))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IF(OR(L$55=0,DG!$A$255&gt;10),0,F54+1)</f>
        <v>0</v>
      </c>
      <c r="G55" s="65">
        <f t="shared" si="1"/>
        <v>0</v>
      </c>
      <c r="H55" s="65">
        <f t="shared" si="2"/>
        <v>0</v>
      </c>
      <c r="I55" s="65">
        <f t="shared" si="3"/>
        <v>0</v>
      </c>
      <c r="J55" s="203">
        <f>IF(DG!$A$134&lt;=10,$M$17,0)</f>
        <v>0</v>
      </c>
      <c r="K55" s="65">
        <f t="shared" si="7"/>
        <v>0</v>
      </c>
      <c r="L55" s="473">
        <f t="shared" si="8"/>
        <v>0</v>
      </c>
      <c r="M55" s="204">
        <f t="shared" si="9"/>
        <v>0</v>
      </c>
      <c r="N55" s="505">
        <f t="shared" si="10"/>
        <v>0</v>
      </c>
      <c r="O55" s="204">
        <f>IF(DG!$A$134&gt;10,0,IF(J55-J54&gt;0,MROUND((L55/12*Q54),1),MROUND(L55/12*P54,1)))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IF(OR(L$56=0,DG!$A$255&gt;11),0,F55+1)</f>
        <v>0</v>
      </c>
      <c r="G56" s="65">
        <f t="shared" si="1"/>
        <v>0</v>
      </c>
      <c r="H56" s="65">
        <f t="shared" si="2"/>
        <v>0</v>
      </c>
      <c r="I56" s="65">
        <f t="shared" si="3"/>
        <v>0</v>
      </c>
      <c r="J56" s="203">
        <f>IF(DG!$A$134&lt;=10,$M$17,0)</f>
        <v>0</v>
      </c>
      <c r="K56" s="65">
        <f t="shared" si="7"/>
        <v>0</v>
      </c>
      <c r="L56" s="473">
        <f t="shared" si="8"/>
        <v>0</v>
      </c>
      <c r="M56" s="204">
        <f t="shared" si="9"/>
        <v>0</v>
      </c>
      <c r="N56" s="505">
        <f t="shared" si="10"/>
        <v>0</v>
      </c>
      <c r="O56" s="204">
        <f>IF(DG!$A$134&gt;10,0,IF(J56-J55&gt;0,MROUND((L56/12*Q55),1),MROUND(L56/12*P55,1)))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IF(OR(L$57=0,DG!$A$255&gt;11),0,F56+1)</f>
        <v>0</v>
      </c>
      <c r="G57" s="65">
        <f t="shared" si="1"/>
        <v>0</v>
      </c>
      <c r="H57" s="65">
        <f t="shared" si="2"/>
        <v>0</v>
      </c>
      <c r="I57" s="65">
        <f t="shared" si="3"/>
        <v>0</v>
      </c>
      <c r="J57" s="203">
        <f>IF(DG!$A$134&lt;=10,$M$17,0)</f>
        <v>0</v>
      </c>
      <c r="K57" s="65">
        <f t="shared" si="7"/>
        <v>0</v>
      </c>
      <c r="L57" s="473">
        <f t="shared" si="8"/>
        <v>0</v>
      </c>
      <c r="M57" s="204">
        <f t="shared" si="9"/>
        <v>0</v>
      </c>
      <c r="N57" s="505">
        <f t="shared" si="10"/>
        <v>0</v>
      </c>
      <c r="O57" s="204">
        <f>IF(DG!$A$134&gt;10,0,IF(J57-J56&gt;0,MROUND((L57/12*Q56),1),MROUND(L57/12*P56,1)))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IF(OR(L$58=0,DG!$A$255&gt;11),0,F57+1)</f>
        <v>0</v>
      </c>
      <c r="G58" s="65">
        <f t="shared" si="1"/>
        <v>0</v>
      </c>
      <c r="H58" s="65">
        <f t="shared" si="2"/>
        <v>0</v>
      </c>
      <c r="I58" s="65">
        <f t="shared" si="3"/>
        <v>0</v>
      </c>
      <c r="J58" s="203">
        <f>IF(DG!$A$134&lt;=10,$M$17,0)</f>
        <v>0</v>
      </c>
      <c r="K58" s="65">
        <f t="shared" si="7"/>
        <v>0</v>
      </c>
      <c r="L58" s="473">
        <f t="shared" si="8"/>
        <v>0</v>
      </c>
      <c r="M58" s="204">
        <f t="shared" si="9"/>
        <v>0</v>
      </c>
      <c r="N58" s="505">
        <f t="shared" si="10"/>
        <v>0</v>
      </c>
      <c r="O58" s="204">
        <f>IF(DG!$A$134&gt;10,0,IF(J58-J57&gt;0,MROUND((L58/12*Q57),1),MROUND(L58/12*P57,1)))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IF(OR(L$59=0,DG!$A$255&gt;12),0,F58+1)</f>
        <v>0</v>
      </c>
      <c r="G59" s="65">
        <f t="shared" si="1"/>
        <v>0</v>
      </c>
      <c r="H59" s="65">
        <f t="shared" si="2"/>
        <v>0</v>
      </c>
      <c r="I59" s="65">
        <f t="shared" si="3"/>
        <v>0</v>
      </c>
      <c r="J59" s="203">
        <f>IF(DG!$A$134&lt;=10,$M$17,0)</f>
        <v>0</v>
      </c>
      <c r="K59" s="65">
        <f t="shared" si="7"/>
        <v>0</v>
      </c>
      <c r="L59" s="473">
        <f t="shared" si="8"/>
        <v>0</v>
      </c>
      <c r="M59" s="204">
        <f t="shared" si="9"/>
        <v>0</v>
      </c>
      <c r="N59" s="505">
        <f t="shared" si="10"/>
        <v>0</v>
      </c>
      <c r="O59" s="204">
        <f>IF(DG!$A$134&gt;10,0,IF(J59-J58&gt;0,MROUND((L59/12*Q58),1),MROUND(L59/12*P58,1)))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IF(OR(L$60=0,DG!$A$255&gt;12),0,F59+1)</f>
        <v>0</v>
      </c>
      <c r="G60" s="65">
        <f t="shared" si="1"/>
        <v>0</v>
      </c>
      <c r="H60" s="65">
        <f t="shared" si="2"/>
        <v>0</v>
      </c>
      <c r="I60" s="65">
        <f t="shared" si="3"/>
        <v>0</v>
      </c>
      <c r="J60" s="203">
        <f>IF(DG!$A$134&lt;=10,$M$17,0)</f>
        <v>0</v>
      </c>
      <c r="K60" s="65">
        <f t="shared" si="7"/>
        <v>0</v>
      </c>
      <c r="L60" s="473">
        <f t="shared" si="8"/>
        <v>0</v>
      </c>
      <c r="M60" s="204">
        <f t="shared" si="9"/>
        <v>0</v>
      </c>
      <c r="N60" s="505">
        <f t="shared" si="10"/>
        <v>0</v>
      </c>
      <c r="O60" s="204">
        <f>IF(DG!$A$134&gt;10,0,IF(J60-J59&gt;0,MROUND((L60/12*Q59),1),MROUND(L60/12*P59,1)))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IF(OR(L$61=0,DG!$A$255&gt;12),0,F60+1)</f>
        <v>0</v>
      </c>
      <c r="G61" s="65">
        <f t="shared" si="1"/>
        <v>0</v>
      </c>
      <c r="H61" s="65">
        <f t="shared" si="2"/>
        <v>0</v>
      </c>
      <c r="I61" s="65">
        <f t="shared" si="3"/>
        <v>0</v>
      </c>
      <c r="J61" s="203">
        <f>IF(DG!$A$134&lt;=10,$M$17,0)</f>
        <v>0</v>
      </c>
      <c r="K61" s="65">
        <f t="shared" si="7"/>
        <v>0</v>
      </c>
      <c r="L61" s="473">
        <f t="shared" si="8"/>
        <v>0</v>
      </c>
      <c r="M61" s="204">
        <f t="shared" si="9"/>
        <v>0</v>
      </c>
      <c r="N61" s="505">
        <f t="shared" si="10"/>
        <v>0</v>
      </c>
      <c r="O61" s="204">
        <f>IF(DG!$A$134&gt;10,0,IF(J61-J60&gt;0,MROUND((L61/12*Q60),1),MROUND(L61/12*P60,1)))</f>
        <v>0</v>
      </c>
      <c r="P61" s="204">
        <f t="shared" si="11"/>
        <v>0</v>
      </c>
      <c r="Q61" s="204">
        <f t="shared" si="4"/>
        <v>0</v>
      </c>
      <c r="R61" s="748">
        <v>0</v>
      </c>
      <c r="S61" s="511">
        <f>SUM(N50:N61)</f>
        <v>0</v>
      </c>
    </row>
    <row r="62" spans="1:19" ht="14" thickTop="1" thickBot="1">
      <c r="A62" s="202">
        <f t="shared" si="5"/>
        <v>46388</v>
      </c>
      <c r="B62" s="65">
        <f>IF(OR(J$62=0,DG!$A$134&gt;11),0,B61+1)</f>
        <v>0</v>
      </c>
      <c r="C62" s="65">
        <f t="shared" si="13"/>
        <v>0</v>
      </c>
      <c r="D62" s="65">
        <f t="shared" si="12"/>
        <v>37</v>
      </c>
      <c r="E62" s="65">
        <f t="shared" si="6"/>
        <v>0</v>
      </c>
      <c r="F62" s="65">
        <f>IF(OR(L$62=0,DG!$A$255&gt;13),0,F61+1)</f>
        <v>0</v>
      </c>
      <c r="G62" s="65">
        <f t="shared" si="1"/>
        <v>0</v>
      </c>
      <c r="H62" s="65">
        <f t="shared" si="2"/>
        <v>0</v>
      </c>
      <c r="I62" s="65">
        <f t="shared" si="3"/>
        <v>0</v>
      </c>
      <c r="J62" s="203">
        <f>IF(DG!$A$134&lt;=11,$M$17,0)</f>
        <v>0</v>
      </c>
      <c r="K62" s="65">
        <f t="shared" si="7"/>
        <v>0</v>
      </c>
      <c r="L62" s="473">
        <f t="shared" si="8"/>
        <v>0</v>
      </c>
      <c r="M62" s="204">
        <f t="shared" si="9"/>
        <v>0</v>
      </c>
      <c r="N62" s="505">
        <f t="shared" si="10"/>
        <v>0</v>
      </c>
      <c r="O62" s="204">
        <f>IF(DG!$A$134&gt;10,0,IF(J62-J61&gt;0,MROUND((L62/12*Q61),1),MROUND(L62/12*P61,1)))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IF(OR(L$63=0,DG!$A$255&gt;13),0,F62+1)</f>
        <v>0</v>
      </c>
      <c r="G63" s="65">
        <f t="shared" si="1"/>
        <v>0</v>
      </c>
      <c r="H63" s="65">
        <f t="shared" si="2"/>
        <v>0</v>
      </c>
      <c r="I63" s="65">
        <f t="shared" si="3"/>
        <v>0</v>
      </c>
      <c r="J63" s="203">
        <f>IF(DG!$A$134&lt;=11,$M$17,0)</f>
        <v>0</v>
      </c>
      <c r="K63" s="65">
        <f t="shared" si="7"/>
        <v>0</v>
      </c>
      <c r="L63" s="473">
        <f t="shared" si="8"/>
        <v>0</v>
      </c>
      <c r="M63" s="204">
        <f t="shared" si="9"/>
        <v>0</v>
      </c>
      <c r="N63" s="505">
        <f t="shared" si="10"/>
        <v>0</v>
      </c>
      <c r="O63" s="204">
        <f>IF(DG!$A$134&gt;10,0,IF(J63-J62&gt;0,MROUND((L63/12*Q62),1),MROUND(L63/12*P62,1)))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IF(OR(L$64=0,DG!$A$255&gt;13),0,F63+1)</f>
        <v>0</v>
      </c>
      <c r="G64" s="65">
        <f t="shared" si="1"/>
        <v>0</v>
      </c>
      <c r="H64" s="65">
        <f t="shared" si="2"/>
        <v>0</v>
      </c>
      <c r="I64" s="65">
        <f>IF(OR(G64=1,C64=0),0,IF(K64-C64&lt;$G$269,1,-1))</f>
        <v>0</v>
      </c>
      <c r="J64" s="203">
        <f>IF(DG!$A$134&lt;=11,$M$17,0)</f>
        <v>0</v>
      </c>
      <c r="K64" s="65">
        <f t="shared" si="7"/>
        <v>0</v>
      </c>
      <c r="L64" s="473">
        <f t="shared" si="8"/>
        <v>0</v>
      </c>
      <c r="M64" s="204">
        <f t="shared" si="9"/>
        <v>0</v>
      </c>
      <c r="N64" s="505">
        <f t="shared" si="10"/>
        <v>0</v>
      </c>
      <c r="O64" s="204">
        <f>IF(DG!$A$134&gt;10,0,IF(J64-J63&gt;0,MROUND((L64/12*Q63),1),MROUND(L64/12*P63,1)))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IF(OR(L$65=0,DG!$A$255&gt;14),0,F64+1)</f>
        <v>0</v>
      </c>
      <c r="G65" s="65">
        <f t="shared" si="1"/>
        <v>0</v>
      </c>
      <c r="H65" s="65">
        <f t="shared" si="2"/>
        <v>0</v>
      </c>
      <c r="I65" s="65">
        <f t="shared" ref="I65:I128" si="16">IF(OR(G65=1,C65=0),0,IF(K65-C65&lt;$G$269,1,-1))</f>
        <v>0</v>
      </c>
      <c r="J65" s="203">
        <f>IF(DG!$A$134&lt;=11,$M$17,0)</f>
        <v>0</v>
      </c>
      <c r="K65" s="65">
        <f t="shared" si="7"/>
        <v>0</v>
      </c>
      <c r="L65" s="473">
        <f t="shared" si="8"/>
        <v>0</v>
      </c>
      <c r="M65" s="204">
        <f t="shared" si="9"/>
        <v>0</v>
      </c>
      <c r="N65" s="505">
        <f t="shared" si="10"/>
        <v>0</v>
      </c>
      <c r="O65" s="204">
        <f>IF(DG!$A$134&gt;11,0,IF(J65-J64&gt;0,MROUND((L65/12*Q64),1),MROUND(L65/12*P64,1)))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IF(OR(L$66=0,DG!$A$255&gt;14),0,F65+1)</f>
        <v>0</v>
      </c>
      <c r="G66" s="65">
        <f t="shared" si="1"/>
        <v>0</v>
      </c>
      <c r="H66" s="65">
        <f t="shared" si="2"/>
        <v>0</v>
      </c>
      <c r="I66" s="65">
        <f t="shared" si="16"/>
        <v>0</v>
      </c>
      <c r="J66" s="203">
        <f>IF(DG!$A$134&lt;=11,$M$17,0)</f>
        <v>0</v>
      </c>
      <c r="K66" s="65">
        <f t="shared" si="7"/>
        <v>0</v>
      </c>
      <c r="L66" s="473">
        <f t="shared" si="8"/>
        <v>0</v>
      </c>
      <c r="M66" s="204">
        <f t="shared" si="9"/>
        <v>0</v>
      </c>
      <c r="N66" s="505">
        <f t="shared" si="10"/>
        <v>0</v>
      </c>
      <c r="O66" s="204">
        <f>IF(DG!$A$134&gt;11,0,IF(J66-J65&gt;0,MROUND((L66/12*Q65),1),MROUND(L66/12*P65,1)))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IF(OR(L$67=0,DG!$A$255&gt;14),0,F66+1)</f>
        <v>0</v>
      </c>
      <c r="G67" s="65">
        <f t="shared" si="1"/>
        <v>0</v>
      </c>
      <c r="H67" s="65">
        <f t="shared" si="2"/>
        <v>0</v>
      </c>
      <c r="I67" s="65">
        <f t="shared" si="16"/>
        <v>0</v>
      </c>
      <c r="J67" s="203">
        <f>IF(DG!$A$134&lt;=11,$M$17,0)</f>
        <v>0</v>
      </c>
      <c r="K67" s="65">
        <f t="shared" si="7"/>
        <v>0</v>
      </c>
      <c r="L67" s="473">
        <f t="shared" si="8"/>
        <v>0</v>
      </c>
      <c r="M67" s="204">
        <f t="shared" si="9"/>
        <v>0</v>
      </c>
      <c r="N67" s="505">
        <f t="shared" si="10"/>
        <v>0</v>
      </c>
      <c r="O67" s="204">
        <f>IF(DG!$A$134&gt;11,0,IF(J67-J66&gt;0,MROUND((L67/12*Q66),1),MROUND(L67/12*P66,1)))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IF(OR(L$68=0,DG!$A$255&gt;15),0,F67+1)</f>
        <v>0</v>
      </c>
      <c r="G68" s="65">
        <f t="shared" si="1"/>
        <v>0</v>
      </c>
      <c r="H68" s="65">
        <f t="shared" si="2"/>
        <v>0</v>
      </c>
      <c r="I68" s="65">
        <f t="shared" si="16"/>
        <v>0</v>
      </c>
      <c r="J68" s="203">
        <f>IF(DG!$A$134&lt;=11,$M$17,0)</f>
        <v>0</v>
      </c>
      <c r="K68" s="65">
        <f t="shared" si="7"/>
        <v>0</v>
      </c>
      <c r="L68" s="473">
        <f t="shared" si="8"/>
        <v>0</v>
      </c>
      <c r="M68" s="204">
        <f t="shared" si="9"/>
        <v>0</v>
      </c>
      <c r="N68" s="505">
        <f t="shared" si="10"/>
        <v>0</v>
      </c>
      <c r="O68" s="204">
        <f>IF(DG!$A$134&gt;11,0,IF(J68-J67&gt;0,MROUND((L68/12*Q67),1),MROUND(L68/12*P67,1)))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IF(OR(L$69=0,DG!$A$255&gt;15),0,F68+1)</f>
        <v>0</v>
      </c>
      <c r="G69" s="65">
        <f t="shared" si="1"/>
        <v>0</v>
      </c>
      <c r="H69" s="65">
        <f t="shared" si="2"/>
        <v>0</v>
      </c>
      <c r="I69" s="65">
        <f t="shared" si="16"/>
        <v>0</v>
      </c>
      <c r="J69" s="203">
        <f>IF(DG!$A$134&lt;=11,$M$17,0)</f>
        <v>0</v>
      </c>
      <c r="K69" s="65">
        <f t="shared" si="7"/>
        <v>0</v>
      </c>
      <c r="L69" s="473">
        <f t="shared" si="8"/>
        <v>0</v>
      </c>
      <c r="M69" s="204">
        <f t="shared" si="9"/>
        <v>0</v>
      </c>
      <c r="N69" s="505">
        <f t="shared" si="10"/>
        <v>0</v>
      </c>
      <c r="O69" s="204">
        <f>IF(DG!$A$134&gt;11,0,IF(J69-J68&gt;0,MROUND((L69/12*Q68),1),MROUND(L69/12*P68,1)))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IF(OR(L$70=0,DG!$A$255&gt;15),0,F69+1)</f>
        <v>0</v>
      </c>
      <c r="G70" s="65">
        <f t="shared" si="1"/>
        <v>0</v>
      </c>
      <c r="H70" s="65">
        <f t="shared" si="2"/>
        <v>0</v>
      </c>
      <c r="I70" s="65">
        <f t="shared" si="16"/>
        <v>0</v>
      </c>
      <c r="J70" s="203">
        <f>IF(DG!$A$134&lt;=11,$M$17,0)</f>
        <v>0</v>
      </c>
      <c r="K70" s="65">
        <f t="shared" si="7"/>
        <v>0</v>
      </c>
      <c r="L70" s="473">
        <f t="shared" si="8"/>
        <v>0</v>
      </c>
      <c r="M70" s="204">
        <f t="shared" si="9"/>
        <v>0</v>
      </c>
      <c r="N70" s="505">
        <f t="shared" si="10"/>
        <v>0</v>
      </c>
      <c r="O70" s="204">
        <f>IF(DG!$A$134&gt;11,0,IF(J70-J69&gt;0,MROUND((L70/12*Q69),1),MROUND(L70/12*P69,1)))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IF(OR(L$71=0,DG!$A$255&gt;16),0,F70+1)</f>
        <v>0</v>
      </c>
      <c r="G71" s="65">
        <f t="shared" si="1"/>
        <v>0</v>
      </c>
      <c r="H71" s="65">
        <f t="shared" si="2"/>
        <v>0</v>
      </c>
      <c r="I71" s="65">
        <f t="shared" si="16"/>
        <v>0</v>
      </c>
      <c r="J71" s="203">
        <f>IF(DG!$A$134&lt;=11,$M$17,0)</f>
        <v>0</v>
      </c>
      <c r="K71" s="65">
        <f t="shared" si="7"/>
        <v>0</v>
      </c>
      <c r="L71" s="473">
        <f t="shared" si="8"/>
        <v>0</v>
      </c>
      <c r="M71" s="204">
        <f t="shared" si="9"/>
        <v>0</v>
      </c>
      <c r="N71" s="505">
        <f t="shared" si="10"/>
        <v>0</v>
      </c>
      <c r="O71" s="204">
        <f>IF(DG!$A$134&gt;11,0,IF(J71-J70&gt;0,MROUND((L71/12*Q70),1),MROUND(L71/12*P70,1)))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IF(OR(L$72=0,DG!$A$255&gt;16),0,F71+1)</f>
        <v>0</v>
      </c>
      <c r="G72" s="65">
        <f t="shared" si="1"/>
        <v>0</v>
      </c>
      <c r="H72" s="65">
        <f t="shared" si="2"/>
        <v>0</v>
      </c>
      <c r="I72" s="65">
        <f t="shared" si="16"/>
        <v>0</v>
      </c>
      <c r="J72" s="203">
        <f>IF(DG!$A$134&lt;=11,$M$17,0)</f>
        <v>0</v>
      </c>
      <c r="K72" s="65">
        <f t="shared" si="7"/>
        <v>0</v>
      </c>
      <c r="L72" s="473">
        <f t="shared" si="8"/>
        <v>0</v>
      </c>
      <c r="M72" s="204">
        <f t="shared" si="9"/>
        <v>0</v>
      </c>
      <c r="N72" s="505">
        <f t="shared" si="10"/>
        <v>0</v>
      </c>
      <c r="O72" s="204">
        <f>IF(DG!$A$134&gt;11,0,IF(J72-J71&gt;0,MROUND((L72/12*Q71),1),MROUND(L72/12*P71,1)))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IF(OR(L$73=0,DG!$A$255&gt;16),0,F72+1)</f>
        <v>0</v>
      </c>
      <c r="G73" s="65">
        <f t="shared" si="1"/>
        <v>0</v>
      </c>
      <c r="H73" s="65">
        <f t="shared" si="2"/>
        <v>0</v>
      </c>
      <c r="I73" s="65">
        <f t="shared" si="16"/>
        <v>0</v>
      </c>
      <c r="J73" s="203">
        <f>IF(DG!$A$134&lt;=11,$M$17,0)</f>
        <v>0</v>
      </c>
      <c r="K73" s="65">
        <f t="shared" si="7"/>
        <v>0</v>
      </c>
      <c r="L73" s="473">
        <f t="shared" si="8"/>
        <v>0</v>
      </c>
      <c r="M73" s="204">
        <f t="shared" si="9"/>
        <v>0</v>
      </c>
      <c r="N73" s="505">
        <f t="shared" si="10"/>
        <v>0</v>
      </c>
      <c r="O73" s="204">
        <f>IF(DG!$A$134&gt;11,0,IF(J73-J72&gt;0,MROUND((L73/12*Q72),1),MROUND(L73/12*P72,1)))</f>
        <v>0</v>
      </c>
      <c r="P73" s="204">
        <f t="shared" si="11"/>
        <v>0</v>
      </c>
      <c r="Q73" s="204">
        <f t="shared" si="4"/>
        <v>0</v>
      </c>
      <c r="R73" s="748">
        <v>0</v>
      </c>
      <c r="S73" s="511">
        <f>SUM(N62:N73)</f>
        <v>0</v>
      </c>
    </row>
    <row r="74" spans="1:19" ht="14" thickTop="1" thickBot="1">
      <c r="A74" s="202">
        <f t="shared" si="5"/>
        <v>46753</v>
      </c>
      <c r="B74" s="65">
        <f>IF(OR(J$73=0,DG!$A$134&gt;12),0,B73+1)</f>
        <v>0</v>
      </c>
      <c r="C74" s="65">
        <f t="shared" si="13"/>
        <v>0</v>
      </c>
      <c r="D74" s="65">
        <f t="shared" si="12"/>
        <v>49</v>
      </c>
      <c r="E74" s="65">
        <f t="shared" si="6"/>
        <v>0</v>
      </c>
      <c r="F74" s="65">
        <f>IF(OR(L$73=0,DG!$A$255&gt;16),0,F73+1)</f>
        <v>0</v>
      </c>
      <c r="G74" s="65">
        <f t="shared" si="1"/>
        <v>0</v>
      </c>
      <c r="H74" s="65">
        <f t="shared" si="2"/>
        <v>0</v>
      </c>
      <c r="I74" s="65">
        <f t="shared" si="16"/>
        <v>0</v>
      </c>
      <c r="J74" s="203">
        <f>IF(DG!$A$134&lt;=12,$M$17,0)</f>
        <v>0</v>
      </c>
      <c r="K74" s="65">
        <f t="shared" si="7"/>
        <v>0</v>
      </c>
      <c r="L74" s="473">
        <f t="shared" si="8"/>
        <v>0</v>
      </c>
      <c r="M74" s="204">
        <f t="shared" si="9"/>
        <v>0</v>
      </c>
      <c r="N74" s="505">
        <f t="shared" si="10"/>
        <v>0</v>
      </c>
      <c r="O74" s="204">
        <f>IF(DG!$A$134&gt;11,0,IF(J74-J73&gt;0,MROUND((L74/12*Q73),1),MROUND(L74/12*P73,1)))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IF(OR(L$73=0,DG!$A$255&gt;16),0,F74+1)</f>
        <v>0</v>
      </c>
      <c r="G75" s="65">
        <f t="shared" si="1"/>
        <v>0</v>
      </c>
      <c r="H75" s="65">
        <f t="shared" si="2"/>
        <v>0</v>
      </c>
      <c r="I75" s="65">
        <f t="shared" si="16"/>
        <v>0</v>
      </c>
      <c r="J75" s="203">
        <f>IF(DG!$A$134&lt;=12,$M$17,0)</f>
        <v>0</v>
      </c>
      <c r="K75" s="65">
        <f t="shared" si="7"/>
        <v>0</v>
      </c>
      <c r="L75" s="473">
        <f t="shared" si="8"/>
        <v>0</v>
      </c>
      <c r="M75" s="204">
        <f t="shared" si="9"/>
        <v>0</v>
      </c>
      <c r="N75" s="505">
        <f t="shared" si="10"/>
        <v>0</v>
      </c>
      <c r="O75" s="204">
        <f>IF(DG!$A$134&gt;11,0,IF(J75-J74&gt;0,MROUND((L75/12*Q74),1),MROUND(L75/12*P74,1)))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IF(OR(L$73=0,DG!$A$255&gt;16),0,F75+1)</f>
        <v>0</v>
      </c>
      <c r="G76" s="65">
        <f t="shared" si="1"/>
        <v>0</v>
      </c>
      <c r="H76" s="65">
        <f t="shared" si="2"/>
        <v>0</v>
      </c>
      <c r="I76" s="65">
        <f t="shared" si="16"/>
        <v>0</v>
      </c>
      <c r="J76" s="203">
        <f>IF(DG!$A$134&lt;=11,$M$17,0)</f>
        <v>0</v>
      </c>
      <c r="K76" s="65">
        <f t="shared" si="7"/>
        <v>0</v>
      </c>
      <c r="L76" s="473">
        <f t="shared" si="8"/>
        <v>0</v>
      </c>
      <c r="M76" s="204">
        <f t="shared" si="9"/>
        <v>0</v>
      </c>
      <c r="N76" s="505">
        <f t="shared" si="10"/>
        <v>0</v>
      </c>
      <c r="O76" s="204">
        <f>IF(DG!$A$134&gt;11,0,IF(J76-J75&gt;0,MROUND((L76/12*Q75),1),MROUND(L76/12*P75,1)))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IF(OR(L$73=0,DG!$A$255&gt;16),0,F76+1)</f>
        <v>0</v>
      </c>
      <c r="G77" s="65">
        <f t="shared" si="1"/>
        <v>0</v>
      </c>
      <c r="H77" s="65">
        <f t="shared" si="2"/>
        <v>0</v>
      </c>
      <c r="I77" s="65">
        <f t="shared" si="16"/>
        <v>0</v>
      </c>
      <c r="J77" s="203">
        <f>IF(DG!$A$134&lt;=11,$M$17,0)</f>
        <v>0</v>
      </c>
      <c r="K77" s="65">
        <f t="shared" si="7"/>
        <v>0</v>
      </c>
      <c r="L77" s="473">
        <f t="shared" si="8"/>
        <v>0</v>
      </c>
      <c r="M77" s="204">
        <f t="shared" si="9"/>
        <v>0</v>
      </c>
      <c r="N77" s="505">
        <f t="shared" si="10"/>
        <v>0</v>
      </c>
      <c r="O77" s="204">
        <f>IF(DG!$A$134&gt;12,0,IF(J77-J76&gt;0,MROUND((L77/12*Q76),1),MROUND(L77/12*P76,1)))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IF(OR(L$73=0,DG!$A$255&gt;16),0,F77+1)</f>
        <v>0</v>
      </c>
      <c r="G78" s="65">
        <f t="shared" si="1"/>
        <v>0</v>
      </c>
      <c r="H78" s="65">
        <f t="shared" si="2"/>
        <v>0</v>
      </c>
      <c r="I78" s="65">
        <f t="shared" si="16"/>
        <v>0</v>
      </c>
      <c r="J78" s="203">
        <f>IF(DG!$A$134&lt;=11,$M$17,0)</f>
        <v>0</v>
      </c>
      <c r="K78" s="65">
        <f t="shared" si="7"/>
        <v>0</v>
      </c>
      <c r="L78" s="473">
        <f t="shared" si="8"/>
        <v>0</v>
      </c>
      <c r="M78" s="204">
        <f t="shared" si="9"/>
        <v>0</v>
      </c>
      <c r="N78" s="505">
        <f t="shared" si="10"/>
        <v>0</v>
      </c>
      <c r="O78" s="204">
        <f>IF(DG!$A$134&gt;12,0,IF(J78-J77&gt;0,MROUND((L78/12*Q77),1),MROUND(L78/12*P77,1)))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IF(OR(L$73=0,DG!$A$255&gt;16),0,F78+1)</f>
        <v>0</v>
      </c>
      <c r="G79" s="65">
        <f t="shared" si="1"/>
        <v>0</v>
      </c>
      <c r="H79" s="65">
        <f t="shared" si="2"/>
        <v>0</v>
      </c>
      <c r="I79" s="65">
        <f t="shared" si="16"/>
        <v>0</v>
      </c>
      <c r="J79" s="203">
        <f>IF(DG!$A$134&lt;=11,$M$17,0)</f>
        <v>0</v>
      </c>
      <c r="K79" s="65">
        <f t="shared" si="7"/>
        <v>0</v>
      </c>
      <c r="L79" s="473">
        <f t="shared" si="8"/>
        <v>0</v>
      </c>
      <c r="M79" s="204">
        <f t="shared" si="9"/>
        <v>0</v>
      </c>
      <c r="N79" s="505">
        <f t="shared" si="10"/>
        <v>0</v>
      </c>
      <c r="O79" s="204">
        <f>IF(DG!$A$134&gt;12,0,IF(J79-J78&gt;0,MROUND((L79/12*Q78),1),MROUND(L79/12*P78,1)))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IF(OR(L$73=0,DG!$A$255&gt;16),0,F79+1)</f>
        <v>0</v>
      </c>
      <c r="G80" s="65">
        <f t="shared" si="1"/>
        <v>0</v>
      </c>
      <c r="H80" s="65">
        <f t="shared" si="2"/>
        <v>0</v>
      </c>
      <c r="I80" s="65">
        <f t="shared" si="16"/>
        <v>0</v>
      </c>
      <c r="J80" s="203">
        <f>IF(DG!$A$134&lt;=11,$M$17,0)</f>
        <v>0</v>
      </c>
      <c r="K80" s="65">
        <f t="shared" si="7"/>
        <v>0</v>
      </c>
      <c r="L80" s="473">
        <f t="shared" si="8"/>
        <v>0</v>
      </c>
      <c r="M80" s="204">
        <f t="shared" si="9"/>
        <v>0</v>
      </c>
      <c r="N80" s="505">
        <f t="shared" si="10"/>
        <v>0</v>
      </c>
      <c r="O80" s="204">
        <f>IF(DG!$A$134&gt;12,0,IF(J80-J79&gt;0,MROUND((L80/12*Q79),1),MROUND(L80/12*P79,1)))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IF(OR(L$73=0,DG!$A$255&gt;16),0,F80+1)</f>
        <v>0</v>
      </c>
      <c r="G81" s="65">
        <f t="shared" si="1"/>
        <v>0</v>
      </c>
      <c r="H81" s="65">
        <f t="shared" si="2"/>
        <v>0</v>
      </c>
      <c r="I81" s="65">
        <f t="shared" si="16"/>
        <v>0</v>
      </c>
      <c r="J81" s="203">
        <f>IF(DG!$A$134&lt;=11,$M$17,0)</f>
        <v>0</v>
      </c>
      <c r="K81" s="65">
        <f t="shared" si="7"/>
        <v>0</v>
      </c>
      <c r="L81" s="473">
        <f t="shared" si="8"/>
        <v>0</v>
      </c>
      <c r="M81" s="204">
        <f t="shared" si="9"/>
        <v>0</v>
      </c>
      <c r="N81" s="505">
        <f t="shared" si="10"/>
        <v>0</v>
      </c>
      <c r="O81" s="204">
        <f>IF(DG!$A$134&gt;12,0,IF(J81-J80&gt;0,MROUND((L81/12*Q80),1),MROUND(L81/12*P80,1)))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IF(OR(L$73=0,DG!$A$255&gt;16),0,F81+1)</f>
        <v>0</v>
      </c>
      <c r="G82" s="65">
        <f t="shared" si="1"/>
        <v>0</v>
      </c>
      <c r="H82" s="65">
        <f t="shared" si="2"/>
        <v>0</v>
      </c>
      <c r="I82" s="65">
        <f t="shared" si="16"/>
        <v>0</v>
      </c>
      <c r="J82" s="203">
        <f>IF(DG!$A$134&lt;=11,$M$17,0)</f>
        <v>0</v>
      </c>
      <c r="K82" s="65">
        <f t="shared" si="7"/>
        <v>0</v>
      </c>
      <c r="L82" s="473">
        <f t="shared" si="8"/>
        <v>0</v>
      </c>
      <c r="M82" s="204">
        <f t="shared" si="9"/>
        <v>0</v>
      </c>
      <c r="N82" s="505">
        <f t="shared" si="10"/>
        <v>0</v>
      </c>
      <c r="O82" s="204">
        <f>IF(DG!$A$134&gt;12,0,IF(J82-J81&gt;0,MROUND((L82/12*Q81),1),MROUND(L82/12*P81,1)))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IF(OR(L$73=0,DG!$A$255&gt;16),0,F82+1)</f>
        <v>0</v>
      </c>
      <c r="G83" s="65">
        <f t="shared" si="1"/>
        <v>0</v>
      </c>
      <c r="H83" s="65">
        <f t="shared" si="2"/>
        <v>0</v>
      </c>
      <c r="I83" s="65">
        <f t="shared" si="16"/>
        <v>0</v>
      </c>
      <c r="J83" s="203">
        <f>IF(DG!$A$134&lt;=11,$M$17,0)</f>
        <v>0</v>
      </c>
      <c r="K83" s="65">
        <f t="shared" si="7"/>
        <v>0</v>
      </c>
      <c r="L83" s="473">
        <f t="shared" si="8"/>
        <v>0</v>
      </c>
      <c r="M83" s="204">
        <f t="shared" si="9"/>
        <v>0</v>
      </c>
      <c r="N83" s="505">
        <f t="shared" si="10"/>
        <v>0</v>
      </c>
      <c r="O83" s="204">
        <f>IF(DG!$A$134&gt;12,0,IF(J83-J82&gt;0,MROUND((L83/12*Q82),1),MROUND(L83/12*P82,1)))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IF(OR(L$73=0,DG!$A$255&gt;16),0,F83+1)</f>
        <v>0</v>
      </c>
      <c r="G84" s="65">
        <f t="shared" si="1"/>
        <v>0</v>
      </c>
      <c r="H84" s="65">
        <f t="shared" si="2"/>
        <v>0</v>
      </c>
      <c r="I84" s="65">
        <f t="shared" si="16"/>
        <v>0</v>
      </c>
      <c r="J84" s="203">
        <f>IF(DG!$A$134&lt;=11,$M$17,0)</f>
        <v>0</v>
      </c>
      <c r="K84" s="65">
        <f t="shared" si="7"/>
        <v>0</v>
      </c>
      <c r="L84" s="473">
        <f t="shared" si="8"/>
        <v>0</v>
      </c>
      <c r="M84" s="204">
        <f t="shared" si="9"/>
        <v>0</v>
      </c>
      <c r="N84" s="505">
        <f t="shared" si="10"/>
        <v>0</v>
      </c>
      <c r="O84" s="204">
        <f>IF(DG!$A$134&gt;12,0,IF(J84-J83&gt;0,MROUND((L84/12*Q83),1),MROUND(L84/12*P83,1)))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IF(OR(L$73=0,DG!$A$255&gt;16),0,F84+1)</f>
        <v>0</v>
      </c>
      <c r="G85" s="65">
        <f t="shared" si="1"/>
        <v>0</v>
      </c>
      <c r="H85" s="65">
        <f t="shared" si="2"/>
        <v>0</v>
      </c>
      <c r="I85" s="65">
        <f t="shared" si="16"/>
        <v>0</v>
      </c>
      <c r="J85" s="203">
        <f>IF(DG!$A$134&lt;=11,$M$17,0)</f>
        <v>0</v>
      </c>
      <c r="K85" s="65">
        <f t="shared" si="7"/>
        <v>0</v>
      </c>
      <c r="L85" s="473">
        <f t="shared" si="8"/>
        <v>0</v>
      </c>
      <c r="M85" s="204">
        <f t="shared" si="9"/>
        <v>0</v>
      </c>
      <c r="N85" s="505">
        <f t="shared" si="10"/>
        <v>0</v>
      </c>
      <c r="O85" s="204">
        <f>IF(DG!$A$134&gt;12,0,IF(J85-J84&gt;0,MROUND((L85/12*Q84),1),MROUND(L85/12*P84,1)))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IF(OR(L$73=0,DG!$A$255&gt;16),0,F85+1)</f>
        <v>0</v>
      </c>
      <c r="G86" s="65">
        <f t="shared" si="1"/>
        <v>0</v>
      </c>
      <c r="H86" s="65">
        <f t="shared" si="2"/>
        <v>0</v>
      </c>
      <c r="I86" s="65">
        <f t="shared" si="16"/>
        <v>0</v>
      </c>
      <c r="J86" s="203">
        <f>IF(DG!$A$134&lt;=11,$M$17,0)</f>
        <v>0</v>
      </c>
      <c r="K86" s="65">
        <f t="shared" si="7"/>
        <v>0</v>
      </c>
      <c r="L86" s="473">
        <f t="shared" si="8"/>
        <v>0</v>
      </c>
      <c r="M86" s="204">
        <f t="shared" si="9"/>
        <v>0</v>
      </c>
      <c r="N86" s="505">
        <f t="shared" si="10"/>
        <v>0</v>
      </c>
      <c r="O86" s="204">
        <f>IF(DG!$A$134&gt;12,0,IF(J86-J85&gt;0,MROUND((L86/12*Q85),1),MROUND(L86/12*P85,1)))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IF(OR(L$73=0,DG!$A$255&gt;16),0,F86+1)</f>
        <v>0</v>
      </c>
      <c r="G87" s="65">
        <f t="shared" si="1"/>
        <v>0</v>
      </c>
      <c r="H87" s="65">
        <f t="shared" si="2"/>
        <v>0</v>
      </c>
      <c r="I87" s="65">
        <f t="shared" si="16"/>
        <v>0</v>
      </c>
      <c r="J87" s="203">
        <f>IF(DG!$A$134&lt;=11,$M$17,0)</f>
        <v>0</v>
      </c>
      <c r="K87" s="65">
        <f t="shared" si="7"/>
        <v>0</v>
      </c>
      <c r="L87" s="473">
        <f t="shared" si="8"/>
        <v>0</v>
      </c>
      <c r="M87" s="204">
        <f t="shared" si="9"/>
        <v>0</v>
      </c>
      <c r="N87" s="505">
        <f t="shared" si="10"/>
        <v>0</v>
      </c>
      <c r="O87" s="204">
        <f>IF(DG!$A$134&gt;12,0,IF(J87-J86&gt;0,MROUND((L87/12*Q86),1),MROUND(L87/12*P86,1)))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IF(OR(L$73=0,DG!$A$255&gt;16),0,F87+1)</f>
        <v>0</v>
      </c>
      <c r="G88" s="65">
        <f t="shared" si="1"/>
        <v>0</v>
      </c>
      <c r="H88" s="65">
        <f t="shared" si="2"/>
        <v>0</v>
      </c>
      <c r="I88" s="65">
        <f t="shared" si="16"/>
        <v>0</v>
      </c>
      <c r="J88" s="203">
        <f>IF(DG!$A$134&lt;=11,$M$17,0)</f>
        <v>0</v>
      </c>
      <c r="K88" s="65">
        <f t="shared" si="7"/>
        <v>0</v>
      </c>
      <c r="L88" s="473">
        <f t="shared" si="8"/>
        <v>0</v>
      </c>
      <c r="M88" s="204">
        <f t="shared" si="9"/>
        <v>0</v>
      </c>
      <c r="N88" s="505">
        <f t="shared" si="10"/>
        <v>0</v>
      </c>
      <c r="O88" s="204">
        <f>IF(DG!$A$134&gt;12,0,IF(J88-J87&gt;0,MROUND((L88/12*Q87),1),MROUND(L88/12*P87,1)))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IF(OR(L$73=0,DG!$A$255&gt;16),0,F88+1)</f>
        <v>0</v>
      </c>
      <c r="G89" s="65">
        <f t="shared" si="1"/>
        <v>0</v>
      </c>
      <c r="H89" s="65">
        <f t="shared" si="2"/>
        <v>0</v>
      </c>
      <c r="I89" s="65">
        <f t="shared" si="16"/>
        <v>0</v>
      </c>
      <c r="J89" s="203">
        <f>IF(DG!$A$134&lt;=11,$M$17,0)</f>
        <v>0</v>
      </c>
      <c r="K89" s="65">
        <f t="shared" si="7"/>
        <v>0</v>
      </c>
      <c r="L89" s="473">
        <f t="shared" si="8"/>
        <v>0</v>
      </c>
      <c r="M89" s="204">
        <f t="shared" si="9"/>
        <v>0</v>
      </c>
      <c r="N89" s="505">
        <f t="shared" si="10"/>
        <v>0</v>
      </c>
      <c r="O89" s="204">
        <f>IF(DG!$A$134&gt;12,0,IF(J89-J88&gt;0,MROUND((L89/12*Q88),1),MROUND(L89/12*P88,1)))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IF(OR(L$73=0,DG!$A$255&gt;16),0,F89+1)</f>
        <v>0</v>
      </c>
      <c r="G90" s="65">
        <f t="shared" ref="G90:G153" si="19">IF(E90=0,0,IF(D90-E90-F90&gt;=0,1,0))</f>
        <v>0</v>
      </c>
      <c r="H90" s="65">
        <f t="shared" ref="H90:H150" si="20">IF(I90&gt;=0,0,H89+1)</f>
        <v>0</v>
      </c>
      <c r="I90" s="65">
        <f t="shared" si="16"/>
        <v>0</v>
      </c>
      <c r="J90" s="203">
        <f>IF(DG!$A$134&lt;=11,$M$17,0)</f>
        <v>0</v>
      </c>
      <c r="K90" s="65">
        <f t="shared" si="7"/>
        <v>0</v>
      </c>
      <c r="L90" s="473">
        <f t="shared" si="8"/>
        <v>0</v>
      </c>
      <c r="M90" s="204">
        <f t="shared" si="9"/>
        <v>0</v>
      </c>
      <c r="N90" s="505">
        <f t="shared" si="10"/>
        <v>0</v>
      </c>
      <c r="O90" s="204">
        <f>IF(DG!$A$134&gt;12,0,IF(J90-J89&gt;0,MROUND((L90/12*Q89),1),MROUND(L90/12*P89,1)))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IF(OR(L$73=0,DG!$A$255&gt;16),0,F90+1)</f>
        <v>0</v>
      </c>
      <c r="G91" s="65">
        <f t="shared" si="19"/>
        <v>0</v>
      </c>
      <c r="H91" s="65">
        <f t="shared" si="20"/>
        <v>0</v>
      </c>
      <c r="I91" s="65">
        <f t="shared" si="16"/>
        <v>0</v>
      </c>
      <c r="J91" s="203">
        <f>IF(DG!$A$134&lt;=11,$M$17,0)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IF(DG!$A$134&gt;12,0,IF(J91-J90&gt;0,MROUND((L91/12*Q90),1),MROUND(L91/12*P90,1)))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IF(OR(L$73=0,DG!$A$255&gt;16),0,F91+1)</f>
        <v>0</v>
      </c>
      <c r="G92" s="65">
        <f t="shared" si="19"/>
        <v>0</v>
      </c>
      <c r="H92" s="65">
        <f t="shared" si="20"/>
        <v>0</v>
      </c>
      <c r="I92" s="65">
        <f t="shared" si="16"/>
        <v>0</v>
      </c>
      <c r="J92" s="203">
        <f>IF(DG!$A$134&lt;=11,$M$17,0)</f>
        <v>0</v>
      </c>
      <c r="K92" s="65">
        <f t="shared" si="24"/>
        <v>0</v>
      </c>
      <c r="L92" s="473">
        <f t="shared" si="25"/>
        <v>0</v>
      </c>
      <c r="M92" s="204">
        <f t="shared" si="26"/>
        <v>0</v>
      </c>
      <c r="N92" s="505">
        <f t="shared" si="27"/>
        <v>0</v>
      </c>
      <c r="O92" s="204">
        <f>IF(DG!$A$134&gt;12,0,IF(J92-J91&gt;0,MROUND((L92/12*Q91),1),MROUND(L92/12*P91,1)))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IF(OR(L$73=0,DG!$A$255&gt;16),0,F92+1)</f>
        <v>0</v>
      </c>
      <c r="G93" s="65">
        <f t="shared" si="19"/>
        <v>0</v>
      </c>
      <c r="H93" s="65">
        <f t="shared" si="20"/>
        <v>0</v>
      </c>
      <c r="I93" s="65">
        <f t="shared" si="16"/>
        <v>0</v>
      </c>
      <c r="J93" s="203">
        <f>IF(DG!$A$134&lt;=11,$M$17,0)</f>
        <v>0</v>
      </c>
      <c r="K93" s="65">
        <f t="shared" si="24"/>
        <v>0</v>
      </c>
      <c r="L93" s="473">
        <f t="shared" si="25"/>
        <v>0</v>
      </c>
      <c r="M93" s="204">
        <f t="shared" si="26"/>
        <v>0</v>
      </c>
      <c r="N93" s="505">
        <f t="shared" si="27"/>
        <v>0</v>
      </c>
      <c r="O93" s="204">
        <f>IF(DG!$A$134&gt;12,0,IF(J93-J92&gt;0,MROUND((L93/12*Q92),1),MROUND(L93/12*P92,1)))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IF(OR(L$73=0,DG!$A$255&gt;16),0,F93+1)</f>
        <v>0</v>
      </c>
      <c r="G94" s="65">
        <f t="shared" si="19"/>
        <v>0</v>
      </c>
      <c r="H94" s="65">
        <f t="shared" si="20"/>
        <v>0</v>
      </c>
      <c r="I94" s="65">
        <f t="shared" si="16"/>
        <v>0</v>
      </c>
      <c r="J94" s="203">
        <f>IF(DG!$A$134&lt;=11,$M$17,0)</f>
        <v>0</v>
      </c>
      <c r="K94" s="65">
        <f t="shared" si="24"/>
        <v>0</v>
      </c>
      <c r="L94" s="473">
        <f t="shared" si="25"/>
        <v>0</v>
      </c>
      <c r="M94" s="204">
        <f t="shared" si="26"/>
        <v>0</v>
      </c>
      <c r="N94" s="505">
        <f t="shared" si="27"/>
        <v>0</v>
      </c>
      <c r="O94" s="204">
        <f>IF(DG!$A$134&gt;12,0,IF(J94-J93&gt;0,MROUND((L94/12*Q93),1),MROUND(L94/12*P93,1)))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IF(OR(L$73=0,DG!$A$255&gt;16),0,F94+1)</f>
        <v>0</v>
      </c>
      <c r="G95" s="65">
        <f t="shared" si="19"/>
        <v>0</v>
      </c>
      <c r="H95" s="65">
        <f t="shared" si="20"/>
        <v>0</v>
      </c>
      <c r="I95" s="65">
        <f t="shared" si="16"/>
        <v>0</v>
      </c>
      <c r="J95" s="203">
        <f>IF(DG!$A$134&lt;=11,$M$17,0)</f>
        <v>0</v>
      </c>
      <c r="K95" s="65">
        <f t="shared" si="24"/>
        <v>0</v>
      </c>
      <c r="L95" s="473">
        <f t="shared" si="25"/>
        <v>0</v>
      </c>
      <c r="M95" s="204">
        <f t="shared" si="26"/>
        <v>0</v>
      </c>
      <c r="N95" s="505">
        <f t="shared" si="27"/>
        <v>0</v>
      </c>
      <c r="O95" s="204">
        <f>IF(DG!$A$134&gt;12,0,IF(J95-J94&gt;0,MROUND((L95/12*Q94),1),MROUND(L95/12*P94,1)))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IF(OR(L$73=0,DG!$A$255&gt;16),0,F95+1)</f>
        <v>0</v>
      </c>
      <c r="G96" s="65">
        <f t="shared" si="19"/>
        <v>0</v>
      </c>
      <c r="H96" s="65">
        <f t="shared" si="20"/>
        <v>0</v>
      </c>
      <c r="I96" s="65">
        <f t="shared" si="16"/>
        <v>0</v>
      </c>
      <c r="J96" s="203">
        <f>IF(DG!$A$134&lt;=11,$M$17,0)</f>
        <v>0</v>
      </c>
      <c r="K96" s="65">
        <f t="shared" si="24"/>
        <v>0</v>
      </c>
      <c r="L96" s="473">
        <f t="shared" si="25"/>
        <v>0</v>
      </c>
      <c r="M96" s="204">
        <f t="shared" si="26"/>
        <v>0</v>
      </c>
      <c r="N96" s="505">
        <f t="shared" si="27"/>
        <v>0</v>
      </c>
      <c r="O96" s="204">
        <f>IF(DG!$A$134&gt;12,0,IF(J96-J95&gt;0,MROUND((L96/12*Q95),1),MROUND(L96/12*P95,1)))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IF(OR(L$73=0,DG!$A$255&gt;16),0,F96+1)</f>
        <v>0</v>
      </c>
      <c r="G97" s="65">
        <f t="shared" si="19"/>
        <v>0</v>
      </c>
      <c r="H97" s="65">
        <f t="shared" si="20"/>
        <v>0</v>
      </c>
      <c r="I97" s="65">
        <f t="shared" si="16"/>
        <v>0</v>
      </c>
      <c r="J97" s="203">
        <f>IF(DG!$A$134&lt;=11,$M$17,0)</f>
        <v>0</v>
      </c>
      <c r="K97" s="65">
        <f t="shared" si="24"/>
        <v>0</v>
      </c>
      <c r="L97" s="473">
        <f t="shared" si="25"/>
        <v>0</v>
      </c>
      <c r="M97" s="204">
        <f t="shared" si="26"/>
        <v>0</v>
      </c>
      <c r="N97" s="505">
        <f t="shared" si="27"/>
        <v>0</v>
      </c>
      <c r="O97" s="204">
        <f>IF(DG!$A$134&gt;12,0,IF(J97-J96&gt;0,MROUND((L97/12*Q96),1),MROUND(L97/12*P96,1)))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IF(OR(L$73=0,DG!$A$255&gt;16),0,F97+1)</f>
        <v>0</v>
      </c>
      <c r="G98" s="65">
        <f t="shared" si="19"/>
        <v>0</v>
      </c>
      <c r="H98" s="65">
        <f t="shared" si="20"/>
        <v>0</v>
      </c>
      <c r="I98" s="65">
        <f t="shared" si="16"/>
        <v>0</v>
      </c>
      <c r="J98" s="203">
        <f>IF(DG!$A$134&lt;=11,$M$17,0)</f>
        <v>0</v>
      </c>
      <c r="K98" s="65">
        <f t="shared" si="24"/>
        <v>0</v>
      </c>
      <c r="L98" s="473">
        <f t="shared" si="25"/>
        <v>0</v>
      </c>
      <c r="M98" s="204">
        <f t="shared" si="26"/>
        <v>0</v>
      </c>
      <c r="N98" s="505">
        <f t="shared" si="27"/>
        <v>0</v>
      </c>
      <c r="O98" s="204">
        <f>IF(DG!$A$134&gt;12,0,IF(J98-J97&gt;0,MROUND((L98/12*Q97),1),MROUND(L98/12*P97,1)))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IF(OR(L$73=0,DG!$A$255&gt;16),0,F98+1)</f>
        <v>0</v>
      </c>
      <c r="G99" s="65">
        <f t="shared" si="19"/>
        <v>0</v>
      </c>
      <c r="H99" s="65">
        <f t="shared" si="20"/>
        <v>0</v>
      </c>
      <c r="I99" s="65">
        <f t="shared" si="16"/>
        <v>0</v>
      </c>
      <c r="J99" s="203">
        <f>IF(DG!$A$134&lt;=11,$M$17,0)</f>
        <v>0</v>
      </c>
      <c r="K99" s="65">
        <f t="shared" si="24"/>
        <v>0</v>
      </c>
      <c r="L99" s="473">
        <f t="shared" si="25"/>
        <v>0</v>
      </c>
      <c r="M99" s="204">
        <f t="shared" si="26"/>
        <v>0</v>
      </c>
      <c r="N99" s="505">
        <f t="shared" si="27"/>
        <v>0</v>
      </c>
      <c r="O99" s="204">
        <f>IF(DG!$A$134&gt;12,0,IF(J99-J98&gt;0,MROUND((L99/12*Q98),1),MROUND(L99/12*P98,1)))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IF(OR(L$73=0,DG!$A$255&gt;16),0,F99+1)</f>
        <v>0</v>
      </c>
      <c r="G100" s="65">
        <f t="shared" si="19"/>
        <v>0</v>
      </c>
      <c r="H100" s="65">
        <f t="shared" si="20"/>
        <v>0</v>
      </c>
      <c r="I100" s="65">
        <f t="shared" si="16"/>
        <v>0</v>
      </c>
      <c r="J100" s="203">
        <f>IF(DG!$A$134&lt;=11,$M$17,0)</f>
        <v>0</v>
      </c>
      <c r="K100" s="65">
        <f t="shared" si="24"/>
        <v>0</v>
      </c>
      <c r="L100" s="473">
        <f t="shared" si="25"/>
        <v>0</v>
      </c>
      <c r="M100" s="204">
        <f t="shared" si="26"/>
        <v>0</v>
      </c>
      <c r="N100" s="505">
        <f t="shared" si="27"/>
        <v>0</v>
      </c>
      <c r="O100" s="204">
        <f>IF(DG!$A$134&gt;12,0,IF(J100-J99&gt;0,MROUND((L100/12*Q99),1),MROUND(L100/12*P99,1)))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IF(OR(L$73=0,DG!$A$255&gt;16),0,F100+1)</f>
        <v>0</v>
      </c>
      <c r="G101" s="65">
        <f t="shared" si="19"/>
        <v>0</v>
      </c>
      <c r="H101" s="65">
        <f t="shared" si="20"/>
        <v>0</v>
      </c>
      <c r="I101" s="65">
        <f t="shared" si="16"/>
        <v>0</v>
      </c>
      <c r="J101" s="203">
        <f>IF(DG!$A$134&lt;=11,$M$17,0)</f>
        <v>0</v>
      </c>
      <c r="K101" s="65">
        <f t="shared" si="24"/>
        <v>0</v>
      </c>
      <c r="L101" s="473">
        <f t="shared" si="25"/>
        <v>0</v>
      </c>
      <c r="M101" s="204">
        <f t="shared" si="26"/>
        <v>0</v>
      </c>
      <c r="N101" s="505">
        <f t="shared" si="27"/>
        <v>0</v>
      </c>
      <c r="O101" s="204">
        <f>IF(DG!$A$134&gt;12,0,IF(J101-J100&gt;0,MROUND((L101/12*Q100),1),MROUND(L101/12*P100,1)))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IF(OR(L$73=0,DG!$A$255&gt;16),0,F101+1)</f>
        <v>0</v>
      </c>
      <c r="G102" s="65">
        <f t="shared" si="19"/>
        <v>0</v>
      </c>
      <c r="H102" s="65">
        <f t="shared" si="20"/>
        <v>0</v>
      </c>
      <c r="I102" s="65">
        <f t="shared" si="16"/>
        <v>0</v>
      </c>
      <c r="J102" s="203">
        <f>IF(DG!$A$134&lt;=11,$M$17,0)</f>
        <v>0</v>
      </c>
      <c r="K102" s="65">
        <f t="shared" si="24"/>
        <v>0</v>
      </c>
      <c r="L102" s="473">
        <f t="shared" si="25"/>
        <v>0</v>
      </c>
      <c r="M102" s="204">
        <f t="shared" si="26"/>
        <v>0</v>
      </c>
      <c r="N102" s="505">
        <f t="shared" si="27"/>
        <v>0</v>
      </c>
      <c r="O102" s="204">
        <f>IF(DG!$A$134&gt;12,0,IF(J102-J101&gt;0,MROUND((L102/12*Q101),1),MROUND(L102/12*P101,1)))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IF(OR(L$73=0,DG!$A$255&gt;16),0,F102+1)</f>
        <v>0</v>
      </c>
      <c r="G103" s="65">
        <f t="shared" si="19"/>
        <v>0</v>
      </c>
      <c r="H103" s="65">
        <f t="shared" si="20"/>
        <v>0</v>
      </c>
      <c r="I103" s="65">
        <f t="shared" si="16"/>
        <v>0</v>
      </c>
      <c r="J103" s="203">
        <f>IF(DG!$A$134&lt;=11,$M$17,0)</f>
        <v>0</v>
      </c>
      <c r="K103" s="65">
        <f t="shared" si="24"/>
        <v>0</v>
      </c>
      <c r="L103" s="473">
        <f t="shared" si="25"/>
        <v>0</v>
      </c>
      <c r="M103" s="204">
        <f t="shared" si="26"/>
        <v>0</v>
      </c>
      <c r="N103" s="505">
        <f t="shared" si="27"/>
        <v>0</v>
      </c>
      <c r="O103" s="204">
        <f>IF(DG!$A$134&gt;12,0,IF(J103-J102&gt;0,MROUND((L103/12*Q102),1),MROUND(L103/12*P102,1)))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IF(OR(L$73=0,DG!$A$255&gt;16),0,F103+1)</f>
        <v>0</v>
      </c>
      <c r="G104" s="65">
        <f t="shared" si="19"/>
        <v>0</v>
      </c>
      <c r="H104" s="65">
        <f t="shared" si="20"/>
        <v>0</v>
      </c>
      <c r="I104" s="65">
        <f t="shared" si="16"/>
        <v>0</v>
      </c>
      <c r="J104" s="203">
        <f>IF(DG!$A$134&lt;=11,$M$17,0)</f>
        <v>0</v>
      </c>
      <c r="K104" s="65">
        <f t="shared" si="24"/>
        <v>0</v>
      </c>
      <c r="L104" s="473">
        <f t="shared" si="25"/>
        <v>0</v>
      </c>
      <c r="M104" s="204">
        <f t="shared" si="26"/>
        <v>0</v>
      </c>
      <c r="N104" s="505">
        <f t="shared" si="27"/>
        <v>0</v>
      </c>
      <c r="O104" s="204">
        <f>IF(DG!$A$134&gt;12,0,IF(J104-J103&gt;0,MROUND((L104/12*Q103),1),MROUND(L104/12*P103,1)))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IF(OR(L$73=0,DG!$A$255&gt;16),0,F104+1)</f>
        <v>0</v>
      </c>
      <c r="G105" s="65">
        <f t="shared" si="19"/>
        <v>0</v>
      </c>
      <c r="H105" s="65">
        <f t="shared" si="20"/>
        <v>0</v>
      </c>
      <c r="I105" s="65">
        <f t="shared" si="16"/>
        <v>0</v>
      </c>
      <c r="J105" s="203">
        <f>IF(DG!$A$134&lt;=11,$M$17,0)</f>
        <v>0</v>
      </c>
      <c r="K105" s="65">
        <f t="shared" si="24"/>
        <v>0</v>
      </c>
      <c r="L105" s="473">
        <f t="shared" si="25"/>
        <v>0</v>
      </c>
      <c r="M105" s="204">
        <f t="shared" si="26"/>
        <v>0</v>
      </c>
      <c r="N105" s="505">
        <f t="shared" si="27"/>
        <v>0</v>
      </c>
      <c r="O105" s="204">
        <f>IF(DG!$A$134&gt;12,0,IF(J105-J104&gt;0,MROUND((L105/12*Q104),1),MROUND(L105/12*P104,1)))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IF(OR(L$73=0,DG!$A$255&gt;16),0,F105+1)</f>
        <v>0</v>
      </c>
      <c r="G106" s="65">
        <f t="shared" si="19"/>
        <v>0</v>
      </c>
      <c r="H106" s="65">
        <f t="shared" si="20"/>
        <v>0</v>
      </c>
      <c r="I106" s="65">
        <f t="shared" si="16"/>
        <v>0</v>
      </c>
      <c r="J106" s="203">
        <f>IF(DG!$A$134&lt;=11,$M$17,0)</f>
        <v>0</v>
      </c>
      <c r="K106" s="65">
        <f t="shared" si="24"/>
        <v>0</v>
      </c>
      <c r="L106" s="473">
        <f t="shared" si="25"/>
        <v>0</v>
      </c>
      <c r="M106" s="204">
        <f t="shared" si="26"/>
        <v>0</v>
      </c>
      <c r="N106" s="505">
        <f t="shared" si="27"/>
        <v>0</v>
      </c>
      <c r="O106" s="204">
        <f>IF(DG!$A$134&gt;12,0,IF(J106-J105&gt;0,MROUND((L106/12*Q105),1),MROUND(L106/12*P105,1)))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IF(OR(L$73=0,DG!$A$255&gt;16),0,F106+1)</f>
        <v>0</v>
      </c>
      <c r="G107" s="65">
        <f t="shared" si="19"/>
        <v>0</v>
      </c>
      <c r="H107" s="65">
        <f t="shared" si="20"/>
        <v>0</v>
      </c>
      <c r="I107" s="65">
        <f t="shared" si="16"/>
        <v>0</v>
      </c>
      <c r="J107" s="203">
        <f>IF(DG!$A$134&lt;=11,$M$17,0)</f>
        <v>0</v>
      </c>
      <c r="K107" s="65">
        <f t="shared" si="24"/>
        <v>0</v>
      </c>
      <c r="L107" s="473">
        <f t="shared" si="25"/>
        <v>0</v>
      </c>
      <c r="M107" s="204">
        <f t="shared" si="26"/>
        <v>0</v>
      </c>
      <c r="N107" s="505">
        <f t="shared" si="27"/>
        <v>0</v>
      </c>
      <c r="O107" s="204">
        <f>IF(DG!$A$134&gt;12,0,IF(J107-J106&gt;0,MROUND((L107/12*Q106),1),MROUND(L107/12*P106,1)))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IF(OR(L$73=0,DG!$A$255&gt;16),0,F107+1)</f>
        <v>0</v>
      </c>
      <c r="G108" s="65">
        <f t="shared" si="19"/>
        <v>0</v>
      </c>
      <c r="H108" s="65">
        <f t="shared" si="20"/>
        <v>0</v>
      </c>
      <c r="I108" s="65">
        <f t="shared" si="16"/>
        <v>0</v>
      </c>
      <c r="J108" s="203">
        <f>IF(DG!$A$134&lt;=11,$M$17,0)</f>
        <v>0</v>
      </c>
      <c r="K108" s="65">
        <f t="shared" si="24"/>
        <v>0</v>
      </c>
      <c r="L108" s="473">
        <f t="shared" si="25"/>
        <v>0</v>
      </c>
      <c r="M108" s="204">
        <f t="shared" si="26"/>
        <v>0</v>
      </c>
      <c r="N108" s="505">
        <f t="shared" si="27"/>
        <v>0</v>
      </c>
      <c r="O108" s="204">
        <f>IF(DG!$A$134&gt;12,0,IF(J108-J107&gt;0,MROUND((L108/12*Q107),1),MROUND(L108/12*P107,1)))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IF(OR(L$73=0,DG!$A$255&gt;16),0,F108+1)</f>
        <v>0</v>
      </c>
      <c r="G109" s="65">
        <f t="shared" si="19"/>
        <v>0</v>
      </c>
      <c r="H109" s="65">
        <f t="shared" si="20"/>
        <v>0</v>
      </c>
      <c r="I109" s="65">
        <f t="shared" si="16"/>
        <v>0</v>
      </c>
      <c r="J109" s="203">
        <f>IF(DG!$A$134&lt;=11,$M$17,0)</f>
        <v>0</v>
      </c>
      <c r="K109" s="65">
        <f t="shared" si="24"/>
        <v>0</v>
      </c>
      <c r="L109" s="473">
        <f t="shared" si="25"/>
        <v>0</v>
      </c>
      <c r="M109" s="204">
        <f t="shared" si="26"/>
        <v>0</v>
      </c>
      <c r="N109" s="505">
        <f t="shared" si="27"/>
        <v>0</v>
      </c>
      <c r="O109" s="204">
        <f>IF(DG!$A$134&gt;12,0,IF(J109-J108&gt;0,MROUND((L109/12*Q108),1),MROUND(L109/12*P108,1)))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IF(OR(L$73=0,DG!$A$255&gt;16),0,F109+1)</f>
        <v>0</v>
      </c>
      <c r="G110" s="65">
        <f t="shared" si="19"/>
        <v>0</v>
      </c>
      <c r="H110" s="65">
        <f t="shared" si="20"/>
        <v>0</v>
      </c>
      <c r="I110" s="65">
        <f t="shared" si="16"/>
        <v>0</v>
      </c>
      <c r="J110" s="203">
        <f>IF(DG!$A$134&lt;=11,$M$17,0)</f>
        <v>0</v>
      </c>
      <c r="K110" s="65">
        <f t="shared" si="24"/>
        <v>0</v>
      </c>
      <c r="L110" s="473">
        <f t="shared" si="25"/>
        <v>0</v>
      </c>
      <c r="M110" s="204">
        <f t="shared" si="26"/>
        <v>0</v>
      </c>
      <c r="N110" s="505">
        <f t="shared" si="27"/>
        <v>0</v>
      </c>
      <c r="O110" s="204">
        <f>IF(DG!$A$134&gt;12,0,IF(J110-J109&gt;0,MROUND((L110/12*Q109),1),MROUND(L110/12*P109,1)))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IF(OR(L$73=0,DG!$A$255&gt;16),0,F110+1)</f>
        <v>0</v>
      </c>
      <c r="G111" s="65">
        <f t="shared" si="19"/>
        <v>0</v>
      </c>
      <c r="H111" s="65">
        <f t="shared" si="20"/>
        <v>0</v>
      </c>
      <c r="I111" s="65">
        <f t="shared" si="16"/>
        <v>0</v>
      </c>
      <c r="J111" s="203">
        <f>IF(DG!$A$134&lt;=11,$M$17,0)</f>
        <v>0</v>
      </c>
      <c r="K111" s="65">
        <f t="shared" si="24"/>
        <v>0</v>
      </c>
      <c r="L111" s="473">
        <f t="shared" si="25"/>
        <v>0</v>
      </c>
      <c r="M111" s="204">
        <f t="shared" si="26"/>
        <v>0</v>
      </c>
      <c r="N111" s="505">
        <f t="shared" si="27"/>
        <v>0</v>
      </c>
      <c r="O111" s="204">
        <f>IF(DG!$A$134&gt;12,0,IF(J111-J110&gt;0,MROUND((L111/12*Q110),1),MROUND(L111/12*P110,1)))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IF(OR(L$73=0,DG!$A$255&gt;16),0,F111+1)</f>
        <v>0</v>
      </c>
      <c r="G112" s="65">
        <f t="shared" si="19"/>
        <v>0</v>
      </c>
      <c r="H112" s="65">
        <f t="shared" si="20"/>
        <v>0</v>
      </c>
      <c r="I112" s="65">
        <f t="shared" si="16"/>
        <v>0</v>
      </c>
      <c r="J112" s="203">
        <f>IF(DG!$A$134&lt;=11,$M$17,0)</f>
        <v>0</v>
      </c>
      <c r="K112" s="65">
        <f t="shared" si="24"/>
        <v>0</v>
      </c>
      <c r="L112" s="473">
        <f t="shared" si="25"/>
        <v>0</v>
      </c>
      <c r="M112" s="204">
        <f t="shared" si="26"/>
        <v>0</v>
      </c>
      <c r="N112" s="505">
        <f t="shared" si="27"/>
        <v>0</v>
      </c>
      <c r="O112" s="204">
        <f>IF(DG!$A$134&gt;12,0,IF(J112-J111&gt;0,MROUND((L112/12*Q111),1),MROUND(L112/12*P111,1)))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IF(OR(L$73=0,DG!$A$255&gt;16),0,F112+1)</f>
        <v>0</v>
      </c>
      <c r="G113" s="65">
        <f t="shared" si="19"/>
        <v>0</v>
      </c>
      <c r="H113" s="65">
        <f t="shared" si="20"/>
        <v>0</v>
      </c>
      <c r="I113" s="65">
        <f t="shared" si="16"/>
        <v>0</v>
      </c>
      <c r="J113" s="203">
        <f>IF(DG!$A$134&lt;=11,$M$17,0)</f>
        <v>0</v>
      </c>
      <c r="K113" s="65">
        <f t="shared" si="24"/>
        <v>0</v>
      </c>
      <c r="L113" s="473">
        <f t="shared" si="25"/>
        <v>0</v>
      </c>
      <c r="M113" s="204">
        <f t="shared" si="26"/>
        <v>0</v>
      </c>
      <c r="N113" s="505">
        <f t="shared" si="27"/>
        <v>0</v>
      </c>
      <c r="O113" s="204">
        <f>IF(DG!$A$134&gt;12,0,IF(J113-J112&gt;0,MROUND((L113/12*Q112),1),MROUND(L113/12*P112,1)))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IF(OR(L$73=0,DG!$A$255&gt;16),0,F113+1)</f>
        <v>0</v>
      </c>
      <c r="G114" s="65">
        <f t="shared" si="19"/>
        <v>0</v>
      </c>
      <c r="H114" s="65">
        <f t="shared" si="20"/>
        <v>0</v>
      </c>
      <c r="I114" s="65">
        <f t="shared" si="16"/>
        <v>0</v>
      </c>
      <c r="J114" s="203">
        <f>IF(DG!$A$134&lt;=11,$M$17,0)</f>
        <v>0</v>
      </c>
      <c r="K114" s="65">
        <f t="shared" si="24"/>
        <v>0</v>
      </c>
      <c r="L114" s="473">
        <f t="shared" si="25"/>
        <v>0</v>
      </c>
      <c r="M114" s="204">
        <f t="shared" si="26"/>
        <v>0</v>
      </c>
      <c r="N114" s="505">
        <f t="shared" si="27"/>
        <v>0</v>
      </c>
      <c r="O114" s="204">
        <f>IF(DG!$A$134&gt;12,0,IF(J114-J113&gt;0,MROUND((L114/12*Q113),1),MROUND(L114/12*P113,1)))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IF(OR(L$73=0,DG!$A$255&gt;16),0,F114+1)</f>
        <v>0</v>
      </c>
      <c r="G115" s="65">
        <f t="shared" si="19"/>
        <v>0</v>
      </c>
      <c r="H115" s="65">
        <f t="shared" si="20"/>
        <v>0</v>
      </c>
      <c r="I115" s="65">
        <f t="shared" si="16"/>
        <v>0</v>
      </c>
      <c r="J115" s="203">
        <f>IF(DG!$A$134&lt;=11,$M$17,0)</f>
        <v>0</v>
      </c>
      <c r="K115" s="65">
        <f t="shared" si="24"/>
        <v>0</v>
      </c>
      <c r="L115" s="473">
        <f t="shared" si="25"/>
        <v>0</v>
      </c>
      <c r="M115" s="204">
        <f t="shared" si="26"/>
        <v>0</v>
      </c>
      <c r="N115" s="505">
        <f t="shared" si="27"/>
        <v>0</v>
      </c>
      <c r="O115" s="204">
        <f>IF(DG!$A$134&gt;12,0,IF(J115-J114&gt;0,MROUND((L115/12*Q114),1),MROUND(L115/12*P114,1)))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IF(OR(L$73=0,DG!$A$255&gt;16),0,F115+1)</f>
        <v>0</v>
      </c>
      <c r="G116" s="65">
        <f t="shared" si="19"/>
        <v>0</v>
      </c>
      <c r="H116" s="65">
        <f t="shared" si="20"/>
        <v>0</v>
      </c>
      <c r="I116" s="65">
        <f t="shared" si="16"/>
        <v>0</v>
      </c>
      <c r="J116" s="203">
        <f>IF(DG!$A$134&lt;=11,$M$17,0)</f>
        <v>0</v>
      </c>
      <c r="K116" s="65">
        <f t="shared" si="24"/>
        <v>0</v>
      </c>
      <c r="L116" s="473">
        <f t="shared" si="25"/>
        <v>0</v>
      </c>
      <c r="M116" s="204">
        <f t="shared" si="26"/>
        <v>0</v>
      </c>
      <c r="N116" s="505">
        <f t="shared" si="27"/>
        <v>0</v>
      </c>
      <c r="O116" s="204">
        <f>IF(DG!$A$134&gt;12,0,IF(J116-J115&gt;0,MROUND((L116/12*Q115),1),MROUND(L116/12*P115,1)))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IF(OR(L$73=0,DG!$A$255&gt;16),0,F116+1)</f>
        <v>0</v>
      </c>
      <c r="G117" s="65">
        <f t="shared" si="19"/>
        <v>0</v>
      </c>
      <c r="H117" s="65">
        <f t="shared" si="20"/>
        <v>0</v>
      </c>
      <c r="I117" s="65">
        <f t="shared" si="16"/>
        <v>0</v>
      </c>
      <c r="J117" s="203">
        <f>IF(DG!$A$134&lt;=11,$M$17,0)</f>
        <v>0</v>
      </c>
      <c r="K117" s="65">
        <f t="shared" si="24"/>
        <v>0</v>
      </c>
      <c r="L117" s="473">
        <f t="shared" si="25"/>
        <v>0</v>
      </c>
      <c r="M117" s="204">
        <f t="shared" si="26"/>
        <v>0</v>
      </c>
      <c r="N117" s="505">
        <f t="shared" si="27"/>
        <v>0</v>
      </c>
      <c r="O117" s="204">
        <f>IF(DG!$A$134&gt;12,0,IF(J117-J116&gt;0,MROUND((L117/12*Q116),1),MROUND(L117/12*P116,1)))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IF(OR(L$73=0,DG!$A$255&gt;16),0,F117+1)</f>
        <v>0</v>
      </c>
      <c r="G118" s="65">
        <f t="shared" si="19"/>
        <v>0</v>
      </c>
      <c r="H118" s="65">
        <f t="shared" si="20"/>
        <v>0</v>
      </c>
      <c r="I118" s="65">
        <f t="shared" si="16"/>
        <v>0</v>
      </c>
      <c r="J118" s="203">
        <f>IF(DG!$A$134&lt;=11,$M$17,0)</f>
        <v>0</v>
      </c>
      <c r="K118" s="65">
        <f t="shared" si="24"/>
        <v>0</v>
      </c>
      <c r="L118" s="473">
        <f t="shared" si="25"/>
        <v>0</v>
      </c>
      <c r="M118" s="204">
        <f t="shared" si="26"/>
        <v>0</v>
      </c>
      <c r="N118" s="505">
        <f t="shared" si="27"/>
        <v>0</v>
      </c>
      <c r="O118" s="204">
        <f>IF(DG!$A$134&gt;12,0,IF(J118-J117&gt;0,MROUND((L118/12*Q117),1),MROUND(L118/12*P117,1)))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IF(OR(L$73=0,DG!$A$255&gt;16),0,F118+1)</f>
        <v>0</v>
      </c>
      <c r="G119" s="65">
        <f t="shared" si="19"/>
        <v>0</v>
      </c>
      <c r="H119" s="65">
        <f t="shared" si="20"/>
        <v>0</v>
      </c>
      <c r="I119" s="65">
        <f t="shared" si="16"/>
        <v>0</v>
      </c>
      <c r="J119" s="203">
        <f>IF(DG!$A$134&lt;=11,$M$17,0)</f>
        <v>0</v>
      </c>
      <c r="K119" s="65">
        <f t="shared" si="24"/>
        <v>0</v>
      </c>
      <c r="L119" s="473">
        <f t="shared" si="25"/>
        <v>0</v>
      </c>
      <c r="M119" s="204">
        <f t="shared" si="26"/>
        <v>0</v>
      </c>
      <c r="N119" s="505">
        <f t="shared" si="27"/>
        <v>0</v>
      </c>
      <c r="O119" s="204">
        <f>IF(DG!$A$134&gt;12,0,IF(J119-J118&gt;0,MROUND((L119/12*Q118),1),MROUND(L119/12*P118,1)))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IF(OR(L$73=0,DG!$A$255&gt;16),0,F119+1)</f>
        <v>0</v>
      </c>
      <c r="G120" s="65">
        <f t="shared" si="19"/>
        <v>0</v>
      </c>
      <c r="H120" s="65">
        <f t="shared" si="20"/>
        <v>0</v>
      </c>
      <c r="I120" s="65">
        <f t="shared" si="16"/>
        <v>0</v>
      </c>
      <c r="J120" s="203">
        <f>IF(DG!$A$134&lt;=11,$M$17,0)</f>
        <v>0</v>
      </c>
      <c r="K120" s="65">
        <f t="shared" si="24"/>
        <v>0</v>
      </c>
      <c r="L120" s="473">
        <f t="shared" si="25"/>
        <v>0</v>
      </c>
      <c r="M120" s="204">
        <f t="shared" si="26"/>
        <v>0</v>
      </c>
      <c r="N120" s="505">
        <f t="shared" si="27"/>
        <v>0</v>
      </c>
      <c r="O120" s="204">
        <f>IF(DG!$A$134&gt;12,0,IF(J120-J119&gt;0,MROUND((L120/12*Q119),1),MROUND(L120/12*P119,1)))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IF(OR(L$73=0,DG!$A$255&gt;16),0,F120+1)</f>
        <v>0</v>
      </c>
      <c r="G121" s="65">
        <f t="shared" si="19"/>
        <v>0</v>
      </c>
      <c r="H121" s="65">
        <f t="shared" si="20"/>
        <v>0</v>
      </c>
      <c r="I121" s="65">
        <f t="shared" si="16"/>
        <v>0</v>
      </c>
      <c r="J121" s="203">
        <f>IF(DG!$A$134&lt;=11,$M$17,0)</f>
        <v>0</v>
      </c>
      <c r="K121" s="65">
        <f t="shared" si="24"/>
        <v>0</v>
      </c>
      <c r="L121" s="473">
        <f t="shared" si="25"/>
        <v>0</v>
      </c>
      <c r="M121" s="204">
        <f t="shared" si="26"/>
        <v>0</v>
      </c>
      <c r="N121" s="505">
        <f t="shared" si="27"/>
        <v>0</v>
      </c>
      <c r="O121" s="204">
        <f>IF(DG!$A$134&gt;12,0,IF(J121-J120&gt;0,MROUND((L121/12*Q120),1),MROUND(L121/12*P120,1)))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IF(OR(L$73=0,DG!$A$255&gt;16),0,F121+1)</f>
        <v>0</v>
      </c>
      <c r="G122" s="65">
        <f t="shared" si="19"/>
        <v>0</v>
      </c>
      <c r="H122" s="65">
        <f t="shared" si="20"/>
        <v>0</v>
      </c>
      <c r="I122" s="65">
        <f t="shared" si="16"/>
        <v>0</v>
      </c>
      <c r="J122" s="203">
        <f>IF(DG!$A$134&lt;=11,$M$17,0)</f>
        <v>0</v>
      </c>
      <c r="K122" s="65">
        <f t="shared" si="24"/>
        <v>0</v>
      </c>
      <c r="L122" s="473">
        <f t="shared" si="25"/>
        <v>0</v>
      </c>
      <c r="M122" s="204">
        <f t="shared" si="26"/>
        <v>0</v>
      </c>
      <c r="N122" s="505">
        <f t="shared" si="27"/>
        <v>0</v>
      </c>
      <c r="O122" s="204">
        <f>IF(DG!$A$134&gt;12,0,IF(J122-J121&gt;0,MROUND((L122/12*Q121),1),MROUND(L122/12*P121,1)))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IF(OR(L$73=0,DG!$A$255&gt;16),0,F122+1)</f>
        <v>0</v>
      </c>
      <c r="G123" s="65">
        <f t="shared" si="19"/>
        <v>0</v>
      </c>
      <c r="H123" s="65">
        <f t="shared" si="20"/>
        <v>0</v>
      </c>
      <c r="I123" s="65">
        <f t="shared" si="16"/>
        <v>0</v>
      </c>
      <c r="J123" s="203">
        <f>IF(DG!$A$134&lt;=11,$M$17,0)</f>
        <v>0</v>
      </c>
      <c r="K123" s="65">
        <f t="shared" si="24"/>
        <v>0</v>
      </c>
      <c r="L123" s="473">
        <f t="shared" si="25"/>
        <v>0</v>
      </c>
      <c r="M123" s="204">
        <f t="shared" si="26"/>
        <v>0</v>
      </c>
      <c r="N123" s="505">
        <f t="shared" si="27"/>
        <v>0</v>
      </c>
      <c r="O123" s="204">
        <f>IF(DG!$A$134&gt;12,0,IF(J123-J122&gt;0,MROUND((L123/12*Q122),1),MROUND(L123/12*P122,1)))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IF(OR(L$73=0,DG!$A$255&gt;16),0,F123+1)</f>
        <v>0</v>
      </c>
      <c r="G124" s="65">
        <f t="shared" si="19"/>
        <v>0</v>
      </c>
      <c r="H124" s="65">
        <f t="shared" si="20"/>
        <v>0</v>
      </c>
      <c r="I124" s="65">
        <f t="shared" si="16"/>
        <v>0</v>
      </c>
      <c r="J124" s="203">
        <f>IF(DG!$A$134&lt;=11,$M$17,0)</f>
        <v>0</v>
      </c>
      <c r="K124" s="65">
        <f t="shared" si="24"/>
        <v>0</v>
      </c>
      <c r="L124" s="473">
        <f t="shared" si="25"/>
        <v>0</v>
      </c>
      <c r="M124" s="204">
        <f t="shared" si="26"/>
        <v>0</v>
      </c>
      <c r="N124" s="505">
        <f t="shared" si="27"/>
        <v>0</v>
      </c>
      <c r="O124" s="204">
        <f>IF(DG!$A$134&gt;12,0,IF(J124-J123&gt;0,MROUND((L124/12*Q123),1),MROUND(L124/12*P123,1)))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IF(OR(L$73=0,DG!$A$255&gt;16),0,F124+1)</f>
        <v>0</v>
      </c>
      <c r="G125" s="65">
        <f t="shared" si="19"/>
        <v>0</v>
      </c>
      <c r="H125" s="65">
        <f t="shared" si="20"/>
        <v>0</v>
      </c>
      <c r="I125" s="65">
        <f t="shared" si="16"/>
        <v>0</v>
      </c>
      <c r="J125" s="203">
        <f>IF(DG!$A$134&lt;=11,$M$17,0)</f>
        <v>0</v>
      </c>
      <c r="K125" s="65">
        <f t="shared" si="24"/>
        <v>0</v>
      </c>
      <c r="L125" s="473">
        <f t="shared" si="25"/>
        <v>0</v>
      </c>
      <c r="M125" s="204">
        <f t="shared" si="26"/>
        <v>0</v>
      </c>
      <c r="N125" s="505">
        <f t="shared" si="27"/>
        <v>0</v>
      </c>
      <c r="O125" s="204">
        <f>IF(DG!$A$134&gt;12,0,IF(J125-J124&gt;0,MROUND((L125/12*Q124),1),MROUND(L125/12*P124,1)))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IF(OR(L$73=0,DG!$A$255&gt;16),0,F125+1)</f>
        <v>0</v>
      </c>
      <c r="G126" s="65">
        <f t="shared" si="19"/>
        <v>0</v>
      </c>
      <c r="H126" s="65">
        <f t="shared" si="20"/>
        <v>0</v>
      </c>
      <c r="I126" s="65">
        <f t="shared" si="16"/>
        <v>0</v>
      </c>
      <c r="J126" s="203">
        <f>IF(DG!$A$134&lt;=11,$M$17,0)</f>
        <v>0</v>
      </c>
      <c r="K126" s="65">
        <f t="shared" si="24"/>
        <v>0</v>
      </c>
      <c r="L126" s="473">
        <f t="shared" si="25"/>
        <v>0</v>
      </c>
      <c r="M126" s="204">
        <f t="shared" si="26"/>
        <v>0</v>
      </c>
      <c r="N126" s="505">
        <f t="shared" si="27"/>
        <v>0</v>
      </c>
      <c r="O126" s="204">
        <f>IF(DG!$A$134&gt;12,0,IF(J126-J125&gt;0,MROUND((L126/12*Q125),1),MROUND(L126/12*P125,1)))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IF(OR(L$73=0,DG!$A$255&gt;16),0,F126+1)</f>
        <v>0</v>
      </c>
      <c r="G127" s="65">
        <f t="shared" si="19"/>
        <v>0</v>
      </c>
      <c r="H127" s="65">
        <f t="shared" si="20"/>
        <v>0</v>
      </c>
      <c r="I127" s="65">
        <f t="shared" si="16"/>
        <v>0</v>
      </c>
      <c r="J127" s="203">
        <f>IF(DG!$A$134&lt;=11,$M$17,0)</f>
        <v>0</v>
      </c>
      <c r="K127" s="65">
        <f t="shared" si="24"/>
        <v>0</v>
      </c>
      <c r="L127" s="473">
        <f t="shared" si="25"/>
        <v>0</v>
      </c>
      <c r="M127" s="204">
        <f t="shared" si="26"/>
        <v>0</v>
      </c>
      <c r="N127" s="505">
        <f t="shared" si="27"/>
        <v>0</v>
      </c>
      <c r="O127" s="204">
        <f>IF(DG!$A$134&gt;12,0,IF(J127-J126&gt;0,MROUND((L127/12*Q126),1),MROUND(L127/12*P126,1)))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IF(OR(L$73=0,DG!$A$255&gt;16),0,F127+1)</f>
        <v>0</v>
      </c>
      <c r="G128" s="65">
        <f t="shared" si="19"/>
        <v>0</v>
      </c>
      <c r="H128" s="65">
        <f t="shared" si="20"/>
        <v>0</v>
      </c>
      <c r="I128" s="65">
        <f t="shared" si="16"/>
        <v>0</v>
      </c>
      <c r="J128" s="203">
        <f>IF(DG!$A$134&lt;=11,$M$17,0)</f>
        <v>0</v>
      </c>
      <c r="K128" s="65">
        <f t="shared" si="24"/>
        <v>0</v>
      </c>
      <c r="L128" s="473">
        <f t="shared" si="25"/>
        <v>0</v>
      </c>
      <c r="M128" s="204">
        <f t="shared" si="26"/>
        <v>0</v>
      </c>
      <c r="N128" s="505">
        <f t="shared" si="27"/>
        <v>0</v>
      </c>
      <c r="O128" s="204">
        <f>IF(DG!$A$134&gt;12,0,IF(J128-J127&gt;0,MROUND((L128/12*Q127),1),MROUND(L128/12*P127,1)))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IF(OR(L$73=0,DG!$A$255&gt;16),0,F128+1)</f>
        <v>0</v>
      </c>
      <c r="G129" s="65">
        <f t="shared" si="19"/>
        <v>0</v>
      </c>
      <c r="H129" s="65">
        <f t="shared" si="20"/>
        <v>0</v>
      </c>
      <c r="I129" s="65">
        <f t="shared" ref="I129:I192" si="31">IF(OR(G129=1,C129=0),0,IF(K129-C129&lt;$G$269,1,-1))</f>
        <v>0</v>
      </c>
      <c r="J129" s="203">
        <f>IF(DG!$A$134&lt;=11,$M$17,0)</f>
        <v>0</v>
      </c>
      <c r="K129" s="65">
        <f t="shared" si="24"/>
        <v>0</v>
      </c>
      <c r="L129" s="473">
        <f t="shared" si="25"/>
        <v>0</v>
      </c>
      <c r="M129" s="204">
        <f t="shared" si="26"/>
        <v>0</v>
      </c>
      <c r="N129" s="505">
        <f t="shared" si="27"/>
        <v>0</v>
      </c>
      <c r="O129" s="204">
        <f>IF(DG!$A$134&gt;12,0,IF(J129-J128&gt;0,MROUND((L129/12*Q128),1),MROUND(L129/12*P128,1)))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IF(OR(L$73=0,DG!$A$255&gt;16),0,F129+1)</f>
        <v>0</v>
      </c>
      <c r="G130" s="65">
        <f t="shared" si="19"/>
        <v>0</v>
      </c>
      <c r="H130" s="65">
        <f t="shared" si="20"/>
        <v>0</v>
      </c>
      <c r="I130" s="65">
        <f t="shared" si="31"/>
        <v>0</v>
      </c>
      <c r="J130" s="203">
        <f>IF(DG!$A$134&lt;=11,$M$17,0)</f>
        <v>0</v>
      </c>
      <c r="K130" s="65">
        <f t="shared" si="24"/>
        <v>0</v>
      </c>
      <c r="L130" s="473">
        <f t="shared" si="25"/>
        <v>0</v>
      </c>
      <c r="M130" s="204">
        <f t="shared" si="26"/>
        <v>0</v>
      </c>
      <c r="N130" s="505">
        <f t="shared" si="27"/>
        <v>0</v>
      </c>
      <c r="O130" s="204">
        <f>IF(DG!$A$134&gt;12,0,IF(J130-J129&gt;0,MROUND((L130/12*Q129),1),MROUND(L130/12*P129,1)))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IF(OR(L$73=0,DG!$A$255&gt;16),0,F130+1)</f>
        <v>0</v>
      </c>
      <c r="G131" s="65">
        <f t="shared" si="19"/>
        <v>0</v>
      </c>
      <c r="H131" s="65">
        <f t="shared" si="20"/>
        <v>0</v>
      </c>
      <c r="I131" s="65">
        <f t="shared" si="31"/>
        <v>0</v>
      </c>
      <c r="J131" s="203">
        <f>IF(DG!$A$134&lt;=11,$M$17,0)</f>
        <v>0</v>
      </c>
      <c r="K131" s="65">
        <f t="shared" si="24"/>
        <v>0</v>
      </c>
      <c r="L131" s="473">
        <f t="shared" si="25"/>
        <v>0</v>
      </c>
      <c r="M131" s="204">
        <f t="shared" si="26"/>
        <v>0</v>
      </c>
      <c r="N131" s="505">
        <f t="shared" si="27"/>
        <v>0</v>
      </c>
      <c r="O131" s="204">
        <f>IF(DG!$A$134&gt;12,0,IF(J131-J130&gt;0,MROUND((L131/12*Q130),1),MROUND(L131/12*P130,1)))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IF(OR(L$73=0,DG!$A$255&gt;16),0,F131+1)</f>
        <v>0</v>
      </c>
      <c r="G132" s="65">
        <f t="shared" si="19"/>
        <v>0</v>
      </c>
      <c r="H132" s="65">
        <f t="shared" si="20"/>
        <v>0</v>
      </c>
      <c r="I132" s="65">
        <f t="shared" si="31"/>
        <v>0</v>
      </c>
      <c r="J132" s="203">
        <f>IF(DG!$A$134&lt;=11,$M$17,0)</f>
        <v>0</v>
      </c>
      <c r="K132" s="65">
        <f t="shared" si="24"/>
        <v>0</v>
      </c>
      <c r="L132" s="473">
        <f t="shared" si="25"/>
        <v>0</v>
      </c>
      <c r="M132" s="204">
        <f t="shared" si="26"/>
        <v>0</v>
      </c>
      <c r="N132" s="505">
        <f t="shared" si="27"/>
        <v>0</v>
      </c>
      <c r="O132" s="204">
        <f>IF(DG!$A$134&gt;12,0,IF(J132-J131&gt;0,MROUND((L132/12*Q131),1),MROUND(L132/12*P131,1)))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IF(OR(L$73=0,DG!$A$255&gt;16),0,F132+1)</f>
        <v>0</v>
      </c>
      <c r="G133" s="65">
        <f t="shared" si="19"/>
        <v>0</v>
      </c>
      <c r="H133" s="65">
        <f t="shared" si="20"/>
        <v>0</v>
      </c>
      <c r="I133" s="65">
        <f t="shared" si="31"/>
        <v>0</v>
      </c>
      <c r="J133" s="203">
        <f>IF(DG!$A$134&lt;=11,$M$17,0)</f>
        <v>0</v>
      </c>
      <c r="K133" s="65">
        <f t="shared" si="24"/>
        <v>0</v>
      </c>
      <c r="L133" s="473">
        <f t="shared" si="25"/>
        <v>0</v>
      </c>
      <c r="M133" s="204">
        <f t="shared" si="26"/>
        <v>0</v>
      </c>
      <c r="N133" s="505">
        <f t="shared" si="27"/>
        <v>0</v>
      </c>
      <c r="O133" s="204">
        <f>IF(DG!$A$134&gt;12,0,IF(J133-J132&gt;0,MROUND((L133/12*Q132),1),MROUND(L133/12*P132,1)))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IF(OR(L$73=0,DG!$A$255&gt;16),0,F133+1)</f>
        <v>0</v>
      </c>
      <c r="G134" s="65">
        <f t="shared" si="19"/>
        <v>0</v>
      </c>
      <c r="H134" s="65">
        <f t="shared" si="20"/>
        <v>0</v>
      </c>
      <c r="I134" s="65">
        <f t="shared" si="31"/>
        <v>0</v>
      </c>
      <c r="J134" s="203">
        <f>IF(DG!$A$134&lt;=11,$M$17,0)</f>
        <v>0</v>
      </c>
      <c r="K134" s="65">
        <f t="shared" si="24"/>
        <v>0</v>
      </c>
      <c r="L134" s="473">
        <f t="shared" si="25"/>
        <v>0</v>
      </c>
      <c r="M134" s="204">
        <f t="shared" si="26"/>
        <v>0</v>
      </c>
      <c r="N134" s="505">
        <f t="shared" si="27"/>
        <v>0</v>
      </c>
      <c r="O134" s="204">
        <f>IF(DG!$A$134&gt;12,0,IF(J134-J133&gt;0,MROUND((L134/12*Q133),1),MROUND(L134/12*P133,1)))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IF(OR(L$73=0,DG!$A$255&gt;16),0,F134+1)</f>
        <v>0</v>
      </c>
      <c r="G135" s="65">
        <f t="shared" si="19"/>
        <v>0</v>
      </c>
      <c r="H135" s="65">
        <f t="shared" si="20"/>
        <v>0</v>
      </c>
      <c r="I135" s="65">
        <f t="shared" si="31"/>
        <v>0</v>
      </c>
      <c r="J135" s="203">
        <f>IF(DG!$A$134&lt;=11,$M$17,0)</f>
        <v>0</v>
      </c>
      <c r="K135" s="65">
        <f t="shared" si="24"/>
        <v>0</v>
      </c>
      <c r="L135" s="473">
        <f t="shared" si="25"/>
        <v>0</v>
      </c>
      <c r="M135" s="204">
        <f t="shared" si="26"/>
        <v>0</v>
      </c>
      <c r="N135" s="505">
        <f t="shared" si="27"/>
        <v>0</v>
      </c>
      <c r="O135" s="204">
        <f>IF(DG!$A$134&gt;12,0,IF(J135-J134&gt;0,MROUND((L135/12*Q134),1),MROUND(L135/12*P134,1)))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IF(OR(L$73=0,DG!$A$255&gt;16),0,F135+1)</f>
        <v>0</v>
      </c>
      <c r="G136" s="65">
        <f t="shared" si="19"/>
        <v>0</v>
      </c>
      <c r="H136" s="65">
        <f t="shared" si="20"/>
        <v>0</v>
      </c>
      <c r="I136" s="65">
        <f t="shared" si="31"/>
        <v>0</v>
      </c>
      <c r="J136" s="203">
        <f>IF(DG!$A$134&lt;=11,$M$17,0)</f>
        <v>0</v>
      </c>
      <c r="K136" s="65">
        <f t="shared" si="24"/>
        <v>0</v>
      </c>
      <c r="L136" s="473">
        <f t="shared" si="25"/>
        <v>0</v>
      </c>
      <c r="M136" s="204">
        <f t="shared" si="26"/>
        <v>0</v>
      </c>
      <c r="N136" s="505">
        <f t="shared" si="27"/>
        <v>0</v>
      </c>
      <c r="O136" s="204">
        <f>IF(DG!$A$134&gt;12,0,IF(J136-J135&gt;0,MROUND((L136/12*Q135),1),MROUND(L136/12*P135,1)))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IF(OR(L$73=0,DG!$A$255&gt;16),0,F136+1)</f>
        <v>0</v>
      </c>
      <c r="G137" s="65">
        <f t="shared" si="19"/>
        <v>0</v>
      </c>
      <c r="H137" s="65">
        <f t="shared" si="20"/>
        <v>0</v>
      </c>
      <c r="I137" s="65">
        <f t="shared" si="31"/>
        <v>0</v>
      </c>
      <c r="J137" s="203">
        <f>IF(DG!$A$134&lt;=11,$M$17,0)</f>
        <v>0</v>
      </c>
      <c r="K137" s="65">
        <f t="shared" si="24"/>
        <v>0</v>
      </c>
      <c r="L137" s="473">
        <f t="shared" si="25"/>
        <v>0</v>
      </c>
      <c r="M137" s="204">
        <f t="shared" si="26"/>
        <v>0</v>
      </c>
      <c r="N137" s="505">
        <f t="shared" si="27"/>
        <v>0</v>
      </c>
      <c r="O137" s="204">
        <f>IF(DG!$A$134&gt;12,0,IF(J137-J136&gt;0,MROUND((L137/12*Q136),1),MROUND(L137/12*P136,1)))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IF(OR(L$73=0,DG!$A$255&gt;16),0,F137+1)</f>
        <v>0</v>
      </c>
      <c r="G138" s="65">
        <f t="shared" si="19"/>
        <v>0</v>
      </c>
      <c r="H138" s="65">
        <f t="shared" si="20"/>
        <v>0</v>
      </c>
      <c r="I138" s="65">
        <f t="shared" si="31"/>
        <v>0</v>
      </c>
      <c r="J138" s="203">
        <f>IF(DG!$A$134&lt;=11,$M$17,0)</f>
        <v>0</v>
      </c>
      <c r="K138" s="65">
        <f t="shared" si="24"/>
        <v>0</v>
      </c>
      <c r="L138" s="473">
        <f t="shared" si="25"/>
        <v>0</v>
      </c>
      <c r="M138" s="204">
        <f t="shared" si="26"/>
        <v>0</v>
      </c>
      <c r="N138" s="505">
        <f t="shared" si="27"/>
        <v>0</v>
      </c>
      <c r="O138" s="204">
        <f>IF(DG!$A$134&gt;12,0,IF(J138-J137&gt;0,MROUND((L138/12*Q137),1),MROUND(L138/12*P137,1)))</f>
        <v>0</v>
      </c>
      <c r="P138" s="204">
        <f t="shared" si="28"/>
        <v>0</v>
      </c>
      <c r="Q138" s="204">
        <f t="shared" si="21"/>
        <v>0</v>
      </c>
      <c r="R138" s="476">
        <v>0</v>
      </c>
      <c r="S138" s="511">
        <f t="shared" ref="S138:S151" si="32">SUM(N127:N138)</f>
        <v>0</v>
      </c>
    </row>
    <row r="139" spans="1:19" ht="14" thickTop="1" thickBot="1">
      <c r="A139" s="202">
        <f t="shared" si="22"/>
        <v>48731</v>
      </c>
      <c r="B139" s="65">
        <f t="shared" si="18"/>
        <v>0</v>
      </c>
      <c r="C139" s="65">
        <f t="shared" si="30"/>
        <v>0</v>
      </c>
      <c r="D139" s="65">
        <f t="shared" si="29"/>
        <v>114</v>
      </c>
      <c r="E139" s="65">
        <f t="shared" si="23"/>
        <v>0</v>
      </c>
      <c r="F139" s="65">
        <f>IF(OR(L$73=0,DG!$A$255&gt;16),0,F138+1)</f>
        <v>0</v>
      </c>
      <c r="G139" s="65">
        <f t="shared" si="19"/>
        <v>0</v>
      </c>
      <c r="H139" s="65">
        <f t="shared" si="20"/>
        <v>0</v>
      </c>
      <c r="I139" s="65">
        <f t="shared" si="31"/>
        <v>0</v>
      </c>
      <c r="J139" s="203">
        <f>IF(DG!$A$134&lt;=11,$M$17,0)</f>
        <v>0</v>
      </c>
      <c r="K139" s="65">
        <f t="shared" si="24"/>
        <v>0</v>
      </c>
      <c r="L139" s="473">
        <f t="shared" si="25"/>
        <v>0</v>
      </c>
      <c r="M139" s="204">
        <f t="shared" si="26"/>
        <v>0</v>
      </c>
      <c r="N139" s="505">
        <f t="shared" si="27"/>
        <v>0</v>
      </c>
      <c r="O139" s="204">
        <f>IF(DG!$A$134&gt;12,0,IF(J139-J138&gt;0,MROUND((L139/12*Q138),1),MROUND(L139/12*P138,1)))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IF(OR(L$73=0,DG!$A$255&gt;16),0,F139+1)</f>
        <v>0</v>
      </c>
      <c r="G140" s="65">
        <f t="shared" si="19"/>
        <v>0</v>
      </c>
      <c r="H140" s="65">
        <f t="shared" si="20"/>
        <v>0</v>
      </c>
      <c r="I140" s="65">
        <f t="shared" si="31"/>
        <v>0</v>
      </c>
      <c r="J140" s="203">
        <f>IF(DG!$A$134&lt;=11,$M$17,0)</f>
        <v>0</v>
      </c>
      <c r="K140" s="65">
        <f t="shared" si="24"/>
        <v>0</v>
      </c>
      <c r="L140" s="473">
        <f t="shared" si="25"/>
        <v>0</v>
      </c>
      <c r="M140" s="204">
        <f t="shared" si="26"/>
        <v>0</v>
      </c>
      <c r="N140" s="505">
        <f t="shared" si="27"/>
        <v>0</v>
      </c>
      <c r="O140" s="204">
        <f>IF(DG!$A$134&gt;12,0,IF(J140-J139&gt;0,MROUND((L140/12*Q139),1),MROUND(L140/12*P139,1)))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IF(OR(L$73=0,DG!$A$255&gt;16),0,F140+1)</f>
        <v>0</v>
      </c>
      <c r="G141" s="65">
        <f t="shared" si="19"/>
        <v>0</v>
      </c>
      <c r="H141" s="65">
        <f t="shared" si="20"/>
        <v>0</v>
      </c>
      <c r="I141" s="65">
        <f t="shared" si="31"/>
        <v>0</v>
      </c>
      <c r="J141" s="203">
        <f>IF(DG!$A$134&lt;=11,$M$17,0)</f>
        <v>0</v>
      </c>
      <c r="K141" s="65">
        <f t="shared" si="24"/>
        <v>0</v>
      </c>
      <c r="L141" s="473">
        <f t="shared" si="25"/>
        <v>0</v>
      </c>
      <c r="M141" s="204">
        <f t="shared" si="26"/>
        <v>0</v>
      </c>
      <c r="N141" s="505">
        <f t="shared" si="27"/>
        <v>0</v>
      </c>
      <c r="O141" s="204">
        <f>IF(DG!$A$134&gt;12,0,IF(J141-J140&gt;0,MROUND((L141/12*Q140),1),MROUND(L141/12*P140,1)))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IF(OR(L$73=0,DG!$A$255&gt;16),0,F141+1)</f>
        <v>0</v>
      </c>
      <c r="G142" s="65">
        <f t="shared" si="19"/>
        <v>0</v>
      </c>
      <c r="H142" s="65">
        <f t="shared" si="20"/>
        <v>0</v>
      </c>
      <c r="I142" s="65">
        <f t="shared" si="31"/>
        <v>0</v>
      </c>
      <c r="J142" s="203">
        <f>IF(DG!$A$134&lt;=11,$M$17,0)</f>
        <v>0</v>
      </c>
      <c r="K142" s="65">
        <f t="shared" si="24"/>
        <v>0</v>
      </c>
      <c r="L142" s="473">
        <f t="shared" si="25"/>
        <v>0</v>
      </c>
      <c r="M142" s="204">
        <f t="shared" si="26"/>
        <v>0</v>
      </c>
      <c r="N142" s="505">
        <f t="shared" si="27"/>
        <v>0</v>
      </c>
      <c r="O142" s="204">
        <f>IF(DG!$A$134&gt;12,0,IF(J142-J141&gt;0,MROUND((L142/12*Q141),1),MROUND(L142/12*P141,1)))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IF(OR(L$73=0,DG!$A$255&gt;16),0,F142+1)</f>
        <v>0</v>
      </c>
      <c r="G143" s="65">
        <f t="shared" si="19"/>
        <v>0</v>
      </c>
      <c r="H143" s="65">
        <f t="shared" si="20"/>
        <v>0</v>
      </c>
      <c r="I143" s="65">
        <f t="shared" si="31"/>
        <v>0</v>
      </c>
      <c r="J143" s="203">
        <f>IF(DG!$A$134&lt;=11,$M$17,0)</f>
        <v>0</v>
      </c>
      <c r="K143" s="65">
        <f t="shared" si="24"/>
        <v>0</v>
      </c>
      <c r="L143" s="473">
        <f t="shared" si="25"/>
        <v>0</v>
      </c>
      <c r="M143" s="204">
        <f t="shared" si="26"/>
        <v>0</v>
      </c>
      <c r="N143" s="505">
        <f t="shared" si="27"/>
        <v>0</v>
      </c>
      <c r="O143" s="204">
        <f>IF(DG!$A$134&gt;12,0,IF(J143-J142&gt;0,MROUND((L143/12*Q142),1),MROUND(L143/12*P142,1)))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IF(OR(L$73=0,DG!$A$255&gt;16),0,F143+1)</f>
        <v>0</v>
      </c>
      <c r="G144" s="65">
        <f t="shared" si="19"/>
        <v>0</v>
      </c>
      <c r="H144" s="65">
        <f t="shared" si="20"/>
        <v>0</v>
      </c>
      <c r="I144" s="65">
        <f t="shared" si="31"/>
        <v>0</v>
      </c>
      <c r="J144" s="203">
        <f>IF(DG!$A$134&lt;=11,$M$17,0)</f>
        <v>0</v>
      </c>
      <c r="K144" s="65">
        <f t="shared" si="24"/>
        <v>0</v>
      </c>
      <c r="L144" s="473">
        <f t="shared" si="25"/>
        <v>0</v>
      </c>
      <c r="M144" s="204">
        <f t="shared" si="26"/>
        <v>0</v>
      </c>
      <c r="N144" s="505">
        <f t="shared" si="27"/>
        <v>0</v>
      </c>
      <c r="O144" s="204">
        <f>IF(DG!$A$134&gt;12,0,IF(J144-J143&gt;0,MROUND((L144/12*Q143),1),MROUND(L144/12*P143,1)))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IF(OR(L$73=0,DG!$A$255&gt;16),0,F144+1)</f>
        <v>0</v>
      </c>
      <c r="G145" s="65">
        <f t="shared" si="19"/>
        <v>0</v>
      </c>
      <c r="H145" s="65">
        <f t="shared" si="20"/>
        <v>0</v>
      </c>
      <c r="I145" s="65">
        <f t="shared" si="31"/>
        <v>0</v>
      </c>
      <c r="J145" s="203">
        <f>IF(DG!$A$134&lt;=11,$M$17,0)</f>
        <v>0</v>
      </c>
      <c r="K145" s="65">
        <f t="shared" si="24"/>
        <v>0</v>
      </c>
      <c r="L145" s="473">
        <f t="shared" si="25"/>
        <v>0</v>
      </c>
      <c r="M145" s="204">
        <f t="shared" si="26"/>
        <v>0</v>
      </c>
      <c r="N145" s="505">
        <f t="shared" si="27"/>
        <v>0</v>
      </c>
      <c r="O145" s="204">
        <f>IF(DG!$A$134&gt;12,0,IF(J145-J144&gt;0,MROUND((L145/12*Q144),1),MROUND(L145/12*P144,1)))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IF(OR(L$73=0,DG!$A$255&gt;16),0,F145+1)</f>
        <v>0</v>
      </c>
      <c r="G146" s="65">
        <f t="shared" si="19"/>
        <v>0</v>
      </c>
      <c r="H146" s="65">
        <f t="shared" si="20"/>
        <v>0</v>
      </c>
      <c r="I146" s="65">
        <f t="shared" si="31"/>
        <v>0</v>
      </c>
      <c r="J146" s="203">
        <f>IF(DG!$A$134&lt;=11,$M$17,0)</f>
        <v>0</v>
      </c>
      <c r="K146" s="65">
        <f t="shared" si="24"/>
        <v>0</v>
      </c>
      <c r="L146" s="473">
        <f t="shared" si="25"/>
        <v>0</v>
      </c>
      <c r="M146" s="204">
        <f t="shared" si="26"/>
        <v>0</v>
      </c>
      <c r="N146" s="505">
        <f t="shared" si="27"/>
        <v>0</v>
      </c>
      <c r="O146" s="204">
        <f>IF(DG!$A$134&gt;12,0,IF(J146-J145&gt;0,MROUND((L146/12*Q145),1),MROUND(L146/12*P145,1)))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IF(OR(L$73=0,DG!$A$255&gt;16),0,F146+1)</f>
        <v>0</v>
      </c>
      <c r="G147" s="65">
        <f t="shared" si="19"/>
        <v>0</v>
      </c>
      <c r="H147" s="65">
        <f t="shared" si="20"/>
        <v>0</v>
      </c>
      <c r="I147" s="65">
        <f t="shared" si="31"/>
        <v>0</v>
      </c>
      <c r="J147" s="203">
        <f>IF(DG!$A$134&lt;=11,$M$17,0)</f>
        <v>0</v>
      </c>
      <c r="K147" s="65">
        <f t="shared" si="24"/>
        <v>0</v>
      </c>
      <c r="L147" s="473">
        <f t="shared" si="25"/>
        <v>0</v>
      </c>
      <c r="M147" s="204">
        <f t="shared" si="26"/>
        <v>0</v>
      </c>
      <c r="N147" s="505">
        <f t="shared" si="27"/>
        <v>0</v>
      </c>
      <c r="O147" s="204">
        <f>IF(DG!$A$134&gt;12,0,IF(J147-J146&gt;0,MROUND((L147/12*Q146),1),MROUND(L147/12*P146,1)))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IF(OR(L$73=0,DG!$A$255&gt;16),0,F147+1)</f>
        <v>0</v>
      </c>
      <c r="G148" s="65">
        <f t="shared" si="19"/>
        <v>0</v>
      </c>
      <c r="H148" s="65">
        <f t="shared" si="20"/>
        <v>0</v>
      </c>
      <c r="I148" s="65">
        <f t="shared" si="31"/>
        <v>0</v>
      </c>
      <c r="J148" s="203">
        <f>IF(DG!$A$134&lt;=11,$M$17,0)</f>
        <v>0</v>
      </c>
      <c r="K148" s="65">
        <f t="shared" si="24"/>
        <v>0</v>
      </c>
      <c r="L148" s="473">
        <f t="shared" si="25"/>
        <v>0</v>
      </c>
      <c r="M148" s="204">
        <f t="shared" si="26"/>
        <v>0</v>
      </c>
      <c r="N148" s="505">
        <f t="shared" si="27"/>
        <v>0</v>
      </c>
      <c r="O148" s="204">
        <f>IF(DG!$A$134&gt;12,0,IF(J148-J147&gt;0,MROUND((L148/12*Q147),1),MROUND(L148/12*P147,1)))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IF(OR(L$73=0,DG!$A$255&gt;16),0,F148+1)</f>
        <v>0</v>
      </c>
      <c r="G149" s="65">
        <f t="shared" si="19"/>
        <v>0</v>
      </c>
      <c r="H149" s="65">
        <f t="shared" si="20"/>
        <v>0</v>
      </c>
      <c r="I149" s="65">
        <f t="shared" si="31"/>
        <v>0</v>
      </c>
      <c r="J149" s="203">
        <f>IF(DG!$A$134&lt;=11,$M$17,0)</f>
        <v>0</v>
      </c>
      <c r="K149" s="65">
        <f t="shared" si="24"/>
        <v>0</v>
      </c>
      <c r="L149" s="473">
        <f t="shared" si="25"/>
        <v>0</v>
      </c>
      <c r="M149" s="204">
        <f t="shared" si="26"/>
        <v>0</v>
      </c>
      <c r="N149" s="505">
        <f t="shared" si="27"/>
        <v>0</v>
      </c>
      <c r="O149" s="204">
        <f>IF(DG!$A$134&gt;12,0,IF(J149-J148&gt;0,MROUND((L149/12*Q148),1),MROUND(L149/12*P148,1)))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IF(OR(L$73=0,DG!$A$255&gt;16),0,F149+1)</f>
        <v>0</v>
      </c>
      <c r="G150" s="65">
        <f t="shared" si="19"/>
        <v>0</v>
      </c>
      <c r="H150" s="65">
        <f t="shared" si="20"/>
        <v>0</v>
      </c>
      <c r="I150" s="65">
        <f t="shared" si="31"/>
        <v>0</v>
      </c>
      <c r="J150" s="203">
        <f>IF(DG!$A$134&lt;=11,$M$17,0)</f>
        <v>0</v>
      </c>
      <c r="K150" s="65">
        <f t="shared" si="24"/>
        <v>0</v>
      </c>
      <c r="L150" s="473">
        <f t="shared" si="25"/>
        <v>0</v>
      </c>
      <c r="M150" s="204">
        <f t="shared" si="26"/>
        <v>0</v>
      </c>
      <c r="N150" s="505">
        <f t="shared" si="27"/>
        <v>0</v>
      </c>
      <c r="O150" s="204">
        <f>IF(DG!$A$134&gt;12,0,IF(J150-J149&gt;0,MROUND((L150/12*Q149),1),MROUND(L150/12*P149,1)))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IF(OR(L$73=0,DG!$A$255&gt;16),0,F150+1)</f>
        <v>0</v>
      </c>
      <c r="G151" s="65">
        <f t="shared" si="19"/>
        <v>0</v>
      </c>
      <c r="H151" s="65">
        <f>IF(I151&gt;=0,0,H150+1)</f>
        <v>0</v>
      </c>
      <c r="I151" s="65">
        <f t="shared" si="31"/>
        <v>0</v>
      </c>
      <c r="J151" s="203">
        <f>IF(DG!$A$134&lt;=11,$M$17,0)</f>
        <v>0</v>
      </c>
      <c r="K151" s="65">
        <f>K150</f>
        <v>0</v>
      </c>
      <c r="L151" s="473">
        <f t="shared" si="25"/>
        <v>0</v>
      </c>
      <c r="M151" s="204">
        <f t="shared" si="26"/>
        <v>0</v>
      </c>
      <c r="N151" s="505">
        <f t="shared" si="27"/>
        <v>0</v>
      </c>
      <c r="O151" s="204">
        <f>IF(DG!$A$134&gt;12,0,IF(J151-J150&gt;0,MROUND((L151/12*Q150),1),MROUND(L151/12*P150,1)))</f>
        <v>0</v>
      </c>
      <c r="P151" s="204">
        <f t="shared" si="28"/>
        <v>0</v>
      </c>
      <c r="Q151" s="204">
        <f t="shared" si="21"/>
        <v>0</v>
      </c>
      <c r="R151" s="476">
        <v>0</v>
      </c>
      <c r="S151" s="511">
        <f t="shared" si="32"/>
        <v>0</v>
      </c>
    </row>
    <row r="152" spans="1:19" ht="14" thickTop="1" thickBot="1">
      <c r="A152" s="202">
        <f t="shared" si="22"/>
        <v>49126</v>
      </c>
      <c r="B152" s="65">
        <f t="shared" si="33"/>
        <v>0</v>
      </c>
      <c r="C152" s="65">
        <f t="shared" si="30"/>
        <v>0</v>
      </c>
      <c r="D152" s="65">
        <f t="shared" ref="D152:D215" si="34">D151+1</f>
        <v>127</v>
      </c>
      <c r="E152" s="65">
        <f t="shared" si="23"/>
        <v>0</v>
      </c>
      <c r="F152" s="65">
        <f>IF(OR(L$73=0,DG!$A$255&gt;16),0,F151+1)</f>
        <v>0</v>
      </c>
      <c r="G152" s="65">
        <f t="shared" si="19"/>
        <v>0</v>
      </c>
      <c r="H152" s="65">
        <f t="shared" ref="H152:H215" si="35">IF(I152&gt;=0,0,H151+1)</f>
        <v>0</v>
      </c>
      <c r="I152" s="65">
        <f t="shared" si="31"/>
        <v>0</v>
      </c>
      <c r="J152" s="203">
        <f>IF(DG!$A$134&lt;=11,$M$17,0)</f>
        <v>0</v>
      </c>
      <c r="K152" s="65">
        <f t="shared" ref="K152:K215" si="36">K151</f>
        <v>0</v>
      </c>
      <c r="L152" s="473">
        <f t="shared" si="25"/>
        <v>0</v>
      </c>
      <c r="M152" s="204">
        <f t="shared" si="26"/>
        <v>0</v>
      </c>
      <c r="N152" s="505">
        <f t="shared" si="27"/>
        <v>0</v>
      </c>
      <c r="O152" s="204">
        <f>IF(DG!$A$134&gt;12,0,IF(J152-J151&gt;0,MROUND((L152/12*Q151),1),MROUND(L152/12*P151,1)))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IF(OR(L$73=0,DG!$A$255&gt;16),0,F152+1)</f>
        <v>0</v>
      </c>
      <c r="G153" s="65">
        <f t="shared" si="19"/>
        <v>0</v>
      </c>
      <c r="H153" s="65">
        <f t="shared" si="35"/>
        <v>0</v>
      </c>
      <c r="I153" s="65">
        <f t="shared" si="31"/>
        <v>0</v>
      </c>
      <c r="J153" s="203">
        <f>IF(DG!$A$134&lt;=11,$M$17,0)</f>
        <v>0</v>
      </c>
      <c r="K153" s="65">
        <f t="shared" si="36"/>
        <v>0</v>
      </c>
      <c r="L153" s="473">
        <f t="shared" si="25"/>
        <v>0</v>
      </c>
      <c r="M153" s="204">
        <f t="shared" si="26"/>
        <v>0</v>
      </c>
      <c r="N153" s="505">
        <f t="shared" si="27"/>
        <v>0</v>
      </c>
      <c r="O153" s="204">
        <f>IF(DG!$A$134&gt;12,0,IF(J153-J152&gt;0,MROUND((L153/12*Q152),1),MROUND(L153/12*P152,1)))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IF(OR(L$73=0,DG!$A$255&gt;16),0,F153+1)</f>
        <v>0</v>
      </c>
      <c r="G154" s="65">
        <f t="shared" ref="G154:G217" si="38">IF(E154=0,0,IF(D154-E154-F154&gt;=0,1,0))</f>
        <v>0</v>
      </c>
      <c r="H154" s="65">
        <f t="shared" si="35"/>
        <v>0</v>
      </c>
      <c r="I154" s="65">
        <f t="shared" si="31"/>
        <v>0</v>
      </c>
      <c r="J154" s="203">
        <f>IF(DG!$A$134&lt;=11,$M$17,0)</f>
        <v>0</v>
      </c>
      <c r="K154" s="65">
        <f t="shared" si="36"/>
        <v>0</v>
      </c>
      <c r="L154" s="473">
        <f t="shared" si="25"/>
        <v>0</v>
      </c>
      <c r="M154" s="204">
        <f t="shared" si="26"/>
        <v>0</v>
      </c>
      <c r="N154" s="505">
        <f t="shared" si="27"/>
        <v>0</v>
      </c>
      <c r="O154" s="204">
        <f>IF(DG!$A$134&gt;12,0,IF(J154-J153&gt;0,MROUND((L154/12*Q153),1),MROUND(L154/12*P153,1)))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IF(OR(L$73=0,DG!$A$255&gt;16),0,F154+1)</f>
        <v>0</v>
      </c>
      <c r="G155" s="65">
        <f t="shared" si="38"/>
        <v>0</v>
      </c>
      <c r="H155" s="65">
        <f t="shared" si="35"/>
        <v>0</v>
      </c>
      <c r="I155" s="65">
        <f t="shared" si="31"/>
        <v>0</v>
      </c>
      <c r="J155" s="203">
        <f>IF(DG!$A$134&lt;=11,$M$17,0)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IF(DG!$A$134&gt;12,0,IF(J155-J154&gt;0,MROUND((L155/12*Q154),1),MROUND(L155/12*P154,1)))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IF(OR(L$73=0,DG!$A$255&gt;16),0,F155+1)</f>
        <v>0</v>
      </c>
      <c r="G156" s="65">
        <f t="shared" si="38"/>
        <v>0</v>
      </c>
      <c r="H156" s="65">
        <f t="shared" si="35"/>
        <v>0</v>
      </c>
      <c r="I156" s="65">
        <f t="shared" si="31"/>
        <v>0</v>
      </c>
      <c r="J156" s="203">
        <f>IF(DG!$A$134&lt;=11,$M$17,0)</f>
        <v>0</v>
      </c>
      <c r="K156" s="65">
        <f t="shared" si="36"/>
        <v>0</v>
      </c>
      <c r="L156" s="473">
        <f t="shared" si="42"/>
        <v>0</v>
      </c>
      <c r="M156" s="204">
        <f t="shared" si="43"/>
        <v>0</v>
      </c>
      <c r="N156" s="505">
        <f t="shared" si="44"/>
        <v>0</v>
      </c>
      <c r="O156" s="204">
        <f>IF(DG!$A$134&gt;12,0,IF(J156-J155&gt;0,MROUND((L156/12*Q155),1),MROUND(L156/12*P155,1)))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IF(OR(L$73=0,DG!$A$255&gt;16),0,F156+1)</f>
        <v>0</v>
      </c>
      <c r="G157" s="65">
        <f t="shared" si="38"/>
        <v>0</v>
      </c>
      <c r="H157" s="65">
        <f t="shared" si="35"/>
        <v>0</v>
      </c>
      <c r="I157" s="65">
        <f t="shared" si="31"/>
        <v>0</v>
      </c>
      <c r="J157" s="203">
        <f>IF(DG!$A$134&lt;=11,$M$17,0)</f>
        <v>0</v>
      </c>
      <c r="K157" s="65">
        <f t="shared" si="36"/>
        <v>0</v>
      </c>
      <c r="L157" s="473">
        <f t="shared" si="42"/>
        <v>0</v>
      </c>
      <c r="M157" s="204">
        <f t="shared" si="43"/>
        <v>0</v>
      </c>
      <c r="N157" s="505">
        <f t="shared" si="44"/>
        <v>0</v>
      </c>
      <c r="O157" s="204">
        <f>IF(DG!$A$134&gt;12,0,IF(J157-J156&gt;0,MROUND((L157/12*Q156),1),MROUND(L157/12*P156,1)))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IF(OR(L$73=0,DG!$A$255&gt;16),0,F157+1)</f>
        <v>0</v>
      </c>
      <c r="G158" s="65">
        <f t="shared" si="38"/>
        <v>0</v>
      </c>
      <c r="H158" s="65">
        <f t="shared" si="35"/>
        <v>0</v>
      </c>
      <c r="I158" s="65">
        <f t="shared" si="31"/>
        <v>0</v>
      </c>
      <c r="J158" s="203">
        <f>IF(DG!$A$134&lt;=11,$M$17,0)</f>
        <v>0</v>
      </c>
      <c r="K158" s="65">
        <f t="shared" si="36"/>
        <v>0</v>
      </c>
      <c r="L158" s="473">
        <f t="shared" si="42"/>
        <v>0</v>
      </c>
      <c r="M158" s="204">
        <f t="shared" si="43"/>
        <v>0</v>
      </c>
      <c r="N158" s="505">
        <f t="shared" si="44"/>
        <v>0</v>
      </c>
      <c r="O158" s="204">
        <f>IF(DG!$A$134&gt;12,0,IF(J158-J157&gt;0,MROUND((L158/12*Q157),1),MROUND(L158/12*P157,1)))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IF(OR(L$73=0,DG!$A$255&gt;16),0,F158+1)</f>
        <v>0</v>
      </c>
      <c r="G159" s="65">
        <f t="shared" si="38"/>
        <v>0</v>
      </c>
      <c r="H159" s="65">
        <f t="shared" si="35"/>
        <v>0</v>
      </c>
      <c r="I159" s="65">
        <f t="shared" si="31"/>
        <v>0</v>
      </c>
      <c r="J159" s="203">
        <f>IF(DG!$A$134&lt;=11,$M$17,0)</f>
        <v>0</v>
      </c>
      <c r="K159" s="65">
        <f t="shared" si="36"/>
        <v>0</v>
      </c>
      <c r="L159" s="473">
        <f t="shared" si="42"/>
        <v>0</v>
      </c>
      <c r="M159" s="204">
        <f t="shared" si="43"/>
        <v>0</v>
      </c>
      <c r="N159" s="505">
        <f t="shared" si="44"/>
        <v>0</v>
      </c>
      <c r="O159" s="204">
        <f>IF(DG!$A$134&gt;12,0,IF(J159-J158&gt;0,MROUND((L159/12*Q158),1),MROUND(L159/12*P158,1)))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IF(OR(L$73=0,DG!$A$255&gt;16),0,F159+1)</f>
        <v>0</v>
      </c>
      <c r="G160" s="65">
        <f t="shared" si="38"/>
        <v>0</v>
      </c>
      <c r="H160" s="65">
        <f t="shared" si="35"/>
        <v>0</v>
      </c>
      <c r="I160" s="65">
        <f t="shared" si="31"/>
        <v>0</v>
      </c>
      <c r="J160" s="203">
        <f>IF(DG!$A$134&lt;=11,$M$17,0)</f>
        <v>0</v>
      </c>
      <c r="K160" s="65">
        <f t="shared" si="36"/>
        <v>0</v>
      </c>
      <c r="L160" s="473">
        <f t="shared" si="42"/>
        <v>0</v>
      </c>
      <c r="M160" s="204">
        <f t="shared" si="43"/>
        <v>0</v>
      </c>
      <c r="N160" s="505">
        <f t="shared" si="44"/>
        <v>0</v>
      </c>
      <c r="O160" s="204">
        <f>IF(DG!$A$134&gt;12,0,IF(J160-J159&gt;0,MROUND((L160/12*Q159),1),MROUND(L160/12*P159,1)))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IF(OR(L$73=0,DG!$A$255&gt;16),0,F160+1)</f>
        <v>0</v>
      </c>
      <c r="G161" s="65">
        <f t="shared" si="38"/>
        <v>0</v>
      </c>
      <c r="H161" s="65">
        <f t="shared" si="35"/>
        <v>0</v>
      </c>
      <c r="I161" s="65">
        <f t="shared" si="31"/>
        <v>0</v>
      </c>
      <c r="J161" s="203">
        <f>IF(DG!$A$134&lt;=11,$M$17,0)</f>
        <v>0</v>
      </c>
      <c r="K161" s="65">
        <f t="shared" si="36"/>
        <v>0</v>
      </c>
      <c r="L161" s="473">
        <f t="shared" si="42"/>
        <v>0</v>
      </c>
      <c r="M161" s="204">
        <f t="shared" si="43"/>
        <v>0</v>
      </c>
      <c r="N161" s="505">
        <f t="shared" si="44"/>
        <v>0</v>
      </c>
      <c r="O161" s="204">
        <f>IF(DG!$A$134&gt;12,0,IF(J161-J160&gt;0,MROUND((L161/12*Q160),1),MROUND(L161/12*P160,1)))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IF(OR(L$73=0,DG!$A$255&gt;16),0,F161+1)</f>
        <v>0</v>
      </c>
      <c r="G162" s="65">
        <f t="shared" si="38"/>
        <v>0</v>
      </c>
      <c r="H162" s="65">
        <f t="shared" si="35"/>
        <v>0</v>
      </c>
      <c r="I162" s="65">
        <f t="shared" si="31"/>
        <v>0</v>
      </c>
      <c r="J162" s="203">
        <f>IF(DG!$A$134&lt;=11,$M$17,0)</f>
        <v>0</v>
      </c>
      <c r="K162" s="65">
        <f t="shared" si="36"/>
        <v>0</v>
      </c>
      <c r="L162" s="473">
        <f t="shared" si="42"/>
        <v>0</v>
      </c>
      <c r="M162" s="204">
        <f t="shared" si="43"/>
        <v>0</v>
      </c>
      <c r="N162" s="505">
        <f t="shared" si="44"/>
        <v>0</v>
      </c>
      <c r="O162" s="204">
        <f>IF(DG!$A$134&gt;12,0,IF(J162-J161&gt;0,MROUND((L162/12*Q161),1),MROUND(L162/12*P161,1)))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IF(OR(L$73=0,DG!$A$255&gt;16),0,F162+1)</f>
        <v>0</v>
      </c>
      <c r="G163" s="65">
        <f t="shared" si="38"/>
        <v>0</v>
      </c>
      <c r="H163" s="65">
        <f t="shared" si="35"/>
        <v>0</v>
      </c>
      <c r="I163" s="65">
        <f t="shared" si="31"/>
        <v>0</v>
      </c>
      <c r="J163" s="203">
        <f>IF(DG!$A$134&lt;=11,$M$17,0)</f>
        <v>0</v>
      </c>
      <c r="K163" s="65">
        <f t="shared" si="36"/>
        <v>0</v>
      </c>
      <c r="L163" s="473">
        <f t="shared" si="42"/>
        <v>0</v>
      </c>
      <c r="M163" s="204">
        <f t="shared" si="43"/>
        <v>0</v>
      </c>
      <c r="N163" s="505">
        <f t="shared" si="44"/>
        <v>0</v>
      </c>
      <c r="O163" s="204">
        <f>IF(DG!$A$134&gt;12,0,IF(J163-J162&gt;0,MROUND((L163/12*Q162),1),MROUND(L163/12*P162,1)))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IF(OR(L$73=0,DG!$A$255&gt;16),0,F163+1)</f>
        <v>0</v>
      </c>
      <c r="G164" s="65">
        <f t="shared" si="38"/>
        <v>0</v>
      </c>
      <c r="H164" s="65">
        <f t="shared" si="35"/>
        <v>0</v>
      </c>
      <c r="I164" s="65">
        <f t="shared" si="31"/>
        <v>0</v>
      </c>
      <c r="J164" s="203">
        <f>IF(DG!$A$134&lt;=11,$M$17,0)</f>
        <v>0</v>
      </c>
      <c r="K164" s="65">
        <f t="shared" si="36"/>
        <v>0</v>
      </c>
      <c r="L164" s="473">
        <f t="shared" si="42"/>
        <v>0</v>
      </c>
      <c r="M164" s="204">
        <f t="shared" si="43"/>
        <v>0</v>
      </c>
      <c r="N164" s="505">
        <f t="shared" si="44"/>
        <v>0</v>
      </c>
      <c r="O164" s="204">
        <f>IF(DG!$A$134&gt;12,0,IF(J164-J163&gt;0,MROUND((L164/12*Q163),1),MROUND(L164/12*P163,1)))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IF(OR(L$73=0,DG!$A$255&gt;16),0,F164+1)</f>
        <v>0</v>
      </c>
      <c r="G165" s="65">
        <f t="shared" si="38"/>
        <v>0</v>
      </c>
      <c r="H165" s="65">
        <f t="shared" si="35"/>
        <v>0</v>
      </c>
      <c r="I165" s="65">
        <f t="shared" si="31"/>
        <v>0</v>
      </c>
      <c r="J165" s="203">
        <f>IF(DG!$A$134&lt;=11,$M$17,0)</f>
        <v>0</v>
      </c>
      <c r="K165" s="65">
        <f t="shared" si="36"/>
        <v>0</v>
      </c>
      <c r="L165" s="473">
        <f t="shared" si="42"/>
        <v>0</v>
      </c>
      <c r="M165" s="204">
        <f t="shared" si="43"/>
        <v>0</v>
      </c>
      <c r="N165" s="505">
        <f t="shared" si="44"/>
        <v>0</v>
      </c>
      <c r="O165" s="204">
        <f>IF(DG!$A$134&gt;12,0,IF(J165-J164&gt;0,MROUND((L165/12*Q164),1),MROUND(L165/12*P164,1)))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IF(OR(L$73=0,DG!$A$255&gt;16),0,F165+1)</f>
        <v>0</v>
      </c>
      <c r="G166" s="65">
        <f t="shared" si="38"/>
        <v>0</v>
      </c>
      <c r="H166" s="65">
        <f t="shared" si="35"/>
        <v>0</v>
      </c>
      <c r="I166" s="65">
        <f t="shared" si="31"/>
        <v>0</v>
      </c>
      <c r="J166" s="203">
        <f>IF(DG!$A$134&lt;=11,$M$17,0)</f>
        <v>0</v>
      </c>
      <c r="K166" s="65">
        <f t="shared" si="36"/>
        <v>0</v>
      </c>
      <c r="L166" s="473">
        <f t="shared" si="42"/>
        <v>0</v>
      </c>
      <c r="M166" s="204">
        <f t="shared" si="43"/>
        <v>0</v>
      </c>
      <c r="N166" s="505">
        <f t="shared" si="44"/>
        <v>0</v>
      </c>
      <c r="O166" s="204">
        <f>IF(DG!$A$134&gt;12,0,IF(J166-J165&gt;0,MROUND((L166/12*Q165),1),MROUND(L166/12*P165,1)))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IF(OR(L$73=0,DG!$A$255&gt;16),0,F166+1)</f>
        <v>0</v>
      </c>
      <c r="G167" s="65">
        <f t="shared" si="38"/>
        <v>0</v>
      </c>
      <c r="H167" s="65">
        <f t="shared" si="35"/>
        <v>0</v>
      </c>
      <c r="I167" s="65">
        <f t="shared" si="31"/>
        <v>0</v>
      </c>
      <c r="J167" s="203">
        <f>IF(DG!$A$134&lt;=11,$M$17,0)</f>
        <v>0</v>
      </c>
      <c r="K167" s="65">
        <f t="shared" si="36"/>
        <v>0</v>
      </c>
      <c r="L167" s="473">
        <f t="shared" si="42"/>
        <v>0</v>
      </c>
      <c r="M167" s="204">
        <f t="shared" si="43"/>
        <v>0</v>
      </c>
      <c r="N167" s="505">
        <f t="shared" si="44"/>
        <v>0</v>
      </c>
      <c r="O167" s="204">
        <f>IF(DG!$A$134&gt;12,0,IF(J167-J166&gt;0,MROUND((L167/12*Q166),1),MROUND(L167/12*P166,1)))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IF(OR(L$73=0,DG!$A$255&gt;16),0,F167+1)</f>
        <v>0</v>
      </c>
      <c r="G168" s="65">
        <f t="shared" si="38"/>
        <v>0</v>
      </c>
      <c r="H168" s="65">
        <f t="shared" si="35"/>
        <v>0</v>
      </c>
      <c r="I168" s="65">
        <f t="shared" si="31"/>
        <v>0</v>
      </c>
      <c r="J168" s="203">
        <f>IF(DG!$A$134&lt;=11,$M$17,0)</f>
        <v>0</v>
      </c>
      <c r="K168" s="65">
        <f t="shared" si="36"/>
        <v>0</v>
      </c>
      <c r="L168" s="473">
        <f t="shared" si="42"/>
        <v>0</v>
      </c>
      <c r="M168" s="204">
        <f t="shared" si="43"/>
        <v>0</v>
      </c>
      <c r="N168" s="505">
        <f t="shared" si="44"/>
        <v>0</v>
      </c>
      <c r="O168" s="204">
        <f>IF(DG!$A$134&gt;12,0,IF(J168-J167&gt;0,MROUND((L168/12*Q167),1),MROUND(L168/12*P167,1)))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IF(OR(L$73=0,DG!$A$255&gt;16),0,F168+1)</f>
        <v>0</v>
      </c>
      <c r="G169" s="65">
        <f t="shared" si="38"/>
        <v>0</v>
      </c>
      <c r="H169" s="65">
        <f t="shared" si="35"/>
        <v>0</v>
      </c>
      <c r="I169" s="65">
        <f t="shared" si="31"/>
        <v>0</v>
      </c>
      <c r="J169" s="203">
        <f>IF(DG!$A$134&lt;=11,$M$17,0)</f>
        <v>0</v>
      </c>
      <c r="K169" s="65">
        <f t="shared" si="36"/>
        <v>0</v>
      </c>
      <c r="L169" s="473">
        <f t="shared" si="42"/>
        <v>0</v>
      </c>
      <c r="M169" s="204">
        <f t="shared" si="43"/>
        <v>0</v>
      </c>
      <c r="N169" s="505">
        <f t="shared" si="44"/>
        <v>0</v>
      </c>
      <c r="O169" s="204">
        <f>IF(DG!$A$134&gt;12,0,IF(J169-J168&gt;0,MROUND((L169/12*Q168),1),MROUND(L169/12*P168,1)))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IF(OR(L$73=0,DG!$A$255&gt;16),0,F169+1)</f>
        <v>0</v>
      </c>
      <c r="G170" s="65">
        <f t="shared" si="38"/>
        <v>0</v>
      </c>
      <c r="H170" s="65">
        <f t="shared" si="35"/>
        <v>0</v>
      </c>
      <c r="I170" s="65">
        <f t="shared" si="31"/>
        <v>0</v>
      </c>
      <c r="J170" s="203">
        <f>IF(DG!$A$134&lt;=11,$M$17,0)</f>
        <v>0</v>
      </c>
      <c r="K170" s="65">
        <f t="shared" si="36"/>
        <v>0</v>
      </c>
      <c r="L170" s="473">
        <f t="shared" si="42"/>
        <v>0</v>
      </c>
      <c r="M170" s="204">
        <f t="shared" si="43"/>
        <v>0</v>
      </c>
      <c r="N170" s="505">
        <f t="shared" si="44"/>
        <v>0</v>
      </c>
      <c r="O170" s="204">
        <f>IF(DG!$A$134&gt;12,0,IF(J170-J169&gt;0,MROUND((L170/12*Q169),1),MROUND(L170/12*P169,1)))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IF(OR(L$73=0,DG!$A$255&gt;16),0,F170+1)</f>
        <v>0</v>
      </c>
      <c r="G171" s="65">
        <f t="shared" si="38"/>
        <v>0</v>
      </c>
      <c r="H171" s="65">
        <f t="shared" si="35"/>
        <v>0</v>
      </c>
      <c r="I171" s="65">
        <f t="shared" si="31"/>
        <v>0</v>
      </c>
      <c r="J171" s="203">
        <f>IF(DG!$A$134&lt;=11,$M$17,0)</f>
        <v>0</v>
      </c>
      <c r="K171" s="65">
        <f t="shared" si="36"/>
        <v>0</v>
      </c>
      <c r="L171" s="473">
        <f t="shared" si="42"/>
        <v>0</v>
      </c>
      <c r="M171" s="204">
        <f t="shared" si="43"/>
        <v>0</v>
      </c>
      <c r="N171" s="505">
        <f t="shared" si="44"/>
        <v>0</v>
      </c>
      <c r="O171" s="204">
        <f>IF(DG!$A$134&gt;12,0,IF(J171-J170&gt;0,MROUND((L171/12*Q170),1),MROUND(L171/12*P170,1)))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IF(OR(L$73=0,DG!$A$255&gt;16),0,F171+1)</f>
        <v>0</v>
      </c>
      <c r="G172" s="65">
        <f t="shared" si="38"/>
        <v>0</v>
      </c>
      <c r="H172" s="65">
        <f t="shared" si="35"/>
        <v>0</v>
      </c>
      <c r="I172" s="65">
        <f t="shared" si="31"/>
        <v>0</v>
      </c>
      <c r="J172" s="203">
        <f>IF(DG!$A$134&lt;=11,$M$17,0)</f>
        <v>0</v>
      </c>
      <c r="K172" s="65">
        <f t="shared" si="36"/>
        <v>0</v>
      </c>
      <c r="L172" s="473">
        <f t="shared" si="42"/>
        <v>0</v>
      </c>
      <c r="M172" s="204">
        <f t="shared" si="43"/>
        <v>0</v>
      </c>
      <c r="N172" s="505">
        <f t="shared" si="44"/>
        <v>0</v>
      </c>
      <c r="O172" s="204">
        <f>IF(DG!$A$134&gt;12,0,IF(J172-J171&gt;0,MROUND((L172/12*Q171),1),MROUND(L172/12*P171,1)))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IF(OR(L$73=0,DG!$A$255&gt;16),0,F172+1)</f>
        <v>0</v>
      </c>
      <c r="G173" s="65">
        <f t="shared" si="38"/>
        <v>0</v>
      </c>
      <c r="H173" s="65">
        <f t="shared" si="35"/>
        <v>0</v>
      </c>
      <c r="I173" s="65">
        <f t="shared" si="31"/>
        <v>0</v>
      </c>
      <c r="J173" s="203">
        <f>IF(DG!$A$134&lt;=11,$M$17,0)</f>
        <v>0</v>
      </c>
      <c r="K173" s="65">
        <f t="shared" si="36"/>
        <v>0</v>
      </c>
      <c r="L173" s="473">
        <f t="shared" si="42"/>
        <v>0</v>
      </c>
      <c r="M173" s="204">
        <f t="shared" si="43"/>
        <v>0</v>
      </c>
      <c r="N173" s="505">
        <f t="shared" si="44"/>
        <v>0</v>
      </c>
      <c r="O173" s="204">
        <f>IF(DG!$A$134&gt;12,0,IF(J173-J172&gt;0,MROUND((L173/12*Q172),1),MROUND(L173/12*P172,1)))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IF(OR(L$73=0,DG!$A$255&gt;16),0,F173+1)</f>
        <v>0</v>
      </c>
      <c r="G174" s="65">
        <f t="shared" si="38"/>
        <v>0</v>
      </c>
      <c r="H174" s="65">
        <f t="shared" si="35"/>
        <v>0</v>
      </c>
      <c r="I174" s="65">
        <f t="shared" si="31"/>
        <v>0</v>
      </c>
      <c r="J174" s="203">
        <f>IF(DG!$A$134&lt;=11,$M$17,0)</f>
        <v>0</v>
      </c>
      <c r="K174" s="65">
        <f t="shared" si="36"/>
        <v>0</v>
      </c>
      <c r="L174" s="473">
        <f t="shared" si="42"/>
        <v>0</v>
      </c>
      <c r="M174" s="204">
        <f t="shared" si="43"/>
        <v>0</v>
      </c>
      <c r="N174" s="505">
        <f t="shared" si="44"/>
        <v>0</v>
      </c>
      <c r="O174" s="204">
        <f>IF(DG!$A$134&gt;12,0,IF(J174-J173&gt;0,MROUND((L174/12*Q173),1),MROUND(L174/12*P173,1)))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IF(OR(L$73=0,DG!$A$255&gt;16),0,F174+1)</f>
        <v>0</v>
      </c>
      <c r="G175" s="65">
        <f t="shared" si="38"/>
        <v>0</v>
      </c>
      <c r="H175" s="65">
        <f t="shared" si="35"/>
        <v>0</v>
      </c>
      <c r="I175" s="65">
        <f t="shared" si="31"/>
        <v>0</v>
      </c>
      <c r="J175" s="203">
        <f>IF(DG!$A$134&lt;=11,$M$17,0)</f>
        <v>0</v>
      </c>
      <c r="K175" s="65">
        <f t="shared" si="36"/>
        <v>0</v>
      </c>
      <c r="L175" s="473">
        <f t="shared" si="42"/>
        <v>0</v>
      </c>
      <c r="M175" s="204">
        <f t="shared" si="43"/>
        <v>0</v>
      </c>
      <c r="N175" s="505">
        <f t="shared" si="44"/>
        <v>0</v>
      </c>
      <c r="O175" s="204">
        <f>IF(DG!$A$134&gt;12,0,IF(J175-J174&gt;0,MROUND((L175/12*Q174),1),MROUND(L175/12*P174,1)))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IF(OR(L$73=0,DG!$A$255&gt;16),0,F175+1)</f>
        <v>0</v>
      </c>
      <c r="G176" s="65">
        <f t="shared" si="38"/>
        <v>0</v>
      </c>
      <c r="H176" s="65">
        <f t="shared" si="35"/>
        <v>0</v>
      </c>
      <c r="I176" s="65">
        <f t="shared" si="31"/>
        <v>0</v>
      </c>
      <c r="J176" s="203">
        <f>IF(DG!$A$134&lt;=11,$M$17,0)</f>
        <v>0</v>
      </c>
      <c r="K176" s="65">
        <f t="shared" si="36"/>
        <v>0</v>
      </c>
      <c r="L176" s="473">
        <f t="shared" si="42"/>
        <v>0</v>
      </c>
      <c r="M176" s="204">
        <f t="shared" si="43"/>
        <v>0</v>
      </c>
      <c r="N176" s="505">
        <f t="shared" si="44"/>
        <v>0</v>
      </c>
      <c r="O176" s="204">
        <f>IF(DG!$A$134&gt;12,0,IF(J176-J175&gt;0,MROUND((L176/12*Q175),1),MROUND(L176/12*P175,1)))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IF(OR(L$73=0,DG!$A$255&gt;16),0,F176+1)</f>
        <v>0</v>
      </c>
      <c r="G177" s="65">
        <f t="shared" si="38"/>
        <v>0</v>
      </c>
      <c r="H177" s="65">
        <f t="shared" si="35"/>
        <v>0</v>
      </c>
      <c r="I177" s="65">
        <f t="shared" si="31"/>
        <v>0</v>
      </c>
      <c r="J177" s="203">
        <f>IF(DG!$A$134&lt;=11,$M$17,0)</f>
        <v>0</v>
      </c>
      <c r="K177" s="65">
        <f t="shared" si="36"/>
        <v>0</v>
      </c>
      <c r="L177" s="473">
        <f t="shared" si="42"/>
        <v>0</v>
      </c>
      <c r="M177" s="204">
        <f t="shared" si="43"/>
        <v>0</v>
      </c>
      <c r="N177" s="505">
        <f t="shared" si="44"/>
        <v>0</v>
      </c>
      <c r="O177" s="204">
        <f>IF(DG!$A$134&gt;12,0,IF(J177-J176&gt;0,MROUND((L177/12*Q176),1),MROUND(L177/12*P176,1)))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IF(OR(L$73=0,DG!$A$255&gt;16),0,F177+1)</f>
        <v>0</v>
      </c>
      <c r="G178" s="65">
        <f t="shared" si="38"/>
        <v>0</v>
      </c>
      <c r="H178" s="65">
        <f t="shared" si="35"/>
        <v>0</v>
      </c>
      <c r="I178" s="65">
        <f t="shared" si="31"/>
        <v>0</v>
      </c>
      <c r="J178" s="203">
        <f>IF(DG!$A$134&lt;=11,$M$17,0)</f>
        <v>0</v>
      </c>
      <c r="K178" s="65">
        <f t="shared" si="36"/>
        <v>0</v>
      </c>
      <c r="L178" s="473">
        <f t="shared" si="42"/>
        <v>0</v>
      </c>
      <c r="M178" s="204">
        <f t="shared" si="43"/>
        <v>0</v>
      </c>
      <c r="N178" s="505">
        <f t="shared" si="44"/>
        <v>0</v>
      </c>
      <c r="O178" s="204">
        <f>IF(DG!$A$134&gt;12,0,IF(J178-J177&gt;0,MROUND((L178/12*Q177),1),MROUND(L178/12*P177,1)))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IF(OR(L$73=0,DG!$A$255&gt;16),0,F178+1)</f>
        <v>0</v>
      </c>
      <c r="G179" s="65">
        <f t="shared" si="38"/>
        <v>0</v>
      </c>
      <c r="H179" s="65">
        <f t="shared" si="35"/>
        <v>0</v>
      </c>
      <c r="I179" s="65">
        <f t="shared" si="31"/>
        <v>0</v>
      </c>
      <c r="J179" s="203">
        <f>IF(DG!$A$134&lt;=11,$M$17,0)</f>
        <v>0</v>
      </c>
      <c r="K179" s="65">
        <f t="shared" si="36"/>
        <v>0</v>
      </c>
      <c r="L179" s="473">
        <f t="shared" si="42"/>
        <v>0</v>
      </c>
      <c r="M179" s="204">
        <f t="shared" si="43"/>
        <v>0</v>
      </c>
      <c r="N179" s="505">
        <f t="shared" si="44"/>
        <v>0</v>
      </c>
      <c r="O179" s="204">
        <f>IF(DG!$A$134&gt;12,0,IF(J179-J178&gt;0,MROUND((L179/12*Q178),1),MROUND(L179/12*P178,1)))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IF(OR(L$73=0,DG!$A$255&gt;16),0,F179+1)</f>
        <v>0</v>
      </c>
      <c r="G180" s="65">
        <f t="shared" si="38"/>
        <v>0</v>
      </c>
      <c r="H180" s="65">
        <f t="shared" si="35"/>
        <v>0</v>
      </c>
      <c r="I180" s="65">
        <f t="shared" si="31"/>
        <v>0</v>
      </c>
      <c r="J180" s="203">
        <f>IF(DG!$A$134&lt;=11,$M$17,0)</f>
        <v>0</v>
      </c>
      <c r="K180" s="65">
        <f t="shared" si="36"/>
        <v>0</v>
      </c>
      <c r="L180" s="473">
        <f t="shared" si="42"/>
        <v>0</v>
      </c>
      <c r="M180" s="204">
        <f t="shared" si="43"/>
        <v>0</v>
      </c>
      <c r="N180" s="505">
        <f t="shared" si="44"/>
        <v>0</v>
      </c>
      <c r="O180" s="204">
        <f>IF(DG!$A$134&gt;12,0,IF(J180-J179&gt;0,MROUND((L180/12*Q179),1),MROUND(L180/12*P179,1)))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IF(OR(L$73=0,DG!$A$255&gt;16),0,F180+1)</f>
        <v>0</v>
      </c>
      <c r="G181" s="65">
        <f t="shared" si="38"/>
        <v>0</v>
      </c>
      <c r="H181" s="65">
        <f t="shared" si="35"/>
        <v>0</v>
      </c>
      <c r="I181" s="65">
        <f t="shared" si="31"/>
        <v>0</v>
      </c>
      <c r="J181" s="203">
        <f>IF(DG!$A$134&lt;=11,$M$17,0)</f>
        <v>0</v>
      </c>
      <c r="K181" s="65">
        <f t="shared" si="36"/>
        <v>0</v>
      </c>
      <c r="L181" s="473">
        <f t="shared" si="42"/>
        <v>0</v>
      </c>
      <c r="M181" s="204">
        <f t="shared" si="43"/>
        <v>0</v>
      </c>
      <c r="N181" s="505">
        <f t="shared" si="44"/>
        <v>0</v>
      </c>
      <c r="O181" s="204">
        <f>IF(DG!$A$134&gt;12,0,IF(J181-J180&gt;0,MROUND((L181/12*Q180),1),MROUND(L181/12*P180,1)))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IF(OR(L$73=0,DG!$A$255&gt;16),0,F181+1)</f>
        <v>0</v>
      </c>
      <c r="G182" s="65">
        <f t="shared" si="38"/>
        <v>0</v>
      </c>
      <c r="H182" s="65">
        <f t="shared" si="35"/>
        <v>0</v>
      </c>
      <c r="I182" s="65">
        <f t="shared" si="31"/>
        <v>0</v>
      </c>
      <c r="J182" s="203">
        <f>IF(DG!$A$134&lt;=11,$M$17,0)</f>
        <v>0</v>
      </c>
      <c r="K182" s="65">
        <f t="shared" si="36"/>
        <v>0</v>
      </c>
      <c r="L182" s="473">
        <f t="shared" si="42"/>
        <v>0</v>
      </c>
      <c r="M182" s="204">
        <f t="shared" si="43"/>
        <v>0</v>
      </c>
      <c r="N182" s="505">
        <f t="shared" si="44"/>
        <v>0</v>
      </c>
      <c r="O182" s="204">
        <f>IF(DG!$A$134&gt;12,0,IF(J182-J181&gt;0,MROUND((L182/12*Q181),1),MROUND(L182/12*P181,1)))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IF(OR(L$73=0,DG!$A$255&gt;16),0,F182+1)</f>
        <v>0</v>
      </c>
      <c r="G183" s="65">
        <f t="shared" si="38"/>
        <v>0</v>
      </c>
      <c r="H183" s="65">
        <f t="shared" si="35"/>
        <v>0</v>
      </c>
      <c r="I183" s="65">
        <f t="shared" si="31"/>
        <v>0</v>
      </c>
      <c r="J183" s="203">
        <f>IF(DG!$A$134&lt;=11,$M$17,0)</f>
        <v>0</v>
      </c>
      <c r="K183" s="65">
        <f t="shared" si="36"/>
        <v>0</v>
      </c>
      <c r="L183" s="473">
        <f t="shared" si="42"/>
        <v>0</v>
      </c>
      <c r="M183" s="204">
        <f t="shared" si="43"/>
        <v>0</v>
      </c>
      <c r="N183" s="505">
        <f t="shared" si="44"/>
        <v>0</v>
      </c>
      <c r="O183" s="204">
        <f>IF(DG!$A$134&gt;12,0,IF(J183-J182&gt;0,MROUND((L183/12*Q182),1),MROUND(L183/12*P182,1)))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IF(OR(L$73=0,DG!$A$255&gt;16),0,F183+1)</f>
        <v>0</v>
      </c>
      <c r="G184" s="65">
        <f t="shared" si="38"/>
        <v>0</v>
      </c>
      <c r="H184" s="65">
        <f t="shared" si="35"/>
        <v>0</v>
      </c>
      <c r="I184" s="65">
        <f t="shared" si="31"/>
        <v>0</v>
      </c>
      <c r="J184" s="203">
        <f>IF(DG!$A$134&lt;=11,$M$17,0)</f>
        <v>0</v>
      </c>
      <c r="K184" s="65">
        <f t="shared" si="36"/>
        <v>0</v>
      </c>
      <c r="L184" s="473">
        <f t="shared" si="42"/>
        <v>0</v>
      </c>
      <c r="M184" s="204">
        <f t="shared" si="43"/>
        <v>0</v>
      </c>
      <c r="N184" s="505">
        <f t="shared" si="44"/>
        <v>0</v>
      </c>
      <c r="O184" s="204">
        <f>IF(DG!$A$134&gt;12,0,IF(J184-J183&gt;0,MROUND((L184/12*Q183),1),MROUND(L184/12*P183,1)))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IF(OR(L$73=0,DG!$A$255&gt;16),0,F184+1)</f>
        <v>0</v>
      </c>
      <c r="G185" s="65">
        <f t="shared" si="38"/>
        <v>0</v>
      </c>
      <c r="H185" s="65">
        <f t="shared" si="35"/>
        <v>0</v>
      </c>
      <c r="I185" s="65">
        <f t="shared" si="31"/>
        <v>0</v>
      </c>
      <c r="J185" s="203">
        <f>IF(DG!$A$134&lt;=11,$M$17,0)</f>
        <v>0</v>
      </c>
      <c r="K185" s="65">
        <f t="shared" si="36"/>
        <v>0</v>
      </c>
      <c r="L185" s="473">
        <f t="shared" si="42"/>
        <v>0</v>
      </c>
      <c r="M185" s="204">
        <f t="shared" si="43"/>
        <v>0</v>
      </c>
      <c r="N185" s="505">
        <f t="shared" si="44"/>
        <v>0</v>
      </c>
      <c r="O185" s="204">
        <f>IF(DG!$A$134&gt;12,0,IF(J185-J184&gt;0,MROUND((L185/12*Q184),1),MROUND(L185/12*P184,1)))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IF(OR(L$73=0,DG!$A$255&gt;16),0,F185+1)</f>
        <v>0</v>
      </c>
      <c r="G186" s="65">
        <f t="shared" si="38"/>
        <v>0</v>
      </c>
      <c r="H186" s="65">
        <f t="shared" si="35"/>
        <v>0</v>
      </c>
      <c r="I186" s="65">
        <f t="shared" si="31"/>
        <v>0</v>
      </c>
      <c r="J186" s="203">
        <f>IF(DG!$A$134&lt;=11,$M$17,0)</f>
        <v>0</v>
      </c>
      <c r="K186" s="65">
        <f t="shared" si="36"/>
        <v>0</v>
      </c>
      <c r="L186" s="473">
        <f t="shared" si="42"/>
        <v>0</v>
      </c>
      <c r="M186" s="204">
        <f t="shared" si="43"/>
        <v>0</v>
      </c>
      <c r="N186" s="505">
        <f t="shared" si="44"/>
        <v>0</v>
      </c>
      <c r="O186" s="204">
        <f>IF(DG!$A$134&gt;12,0,IF(J186-J185&gt;0,MROUND((L186/12*Q185),1),MROUND(L186/12*P185,1)))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IF(OR(L$73=0,DG!$A$255&gt;16),0,F186+1)</f>
        <v>0</v>
      </c>
      <c r="G187" s="65">
        <f t="shared" si="38"/>
        <v>0</v>
      </c>
      <c r="H187" s="65">
        <f t="shared" si="35"/>
        <v>0</v>
      </c>
      <c r="I187" s="65">
        <f t="shared" si="31"/>
        <v>0</v>
      </c>
      <c r="J187" s="203">
        <f>IF(DG!$A$134&lt;=11,$M$17,0)</f>
        <v>0</v>
      </c>
      <c r="K187" s="65">
        <f t="shared" si="36"/>
        <v>0</v>
      </c>
      <c r="L187" s="473">
        <f t="shared" si="42"/>
        <v>0</v>
      </c>
      <c r="M187" s="204">
        <f t="shared" si="43"/>
        <v>0</v>
      </c>
      <c r="N187" s="505">
        <f t="shared" si="44"/>
        <v>0</v>
      </c>
      <c r="O187" s="204">
        <f>IF(DG!$A$134&gt;12,0,IF(J187-J186&gt;0,MROUND((L187/12*Q186),1),MROUND(L187/12*P186,1)))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IF(OR(L$73=0,DG!$A$255&gt;16),0,F187+1)</f>
        <v>0</v>
      </c>
      <c r="G188" s="65">
        <f t="shared" si="38"/>
        <v>0</v>
      </c>
      <c r="H188" s="65">
        <f t="shared" si="35"/>
        <v>0</v>
      </c>
      <c r="I188" s="65">
        <f t="shared" si="31"/>
        <v>0</v>
      </c>
      <c r="J188" s="203">
        <f>IF(DG!$A$134&lt;=11,$M$17,0)</f>
        <v>0</v>
      </c>
      <c r="K188" s="65">
        <f t="shared" si="36"/>
        <v>0</v>
      </c>
      <c r="L188" s="473">
        <f t="shared" si="42"/>
        <v>0</v>
      </c>
      <c r="M188" s="204">
        <f t="shared" si="43"/>
        <v>0</v>
      </c>
      <c r="N188" s="505">
        <f t="shared" si="44"/>
        <v>0</v>
      </c>
      <c r="O188" s="204">
        <f>IF(DG!$A$134&gt;12,0,IF(J188-J187&gt;0,MROUND((L188/12*Q187),1),MROUND(L188/12*P187,1)))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IF(OR(L$73=0,DG!$A$255&gt;16),0,F188+1)</f>
        <v>0</v>
      </c>
      <c r="G189" s="65">
        <f t="shared" si="38"/>
        <v>0</v>
      </c>
      <c r="H189" s="65">
        <f t="shared" si="35"/>
        <v>0</v>
      </c>
      <c r="I189" s="65">
        <f t="shared" si="31"/>
        <v>0</v>
      </c>
      <c r="J189" s="203">
        <f>IF(DG!$A$134&lt;=11,$M$17,0)</f>
        <v>0</v>
      </c>
      <c r="K189" s="65">
        <f t="shared" si="36"/>
        <v>0</v>
      </c>
      <c r="L189" s="473">
        <f t="shared" si="42"/>
        <v>0</v>
      </c>
      <c r="M189" s="204">
        <f t="shared" si="43"/>
        <v>0</v>
      </c>
      <c r="N189" s="505">
        <f t="shared" si="44"/>
        <v>0</v>
      </c>
      <c r="O189" s="204">
        <f>IF(DG!$A$134&gt;12,0,IF(J189-J188&gt;0,MROUND((L189/12*Q188),1),MROUND(L189/12*P188,1)))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IF(OR(L$73=0,DG!$A$255&gt;16),0,F189+1)</f>
        <v>0</v>
      </c>
      <c r="G190" s="65">
        <f t="shared" si="38"/>
        <v>0</v>
      </c>
      <c r="H190" s="65">
        <f t="shared" si="35"/>
        <v>0</v>
      </c>
      <c r="I190" s="65">
        <f t="shared" si="31"/>
        <v>0</v>
      </c>
      <c r="J190" s="203">
        <f>IF(DG!$A$134&lt;=11,$M$17,0)</f>
        <v>0</v>
      </c>
      <c r="K190" s="65">
        <f t="shared" si="36"/>
        <v>0</v>
      </c>
      <c r="L190" s="473">
        <f t="shared" si="42"/>
        <v>0</v>
      </c>
      <c r="M190" s="204">
        <f t="shared" si="43"/>
        <v>0</v>
      </c>
      <c r="N190" s="505">
        <f t="shared" si="44"/>
        <v>0</v>
      </c>
      <c r="O190" s="204">
        <f>IF(DG!$A$134&gt;12,0,IF(J190-J189&gt;0,MROUND((L190/12*Q189),1),MROUND(L190/12*P189,1)))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IF(OR(L$73=0,DG!$A$255&gt;16),0,F190+1)</f>
        <v>0</v>
      </c>
      <c r="G191" s="65">
        <f t="shared" si="38"/>
        <v>0</v>
      </c>
      <c r="H191" s="65">
        <f t="shared" si="35"/>
        <v>0</v>
      </c>
      <c r="I191" s="65">
        <f t="shared" si="31"/>
        <v>0</v>
      </c>
      <c r="J191" s="203">
        <f>IF(DG!$A$134&lt;=11,$M$17,0)</f>
        <v>0</v>
      </c>
      <c r="K191" s="65">
        <f t="shared" si="36"/>
        <v>0</v>
      </c>
      <c r="L191" s="473">
        <f t="shared" si="42"/>
        <v>0</v>
      </c>
      <c r="M191" s="204">
        <f t="shared" si="43"/>
        <v>0</v>
      </c>
      <c r="N191" s="505">
        <f t="shared" si="44"/>
        <v>0</v>
      </c>
      <c r="O191" s="204">
        <f>IF(DG!$A$134&gt;12,0,IF(J191-J190&gt;0,MROUND((L191/12*Q190),1),MROUND(L191/12*P190,1)))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IF(OR(L$73=0,DG!$A$255&gt;16),0,F191+1)</f>
        <v>0</v>
      </c>
      <c r="G192" s="65">
        <f t="shared" si="38"/>
        <v>0</v>
      </c>
      <c r="H192" s="65">
        <f t="shared" si="35"/>
        <v>0</v>
      </c>
      <c r="I192" s="65">
        <f t="shared" si="31"/>
        <v>0</v>
      </c>
      <c r="J192" s="203">
        <f>IF(DG!$A$134&lt;=11,$M$17,0)</f>
        <v>0</v>
      </c>
      <c r="K192" s="65">
        <f t="shared" si="36"/>
        <v>0</v>
      </c>
      <c r="L192" s="473">
        <f t="shared" si="42"/>
        <v>0</v>
      </c>
      <c r="M192" s="204">
        <f t="shared" si="43"/>
        <v>0</v>
      </c>
      <c r="N192" s="505">
        <f t="shared" si="44"/>
        <v>0</v>
      </c>
      <c r="O192" s="204">
        <f>IF(DG!$A$134&gt;12,0,IF(J192-J191&gt;0,MROUND((L192/12*Q191),1),MROUND(L192/12*P191,1)))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IF(OR(L$73=0,DG!$A$255&gt;16),0,F192+1)</f>
        <v>0</v>
      </c>
      <c r="G193" s="65">
        <f t="shared" si="38"/>
        <v>0</v>
      </c>
      <c r="H193" s="65">
        <f t="shared" si="35"/>
        <v>0</v>
      </c>
      <c r="I193" s="65">
        <f t="shared" ref="I193:I256" si="47">IF(OR(G193=1,C193=0),0,IF(K193-C193&lt;$G$269,1,-1))</f>
        <v>0</v>
      </c>
      <c r="J193" s="203">
        <f>IF(DG!$A$134&lt;=11,$M$17,0)</f>
        <v>0</v>
      </c>
      <c r="K193" s="65">
        <f t="shared" si="36"/>
        <v>0</v>
      </c>
      <c r="L193" s="473">
        <f t="shared" si="42"/>
        <v>0</v>
      </c>
      <c r="M193" s="204">
        <f t="shared" si="43"/>
        <v>0</v>
      </c>
      <c r="N193" s="505">
        <f t="shared" si="44"/>
        <v>0</v>
      </c>
      <c r="O193" s="204">
        <f>IF(DG!$A$134&gt;12,0,IF(J193-J192&gt;0,MROUND((L193/12*Q192),1),MROUND(L193/12*P192,1)))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IF(OR(L$73=0,DG!$A$255&gt;16),0,F193+1)</f>
        <v>0</v>
      </c>
      <c r="G194" s="65">
        <f t="shared" si="38"/>
        <v>0</v>
      </c>
      <c r="H194" s="65">
        <f t="shared" si="35"/>
        <v>0</v>
      </c>
      <c r="I194" s="65">
        <f t="shared" si="47"/>
        <v>0</v>
      </c>
      <c r="J194" s="203">
        <f>IF(DG!$A$134&lt;=11,$M$17,0)</f>
        <v>0</v>
      </c>
      <c r="K194" s="65">
        <f t="shared" si="36"/>
        <v>0</v>
      </c>
      <c r="L194" s="473">
        <f t="shared" si="42"/>
        <v>0</v>
      </c>
      <c r="M194" s="204">
        <f t="shared" si="43"/>
        <v>0</v>
      </c>
      <c r="N194" s="505">
        <f t="shared" si="44"/>
        <v>0</v>
      </c>
      <c r="O194" s="204">
        <f>IF(DG!$A$134&gt;12,0,IF(J194-J193&gt;0,MROUND((L194/12*Q193),1),MROUND(L194/12*P193,1)))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IF(OR(L$73=0,DG!$A$255&gt;16),0,F194+1)</f>
        <v>0</v>
      </c>
      <c r="G195" s="65">
        <f t="shared" si="38"/>
        <v>0</v>
      </c>
      <c r="H195" s="65">
        <f t="shared" si="35"/>
        <v>0</v>
      </c>
      <c r="I195" s="65">
        <f t="shared" si="47"/>
        <v>0</v>
      </c>
      <c r="J195" s="203">
        <f>IF(DG!$A$134&lt;=11,$M$17,0)</f>
        <v>0</v>
      </c>
      <c r="K195" s="65">
        <f t="shared" si="36"/>
        <v>0</v>
      </c>
      <c r="L195" s="473">
        <f t="shared" si="42"/>
        <v>0</v>
      </c>
      <c r="M195" s="204">
        <f t="shared" si="43"/>
        <v>0</v>
      </c>
      <c r="N195" s="505">
        <f t="shared" si="44"/>
        <v>0</v>
      </c>
      <c r="O195" s="204">
        <f>IF(DG!$A$134&gt;12,0,IF(J195-J194&gt;0,MROUND((L195/12*Q194),1),MROUND(L195/12*P194,1)))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IF(OR(L$73=0,DG!$A$255&gt;16),0,F195+1)</f>
        <v>0</v>
      </c>
      <c r="G196" s="65">
        <f t="shared" si="38"/>
        <v>0</v>
      </c>
      <c r="H196" s="65">
        <f t="shared" si="35"/>
        <v>0</v>
      </c>
      <c r="I196" s="65">
        <f t="shared" si="47"/>
        <v>0</v>
      </c>
      <c r="J196" s="203">
        <f>IF(DG!$A$134&lt;=11,$M$17,0)</f>
        <v>0</v>
      </c>
      <c r="K196" s="65">
        <f t="shared" si="36"/>
        <v>0</v>
      </c>
      <c r="L196" s="473">
        <f t="shared" si="42"/>
        <v>0</v>
      </c>
      <c r="M196" s="204">
        <f t="shared" si="43"/>
        <v>0</v>
      </c>
      <c r="N196" s="505">
        <f t="shared" si="44"/>
        <v>0</v>
      </c>
      <c r="O196" s="204">
        <f>IF(DG!$A$134&gt;12,0,IF(J196-J195&gt;0,MROUND((L196/12*Q195),1),MROUND(L196/12*P195,1)))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IF(OR(L$73=0,DG!$A$255&gt;16),0,F196+1)</f>
        <v>0</v>
      </c>
      <c r="G197" s="65">
        <f t="shared" si="38"/>
        <v>0</v>
      </c>
      <c r="H197" s="65">
        <f t="shared" si="35"/>
        <v>0</v>
      </c>
      <c r="I197" s="65">
        <f t="shared" si="47"/>
        <v>0</v>
      </c>
      <c r="J197" s="203">
        <f>IF(DG!$A$134&lt;=11,$M$17,0)</f>
        <v>0</v>
      </c>
      <c r="K197" s="65">
        <f t="shared" si="36"/>
        <v>0</v>
      </c>
      <c r="L197" s="473">
        <f t="shared" si="42"/>
        <v>0</v>
      </c>
      <c r="M197" s="204">
        <f t="shared" si="43"/>
        <v>0</v>
      </c>
      <c r="N197" s="505">
        <f t="shared" si="44"/>
        <v>0</v>
      </c>
      <c r="O197" s="204">
        <f>IF(DG!$A$134&gt;12,0,IF(J197-J196&gt;0,MROUND((L197/12*Q196),1),MROUND(L197/12*P196,1)))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IF(OR(L$73=0,DG!$A$255&gt;16),0,F197+1)</f>
        <v>0</v>
      </c>
      <c r="G198" s="65">
        <f t="shared" si="38"/>
        <v>0</v>
      </c>
      <c r="H198" s="65">
        <f t="shared" si="35"/>
        <v>0</v>
      </c>
      <c r="I198" s="65">
        <f t="shared" si="47"/>
        <v>0</v>
      </c>
      <c r="J198" s="203">
        <f>IF(DG!$A$134&lt;=11,$M$17,0)</f>
        <v>0</v>
      </c>
      <c r="K198" s="65">
        <f t="shared" si="36"/>
        <v>0</v>
      </c>
      <c r="L198" s="473">
        <f t="shared" si="42"/>
        <v>0</v>
      </c>
      <c r="M198" s="204">
        <f t="shared" si="43"/>
        <v>0</v>
      </c>
      <c r="N198" s="505">
        <f t="shared" si="44"/>
        <v>0</v>
      </c>
      <c r="O198" s="204">
        <f>IF(DG!$A$134&gt;12,0,IF(J198-J197&gt;0,MROUND((L198/12*Q197),1),MROUND(L198/12*P197,1)))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IF(OR(L$73=0,DG!$A$255&gt;16),0,F198+1)</f>
        <v>0</v>
      </c>
      <c r="G199" s="65">
        <f t="shared" si="38"/>
        <v>0</v>
      </c>
      <c r="H199" s="65">
        <f t="shared" si="35"/>
        <v>0</v>
      </c>
      <c r="I199" s="65">
        <f t="shared" si="47"/>
        <v>0</v>
      </c>
      <c r="J199" s="203">
        <f>IF(DG!$A$134&lt;=11,$M$17,0)</f>
        <v>0</v>
      </c>
      <c r="K199" s="65">
        <f t="shared" si="36"/>
        <v>0</v>
      </c>
      <c r="L199" s="473">
        <f t="shared" si="42"/>
        <v>0</v>
      </c>
      <c r="M199" s="204">
        <f t="shared" si="43"/>
        <v>0</v>
      </c>
      <c r="N199" s="505">
        <f t="shared" si="44"/>
        <v>0</v>
      </c>
      <c r="O199" s="204">
        <f>IF(DG!$A$134&gt;12,0,IF(J199-J198&gt;0,MROUND((L199/12*Q198),1),MROUND(L199/12*P198,1)))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IF(OR(L$73=0,DG!$A$255&gt;16),0,F199+1)</f>
        <v>0</v>
      </c>
      <c r="G200" s="65">
        <f t="shared" si="38"/>
        <v>0</v>
      </c>
      <c r="H200" s="65">
        <f t="shared" si="35"/>
        <v>0</v>
      </c>
      <c r="I200" s="65">
        <f t="shared" si="47"/>
        <v>0</v>
      </c>
      <c r="J200" s="203">
        <f>IF(DG!$A$134&lt;=11,$M$17,0)</f>
        <v>0</v>
      </c>
      <c r="K200" s="65">
        <f t="shared" si="36"/>
        <v>0</v>
      </c>
      <c r="L200" s="473">
        <f t="shared" si="42"/>
        <v>0</v>
      </c>
      <c r="M200" s="204">
        <f t="shared" si="43"/>
        <v>0</v>
      </c>
      <c r="N200" s="505">
        <f t="shared" si="44"/>
        <v>0</v>
      </c>
      <c r="O200" s="204">
        <f>IF(DG!$A$134&gt;12,0,IF(J200-J199&gt;0,MROUND((L200/12*Q199),1),MROUND(L200/12*P199,1)))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IF(OR(L$73=0,DG!$A$255&gt;16),0,F200+1)</f>
        <v>0</v>
      </c>
      <c r="G201" s="65">
        <f t="shared" si="38"/>
        <v>0</v>
      </c>
      <c r="H201" s="65">
        <f t="shared" si="35"/>
        <v>0</v>
      </c>
      <c r="I201" s="65">
        <f t="shared" si="47"/>
        <v>0</v>
      </c>
      <c r="J201" s="203">
        <f>IF(DG!$A$134&lt;=11,$M$17,0)</f>
        <v>0</v>
      </c>
      <c r="K201" s="65">
        <f t="shared" si="36"/>
        <v>0</v>
      </c>
      <c r="L201" s="473">
        <f t="shared" si="42"/>
        <v>0</v>
      </c>
      <c r="M201" s="204">
        <f t="shared" si="43"/>
        <v>0</v>
      </c>
      <c r="N201" s="505">
        <f t="shared" si="44"/>
        <v>0</v>
      </c>
      <c r="O201" s="204">
        <f>IF(DG!$A$134&gt;12,0,IF(J201-J200&gt;0,MROUND((L201/12*Q200),1),MROUND(L201/12*P200,1)))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IF(OR(L$73=0,DG!$A$255&gt;16),0,F201+1)</f>
        <v>0</v>
      </c>
      <c r="G202" s="65">
        <f t="shared" si="38"/>
        <v>0</v>
      </c>
      <c r="H202" s="65">
        <f t="shared" si="35"/>
        <v>0</v>
      </c>
      <c r="I202" s="65">
        <f t="shared" si="47"/>
        <v>0</v>
      </c>
      <c r="J202" s="203">
        <f>IF(DG!$A$134&lt;=11,$M$17,0)</f>
        <v>0</v>
      </c>
      <c r="K202" s="65">
        <f t="shared" si="36"/>
        <v>0</v>
      </c>
      <c r="L202" s="473">
        <f t="shared" si="42"/>
        <v>0</v>
      </c>
      <c r="M202" s="204">
        <f t="shared" si="43"/>
        <v>0</v>
      </c>
      <c r="N202" s="505">
        <f t="shared" si="44"/>
        <v>0</v>
      </c>
      <c r="O202" s="204">
        <f>IF(DG!$A$134&gt;12,0,IF(J202-J201&gt;0,MROUND((L202/12*Q201),1),MROUND(L202/12*P201,1)))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IF(OR(L$73=0,DG!$A$255&gt;16),0,F202+1)</f>
        <v>0</v>
      </c>
      <c r="G203" s="65">
        <f t="shared" si="38"/>
        <v>0</v>
      </c>
      <c r="H203" s="65">
        <f t="shared" si="35"/>
        <v>0</v>
      </c>
      <c r="I203" s="65">
        <f t="shared" si="47"/>
        <v>0</v>
      </c>
      <c r="J203" s="203">
        <f>IF(DG!$A$134&lt;=11,$M$17,0)</f>
        <v>0</v>
      </c>
      <c r="K203" s="65">
        <f t="shared" si="36"/>
        <v>0</v>
      </c>
      <c r="L203" s="473">
        <f t="shared" si="42"/>
        <v>0</v>
      </c>
      <c r="M203" s="204">
        <f t="shared" si="43"/>
        <v>0</v>
      </c>
      <c r="N203" s="505">
        <f t="shared" si="44"/>
        <v>0</v>
      </c>
      <c r="O203" s="204">
        <f>IF(DG!$A$134&gt;12,0,IF(J203-J202&gt;0,MROUND((L203/12*Q202),1),MROUND(L203/12*P202,1)))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IF(OR(L$73=0,DG!$A$255&gt;16),0,F203+1)</f>
        <v>0</v>
      </c>
      <c r="G204" s="65">
        <f t="shared" si="38"/>
        <v>0</v>
      </c>
      <c r="H204" s="65">
        <f t="shared" si="35"/>
        <v>0</v>
      </c>
      <c r="I204" s="65">
        <f t="shared" si="47"/>
        <v>0</v>
      </c>
      <c r="J204" s="203">
        <f>IF(DG!$A$134&lt;=11,$M$17,0)</f>
        <v>0</v>
      </c>
      <c r="K204" s="65">
        <f t="shared" si="36"/>
        <v>0</v>
      </c>
      <c r="L204" s="473">
        <f t="shared" si="42"/>
        <v>0</v>
      </c>
      <c r="M204" s="204">
        <f t="shared" si="43"/>
        <v>0</v>
      </c>
      <c r="N204" s="505">
        <f t="shared" si="44"/>
        <v>0</v>
      </c>
      <c r="O204" s="204">
        <f>IF(DG!$A$134&gt;12,0,IF(J204-J203&gt;0,MROUND((L204/12*Q203),1),MROUND(L204/12*P203,1)))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IF(OR(L$73=0,DG!$A$255&gt;16),0,F204+1)</f>
        <v>0</v>
      </c>
      <c r="G205" s="65">
        <f t="shared" si="38"/>
        <v>0</v>
      </c>
      <c r="H205" s="65">
        <f t="shared" si="35"/>
        <v>0</v>
      </c>
      <c r="I205" s="65">
        <f t="shared" si="47"/>
        <v>0</v>
      </c>
      <c r="J205" s="203">
        <f>IF(DG!$A$134&lt;=11,$M$17,0)</f>
        <v>0</v>
      </c>
      <c r="K205" s="65">
        <f t="shared" si="36"/>
        <v>0</v>
      </c>
      <c r="L205" s="473">
        <f t="shared" si="42"/>
        <v>0</v>
      </c>
      <c r="M205" s="204">
        <f t="shared" si="43"/>
        <v>0</v>
      </c>
      <c r="N205" s="505">
        <f t="shared" si="44"/>
        <v>0</v>
      </c>
      <c r="O205" s="204">
        <f>IF(DG!$A$134&gt;12,0,IF(J205-J204&gt;0,MROUND((L205/12*Q204),1),MROUND(L205/12*P204,1)))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IF(OR(L$73=0,DG!$A$255&gt;16),0,F205+1)</f>
        <v>0</v>
      </c>
      <c r="G206" s="65">
        <f t="shared" si="38"/>
        <v>0</v>
      </c>
      <c r="H206" s="65">
        <f t="shared" si="35"/>
        <v>0</v>
      </c>
      <c r="I206" s="65">
        <f t="shared" si="47"/>
        <v>0</v>
      </c>
      <c r="J206" s="203">
        <f>IF(DG!$A$134&lt;=11,$M$17,0)</f>
        <v>0</v>
      </c>
      <c r="K206" s="65">
        <f t="shared" si="36"/>
        <v>0</v>
      </c>
      <c r="L206" s="473">
        <f t="shared" si="42"/>
        <v>0</v>
      </c>
      <c r="M206" s="204">
        <f t="shared" si="43"/>
        <v>0</v>
      </c>
      <c r="N206" s="505">
        <f t="shared" si="44"/>
        <v>0</v>
      </c>
      <c r="O206" s="204">
        <f>IF(DG!$A$134&gt;12,0,IF(J206-J205&gt;0,MROUND((L206/12*Q205),1),MROUND(L206/12*P205,1)))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IF(OR(L$73=0,DG!$A$255&gt;16),0,F206+1)</f>
        <v>0</v>
      </c>
      <c r="G207" s="65">
        <f t="shared" si="38"/>
        <v>0</v>
      </c>
      <c r="H207" s="65">
        <f t="shared" si="35"/>
        <v>0</v>
      </c>
      <c r="I207" s="65">
        <f t="shared" si="47"/>
        <v>0</v>
      </c>
      <c r="J207" s="203">
        <f>IF(DG!$A$134&lt;=11,$M$17,0)</f>
        <v>0</v>
      </c>
      <c r="K207" s="65">
        <f t="shared" si="36"/>
        <v>0</v>
      </c>
      <c r="L207" s="473">
        <f t="shared" si="42"/>
        <v>0</v>
      </c>
      <c r="M207" s="204">
        <f t="shared" si="43"/>
        <v>0</v>
      </c>
      <c r="N207" s="505">
        <f t="shared" si="44"/>
        <v>0</v>
      </c>
      <c r="O207" s="204">
        <f>IF(DG!$A$134&gt;12,0,IF(J207-J206&gt;0,MROUND((L207/12*Q206),1),MROUND(L207/12*P206,1)))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IF(OR(L$73=0,DG!$A$255&gt;16),0,F207+1)</f>
        <v>0</v>
      </c>
      <c r="G208" s="65">
        <f t="shared" si="38"/>
        <v>0</v>
      </c>
      <c r="H208" s="65">
        <f t="shared" si="35"/>
        <v>0</v>
      </c>
      <c r="I208" s="65">
        <f t="shared" si="47"/>
        <v>0</v>
      </c>
      <c r="J208" s="203">
        <f>IF(DG!$A$134&lt;=11,$M$17,0)</f>
        <v>0</v>
      </c>
      <c r="K208" s="65">
        <f t="shared" si="36"/>
        <v>0</v>
      </c>
      <c r="L208" s="473">
        <f t="shared" si="42"/>
        <v>0</v>
      </c>
      <c r="M208" s="204">
        <f t="shared" si="43"/>
        <v>0</v>
      </c>
      <c r="N208" s="505">
        <f t="shared" si="44"/>
        <v>0</v>
      </c>
      <c r="O208" s="204">
        <f>IF(DG!$A$134&gt;12,0,IF(J208-J207&gt;0,MROUND((L208/12*Q207),1),MROUND(L208/12*P207,1)))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IF(OR(L$73=0,DG!$A$255&gt;16),0,F208+1)</f>
        <v>0</v>
      </c>
      <c r="G209" s="65">
        <f t="shared" si="38"/>
        <v>0</v>
      </c>
      <c r="H209" s="65">
        <f t="shared" si="35"/>
        <v>0</v>
      </c>
      <c r="I209" s="65">
        <f t="shared" si="47"/>
        <v>0</v>
      </c>
      <c r="J209" s="203">
        <f>IF(DG!$A$134&lt;=11,$M$17,0)</f>
        <v>0</v>
      </c>
      <c r="K209" s="65">
        <f t="shared" si="36"/>
        <v>0</v>
      </c>
      <c r="L209" s="473">
        <f t="shared" si="42"/>
        <v>0</v>
      </c>
      <c r="M209" s="204">
        <f t="shared" si="43"/>
        <v>0</v>
      </c>
      <c r="N209" s="505">
        <f t="shared" si="44"/>
        <v>0</v>
      </c>
      <c r="O209" s="204">
        <f>IF(DG!$A$134&gt;12,0,IF(J209-J208&gt;0,MROUND((L209/12*Q208),1),MROUND(L209/12*P208,1)))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IF(OR(L$73=0,DG!$A$255&gt;16),0,F209+1)</f>
        <v>0</v>
      </c>
      <c r="G210" s="65">
        <f t="shared" si="38"/>
        <v>0</v>
      </c>
      <c r="H210" s="65">
        <f t="shared" si="35"/>
        <v>0</v>
      </c>
      <c r="I210" s="65">
        <f t="shared" si="47"/>
        <v>0</v>
      </c>
      <c r="J210" s="203">
        <f>IF(DG!$A$134&lt;=11,$M$17,0)</f>
        <v>0</v>
      </c>
      <c r="K210" s="65">
        <f t="shared" si="36"/>
        <v>0</v>
      </c>
      <c r="L210" s="473">
        <f t="shared" si="42"/>
        <v>0</v>
      </c>
      <c r="M210" s="204">
        <f t="shared" si="43"/>
        <v>0</v>
      </c>
      <c r="N210" s="505">
        <f t="shared" si="44"/>
        <v>0</v>
      </c>
      <c r="O210" s="204">
        <f>IF(DG!$A$134&gt;12,0,IF(J210-J209&gt;0,MROUND((L210/12*Q209),1),MROUND(L210/12*P209,1)))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IF(OR(L$73=0,DG!$A$255&gt;16),0,F210+1)</f>
        <v>0</v>
      </c>
      <c r="G211" s="65">
        <f t="shared" si="38"/>
        <v>0</v>
      </c>
      <c r="H211" s="65">
        <f t="shared" si="35"/>
        <v>0</v>
      </c>
      <c r="I211" s="65">
        <f t="shared" si="47"/>
        <v>0</v>
      </c>
      <c r="J211" s="203">
        <f>IF(DG!$A$134&lt;=11,$M$17,0)</f>
        <v>0</v>
      </c>
      <c r="K211" s="65">
        <f t="shared" si="36"/>
        <v>0</v>
      </c>
      <c r="L211" s="473">
        <f t="shared" si="42"/>
        <v>0</v>
      </c>
      <c r="M211" s="204">
        <f t="shared" si="43"/>
        <v>0</v>
      </c>
      <c r="N211" s="505">
        <f t="shared" si="44"/>
        <v>0</v>
      </c>
      <c r="O211" s="204">
        <f>IF(DG!$A$134&gt;12,0,IF(J211-J210&gt;0,MROUND((L211/12*Q210),1),MROUND(L211/12*P210,1)))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IF(OR(L$73=0,DG!$A$255&gt;16),0,F211+1)</f>
        <v>0</v>
      </c>
      <c r="G212" s="65">
        <f t="shared" si="38"/>
        <v>0</v>
      </c>
      <c r="H212" s="65">
        <f t="shared" si="35"/>
        <v>0</v>
      </c>
      <c r="I212" s="65">
        <f t="shared" si="47"/>
        <v>0</v>
      </c>
      <c r="J212" s="203">
        <f>IF(DG!$A$134&lt;=11,$M$17,0)</f>
        <v>0</v>
      </c>
      <c r="K212" s="65">
        <f t="shared" si="36"/>
        <v>0</v>
      </c>
      <c r="L212" s="473">
        <f t="shared" si="42"/>
        <v>0</v>
      </c>
      <c r="M212" s="204">
        <f t="shared" si="43"/>
        <v>0</v>
      </c>
      <c r="N212" s="505">
        <f t="shared" si="44"/>
        <v>0</v>
      </c>
      <c r="O212" s="204">
        <f>IF(DG!$A$134&gt;12,0,IF(J212-J211&gt;0,MROUND((L212/12*Q211),1),MROUND(L212/12*P211,1)))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IF(OR(L$73=0,DG!$A$255&gt;16),0,F212+1)</f>
        <v>0</v>
      </c>
      <c r="G213" s="65">
        <f t="shared" si="38"/>
        <v>0</v>
      </c>
      <c r="H213" s="65">
        <f t="shared" si="35"/>
        <v>0</v>
      </c>
      <c r="I213" s="65">
        <f t="shared" si="47"/>
        <v>0</v>
      </c>
      <c r="J213" s="203">
        <f>IF(DG!$A$134&lt;=11,$M$17,0)</f>
        <v>0</v>
      </c>
      <c r="K213" s="65">
        <f t="shared" si="36"/>
        <v>0</v>
      </c>
      <c r="L213" s="473">
        <f t="shared" si="42"/>
        <v>0</v>
      </c>
      <c r="M213" s="204">
        <f t="shared" si="43"/>
        <v>0</v>
      </c>
      <c r="N213" s="505">
        <f t="shared" si="44"/>
        <v>0</v>
      </c>
      <c r="O213" s="204">
        <f>IF(DG!$A$134&gt;12,0,IF(J213-J212&gt;0,MROUND((L213/12*Q212),1),MROUND(L213/12*P212,1)))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IF(OR(L$73=0,DG!$A$255&gt;16),0,F213+1)</f>
        <v>0</v>
      </c>
      <c r="G214" s="65">
        <f t="shared" si="38"/>
        <v>0</v>
      </c>
      <c r="H214" s="65">
        <f t="shared" si="35"/>
        <v>0</v>
      </c>
      <c r="I214" s="65">
        <f t="shared" si="47"/>
        <v>0</v>
      </c>
      <c r="J214" s="203">
        <f>IF(DG!$A$134&lt;=11,$M$17,0)</f>
        <v>0</v>
      </c>
      <c r="K214" s="65">
        <f t="shared" si="36"/>
        <v>0</v>
      </c>
      <c r="L214" s="473">
        <f t="shared" si="42"/>
        <v>0</v>
      </c>
      <c r="M214" s="204">
        <f t="shared" si="43"/>
        <v>0</v>
      </c>
      <c r="N214" s="505">
        <f t="shared" si="44"/>
        <v>0</v>
      </c>
      <c r="O214" s="204">
        <f>IF(DG!$A$134&gt;12,0,IF(J214-J213&gt;0,MROUND((L214/12*Q213),1),MROUND(L214/12*P213,1)))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IF(OR(L$73=0,DG!$A$255&gt;16),0,F214+1)</f>
        <v>0</v>
      </c>
      <c r="G215" s="65">
        <f t="shared" si="38"/>
        <v>0</v>
      </c>
      <c r="H215" s="65">
        <f t="shared" si="35"/>
        <v>0</v>
      </c>
      <c r="I215" s="65">
        <f t="shared" si="47"/>
        <v>0</v>
      </c>
      <c r="J215" s="203">
        <f>IF(DG!$A$134&lt;=11,$M$17,0)</f>
        <v>0</v>
      </c>
      <c r="K215" s="65">
        <f t="shared" si="36"/>
        <v>0</v>
      </c>
      <c r="L215" s="473">
        <f t="shared" si="42"/>
        <v>0</v>
      </c>
      <c r="M215" s="204">
        <f t="shared" si="43"/>
        <v>0</v>
      </c>
      <c r="N215" s="505">
        <f t="shared" si="44"/>
        <v>0</v>
      </c>
      <c r="O215" s="204">
        <f>IF(DG!$A$134&gt;12,0,IF(J215-J214&gt;0,MROUND((L215/12*Q214),1),MROUND(L215/12*P214,1)))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IF(OR(L$73=0,DG!$A$255&gt;16),0,F215+1)</f>
        <v>0</v>
      </c>
      <c r="G216" s="65">
        <f t="shared" si="38"/>
        <v>0</v>
      </c>
      <c r="H216" s="65">
        <f t="shared" ref="H216:H265" si="50">IF(I216&gt;=0,0,H215+1)</f>
        <v>0</v>
      </c>
      <c r="I216" s="65">
        <f t="shared" si="47"/>
        <v>0</v>
      </c>
      <c r="J216" s="203">
        <f>IF(DG!$A$134&lt;=11,$M$17,0)</f>
        <v>0</v>
      </c>
      <c r="K216" s="65">
        <f t="shared" ref="K216:K265" si="51">K215</f>
        <v>0</v>
      </c>
      <c r="L216" s="473">
        <f t="shared" si="42"/>
        <v>0</v>
      </c>
      <c r="M216" s="204">
        <f t="shared" si="43"/>
        <v>0</v>
      </c>
      <c r="N216" s="505">
        <f t="shared" si="44"/>
        <v>0</v>
      </c>
      <c r="O216" s="204">
        <f>IF(DG!$A$134&gt;12,0,IF(J216-J215&gt;0,MROUND((L216/12*Q215),1),MROUND(L216/12*P215,1)))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IF(OR(L$73=0,DG!$A$255&gt;16),0,F216+1)</f>
        <v>0</v>
      </c>
      <c r="G217" s="65">
        <f t="shared" si="38"/>
        <v>0</v>
      </c>
      <c r="H217" s="65">
        <f t="shared" si="50"/>
        <v>0</v>
      </c>
      <c r="I217" s="65">
        <f t="shared" si="47"/>
        <v>0</v>
      </c>
      <c r="J217" s="203">
        <f>IF(DG!$A$134&lt;=11,$M$17,0)</f>
        <v>0</v>
      </c>
      <c r="K217" s="65">
        <f t="shared" si="51"/>
        <v>0</v>
      </c>
      <c r="L217" s="473">
        <f t="shared" si="42"/>
        <v>0</v>
      </c>
      <c r="M217" s="204">
        <f t="shared" si="43"/>
        <v>0</v>
      </c>
      <c r="N217" s="505">
        <f t="shared" si="44"/>
        <v>0</v>
      </c>
      <c r="O217" s="204">
        <f>IF(DG!$A$134&gt;12,0,IF(J217-J216&gt;0,MROUND((L217/12*Q216),1),MROUND(L217/12*P216,1)))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IF(OR(L$73=0,DG!$A$255&gt;16),0,F217+1)</f>
        <v>0</v>
      </c>
      <c r="G218" s="65">
        <f t="shared" ref="G218:G265" si="53">IF(E218=0,0,IF(D218-E218-F218&gt;=0,1,0))</f>
        <v>0</v>
      </c>
      <c r="H218" s="65">
        <f t="shared" si="50"/>
        <v>0</v>
      </c>
      <c r="I218" s="65">
        <f t="shared" si="47"/>
        <v>0</v>
      </c>
      <c r="J218" s="203">
        <f>IF(DG!$A$134&lt;=11,$M$17,0)</f>
        <v>0</v>
      </c>
      <c r="K218" s="65">
        <f t="shared" si="51"/>
        <v>0</v>
      </c>
      <c r="L218" s="473">
        <f t="shared" si="42"/>
        <v>0</v>
      </c>
      <c r="M218" s="204">
        <f t="shared" si="43"/>
        <v>0</v>
      </c>
      <c r="N218" s="505">
        <f t="shared" si="44"/>
        <v>0</v>
      </c>
      <c r="O218" s="204">
        <f>IF(DG!$A$134&gt;12,0,IF(J218-J217&gt;0,MROUND((L218/12*Q217),1),MROUND(L218/12*P217,1)))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IF(OR(L$73=0,DG!$A$255&gt;16),0,F218+1)</f>
        <v>0</v>
      </c>
      <c r="G219" s="65">
        <f t="shared" si="53"/>
        <v>0</v>
      </c>
      <c r="H219" s="65">
        <f t="shared" si="50"/>
        <v>0</v>
      </c>
      <c r="I219" s="65">
        <f t="shared" si="47"/>
        <v>0</v>
      </c>
      <c r="J219" s="203">
        <f>IF(DG!$A$134&lt;=11,$M$17,0)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IF(DG!$A$134&gt;12,0,IF(J219-J218&gt;0,MROUND((L219/12*Q218),1),MROUND(L219/12*P218,1)))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IF(OR(L$73=0,DG!$A$255&gt;16),0,F219+1)</f>
        <v>0</v>
      </c>
      <c r="G220" s="65">
        <f t="shared" si="53"/>
        <v>0</v>
      </c>
      <c r="H220" s="65">
        <f t="shared" si="50"/>
        <v>0</v>
      </c>
      <c r="I220" s="65">
        <f t="shared" si="47"/>
        <v>0</v>
      </c>
      <c r="J220" s="203">
        <f>IF(DG!$A$134&lt;=11,$M$17,0)</f>
        <v>0</v>
      </c>
      <c r="K220" s="65">
        <f t="shared" si="51"/>
        <v>0</v>
      </c>
      <c r="L220" s="473">
        <f t="shared" si="57"/>
        <v>0</v>
      </c>
      <c r="M220" s="204">
        <f t="shared" si="58"/>
        <v>0</v>
      </c>
      <c r="N220" s="505">
        <f t="shared" si="59"/>
        <v>0</v>
      </c>
      <c r="O220" s="204">
        <f>IF(DG!$A$134&gt;12,0,IF(J220-J219&gt;0,MROUND((L220/12*Q219),1),MROUND(L220/12*P219,1)))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IF(OR(L$73=0,DG!$A$255&gt;16),0,F220+1)</f>
        <v>0</v>
      </c>
      <c r="G221" s="65">
        <f t="shared" si="53"/>
        <v>0</v>
      </c>
      <c r="H221" s="65">
        <f t="shared" si="50"/>
        <v>0</v>
      </c>
      <c r="I221" s="65">
        <f t="shared" si="47"/>
        <v>0</v>
      </c>
      <c r="J221" s="203">
        <f>IF(DG!$A$134&lt;=11,$M$17,0)</f>
        <v>0</v>
      </c>
      <c r="K221" s="65">
        <f t="shared" si="51"/>
        <v>0</v>
      </c>
      <c r="L221" s="473">
        <f t="shared" si="57"/>
        <v>0</v>
      </c>
      <c r="M221" s="204">
        <f t="shared" si="58"/>
        <v>0</v>
      </c>
      <c r="N221" s="505">
        <f t="shared" si="59"/>
        <v>0</v>
      </c>
      <c r="O221" s="204">
        <f>IF(DG!$A$134&gt;12,0,IF(J221-J220&gt;0,MROUND((L221/12*Q220),1),MROUND(L221/12*P220,1)))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IF(OR(L$73=0,DG!$A$255&gt;16),0,F221+1)</f>
        <v>0</v>
      </c>
      <c r="G222" s="65">
        <f t="shared" si="53"/>
        <v>0</v>
      </c>
      <c r="H222" s="65">
        <f t="shared" si="50"/>
        <v>0</v>
      </c>
      <c r="I222" s="65">
        <f t="shared" si="47"/>
        <v>0</v>
      </c>
      <c r="J222" s="203">
        <f>IF(DG!$A$134&lt;=11,$M$17,0)</f>
        <v>0</v>
      </c>
      <c r="K222" s="65">
        <f t="shared" si="51"/>
        <v>0</v>
      </c>
      <c r="L222" s="473">
        <f t="shared" si="57"/>
        <v>0</v>
      </c>
      <c r="M222" s="204">
        <f t="shared" si="58"/>
        <v>0</v>
      </c>
      <c r="N222" s="505">
        <f t="shared" si="59"/>
        <v>0</v>
      </c>
      <c r="O222" s="204">
        <f>IF(DG!$A$134&gt;12,0,IF(J222-J221&gt;0,MROUND((L222/12*Q221),1),MROUND(L222/12*P221,1)))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IF(OR(L$73=0,DG!$A$255&gt;16),0,F222+1)</f>
        <v>0</v>
      </c>
      <c r="G223" s="65">
        <f t="shared" si="53"/>
        <v>0</v>
      </c>
      <c r="H223" s="65">
        <f t="shared" si="50"/>
        <v>0</v>
      </c>
      <c r="I223" s="65">
        <f t="shared" si="47"/>
        <v>0</v>
      </c>
      <c r="J223" s="203">
        <f>IF(DG!$A$134&lt;=11,$M$17,0)</f>
        <v>0</v>
      </c>
      <c r="K223" s="65">
        <f t="shared" si="51"/>
        <v>0</v>
      </c>
      <c r="L223" s="473">
        <f t="shared" si="57"/>
        <v>0</v>
      </c>
      <c r="M223" s="204">
        <f t="shared" si="58"/>
        <v>0</v>
      </c>
      <c r="N223" s="505">
        <f t="shared" si="59"/>
        <v>0</v>
      </c>
      <c r="O223" s="204">
        <f>IF(DG!$A$134&gt;12,0,IF(J223-J222&gt;0,MROUND((L223/12*Q222),1),MROUND(L223/12*P222,1)))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IF(OR(L$73=0,DG!$A$255&gt;16),0,F223+1)</f>
        <v>0</v>
      </c>
      <c r="G224" s="65">
        <f t="shared" si="53"/>
        <v>0</v>
      </c>
      <c r="H224" s="65">
        <f t="shared" si="50"/>
        <v>0</v>
      </c>
      <c r="I224" s="65">
        <f t="shared" si="47"/>
        <v>0</v>
      </c>
      <c r="J224" s="203">
        <f>IF(DG!$A$134&lt;=11,$M$17,0)</f>
        <v>0</v>
      </c>
      <c r="K224" s="65">
        <f t="shared" si="51"/>
        <v>0</v>
      </c>
      <c r="L224" s="473">
        <f t="shared" si="57"/>
        <v>0</v>
      </c>
      <c r="M224" s="204">
        <f t="shared" si="58"/>
        <v>0</v>
      </c>
      <c r="N224" s="505">
        <f t="shared" si="59"/>
        <v>0</v>
      </c>
      <c r="O224" s="204">
        <f>IF(DG!$A$134&gt;12,0,IF(J224-J223&gt;0,MROUND((L224/12*Q223),1),MROUND(L224/12*P223,1)))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IF(OR(L$73=0,DG!$A$255&gt;16),0,F224+1)</f>
        <v>0</v>
      </c>
      <c r="G225" s="65">
        <f t="shared" si="53"/>
        <v>0</v>
      </c>
      <c r="H225" s="65">
        <f t="shared" si="50"/>
        <v>0</v>
      </c>
      <c r="I225" s="65">
        <f t="shared" si="47"/>
        <v>0</v>
      </c>
      <c r="J225" s="203">
        <f>IF(DG!$A$134&lt;=11,$M$17,0)</f>
        <v>0</v>
      </c>
      <c r="K225" s="65">
        <f t="shared" si="51"/>
        <v>0</v>
      </c>
      <c r="L225" s="473">
        <f t="shared" si="57"/>
        <v>0</v>
      </c>
      <c r="M225" s="204">
        <f t="shared" si="58"/>
        <v>0</v>
      </c>
      <c r="N225" s="505">
        <f t="shared" si="59"/>
        <v>0</v>
      </c>
      <c r="O225" s="204">
        <f>IF(DG!$A$134&gt;12,0,IF(J225-J224&gt;0,MROUND((L225/12*Q224),1),MROUND(L225/12*P224,1)))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IF(OR(L$73=0,DG!$A$255&gt;16),0,F225+1)</f>
        <v>0</v>
      </c>
      <c r="G226" s="65">
        <f t="shared" si="53"/>
        <v>0</v>
      </c>
      <c r="H226" s="65">
        <f t="shared" si="50"/>
        <v>0</v>
      </c>
      <c r="I226" s="65">
        <f t="shared" si="47"/>
        <v>0</v>
      </c>
      <c r="J226" s="203">
        <f>IF(DG!$A$134&lt;=11,$M$17,0)</f>
        <v>0</v>
      </c>
      <c r="K226" s="65">
        <f t="shared" si="51"/>
        <v>0</v>
      </c>
      <c r="L226" s="473">
        <f t="shared" si="57"/>
        <v>0</v>
      </c>
      <c r="M226" s="204">
        <f t="shared" si="58"/>
        <v>0</v>
      </c>
      <c r="N226" s="505">
        <f t="shared" si="59"/>
        <v>0</v>
      </c>
      <c r="O226" s="204">
        <f>IF(DG!$A$134&gt;12,0,IF(J226-J225&gt;0,MROUND((L226/12*Q225),1),MROUND(L226/12*P225,1)))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IF(OR(L$73=0,DG!$A$255&gt;16),0,F226+1)</f>
        <v>0</v>
      </c>
      <c r="G227" s="65">
        <f t="shared" si="53"/>
        <v>0</v>
      </c>
      <c r="H227" s="65">
        <f t="shared" si="50"/>
        <v>0</v>
      </c>
      <c r="I227" s="65">
        <f t="shared" si="47"/>
        <v>0</v>
      </c>
      <c r="J227" s="203">
        <f>IF(DG!$A$134&lt;=11,$M$17,0)</f>
        <v>0</v>
      </c>
      <c r="K227" s="65">
        <f t="shared" si="51"/>
        <v>0</v>
      </c>
      <c r="L227" s="473">
        <f t="shared" si="57"/>
        <v>0</v>
      </c>
      <c r="M227" s="204">
        <f t="shared" si="58"/>
        <v>0</v>
      </c>
      <c r="N227" s="505">
        <f t="shared" si="59"/>
        <v>0</v>
      </c>
      <c r="O227" s="204">
        <f>IF(DG!$A$134&gt;12,0,IF(J227-J226&gt;0,MROUND((L227/12*Q226),1),MROUND(L227/12*P226,1)))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IF(OR(L$73=0,DG!$A$255&gt;16),0,F227+1)</f>
        <v>0</v>
      </c>
      <c r="G228" s="65">
        <f t="shared" si="53"/>
        <v>0</v>
      </c>
      <c r="H228" s="65">
        <f t="shared" si="50"/>
        <v>0</v>
      </c>
      <c r="I228" s="65">
        <f t="shared" si="47"/>
        <v>0</v>
      </c>
      <c r="J228" s="203">
        <f>IF(DG!$A$134&lt;=11,$M$17,0)</f>
        <v>0</v>
      </c>
      <c r="K228" s="65">
        <f t="shared" si="51"/>
        <v>0</v>
      </c>
      <c r="L228" s="473">
        <f t="shared" si="57"/>
        <v>0</v>
      </c>
      <c r="M228" s="204">
        <f t="shared" si="58"/>
        <v>0</v>
      </c>
      <c r="N228" s="505">
        <f t="shared" si="59"/>
        <v>0</v>
      </c>
      <c r="O228" s="204">
        <f>IF(DG!$A$134&gt;12,0,IF(J228-J227&gt;0,MROUND((L228/12*Q227),1),MROUND(L228/12*P227,1)))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IF(OR(L$73=0,DG!$A$255&gt;16),0,F228+1)</f>
        <v>0</v>
      </c>
      <c r="G229" s="65">
        <f t="shared" si="53"/>
        <v>0</v>
      </c>
      <c r="H229" s="65">
        <f t="shared" si="50"/>
        <v>0</v>
      </c>
      <c r="I229" s="65">
        <f t="shared" si="47"/>
        <v>0</v>
      </c>
      <c r="J229" s="203">
        <f>IF(DG!$A$134&lt;=11,$M$17,0)</f>
        <v>0</v>
      </c>
      <c r="K229" s="65">
        <f t="shared" si="51"/>
        <v>0</v>
      </c>
      <c r="L229" s="473">
        <f t="shared" si="57"/>
        <v>0</v>
      </c>
      <c r="M229" s="204">
        <f t="shared" si="58"/>
        <v>0</v>
      </c>
      <c r="N229" s="505">
        <f t="shared" si="59"/>
        <v>0</v>
      </c>
      <c r="O229" s="204">
        <f>IF(DG!$A$134&gt;12,0,IF(J229-J228&gt;0,MROUND((L229/12*Q228),1),MROUND(L229/12*P228,1)))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IF(OR(L$73=0,DG!$A$255&gt;16),0,F229+1)</f>
        <v>0</v>
      </c>
      <c r="G230" s="65">
        <f t="shared" si="53"/>
        <v>0</v>
      </c>
      <c r="H230" s="65">
        <f t="shared" si="50"/>
        <v>0</v>
      </c>
      <c r="I230" s="65">
        <f t="shared" si="47"/>
        <v>0</v>
      </c>
      <c r="J230" s="203">
        <f>IF(DG!$A$134&lt;=11,$M$17,0)</f>
        <v>0</v>
      </c>
      <c r="K230" s="65">
        <f t="shared" si="51"/>
        <v>0</v>
      </c>
      <c r="L230" s="473">
        <f t="shared" si="57"/>
        <v>0</v>
      </c>
      <c r="M230" s="204">
        <f t="shared" si="58"/>
        <v>0</v>
      </c>
      <c r="N230" s="505">
        <f t="shared" si="59"/>
        <v>0</v>
      </c>
      <c r="O230" s="204">
        <f>IF(DG!$A$134&gt;12,0,IF(J230-J229&gt;0,MROUND((L230/12*Q229),1),MROUND(L230/12*P229,1)))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IF(OR(L$73=0,DG!$A$255&gt;16),0,F230+1)</f>
        <v>0</v>
      </c>
      <c r="G231" s="65">
        <f t="shared" si="53"/>
        <v>0</v>
      </c>
      <c r="H231" s="65">
        <f t="shared" si="50"/>
        <v>0</v>
      </c>
      <c r="I231" s="65">
        <f t="shared" si="47"/>
        <v>0</v>
      </c>
      <c r="J231" s="203">
        <f>IF(DG!$A$134&lt;=11,$M$17,0)</f>
        <v>0</v>
      </c>
      <c r="K231" s="65">
        <f t="shared" si="51"/>
        <v>0</v>
      </c>
      <c r="L231" s="473">
        <f t="shared" si="57"/>
        <v>0</v>
      </c>
      <c r="M231" s="204">
        <f t="shared" si="58"/>
        <v>0</v>
      </c>
      <c r="N231" s="505">
        <f t="shared" si="59"/>
        <v>0</v>
      </c>
      <c r="O231" s="204">
        <f>IF(DG!$A$134&gt;12,0,IF(J231-J230&gt;0,MROUND((L231/12*Q230),1),MROUND(L231/12*P230,1)))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IF(OR(L$73=0,DG!$A$255&gt;16),0,F231+1)</f>
        <v>0</v>
      </c>
      <c r="G232" s="65">
        <f t="shared" si="53"/>
        <v>0</v>
      </c>
      <c r="H232" s="65">
        <f t="shared" si="50"/>
        <v>0</v>
      </c>
      <c r="I232" s="65">
        <f t="shared" si="47"/>
        <v>0</v>
      </c>
      <c r="J232" s="203">
        <f>IF(DG!$A$134&lt;=11,$M$17,0)</f>
        <v>0</v>
      </c>
      <c r="K232" s="65">
        <f t="shared" si="51"/>
        <v>0</v>
      </c>
      <c r="L232" s="473">
        <f t="shared" si="57"/>
        <v>0</v>
      </c>
      <c r="M232" s="204">
        <f t="shared" si="58"/>
        <v>0</v>
      </c>
      <c r="N232" s="505">
        <f t="shared" si="59"/>
        <v>0</v>
      </c>
      <c r="O232" s="204">
        <f>IF(DG!$A$134&gt;12,0,IF(J232-J231&gt;0,MROUND((L232/12*Q231),1),MROUND(L232/12*P231,1)))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IF(OR(L$73=0,DG!$A$255&gt;16),0,F232+1)</f>
        <v>0</v>
      </c>
      <c r="G233" s="65">
        <f t="shared" si="53"/>
        <v>0</v>
      </c>
      <c r="H233" s="65">
        <f t="shared" si="50"/>
        <v>0</v>
      </c>
      <c r="I233" s="65">
        <f t="shared" si="47"/>
        <v>0</v>
      </c>
      <c r="J233" s="203">
        <f>IF(DG!$A$134&lt;=11,$M$17,0)</f>
        <v>0</v>
      </c>
      <c r="K233" s="65">
        <f t="shared" si="51"/>
        <v>0</v>
      </c>
      <c r="L233" s="473">
        <f t="shared" si="57"/>
        <v>0</v>
      </c>
      <c r="M233" s="204">
        <f t="shared" si="58"/>
        <v>0</v>
      </c>
      <c r="N233" s="505">
        <f t="shared" si="59"/>
        <v>0</v>
      </c>
      <c r="O233" s="204">
        <f>IF(DG!$A$134&gt;12,0,IF(J233-J232&gt;0,MROUND((L233/12*Q232),1),MROUND(L233/12*P232,1)))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IF(OR(L$73=0,DG!$A$255&gt;16),0,F233+1)</f>
        <v>0</v>
      </c>
      <c r="G234" s="65">
        <f t="shared" si="53"/>
        <v>0</v>
      </c>
      <c r="H234" s="65">
        <f t="shared" si="50"/>
        <v>0</v>
      </c>
      <c r="I234" s="65">
        <f t="shared" si="47"/>
        <v>0</v>
      </c>
      <c r="J234" s="203">
        <f>IF(DG!$A$134&lt;=11,$M$17,0)</f>
        <v>0</v>
      </c>
      <c r="K234" s="65">
        <f t="shared" si="51"/>
        <v>0</v>
      </c>
      <c r="L234" s="473">
        <f t="shared" si="57"/>
        <v>0</v>
      </c>
      <c r="M234" s="204">
        <f t="shared" si="58"/>
        <v>0</v>
      </c>
      <c r="N234" s="505">
        <f t="shared" si="59"/>
        <v>0</v>
      </c>
      <c r="O234" s="204">
        <f>IF(DG!$A$134&gt;12,0,IF(J234-J233&gt;0,MROUND((L234/12*Q233),1),MROUND(L234/12*P233,1)))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IF(OR(L$73=0,DG!$A$255&gt;16),0,F234+1)</f>
        <v>0</v>
      </c>
      <c r="G235" s="65">
        <f t="shared" si="53"/>
        <v>0</v>
      </c>
      <c r="H235" s="65">
        <f t="shared" si="50"/>
        <v>0</v>
      </c>
      <c r="I235" s="65">
        <f t="shared" si="47"/>
        <v>0</v>
      </c>
      <c r="J235" s="203">
        <f>IF(DG!$A$134&lt;=11,$M$17,0)</f>
        <v>0</v>
      </c>
      <c r="K235" s="65">
        <f t="shared" si="51"/>
        <v>0</v>
      </c>
      <c r="L235" s="473">
        <f t="shared" si="57"/>
        <v>0</v>
      </c>
      <c r="M235" s="204">
        <f t="shared" si="58"/>
        <v>0</v>
      </c>
      <c r="N235" s="505">
        <f t="shared" si="59"/>
        <v>0</v>
      </c>
      <c r="O235" s="204">
        <f>IF(DG!$A$134&gt;12,0,IF(J235-J234&gt;0,MROUND((L235/12*Q234),1),MROUND(L235/12*P234,1)))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IF(OR(L$73=0,DG!$A$255&gt;16),0,F235+1)</f>
        <v>0</v>
      </c>
      <c r="G236" s="65">
        <f t="shared" si="53"/>
        <v>0</v>
      </c>
      <c r="H236" s="65">
        <f t="shared" si="50"/>
        <v>0</v>
      </c>
      <c r="I236" s="65">
        <f t="shared" si="47"/>
        <v>0</v>
      </c>
      <c r="J236" s="203">
        <f>IF(DG!$A$134&lt;=11,$M$17,0)</f>
        <v>0</v>
      </c>
      <c r="K236" s="65">
        <f t="shared" si="51"/>
        <v>0</v>
      </c>
      <c r="L236" s="473">
        <f t="shared" si="57"/>
        <v>0</v>
      </c>
      <c r="M236" s="204">
        <f t="shared" si="58"/>
        <v>0</v>
      </c>
      <c r="N236" s="505">
        <f t="shared" si="59"/>
        <v>0</v>
      </c>
      <c r="O236" s="204">
        <f>IF(DG!$A$134&gt;12,0,IF(J236-J235&gt;0,MROUND((L236/12*Q235),1),MROUND(L236/12*P235,1)))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IF(OR(L$73=0,DG!$A$255&gt;16),0,F236+1)</f>
        <v>0</v>
      </c>
      <c r="G237" s="65">
        <f t="shared" si="53"/>
        <v>0</v>
      </c>
      <c r="H237" s="65">
        <f t="shared" si="50"/>
        <v>0</v>
      </c>
      <c r="I237" s="65">
        <f t="shared" si="47"/>
        <v>0</v>
      </c>
      <c r="J237" s="203">
        <f>IF(DG!$A$134&lt;=11,$M$17,0)</f>
        <v>0</v>
      </c>
      <c r="K237" s="65">
        <f t="shared" si="51"/>
        <v>0</v>
      </c>
      <c r="L237" s="473">
        <f t="shared" si="57"/>
        <v>0</v>
      </c>
      <c r="M237" s="204">
        <f t="shared" si="58"/>
        <v>0</v>
      </c>
      <c r="N237" s="505">
        <f t="shared" si="59"/>
        <v>0</v>
      </c>
      <c r="O237" s="204">
        <f>IF(DG!$A$134&gt;12,0,IF(J237-J236&gt;0,MROUND((L237/12*Q236),1),MROUND(L237/12*P236,1)))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IF(OR(L$73=0,DG!$A$255&gt;16),0,F237+1)</f>
        <v>0</v>
      </c>
      <c r="G238" s="65">
        <f t="shared" si="53"/>
        <v>0</v>
      </c>
      <c r="H238" s="65">
        <f t="shared" si="50"/>
        <v>0</v>
      </c>
      <c r="I238" s="65">
        <f t="shared" si="47"/>
        <v>0</v>
      </c>
      <c r="J238" s="203">
        <f>IF(DG!$A$134&lt;=11,$M$17,0)</f>
        <v>0</v>
      </c>
      <c r="K238" s="65">
        <f t="shared" si="51"/>
        <v>0</v>
      </c>
      <c r="L238" s="473">
        <f t="shared" si="57"/>
        <v>0</v>
      </c>
      <c r="M238" s="204">
        <f t="shared" si="58"/>
        <v>0</v>
      </c>
      <c r="N238" s="505">
        <f t="shared" si="59"/>
        <v>0</v>
      </c>
      <c r="O238" s="204">
        <f>IF(DG!$A$134&gt;12,0,IF(J238-J237&gt;0,MROUND((L238/12*Q237),1),MROUND(L238/12*P237,1)))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IF(OR(L$73=0,DG!$A$255&gt;16),0,F238+1)</f>
        <v>0</v>
      </c>
      <c r="G239" s="65">
        <f t="shared" si="53"/>
        <v>0</v>
      </c>
      <c r="H239" s="65">
        <f t="shared" si="50"/>
        <v>0</v>
      </c>
      <c r="I239" s="65">
        <f t="shared" si="47"/>
        <v>0</v>
      </c>
      <c r="J239" s="203">
        <f>IF(DG!$A$134&lt;=11,$M$17,0)</f>
        <v>0</v>
      </c>
      <c r="K239" s="65">
        <f t="shared" si="51"/>
        <v>0</v>
      </c>
      <c r="L239" s="473">
        <f t="shared" si="57"/>
        <v>0</v>
      </c>
      <c r="M239" s="204">
        <f t="shared" si="58"/>
        <v>0</v>
      </c>
      <c r="N239" s="505">
        <f t="shared" si="59"/>
        <v>0</v>
      </c>
      <c r="O239" s="204">
        <f>IF(DG!$A$134&gt;12,0,IF(J239-J238&gt;0,MROUND((L239/12*Q238),1),MROUND(L239/12*P238,1)))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IF(OR(L$73=0,DG!$A$255&gt;16),0,F239+1)</f>
        <v>0</v>
      </c>
      <c r="G240" s="65">
        <f t="shared" si="53"/>
        <v>0</v>
      </c>
      <c r="H240" s="65">
        <f t="shared" si="50"/>
        <v>0</v>
      </c>
      <c r="I240" s="65">
        <f t="shared" si="47"/>
        <v>0</v>
      </c>
      <c r="J240" s="203">
        <f>IF(DG!$A$134&lt;=11,$M$17,0)</f>
        <v>0</v>
      </c>
      <c r="K240" s="65">
        <f t="shared" si="51"/>
        <v>0</v>
      </c>
      <c r="L240" s="473">
        <f t="shared" si="57"/>
        <v>0</v>
      </c>
      <c r="M240" s="204">
        <f t="shared" si="58"/>
        <v>0</v>
      </c>
      <c r="N240" s="505">
        <f t="shared" si="59"/>
        <v>0</v>
      </c>
      <c r="O240" s="204">
        <f>IF(DG!$A$134&gt;12,0,IF(J240-J239&gt;0,MROUND((L240/12*Q239),1),MROUND(L240/12*P239,1)))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IF(OR(L$73=0,DG!$A$255&gt;16),0,F240+1)</f>
        <v>0</v>
      </c>
      <c r="G241" s="65">
        <f t="shared" si="53"/>
        <v>0</v>
      </c>
      <c r="H241" s="65">
        <f t="shared" si="50"/>
        <v>0</v>
      </c>
      <c r="I241" s="65">
        <f t="shared" si="47"/>
        <v>0</v>
      </c>
      <c r="J241" s="203">
        <f>IF(DG!$A$134&lt;=11,$M$17,0)</f>
        <v>0</v>
      </c>
      <c r="K241" s="65">
        <f t="shared" si="51"/>
        <v>0</v>
      </c>
      <c r="L241" s="473">
        <f t="shared" si="57"/>
        <v>0</v>
      </c>
      <c r="M241" s="204">
        <f t="shared" si="58"/>
        <v>0</v>
      </c>
      <c r="N241" s="505">
        <f t="shared" si="59"/>
        <v>0</v>
      </c>
      <c r="O241" s="204">
        <f>IF(DG!$A$134&gt;12,0,IF(J241-J240&gt;0,MROUND((L241/12*Q240),1),MROUND(L241/12*P240,1)))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IF(OR(L$73=0,DG!$A$255&gt;16),0,F241+1)</f>
        <v>0</v>
      </c>
      <c r="G242" s="65">
        <f t="shared" si="53"/>
        <v>0</v>
      </c>
      <c r="H242" s="65">
        <f t="shared" si="50"/>
        <v>0</v>
      </c>
      <c r="I242" s="65">
        <f t="shared" si="47"/>
        <v>0</v>
      </c>
      <c r="J242" s="203">
        <f>IF(DG!$A$134&lt;=11,$M$17,0)</f>
        <v>0</v>
      </c>
      <c r="K242" s="65">
        <f t="shared" si="51"/>
        <v>0</v>
      </c>
      <c r="L242" s="473">
        <f t="shared" si="57"/>
        <v>0</v>
      </c>
      <c r="M242" s="204">
        <f t="shared" si="58"/>
        <v>0</v>
      </c>
      <c r="N242" s="505">
        <f t="shared" si="59"/>
        <v>0</v>
      </c>
      <c r="O242" s="204">
        <f>IF(DG!$A$134&gt;12,0,IF(J242-J241&gt;0,MROUND((L242/12*Q241),1),MROUND(L242/12*P241,1)))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IF(OR(L$73=0,DG!$A$255&gt;16),0,F242+1)</f>
        <v>0</v>
      </c>
      <c r="G243" s="65">
        <f t="shared" si="53"/>
        <v>0</v>
      </c>
      <c r="H243" s="65">
        <f t="shared" si="50"/>
        <v>0</v>
      </c>
      <c r="I243" s="65">
        <f t="shared" si="47"/>
        <v>0</v>
      </c>
      <c r="J243" s="203">
        <f>IF(DG!$A$134&lt;=11,$M$17,0)</f>
        <v>0</v>
      </c>
      <c r="K243" s="65">
        <f t="shared" si="51"/>
        <v>0</v>
      </c>
      <c r="L243" s="473">
        <f t="shared" si="57"/>
        <v>0</v>
      </c>
      <c r="M243" s="204">
        <f t="shared" si="58"/>
        <v>0</v>
      </c>
      <c r="N243" s="505">
        <f t="shared" si="59"/>
        <v>0</v>
      </c>
      <c r="O243" s="204">
        <f>IF(DG!$A$134&gt;12,0,IF(J243-J242&gt;0,MROUND((L243/12*Q242),1),MROUND(L243/12*P242,1)))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IF(OR(L$73=0,DG!$A$255&gt;16),0,F243+1)</f>
        <v>0</v>
      </c>
      <c r="G244" s="65">
        <f t="shared" si="53"/>
        <v>0</v>
      </c>
      <c r="H244" s="65">
        <f t="shared" si="50"/>
        <v>0</v>
      </c>
      <c r="I244" s="65">
        <f t="shared" si="47"/>
        <v>0</v>
      </c>
      <c r="J244" s="203">
        <f>IF(DG!$A$134&lt;=11,$M$17,0)</f>
        <v>0</v>
      </c>
      <c r="K244" s="65">
        <f t="shared" si="51"/>
        <v>0</v>
      </c>
      <c r="L244" s="473">
        <f t="shared" si="57"/>
        <v>0</v>
      </c>
      <c r="M244" s="204">
        <f t="shared" si="58"/>
        <v>0</v>
      </c>
      <c r="N244" s="505">
        <f t="shared" si="59"/>
        <v>0</v>
      </c>
      <c r="O244" s="204">
        <f>IF(DG!$A$134&gt;12,0,IF(J244-J243&gt;0,MROUND((L244/12*Q243),1),MROUND(L244/12*P243,1)))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IF(OR(L$73=0,DG!$A$255&gt;16),0,F244+1)</f>
        <v>0</v>
      </c>
      <c r="G245" s="65">
        <f t="shared" si="53"/>
        <v>0</v>
      </c>
      <c r="H245" s="65">
        <f t="shared" si="50"/>
        <v>0</v>
      </c>
      <c r="I245" s="65">
        <f t="shared" si="47"/>
        <v>0</v>
      </c>
      <c r="J245" s="203">
        <f>IF(DG!$A$134&lt;=11,$M$17,0)</f>
        <v>0</v>
      </c>
      <c r="K245" s="65">
        <f t="shared" si="51"/>
        <v>0</v>
      </c>
      <c r="L245" s="473">
        <f t="shared" si="57"/>
        <v>0</v>
      </c>
      <c r="M245" s="204">
        <f t="shared" si="58"/>
        <v>0</v>
      </c>
      <c r="N245" s="505">
        <f t="shared" si="59"/>
        <v>0</v>
      </c>
      <c r="O245" s="204">
        <f>IF(DG!$A$134&gt;12,0,IF(J245-J244&gt;0,MROUND((L245/12*Q244),1),MROUND(L245/12*P244,1)))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IF(OR(L$73=0,DG!$A$255&gt;16),0,F245+1)</f>
        <v>0</v>
      </c>
      <c r="G246" s="65">
        <f t="shared" si="53"/>
        <v>0</v>
      </c>
      <c r="H246" s="65">
        <f t="shared" si="50"/>
        <v>0</v>
      </c>
      <c r="I246" s="65">
        <f t="shared" si="47"/>
        <v>0</v>
      </c>
      <c r="J246" s="203">
        <f>IF(DG!$A$134&lt;=11,$M$17,0)</f>
        <v>0</v>
      </c>
      <c r="K246" s="65">
        <f t="shared" si="51"/>
        <v>0</v>
      </c>
      <c r="L246" s="473">
        <f t="shared" si="57"/>
        <v>0</v>
      </c>
      <c r="M246" s="204">
        <f t="shared" si="58"/>
        <v>0</v>
      </c>
      <c r="N246" s="505">
        <f t="shared" si="59"/>
        <v>0</v>
      </c>
      <c r="O246" s="204">
        <f>IF(DG!$A$134&gt;12,0,IF(J246-J245&gt;0,MROUND((L246/12*Q245),1),MROUND(L246/12*P245,1)))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IF(OR(L$73=0,DG!$A$255&gt;16),0,F246+1)</f>
        <v>0</v>
      </c>
      <c r="G247" s="65">
        <f t="shared" si="53"/>
        <v>0</v>
      </c>
      <c r="H247" s="65">
        <f t="shared" si="50"/>
        <v>0</v>
      </c>
      <c r="I247" s="65">
        <f t="shared" si="47"/>
        <v>0</v>
      </c>
      <c r="J247" s="203">
        <f>IF(DG!$A$134&lt;=11,$M$17,0)</f>
        <v>0</v>
      </c>
      <c r="K247" s="65">
        <f t="shared" si="51"/>
        <v>0</v>
      </c>
      <c r="L247" s="473">
        <f t="shared" si="57"/>
        <v>0</v>
      </c>
      <c r="M247" s="204">
        <f t="shared" si="58"/>
        <v>0</v>
      </c>
      <c r="N247" s="505">
        <f t="shared" si="59"/>
        <v>0</v>
      </c>
      <c r="O247" s="204">
        <f>IF(DG!$A$134&gt;12,0,IF(J247-J246&gt;0,MROUND((L247/12*Q246),1),MROUND(L247/12*P246,1)))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IF(OR(L$73=0,DG!$A$255&gt;16),0,F247+1)</f>
        <v>0</v>
      </c>
      <c r="G248" s="65">
        <f t="shared" si="53"/>
        <v>0</v>
      </c>
      <c r="H248" s="65">
        <f t="shared" si="50"/>
        <v>0</v>
      </c>
      <c r="I248" s="65">
        <f t="shared" si="47"/>
        <v>0</v>
      </c>
      <c r="J248" s="203">
        <f>IF(DG!$A$134&lt;=11,$M$17,0)</f>
        <v>0</v>
      </c>
      <c r="K248" s="65">
        <f t="shared" si="51"/>
        <v>0</v>
      </c>
      <c r="L248" s="473">
        <f t="shared" si="57"/>
        <v>0</v>
      </c>
      <c r="M248" s="204">
        <f t="shared" si="58"/>
        <v>0</v>
      </c>
      <c r="N248" s="505">
        <f t="shared" si="59"/>
        <v>0</v>
      </c>
      <c r="O248" s="204">
        <f>IF(DG!$A$134&gt;12,0,IF(J248-J247&gt;0,MROUND((L248/12*Q247),1),MROUND(L248/12*P247,1)))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IF(OR(L$73=0,DG!$A$255&gt;16),0,F248+1)</f>
        <v>0</v>
      </c>
      <c r="G249" s="65">
        <f t="shared" si="53"/>
        <v>0</v>
      </c>
      <c r="H249" s="65">
        <f t="shared" si="50"/>
        <v>0</v>
      </c>
      <c r="I249" s="65">
        <f t="shared" si="47"/>
        <v>0</v>
      </c>
      <c r="J249" s="203">
        <f>IF(DG!$A$134&lt;=11,$M$17,0)</f>
        <v>0</v>
      </c>
      <c r="K249" s="65">
        <f t="shared" si="51"/>
        <v>0</v>
      </c>
      <c r="L249" s="473">
        <f t="shared" si="57"/>
        <v>0</v>
      </c>
      <c r="M249" s="204">
        <f t="shared" si="58"/>
        <v>0</v>
      </c>
      <c r="N249" s="505">
        <f t="shared" si="59"/>
        <v>0</v>
      </c>
      <c r="O249" s="204">
        <f>IF(DG!$A$134&gt;12,0,IF(J249-J248&gt;0,MROUND((L249/12*Q248),1),MROUND(L249/12*P248,1)))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IF(OR(L$73=0,DG!$A$255&gt;16),0,F249+1)</f>
        <v>0</v>
      </c>
      <c r="G250" s="65">
        <f t="shared" si="53"/>
        <v>0</v>
      </c>
      <c r="H250" s="65">
        <f t="shared" si="50"/>
        <v>0</v>
      </c>
      <c r="I250" s="65">
        <f t="shared" si="47"/>
        <v>0</v>
      </c>
      <c r="J250" s="203">
        <f>IF(DG!$A$134&lt;=11,$M$17,0)</f>
        <v>0</v>
      </c>
      <c r="K250" s="65">
        <f t="shared" si="51"/>
        <v>0</v>
      </c>
      <c r="L250" s="473">
        <f t="shared" si="57"/>
        <v>0</v>
      </c>
      <c r="M250" s="204">
        <f t="shared" si="58"/>
        <v>0</v>
      </c>
      <c r="N250" s="505">
        <f t="shared" si="59"/>
        <v>0</v>
      </c>
      <c r="O250" s="204">
        <f>IF(DG!$A$134&gt;12,0,IF(J250-J249&gt;0,MROUND((L250/12*Q249),1),MROUND(L250/12*P249,1)))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IF(OR(L$73=0,DG!$A$255&gt;16),0,F250+1)</f>
        <v>0</v>
      </c>
      <c r="G251" s="65">
        <f t="shared" si="53"/>
        <v>0</v>
      </c>
      <c r="H251" s="65">
        <f t="shared" si="50"/>
        <v>0</v>
      </c>
      <c r="I251" s="65">
        <f t="shared" si="47"/>
        <v>0</v>
      </c>
      <c r="J251" s="203">
        <f>IF(DG!$A$134&lt;=11,$M$17,0)</f>
        <v>0</v>
      </c>
      <c r="K251" s="65">
        <f t="shared" si="51"/>
        <v>0</v>
      </c>
      <c r="L251" s="473">
        <f t="shared" si="57"/>
        <v>0</v>
      </c>
      <c r="M251" s="204">
        <f t="shared" si="58"/>
        <v>0</v>
      </c>
      <c r="N251" s="505">
        <f t="shared" si="59"/>
        <v>0</v>
      </c>
      <c r="O251" s="204">
        <f>IF(DG!$A$134&gt;12,0,IF(J251-J250&gt;0,MROUND((L251/12*Q250),1),MROUND(L251/12*P250,1)))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IF(OR(L$73=0,DG!$A$255&gt;16),0,F251+1)</f>
        <v>0</v>
      </c>
      <c r="G252" s="65">
        <f t="shared" si="53"/>
        <v>0</v>
      </c>
      <c r="H252" s="65">
        <f t="shared" si="50"/>
        <v>0</v>
      </c>
      <c r="I252" s="65">
        <f t="shared" si="47"/>
        <v>0</v>
      </c>
      <c r="J252" s="203">
        <f>IF(DG!$A$134&lt;=11,$M$17,0)</f>
        <v>0</v>
      </c>
      <c r="K252" s="65">
        <f t="shared" si="51"/>
        <v>0</v>
      </c>
      <c r="L252" s="473">
        <f t="shared" si="57"/>
        <v>0</v>
      </c>
      <c r="M252" s="204">
        <f t="shared" si="58"/>
        <v>0</v>
      </c>
      <c r="N252" s="505">
        <f t="shared" si="59"/>
        <v>0</v>
      </c>
      <c r="O252" s="204">
        <f>IF(DG!$A$134&gt;12,0,IF(J252-J251&gt;0,MROUND((L252/12*Q251),1),MROUND(L252/12*P251,1)))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IF(OR(L$73=0,DG!$A$255&gt;16),0,F252+1)</f>
        <v>0</v>
      </c>
      <c r="G253" s="65">
        <f t="shared" si="53"/>
        <v>0</v>
      </c>
      <c r="H253" s="65">
        <f t="shared" si="50"/>
        <v>0</v>
      </c>
      <c r="I253" s="65">
        <f t="shared" si="47"/>
        <v>0</v>
      </c>
      <c r="J253" s="203">
        <f>IF(DG!$A$134&lt;=11,$M$17,0)</f>
        <v>0</v>
      </c>
      <c r="K253" s="65">
        <f t="shared" si="51"/>
        <v>0</v>
      </c>
      <c r="L253" s="473">
        <f t="shared" si="57"/>
        <v>0</v>
      </c>
      <c r="M253" s="204">
        <f t="shared" si="58"/>
        <v>0</v>
      </c>
      <c r="N253" s="505">
        <f t="shared" si="59"/>
        <v>0</v>
      </c>
      <c r="O253" s="204">
        <f>IF(DG!$A$134&gt;12,0,IF(J253-J252&gt;0,MROUND((L253/12*Q252),1),MROUND(L253/12*P252,1)))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IF(OR(L$73=0,DG!$A$255&gt;16),0,F253+1)</f>
        <v>0</v>
      </c>
      <c r="G254" s="65">
        <f t="shared" si="53"/>
        <v>0</v>
      </c>
      <c r="H254" s="65">
        <f t="shared" si="50"/>
        <v>0</v>
      </c>
      <c r="I254" s="65">
        <f t="shared" si="47"/>
        <v>0</v>
      </c>
      <c r="J254" s="203">
        <f>IF(DG!$A$134&lt;=11,$M$17,0)</f>
        <v>0</v>
      </c>
      <c r="K254" s="65">
        <f t="shared" si="51"/>
        <v>0</v>
      </c>
      <c r="L254" s="473">
        <f t="shared" si="57"/>
        <v>0</v>
      </c>
      <c r="M254" s="204">
        <f t="shared" si="58"/>
        <v>0</v>
      </c>
      <c r="N254" s="505">
        <f t="shared" si="59"/>
        <v>0</v>
      </c>
      <c r="O254" s="204">
        <f>IF(DG!$A$134&gt;12,0,IF(J254-J253&gt;0,MROUND((L254/12*Q253),1),MROUND(L254/12*P253,1)))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IF(OR(L$73=0,DG!$A$255&gt;16),0,F254+1)</f>
        <v>0</v>
      </c>
      <c r="G255" s="65">
        <f t="shared" si="53"/>
        <v>0</v>
      </c>
      <c r="H255" s="65">
        <f t="shared" si="50"/>
        <v>0</v>
      </c>
      <c r="I255" s="65">
        <f t="shared" si="47"/>
        <v>0</v>
      </c>
      <c r="J255" s="203">
        <f>IF(DG!$A$134&lt;=11,$M$17,0)</f>
        <v>0</v>
      </c>
      <c r="K255" s="65">
        <f t="shared" si="51"/>
        <v>0</v>
      </c>
      <c r="L255" s="473">
        <f t="shared" si="57"/>
        <v>0</v>
      </c>
      <c r="M255" s="204">
        <f t="shared" si="58"/>
        <v>0</v>
      </c>
      <c r="N255" s="505">
        <f t="shared" si="59"/>
        <v>0</v>
      </c>
      <c r="O255" s="204">
        <f>IF(DG!$A$134&gt;12,0,IF(J255-J254&gt;0,MROUND((L255/12*Q254),1),MROUND(L255/12*P254,1)))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IF(OR(L$73=0,DG!$A$255&gt;16),0,F255+1)</f>
        <v>0</v>
      </c>
      <c r="G256" s="65">
        <f t="shared" si="53"/>
        <v>0</v>
      </c>
      <c r="H256" s="65">
        <f t="shared" si="50"/>
        <v>0</v>
      </c>
      <c r="I256" s="65">
        <f t="shared" si="47"/>
        <v>0</v>
      </c>
      <c r="J256" s="203">
        <f>IF(DG!$A$134&lt;=11,$M$17,0)</f>
        <v>0</v>
      </c>
      <c r="K256" s="65">
        <f t="shared" si="51"/>
        <v>0</v>
      </c>
      <c r="L256" s="473">
        <f t="shared" si="57"/>
        <v>0</v>
      </c>
      <c r="M256" s="204">
        <f t="shared" si="58"/>
        <v>0</v>
      </c>
      <c r="N256" s="505">
        <f t="shared" si="59"/>
        <v>0</v>
      </c>
      <c r="O256" s="204">
        <f>IF(DG!$A$134&gt;12,0,IF(J256-J255&gt;0,MROUND((L256/12*Q255),1),MROUND(L256/12*P255,1)))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IF(OR(L$73=0,DG!$A$255&gt;16),0,F256+1)</f>
        <v>0</v>
      </c>
      <c r="G257" s="65">
        <f t="shared" si="53"/>
        <v>0</v>
      </c>
      <c r="H257" s="65">
        <f t="shared" si="50"/>
        <v>0</v>
      </c>
      <c r="I257" s="65">
        <f t="shared" ref="I257:I265" si="62">IF(OR(G257=1,C257=0),0,IF(K257-C257&lt;$G$269,1,-1))</f>
        <v>0</v>
      </c>
      <c r="J257" s="203">
        <f>IF(DG!$A$134&lt;=11,$M$17,0)</f>
        <v>0</v>
      </c>
      <c r="K257" s="65">
        <f t="shared" si="51"/>
        <v>0</v>
      </c>
      <c r="L257" s="473">
        <f t="shared" si="57"/>
        <v>0</v>
      </c>
      <c r="M257" s="204">
        <f t="shared" si="58"/>
        <v>0</v>
      </c>
      <c r="N257" s="505">
        <f t="shared" si="59"/>
        <v>0</v>
      </c>
      <c r="O257" s="204">
        <f>IF(DG!$A$134&gt;12,0,IF(J257-J256&gt;0,MROUND((L257/12*Q256),1),MROUND(L257/12*P256,1)))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IF(OR(L$73=0,DG!$A$255&gt;16),0,F257+1)</f>
        <v>0</v>
      </c>
      <c r="G258" s="65">
        <f t="shared" si="53"/>
        <v>0</v>
      </c>
      <c r="H258" s="65">
        <f t="shared" si="50"/>
        <v>0</v>
      </c>
      <c r="I258" s="65">
        <f t="shared" si="62"/>
        <v>0</v>
      </c>
      <c r="J258" s="203">
        <f>IF(DG!$A$134&lt;=11,$M$17,0)</f>
        <v>0</v>
      </c>
      <c r="K258" s="65">
        <f t="shared" si="51"/>
        <v>0</v>
      </c>
      <c r="L258" s="473">
        <f t="shared" si="57"/>
        <v>0</v>
      </c>
      <c r="M258" s="204">
        <f t="shared" si="58"/>
        <v>0</v>
      </c>
      <c r="N258" s="505">
        <f t="shared" si="59"/>
        <v>0</v>
      </c>
      <c r="O258" s="204">
        <f>IF(DG!$A$134&gt;12,0,IF(J258-J257&gt;0,MROUND((L258/12*Q257),1),MROUND(L258/12*P257,1)))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IF(OR(L$73=0,DG!$A$255&gt;16),0,F258+1)</f>
        <v>0</v>
      </c>
      <c r="G259" s="65">
        <f t="shared" si="53"/>
        <v>0</v>
      </c>
      <c r="H259" s="65">
        <f t="shared" si="50"/>
        <v>0</v>
      </c>
      <c r="I259" s="65">
        <f t="shared" si="62"/>
        <v>0</v>
      </c>
      <c r="J259" s="203">
        <f>IF(DG!$A$134&lt;=11,$M$17,0)</f>
        <v>0</v>
      </c>
      <c r="K259" s="65">
        <f t="shared" si="51"/>
        <v>0</v>
      </c>
      <c r="L259" s="473">
        <f t="shared" si="57"/>
        <v>0</v>
      </c>
      <c r="M259" s="204">
        <f t="shared" si="58"/>
        <v>0</v>
      </c>
      <c r="N259" s="505">
        <f t="shared" si="59"/>
        <v>0</v>
      </c>
      <c r="O259" s="204">
        <f>IF(DG!$A$134&gt;12,0,IF(J259-J258&gt;0,MROUND((L259/12*Q258),1),MROUND(L259/12*P258,1)))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IF(OR(L$73=0,DG!$A$255&gt;16),0,F259+1)</f>
        <v>0</v>
      </c>
      <c r="G260" s="65">
        <f t="shared" si="53"/>
        <v>0</v>
      </c>
      <c r="H260" s="65">
        <f t="shared" si="50"/>
        <v>0</v>
      </c>
      <c r="I260" s="65">
        <f t="shared" si="62"/>
        <v>0</v>
      </c>
      <c r="J260" s="203">
        <f>IF(DG!$A$134&lt;=11,$M$17,0)</f>
        <v>0</v>
      </c>
      <c r="K260" s="65">
        <f t="shared" si="51"/>
        <v>0</v>
      </c>
      <c r="L260" s="473">
        <f t="shared" si="57"/>
        <v>0</v>
      </c>
      <c r="M260" s="204">
        <f t="shared" si="58"/>
        <v>0</v>
      </c>
      <c r="N260" s="505">
        <f t="shared" si="59"/>
        <v>0</v>
      </c>
      <c r="O260" s="204">
        <f>IF(DG!$A$134&gt;12,0,IF(J260-J259&gt;0,MROUND((L260/12*Q259),1),MROUND(L260/12*P259,1)))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IF(OR(L$73=0,DG!$A$255&gt;16),0,F260+1)</f>
        <v>0</v>
      </c>
      <c r="G261" s="65">
        <f t="shared" si="53"/>
        <v>0</v>
      </c>
      <c r="H261" s="65">
        <f t="shared" si="50"/>
        <v>0</v>
      </c>
      <c r="I261" s="65">
        <f t="shared" si="62"/>
        <v>0</v>
      </c>
      <c r="J261" s="203">
        <f>IF(DG!$A$134&lt;=11,$M$17,0)</f>
        <v>0</v>
      </c>
      <c r="K261" s="65">
        <f t="shared" si="51"/>
        <v>0</v>
      </c>
      <c r="L261" s="473">
        <f t="shared" si="57"/>
        <v>0</v>
      </c>
      <c r="M261" s="204">
        <f t="shared" si="58"/>
        <v>0</v>
      </c>
      <c r="N261" s="505">
        <f t="shared" si="59"/>
        <v>0</v>
      </c>
      <c r="O261" s="204">
        <f>IF(DG!$A$134&gt;12,0,IF(J261-J260&gt;0,MROUND((L261/12*Q260),1),MROUND(L261/12*P260,1)))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IF(OR(L$73=0,DG!$A$255&gt;16),0,F261+1)</f>
        <v>0</v>
      </c>
      <c r="G262" s="65">
        <f t="shared" si="53"/>
        <v>0</v>
      </c>
      <c r="H262" s="65">
        <f t="shared" si="50"/>
        <v>0</v>
      </c>
      <c r="I262" s="65">
        <f t="shared" si="62"/>
        <v>0</v>
      </c>
      <c r="J262" s="203">
        <f>IF(DG!$A$134&lt;=11,$M$17,0)</f>
        <v>0</v>
      </c>
      <c r="K262" s="65">
        <f t="shared" si="51"/>
        <v>0</v>
      </c>
      <c r="L262" s="473">
        <f t="shared" si="57"/>
        <v>0</v>
      </c>
      <c r="M262" s="204">
        <f t="shared" si="58"/>
        <v>0</v>
      </c>
      <c r="N262" s="505">
        <f t="shared" si="59"/>
        <v>0</v>
      </c>
      <c r="O262" s="204">
        <f>IF(DG!$A$134&gt;12,0,IF(J262-J261&gt;0,MROUND((L262/12*Q261),1),MROUND(L262/12*P261,1)))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IF(OR(L$73=0,DG!$A$255&gt;16),0,F262+1)</f>
        <v>0</v>
      </c>
      <c r="G263" s="65">
        <f t="shared" si="53"/>
        <v>0</v>
      </c>
      <c r="H263" s="65">
        <f t="shared" si="50"/>
        <v>0</v>
      </c>
      <c r="I263" s="65">
        <f t="shared" si="62"/>
        <v>0</v>
      </c>
      <c r="J263" s="203">
        <f>IF(DG!$A$134&lt;=11,$M$17,0)</f>
        <v>0</v>
      </c>
      <c r="K263" s="65">
        <f t="shared" si="51"/>
        <v>0</v>
      </c>
      <c r="L263" s="473">
        <f t="shared" si="57"/>
        <v>0</v>
      </c>
      <c r="M263" s="204">
        <f t="shared" si="58"/>
        <v>0</v>
      </c>
      <c r="N263" s="505">
        <f t="shared" si="59"/>
        <v>0</v>
      </c>
      <c r="O263" s="204">
        <f>IF(DG!$A$134&gt;12,0,IF(J263-J262&gt;0,MROUND((L263/12*Q262),1),MROUND(L263/12*P262,1)))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IF(OR(L$73=0,DG!$A$255&gt;16),0,F263+1)</f>
        <v>0</v>
      </c>
      <c r="G264" s="65">
        <f t="shared" si="53"/>
        <v>0</v>
      </c>
      <c r="H264" s="65">
        <f t="shared" si="50"/>
        <v>0</v>
      </c>
      <c r="I264" s="65">
        <f t="shared" si="62"/>
        <v>0</v>
      </c>
      <c r="J264" s="203">
        <f>IF(DG!$A$134&lt;=11,$M$17,0)</f>
        <v>0</v>
      </c>
      <c r="K264" s="65">
        <f t="shared" si="51"/>
        <v>0</v>
      </c>
      <c r="L264" s="473">
        <f t="shared" si="57"/>
        <v>0</v>
      </c>
      <c r="M264" s="204">
        <f t="shared" si="58"/>
        <v>0</v>
      </c>
      <c r="N264" s="505">
        <f t="shared" si="59"/>
        <v>0</v>
      </c>
      <c r="O264" s="204">
        <f>IF(DG!$A$134&gt;12,0,IF(J264-J263&gt;0,MROUND((L264/12*Q263),1),MROUND(L264/12*P263,1)))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IF(OR(L$73=0,DG!$A$255&gt;16),0,F264+1)</f>
        <v>0</v>
      </c>
      <c r="G265" s="65">
        <f t="shared" si="53"/>
        <v>0</v>
      </c>
      <c r="H265" s="65">
        <f t="shared" si="50"/>
        <v>0</v>
      </c>
      <c r="I265" s="65">
        <f t="shared" si="62"/>
        <v>0</v>
      </c>
      <c r="J265" s="203">
        <f>IF(DG!$A$134&lt;=11,$M$17,0)</f>
        <v>0</v>
      </c>
      <c r="K265" s="65">
        <f t="shared" si="51"/>
        <v>0</v>
      </c>
      <c r="L265" s="473">
        <f t="shared" si="57"/>
        <v>0</v>
      </c>
      <c r="M265" s="204">
        <f t="shared" si="58"/>
        <v>0</v>
      </c>
      <c r="N265" s="505">
        <f t="shared" si="59"/>
        <v>0</v>
      </c>
      <c r="O265" s="204">
        <f>IF(DG!$A$134&gt;12,0,IF(J265-J264&gt;0,MROUND((L265/12*Q264),1),MROUND(L265/12*P264,1)))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IF(DG!$A$134&gt;12,0,IF(J266-J265&gt;0,MROUND((L266/12*Q265),1),MROUND(L266/12*P265,1)))</f>
        <v>0</v>
      </c>
    </row>
    <row r="267" spans="1:19">
      <c r="H267" s="65">
        <f>IF(B267&gt;0,1,0)</f>
        <v>0</v>
      </c>
      <c r="I267" s="65">
        <f>SUM(E267:H267)</f>
        <v>0</v>
      </c>
      <c r="M267" s="205"/>
      <c r="N267" s="505">
        <f t="shared" si="59"/>
        <v>0</v>
      </c>
      <c r="O267" s="204">
        <f>IF(DG!$A$134&gt;12,0,IF(J267-J266&gt;0,MROUND((L267/12*Q266),1),MROUND(L267/12*P266,1)))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21" r:id="rId4" name="Drop Down 21">
              <controlPr defaultSize="0" autoFill="0" autoLine="0" autoPict="0">
                <anchor moveWithCells="1">
                  <from>
                    <xdr:col>15</xdr:col>
                    <xdr:colOff>0</xdr:colOff>
                    <xdr:row>15</xdr:row>
                    <xdr:rowOff>63500</xdr:rowOff>
                  </from>
                  <to>
                    <xdr:col>16</xdr:col>
                    <xdr:colOff>63500</xdr:colOff>
                    <xdr:row>17</xdr:row>
                    <xdr:rowOff>38100</xdr:rowOff>
                  </to>
                </anchor>
              </controlPr>
            </control>
          </mc:Choice>
        </mc:AlternateContent>
        <mc:AlternateContent xmlns:mc="http://schemas.openxmlformats.org/markup-compatibility/2006">
          <mc:Choice Requires="x14">
            <control shapeId="25625" r:id="rId5" name="Drop Down 25">
              <controlPr defaultSize="0" autoFill="0" autoLine="0" autoPict="0">
                <anchor moveWithCells="1">
                  <from>
                    <xdr:col>15</xdr:col>
                    <xdr:colOff>12700</xdr:colOff>
                    <xdr:row>18</xdr:row>
                    <xdr:rowOff>0</xdr:rowOff>
                  </from>
                  <to>
                    <xdr:col>16</xdr:col>
                    <xdr:colOff>25400</xdr:colOff>
                    <xdr:row>19</xdr:row>
                    <xdr:rowOff>50800</xdr:rowOff>
                  </to>
                </anchor>
              </controlPr>
            </control>
          </mc:Choice>
        </mc:AlternateContent>
        <mc:AlternateContent xmlns:mc="http://schemas.openxmlformats.org/markup-compatibility/2006">
          <mc:Choice Requires="x14">
            <control shapeId="25631" r:id="rId6" name="Drop Down 31">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27">
    <pageSetUpPr fitToPage="1"/>
  </sheetPr>
  <dimension ref="A8:S269"/>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147</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IF(OR(J$26=0,DG!$A$135&gt;1),0,B25+1)</f>
        <v>0</v>
      </c>
      <c r="C26" s="65">
        <f t="shared" ref="C26:C49" si="0">IF(F26-$E$269&gt;0,F26-$E$269,0)</f>
        <v>0</v>
      </c>
      <c r="D26" s="65">
        <v>1</v>
      </c>
      <c r="E26" s="65">
        <f>B26</f>
        <v>0</v>
      </c>
      <c r="F26" s="65">
        <f>IF(OR(L$26=0,DG!$A$256&gt;1),0,F25+1)</f>
        <v>0</v>
      </c>
      <c r="G26" s="65">
        <f t="shared" ref="G26:G89" si="1">IF(E26=0,0,IF(D26-E26-F26&gt;=0,1,0))</f>
        <v>0</v>
      </c>
      <c r="H26" s="65">
        <f t="shared" ref="H26:H89" si="2">IF(I26&gt;=0,0,H25+1)</f>
        <v>0</v>
      </c>
      <c r="I26" s="65">
        <f t="shared" ref="I26:I63" si="3">IF(OR(G26=1,C26=0),0,IF(K26-C26&lt;$G$269,1,-1))</f>
        <v>0</v>
      </c>
      <c r="J26" s="203">
        <f>IF(DG!$A$135&lt;=1,$M$17,0)</f>
        <v>0</v>
      </c>
      <c r="K26" s="65">
        <f>M21</f>
        <v>0</v>
      </c>
      <c r="L26" s="473">
        <f>IF($M$17&gt;0,$M$19+0.0000001,0)</f>
        <v>0</v>
      </c>
      <c r="M26" s="204">
        <f>IF(H26=0,0,IF($R$13=1,N26+O26,IF(N26=0,O26,-PMT(L26/12,K26-$G$269,J26))))</f>
        <v>0</v>
      </c>
      <c r="N26" s="505">
        <f>IF(OR(H26-K26&gt;0,I26&gt;=0),0,MROUND(-PPMT(L26/12,H26,K26-G269,J26),1)+R26)</f>
        <v>0</v>
      </c>
      <c r="O26" s="204">
        <f>IF(DG!$A$135&gt;1,0,IF(J26-J25&gt;0,MROUND((L26/12*Q25),1),MROUND(L26/12*P25,1)))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IF(OR(J$27=0,DG!$A$135&gt;1),0,B26+1)</f>
        <v>0</v>
      </c>
      <c r="C27" s="65">
        <f t="shared" si="0"/>
        <v>0</v>
      </c>
      <c r="D27" s="65">
        <f>D26+1</f>
        <v>2</v>
      </c>
      <c r="E27" s="65">
        <f t="shared" ref="E27:E90" si="6">B27</f>
        <v>0</v>
      </c>
      <c r="F27" s="65">
        <f>IF(OR(L$27=0,DG!$A$256&gt;1),0,F26+1)</f>
        <v>0</v>
      </c>
      <c r="G27" s="65">
        <f t="shared" si="1"/>
        <v>0</v>
      </c>
      <c r="H27" s="65">
        <f t="shared" si="2"/>
        <v>0</v>
      </c>
      <c r="I27" s="65">
        <f t="shared" si="3"/>
        <v>0</v>
      </c>
      <c r="J27" s="203">
        <f>IF(DG!$A$135&lt;=1,$M$17,0)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IF(DG!$A$135&gt;1,0,IF(J27-J26&gt;0,MROUND((L27/12*Q26),1),MROUND(L27/12*P26,1)))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IF(OR(J$28=0,DG!$A$135&gt;1),0,B27+1)</f>
        <v>0</v>
      </c>
      <c r="C28" s="65">
        <f t="shared" si="0"/>
        <v>0</v>
      </c>
      <c r="D28" s="65">
        <f t="shared" ref="D28:D91" si="12">D27+1</f>
        <v>3</v>
      </c>
      <c r="E28" s="65">
        <f t="shared" si="6"/>
        <v>0</v>
      </c>
      <c r="F28" s="65">
        <f>IF(OR(L$28=0,DG!$A$256&gt;1),0,F27+1)</f>
        <v>0</v>
      </c>
      <c r="G28" s="65">
        <f t="shared" si="1"/>
        <v>0</v>
      </c>
      <c r="H28" s="65">
        <f t="shared" si="2"/>
        <v>0</v>
      </c>
      <c r="I28" s="65">
        <f t="shared" si="3"/>
        <v>0</v>
      </c>
      <c r="J28" s="203">
        <f>IF(DG!$A$135&lt;=1,$M$17,0)</f>
        <v>0</v>
      </c>
      <c r="K28" s="65">
        <f t="shared" si="7"/>
        <v>0</v>
      </c>
      <c r="L28" s="473">
        <f t="shared" si="8"/>
        <v>0</v>
      </c>
      <c r="M28" s="204">
        <f t="shared" si="9"/>
        <v>0</v>
      </c>
      <c r="N28" s="505">
        <f t="shared" si="10"/>
        <v>0</v>
      </c>
      <c r="O28" s="204">
        <f>IF(DG!$A$135&gt;1,0,IF(J28-J27&gt;0,MROUND((L28/12*Q27),1),MROUND(L28/12*P27,1)))</f>
        <v>0</v>
      </c>
      <c r="P28" s="204">
        <f t="shared" si="11"/>
        <v>0</v>
      </c>
      <c r="Q28" s="204">
        <f t="shared" si="4"/>
        <v>0</v>
      </c>
      <c r="R28" s="748">
        <v>0</v>
      </c>
    </row>
    <row r="29" spans="1:18" ht="14" thickTop="1" thickBot="1">
      <c r="A29" s="202">
        <f t="shared" si="5"/>
        <v>45383</v>
      </c>
      <c r="B29" s="65">
        <f>IF(OR(J$29=0,DG!$A$135&gt;2),0,B28+1)</f>
        <v>0</v>
      </c>
      <c r="C29" s="65">
        <f t="shared" si="0"/>
        <v>0</v>
      </c>
      <c r="D29" s="65">
        <f t="shared" si="12"/>
        <v>4</v>
      </c>
      <c r="E29" s="65">
        <f t="shared" si="6"/>
        <v>0</v>
      </c>
      <c r="F29" s="65">
        <f>IF(OR(L$29=0,DG!$A$256&gt;2),0,F28+1)</f>
        <v>0</v>
      </c>
      <c r="G29" s="65">
        <f t="shared" si="1"/>
        <v>0</v>
      </c>
      <c r="H29" s="65">
        <f t="shared" si="2"/>
        <v>0</v>
      </c>
      <c r="I29" s="65">
        <f t="shared" si="3"/>
        <v>0</v>
      </c>
      <c r="J29" s="203">
        <f>IF(DG!$A$135&lt;=2,$M$17,0)</f>
        <v>0</v>
      </c>
      <c r="K29" s="65">
        <f t="shared" si="7"/>
        <v>0</v>
      </c>
      <c r="L29" s="473">
        <f t="shared" si="8"/>
        <v>0</v>
      </c>
      <c r="M29" s="204">
        <f t="shared" si="9"/>
        <v>0</v>
      </c>
      <c r="N29" s="505">
        <f t="shared" si="10"/>
        <v>0</v>
      </c>
      <c r="O29" s="204">
        <f>IF(DG!$A$135&gt;2,0,IF(J29-J28&gt;0,MROUND((L29/12*Q28),1),MROUND(L29/12*P28,1)))</f>
        <v>0</v>
      </c>
      <c r="P29" s="204">
        <f t="shared" si="11"/>
        <v>0</v>
      </c>
      <c r="Q29" s="204">
        <f t="shared" si="4"/>
        <v>0</v>
      </c>
      <c r="R29" s="748">
        <v>0</v>
      </c>
    </row>
    <row r="30" spans="1:18" ht="14" thickTop="1" thickBot="1">
      <c r="A30" s="202">
        <f t="shared" si="5"/>
        <v>45413</v>
      </c>
      <c r="B30" s="65">
        <f>IF(OR(J$30=0,DG!$A$135&gt;2),0,B29+1)</f>
        <v>0</v>
      </c>
      <c r="C30" s="65">
        <f t="shared" si="0"/>
        <v>0</v>
      </c>
      <c r="D30" s="65">
        <f t="shared" si="12"/>
        <v>5</v>
      </c>
      <c r="E30" s="65">
        <f t="shared" si="6"/>
        <v>0</v>
      </c>
      <c r="F30" s="65">
        <f>IF(OR(L$30=0,DG!$A$256&gt;2),0,F29+1)</f>
        <v>0</v>
      </c>
      <c r="G30" s="65">
        <f t="shared" si="1"/>
        <v>0</v>
      </c>
      <c r="H30" s="65">
        <f t="shared" si="2"/>
        <v>0</v>
      </c>
      <c r="I30" s="65">
        <f t="shared" si="3"/>
        <v>0</v>
      </c>
      <c r="J30" s="203">
        <f>IF(DG!$A$135&lt;=2,$M$17,0)</f>
        <v>0</v>
      </c>
      <c r="K30" s="65">
        <f t="shared" si="7"/>
        <v>0</v>
      </c>
      <c r="L30" s="473">
        <f t="shared" si="8"/>
        <v>0</v>
      </c>
      <c r="M30" s="204">
        <f t="shared" si="9"/>
        <v>0</v>
      </c>
      <c r="N30" s="505">
        <f t="shared" si="10"/>
        <v>0</v>
      </c>
      <c r="O30" s="204">
        <f>IF(DG!$A$135&gt;2,0,IF(J30-J29&gt;0,MROUND((L30/12*Q29),1),MROUND(L30/12*P29,1)))</f>
        <v>0</v>
      </c>
      <c r="P30" s="204">
        <f t="shared" si="11"/>
        <v>0</v>
      </c>
      <c r="Q30" s="204">
        <f t="shared" si="4"/>
        <v>0</v>
      </c>
      <c r="R30" s="748">
        <v>0</v>
      </c>
    </row>
    <row r="31" spans="1:18" ht="14" thickTop="1" thickBot="1">
      <c r="A31" s="202">
        <f t="shared" si="5"/>
        <v>45444</v>
      </c>
      <c r="B31" s="65">
        <f>IF(OR(J$31=0,DG!$A$135&gt;2),0,B30+1)</f>
        <v>0</v>
      </c>
      <c r="C31" s="65">
        <f t="shared" si="0"/>
        <v>0</v>
      </c>
      <c r="D31" s="65">
        <f t="shared" si="12"/>
        <v>6</v>
      </c>
      <c r="E31" s="65">
        <f t="shared" si="6"/>
        <v>0</v>
      </c>
      <c r="F31" s="65">
        <f>IF(OR(L$31=0,DG!$A$256&gt;2),0,F30+1)</f>
        <v>0</v>
      </c>
      <c r="G31" s="65">
        <f t="shared" si="1"/>
        <v>0</v>
      </c>
      <c r="H31" s="65">
        <f t="shared" si="2"/>
        <v>0</v>
      </c>
      <c r="I31" s="65">
        <f t="shared" si="3"/>
        <v>0</v>
      </c>
      <c r="J31" s="203">
        <f>IF(DG!$A$135&lt;=2,$M$17,0)</f>
        <v>0</v>
      </c>
      <c r="K31" s="65">
        <f t="shared" si="7"/>
        <v>0</v>
      </c>
      <c r="L31" s="473">
        <f t="shared" si="8"/>
        <v>0</v>
      </c>
      <c r="M31" s="204">
        <f t="shared" si="9"/>
        <v>0</v>
      </c>
      <c r="N31" s="505">
        <f t="shared" si="10"/>
        <v>0</v>
      </c>
      <c r="O31" s="204">
        <f>IF(DG!$A$135&gt;2,0,IF(J31-J30&gt;0,MROUND((L31/12*Q30),1),MROUND(L31/12*P30,1)))</f>
        <v>0</v>
      </c>
      <c r="P31" s="204">
        <f t="shared" si="11"/>
        <v>0</v>
      </c>
      <c r="Q31" s="204">
        <f t="shared" si="4"/>
        <v>0</v>
      </c>
      <c r="R31" s="748">
        <v>0</v>
      </c>
    </row>
    <row r="32" spans="1:18" ht="14" thickTop="1" thickBot="1">
      <c r="A32" s="202">
        <f t="shared" si="5"/>
        <v>45474</v>
      </c>
      <c r="B32" s="65">
        <f>IF(OR(J$32=0,DG!$A$135&gt;3),0,B31+1)</f>
        <v>0</v>
      </c>
      <c r="C32" s="65">
        <f t="shared" si="0"/>
        <v>0</v>
      </c>
      <c r="D32" s="65">
        <f t="shared" si="12"/>
        <v>7</v>
      </c>
      <c r="E32" s="65">
        <f t="shared" si="6"/>
        <v>0</v>
      </c>
      <c r="F32" s="65">
        <f>IF(OR(L$32=0,DG!$A$256&gt;3),0,F31+1)</f>
        <v>0</v>
      </c>
      <c r="G32" s="65">
        <f t="shared" si="1"/>
        <v>0</v>
      </c>
      <c r="H32" s="65">
        <f t="shared" si="2"/>
        <v>0</v>
      </c>
      <c r="I32" s="65">
        <f t="shared" si="3"/>
        <v>0</v>
      </c>
      <c r="J32" s="203">
        <f>IF(DG!$A$135&lt;=3,$M$17,0)</f>
        <v>0</v>
      </c>
      <c r="K32" s="65">
        <f t="shared" si="7"/>
        <v>0</v>
      </c>
      <c r="L32" s="473">
        <f t="shared" si="8"/>
        <v>0</v>
      </c>
      <c r="M32" s="204">
        <f t="shared" si="9"/>
        <v>0</v>
      </c>
      <c r="N32" s="505">
        <f t="shared" si="10"/>
        <v>0</v>
      </c>
      <c r="O32" s="204">
        <f>IF(DG!$A$135&gt;3,0,IF(J32-J31&gt;0,MROUND((L32/12*Q31),1),MROUND(L32/12*P31,1)))</f>
        <v>0</v>
      </c>
      <c r="P32" s="204">
        <f t="shared" si="11"/>
        <v>0</v>
      </c>
      <c r="Q32" s="204">
        <f t="shared" si="4"/>
        <v>0</v>
      </c>
      <c r="R32" s="748">
        <v>0</v>
      </c>
    </row>
    <row r="33" spans="1:19" ht="14" thickTop="1" thickBot="1">
      <c r="A33" s="202">
        <f t="shared" si="5"/>
        <v>45505</v>
      </c>
      <c r="B33" s="65">
        <f>IF(OR(J$33=0,DG!$A$135&gt;3),0,B32+1)</f>
        <v>0</v>
      </c>
      <c r="C33" s="65">
        <f t="shared" si="0"/>
        <v>0</v>
      </c>
      <c r="D33" s="65">
        <f t="shared" si="12"/>
        <v>8</v>
      </c>
      <c r="E33" s="65">
        <f t="shared" si="6"/>
        <v>0</v>
      </c>
      <c r="F33" s="65">
        <f>IF(OR(L$33=0,DG!$A$256&gt;3),0,F32+1)</f>
        <v>0</v>
      </c>
      <c r="G33" s="65">
        <f t="shared" si="1"/>
        <v>0</v>
      </c>
      <c r="H33" s="65">
        <f t="shared" si="2"/>
        <v>0</v>
      </c>
      <c r="I33" s="65">
        <f t="shared" si="3"/>
        <v>0</v>
      </c>
      <c r="J33" s="203">
        <f>IF(DG!$A$135&lt;=3,$M$17,0)</f>
        <v>0</v>
      </c>
      <c r="K33" s="65">
        <f t="shared" si="7"/>
        <v>0</v>
      </c>
      <c r="L33" s="473">
        <f t="shared" si="8"/>
        <v>0</v>
      </c>
      <c r="M33" s="204">
        <f t="shared" si="9"/>
        <v>0</v>
      </c>
      <c r="N33" s="505">
        <f t="shared" si="10"/>
        <v>0</v>
      </c>
      <c r="O33" s="204">
        <f>IF(DG!$A$135&gt;3,0,IF(J33-J32&gt;0,MROUND((L33/12*Q32),1),MROUND(L33/12*P32,1)))</f>
        <v>0</v>
      </c>
      <c r="P33" s="204">
        <f t="shared" si="11"/>
        <v>0</v>
      </c>
      <c r="Q33" s="204">
        <f t="shared" si="4"/>
        <v>0</v>
      </c>
      <c r="R33" s="748">
        <v>0</v>
      </c>
    </row>
    <row r="34" spans="1:19" ht="14" thickTop="1" thickBot="1">
      <c r="A34" s="202">
        <f t="shared" si="5"/>
        <v>45536</v>
      </c>
      <c r="B34" s="65">
        <f>IF(OR(J$34=0,DG!$A$135&gt;3),0,B33+1)</f>
        <v>0</v>
      </c>
      <c r="C34" s="65">
        <f t="shared" si="0"/>
        <v>0</v>
      </c>
      <c r="D34" s="65">
        <f t="shared" si="12"/>
        <v>9</v>
      </c>
      <c r="E34" s="65">
        <f t="shared" si="6"/>
        <v>0</v>
      </c>
      <c r="F34" s="65">
        <f>IF(OR(L$34=0,DG!$A$256&gt;3),0,F33+1)</f>
        <v>0</v>
      </c>
      <c r="G34" s="65">
        <f t="shared" si="1"/>
        <v>0</v>
      </c>
      <c r="H34" s="65">
        <f t="shared" si="2"/>
        <v>0</v>
      </c>
      <c r="I34" s="65">
        <f t="shared" si="3"/>
        <v>0</v>
      </c>
      <c r="J34" s="203">
        <f>IF(DG!$A$135&lt;=3,$M$17,0)</f>
        <v>0</v>
      </c>
      <c r="K34" s="65">
        <f t="shared" si="7"/>
        <v>0</v>
      </c>
      <c r="L34" s="473">
        <f t="shared" si="8"/>
        <v>0</v>
      </c>
      <c r="M34" s="204">
        <f t="shared" si="9"/>
        <v>0</v>
      </c>
      <c r="N34" s="505">
        <f t="shared" si="10"/>
        <v>0</v>
      </c>
      <c r="O34" s="204">
        <f>IF(DG!$A$135&gt;3,0,IF(J34-J33&gt;0,MROUND((L34/12*Q33),1),MROUND(L34/12*P33,1)))</f>
        <v>0</v>
      </c>
      <c r="P34" s="204">
        <f t="shared" si="11"/>
        <v>0</v>
      </c>
      <c r="Q34" s="204">
        <f t="shared" si="4"/>
        <v>0</v>
      </c>
      <c r="R34" s="748">
        <v>0</v>
      </c>
    </row>
    <row r="35" spans="1:19" ht="14" thickTop="1" thickBot="1">
      <c r="A35" s="202">
        <f t="shared" si="5"/>
        <v>45566</v>
      </c>
      <c r="B35" s="65">
        <f>IF(OR(J$35=0,DG!$A$135&gt;4),0,B34+1)</f>
        <v>0</v>
      </c>
      <c r="C35" s="65">
        <f t="shared" si="0"/>
        <v>0</v>
      </c>
      <c r="D35" s="65">
        <f t="shared" si="12"/>
        <v>10</v>
      </c>
      <c r="E35" s="65">
        <f t="shared" si="6"/>
        <v>0</v>
      </c>
      <c r="F35" s="65">
        <f>IF(OR(L$35=0,DG!$A$256&gt;4),0,F34+1)</f>
        <v>0</v>
      </c>
      <c r="G35" s="65">
        <f t="shared" si="1"/>
        <v>0</v>
      </c>
      <c r="H35" s="65">
        <f t="shared" si="2"/>
        <v>0</v>
      </c>
      <c r="I35" s="65">
        <f t="shared" si="3"/>
        <v>0</v>
      </c>
      <c r="J35" s="203">
        <f>IF(DG!$A$135&lt;=4,$M$17,0)</f>
        <v>0</v>
      </c>
      <c r="K35" s="65">
        <f t="shared" si="7"/>
        <v>0</v>
      </c>
      <c r="L35" s="473">
        <f t="shared" si="8"/>
        <v>0</v>
      </c>
      <c r="M35" s="204">
        <f t="shared" si="9"/>
        <v>0</v>
      </c>
      <c r="N35" s="505">
        <f t="shared" si="10"/>
        <v>0</v>
      </c>
      <c r="O35" s="204">
        <f>IF(DG!$A$135&gt;4,0,IF(J35-J34&gt;0,MROUND((L35/12*Q34),1),MROUND(L35/12*P34,1)))</f>
        <v>0</v>
      </c>
      <c r="P35" s="204">
        <f t="shared" si="11"/>
        <v>0</v>
      </c>
      <c r="Q35" s="204">
        <f t="shared" si="4"/>
        <v>0</v>
      </c>
      <c r="R35" s="748">
        <v>0</v>
      </c>
    </row>
    <row r="36" spans="1:19" ht="14" thickTop="1" thickBot="1">
      <c r="A36" s="202">
        <f t="shared" si="5"/>
        <v>45597</v>
      </c>
      <c r="B36" s="65">
        <f>IF(OR(J$36=0,DG!$A$135&gt;4),0,B35+1)</f>
        <v>0</v>
      </c>
      <c r="C36" s="65">
        <f t="shared" si="0"/>
        <v>0</v>
      </c>
      <c r="D36" s="65">
        <f t="shared" si="12"/>
        <v>11</v>
      </c>
      <c r="E36" s="65">
        <f t="shared" si="6"/>
        <v>0</v>
      </c>
      <c r="F36" s="65">
        <f>IF(OR(L$36=0,DG!$A$256&gt;4),0,F35+1)</f>
        <v>0</v>
      </c>
      <c r="G36" s="65">
        <f t="shared" si="1"/>
        <v>0</v>
      </c>
      <c r="H36" s="65">
        <f t="shared" si="2"/>
        <v>0</v>
      </c>
      <c r="I36" s="65">
        <f t="shared" si="3"/>
        <v>0</v>
      </c>
      <c r="J36" s="203">
        <f>IF(DG!$A$135&lt;=4,$M$17,0)</f>
        <v>0</v>
      </c>
      <c r="K36" s="65">
        <f t="shared" si="7"/>
        <v>0</v>
      </c>
      <c r="L36" s="473">
        <f t="shared" si="8"/>
        <v>0</v>
      </c>
      <c r="M36" s="204">
        <f t="shared" si="9"/>
        <v>0</v>
      </c>
      <c r="N36" s="505">
        <f t="shared" si="10"/>
        <v>0</v>
      </c>
      <c r="O36" s="204">
        <f>IF(DG!$A$135&gt;4,0,IF(J36-J35&gt;0,MROUND((L36/12*Q35),1),MROUND(L36/12*P35,1)))</f>
        <v>0</v>
      </c>
      <c r="P36" s="204">
        <f t="shared" si="11"/>
        <v>0</v>
      </c>
      <c r="Q36" s="204">
        <f t="shared" si="4"/>
        <v>0</v>
      </c>
      <c r="R36" s="748">
        <v>0</v>
      </c>
    </row>
    <row r="37" spans="1:19" ht="14" thickTop="1" thickBot="1">
      <c r="A37" s="202">
        <f t="shared" si="5"/>
        <v>45627</v>
      </c>
      <c r="B37" s="65">
        <f>IF(OR(J$37=0,DG!$A$135&gt;4),0,B36+1)</f>
        <v>0</v>
      </c>
      <c r="C37" s="65">
        <f t="shared" si="0"/>
        <v>0</v>
      </c>
      <c r="D37" s="65">
        <f t="shared" si="12"/>
        <v>12</v>
      </c>
      <c r="E37" s="65">
        <f t="shared" si="6"/>
        <v>0</v>
      </c>
      <c r="F37" s="65">
        <f>IF(OR(L$37=0,DG!$A$256&gt;4),0,F36+1)</f>
        <v>0</v>
      </c>
      <c r="G37" s="65">
        <f t="shared" si="1"/>
        <v>0</v>
      </c>
      <c r="H37" s="65">
        <f t="shared" si="2"/>
        <v>0</v>
      </c>
      <c r="I37" s="65">
        <f t="shared" si="3"/>
        <v>0</v>
      </c>
      <c r="J37" s="203">
        <f>IF(DG!$A$135&lt;=4,$M$17,0)</f>
        <v>0</v>
      </c>
      <c r="K37" s="65">
        <f t="shared" si="7"/>
        <v>0</v>
      </c>
      <c r="L37" s="473">
        <f t="shared" si="8"/>
        <v>0</v>
      </c>
      <c r="M37" s="204">
        <f t="shared" si="9"/>
        <v>0</v>
      </c>
      <c r="N37" s="505">
        <f t="shared" si="10"/>
        <v>0</v>
      </c>
      <c r="O37" s="204">
        <f>IF(DG!$A$135&gt;4,0,IF(J37-J36&gt;0,MROUND((L37/12*Q36),1),MROUND(L37/12*P36,1)))</f>
        <v>0</v>
      </c>
      <c r="P37" s="204">
        <f t="shared" si="11"/>
        <v>0</v>
      </c>
      <c r="Q37" s="204">
        <f t="shared" si="4"/>
        <v>0</v>
      </c>
      <c r="R37" s="748">
        <v>0</v>
      </c>
      <c r="S37" s="511">
        <f>SUM(N26:N37)</f>
        <v>0</v>
      </c>
    </row>
    <row r="38" spans="1:19" ht="14" thickTop="1" thickBot="1">
      <c r="A38" s="202">
        <f t="shared" si="5"/>
        <v>45658</v>
      </c>
      <c r="B38" s="65">
        <f>IF(OR(J$38=0,DG!$A$135&gt;5),0,B37+1)</f>
        <v>0</v>
      </c>
      <c r="C38" s="65">
        <f t="shared" si="0"/>
        <v>0</v>
      </c>
      <c r="D38" s="65">
        <f t="shared" si="12"/>
        <v>13</v>
      </c>
      <c r="E38" s="65">
        <f t="shared" si="6"/>
        <v>0</v>
      </c>
      <c r="F38" s="65">
        <f>IF(OR(L$38=0,DG!$A$256&gt;5),0,F37+1)</f>
        <v>0</v>
      </c>
      <c r="G38" s="65">
        <f t="shared" si="1"/>
        <v>0</v>
      </c>
      <c r="H38" s="65">
        <f t="shared" si="2"/>
        <v>0</v>
      </c>
      <c r="I38" s="65">
        <f t="shared" si="3"/>
        <v>0</v>
      </c>
      <c r="J38" s="203">
        <f>IF(DG!$A$135&lt;=5,$M$17,0)</f>
        <v>0</v>
      </c>
      <c r="K38" s="65">
        <f t="shared" si="7"/>
        <v>0</v>
      </c>
      <c r="L38" s="473">
        <f t="shared" si="8"/>
        <v>0</v>
      </c>
      <c r="M38" s="204">
        <f t="shared" si="9"/>
        <v>0</v>
      </c>
      <c r="N38" s="505">
        <f t="shared" si="10"/>
        <v>0</v>
      </c>
      <c r="O38" s="204">
        <f>IF(DG!$A$135&gt;5,0,IF(J38-J37&gt;0,MROUND((L38/12*Q37),1),MROUND(L38/12*P37,1)))</f>
        <v>0</v>
      </c>
      <c r="P38" s="204">
        <f t="shared" si="11"/>
        <v>0</v>
      </c>
      <c r="Q38" s="204">
        <f t="shared" si="4"/>
        <v>0</v>
      </c>
      <c r="R38" s="748">
        <v>0</v>
      </c>
    </row>
    <row r="39" spans="1:19" ht="14" thickTop="1" thickBot="1">
      <c r="A39" s="202">
        <f t="shared" si="5"/>
        <v>45689</v>
      </c>
      <c r="B39" s="65">
        <f>IF(OR(J$39=0,DG!$A$135&gt;5),0,B38+1)</f>
        <v>0</v>
      </c>
      <c r="C39" s="65">
        <f t="shared" si="0"/>
        <v>0</v>
      </c>
      <c r="D39" s="65">
        <f t="shared" si="12"/>
        <v>14</v>
      </c>
      <c r="E39" s="65">
        <f t="shared" si="6"/>
        <v>0</v>
      </c>
      <c r="F39" s="65">
        <f>IF(OR(L$39=0,DG!$A$256&gt;5),0,F38+1)</f>
        <v>0</v>
      </c>
      <c r="G39" s="65">
        <f t="shared" si="1"/>
        <v>0</v>
      </c>
      <c r="H39" s="65">
        <f t="shared" si="2"/>
        <v>0</v>
      </c>
      <c r="I39" s="65">
        <f t="shared" si="3"/>
        <v>0</v>
      </c>
      <c r="J39" s="203">
        <f>IF(DG!$A$135&lt;=5,$M$17,0)</f>
        <v>0</v>
      </c>
      <c r="K39" s="65">
        <f t="shared" si="7"/>
        <v>0</v>
      </c>
      <c r="L39" s="473">
        <f t="shared" si="8"/>
        <v>0</v>
      </c>
      <c r="M39" s="204">
        <f t="shared" si="9"/>
        <v>0</v>
      </c>
      <c r="N39" s="505">
        <f t="shared" si="10"/>
        <v>0</v>
      </c>
      <c r="O39" s="204">
        <f>IF(DG!$A$135&gt;5,0,IF(J39-J38&gt;0,MROUND((L39/12*Q38),1),MROUND(L39/12*P38,1)))</f>
        <v>0</v>
      </c>
      <c r="P39" s="204">
        <f t="shared" si="11"/>
        <v>0</v>
      </c>
      <c r="Q39" s="204">
        <f t="shared" si="4"/>
        <v>0</v>
      </c>
      <c r="R39" s="748">
        <v>0</v>
      </c>
    </row>
    <row r="40" spans="1:19" ht="14" thickTop="1" thickBot="1">
      <c r="A40" s="202">
        <f t="shared" si="5"/>
        <v>45717</v>
      </c>
      <c r="B40" s="65">
        <f>IF(OR(J$40=0,DG!$A$135&gt;5),0,B39+1)</f>
        <v>0</v>
      </c>
      <c r="C40" s="65">
        <f t="shared" si="0"/>
        <v>0</v>
      </c>
      <c r="D40" s="65">
        <f t="shared" si="12"/>
        <v>15</v>
      </c>
      <c r="E40" s="65">
        <f t="shared" si="6"/>
        <v>0</v>
      </c>
      <c r="F40" s="65">
        <f>IF(OR(L$40=0,DG!$A$256&gt;5),0,F39+1)</f>
        <v>0</v>
      </c>
      <c r="G40" s="65">
        <f t="shared" si="1"/>
        <v>0</v>
      </c>
      <c r="H40" s="65">
        <f t="shared" si="2"/>
        <v>0</v>
      </c>
      <c r="I40" s="65">
        <f t="shared" si="3"/>
        <v>0</v>
      </c>
      <c r="J40" s="203">
        <f>IF(DG!$A$135&lt;=5,$M$17,0)</f>
        <v>0</v>
      </c>
      <c r="K40" s="65">
        <f t="shared" si="7"/>
        <v>0</v>
      </c>
      <c r="L40" s="473">
        <f t="shared" si="8"/>
        <v>0</v>
      </c>
      <c r="M40" s="204">
        <f t="shared" si="9"/>
        <v>0</v>
      </c>
      <c r="N40" s="505">
        <f t="shared" si="10"/>
        <v>0</v>
      </c>
      <c r="O40" s="204">
        <f>IF(DG!$A$135&gt;5,0,IF(J40-J39&gt;0,MROUND((L40/12*Q39),1),MROUND(L40/12*P39,1)))</f>
        <v>0</v>
      </c>
      <c r="P40" s="204">
        <f t="shared" si="11"/>
        <v>0</v>
      </c>
      <c r="Q40" s="204">
        <f t="shared" si="4"/>
        <v>0</v>
      </c>
      <c r="R40" s="748">
        <v>0</v>
      </c>
    </row>
    <row r="41" spans="1:19" ht="14" thickTop="1" thickBot="1">
      <c r="A41" s="202">
        <f t="shared" si="5"/>
        <v>45748</v>
      </c>
      <c r="B41" s="65">
        <f>IF(OR(J$41=0,DG!$A$135&gt;6),0,B40+1)</f>
        <v>0</v>
      </c>
      <c r="C41" s="65">
        <f t="shared" si="0"/>
        <v>0</v>
      </c>
      <c r="D41" s="65">
        <f t="shared" si="12"/>
        <v>16</v>
      </c>
      <c r="E41" s="65">
        <f t="shared" si="6"/>
        <v>0</v>
      </c>
      <c r="F41" s="65">
        <f>IF(OR(L$41=0,DG!$A$256&gt;6),0,F40+1)</f>
        <v>0</v>
      </c>
      <c r="G41" s="65">
        <f t="shared" si="1"/>
        <v>0</v>
      </c>
      <c r="H41" s="65">
        <f t="shared" si="2"/>
        <v>0</v>
      </c>
      <c r="I41" s="65">
        <f t="shared" si="3"/>
        <v>0</v>
      </c>
      <c r="J41" s="203">
        <f>IF(DG!$A$135&lt;=6,$M$17,0)</f>
        <v>0</v>
      </c>
      <c r="K41" s="65">
        <f t="shared" si="7"/>
        <v>0</v>
      </c>
      <c r="L41" s="473">
        <f t="shared" si="8"/>
        <v>0</v>
      </c>
      <c r="M41" s="204">
        <f t="shared" si="9"/>
        <v>0</v>
      </c>
      <c r="N41" s="505">
        <f t="shared" si="10"/>
        <v>0</v>
      </c>
      <c r="O41" s="204">
        <f>IF(DG!$A$135&gt;6,0,IF(J41-J40&gt;0,MROUND((L41/12*Q40),1),MROUND(L41/12*P40,1)))</f>
        <v>0</v>
      </c>
      <c r="P41" s="204">
        <f t="shared" si="11"/>
        <v>0</v>
      </c>
      <c r="Q41" s="204">
        <f t="shared" si="4"/>
        <v>0</v>
      </c>
      <c r="R41" s="748">
        <v>0</v>
      </c>
    </row>
    <row r="42" spans="1:19" ht="14" thickTop="1" thickBot="1">
      <c r="A42" s="202">
        <f t="shared" si="5"/>
        <v>45778</v>
      </c>
      <c r="B42" s="65">
        <f>IF(OR(J$42=0,DG!$A$135&gt;6),0,B41+1)</f>
        <v>0</v>
      </c>
      <c r="C42" s="65">
        <f t="shared" si="0"/>
        <v>0</v>
      </c>
      <c r="D42" s="65">
        <f t="shared" si="12"/>
        <v>17</v>
      </c>
      <c r="E42" s="65">
        <f t="shared" si="6"/>
        <v>0</v>
      </c>
      <c r="F42" s="65">
        <f>IF(OR(L$42=0,DG!$A$256&gt;6),0,F41+1)</f>
        <v>0</v>
      </c>
      <c r="G42" s="65">
        <f t="shared" si="1"/>
        <v>0</v>
      </c>
      <c r="H42" s="65">
        <f t="shared" si="2"/>
        <v>0</v>
      </c>
      <c r="I42" s="65">
        <f t="shared" si="3"/>
        <v>0</v>
      </c>
      <c r="J42" s="203">
        <f>IF(DG!$A$135&lt;=6,$M$17,0)</f>
        <v>0</v>
      </c>
      <c r="K42" s="65">
        <f t="shared" si="7"/>
        <v>0</v>
      </c>
      <c r="L42" s="473">
        <f t="shared" si="8"/>
        <v>0</v>
      </c>
      <c r="M42" s="204">
        <f t="shared" si="9"/>
        <v>0</v>
      </c>
      <c r="N42" s="505">
        <f t="shared" si="10"/>
        <v>0</v>
      </c>
      <c r="O42" s="204">
        <f>IF(DG!$A$135&gt;6,0,IF(J42-J41&gt;0,MROUND((L42/12*Q41),1),MROUND(L42/12*P41,1)))</f>
        <v>0</v>
      </c>
      <c r="P42" s="204">
        <f t="shared" si="11"/>
        <v>0</v>
      </c>
      <c r="Q42" s="204">
        <f t="shared" si="4"/>
        <v>0</v>
      </c>
      <c r="R42" s="748">
        <v>0</v>
      </c>
    </row>
    <row r="43" spans="1:19" ht="14" thickTop="1" thickBot="1">
      <c r="A43" s="202">
        <f t="shared" si="5"/>
        <v>45809</v>
      </c>
      <c r="B43" s="65">
        <f>IF(OR(J$43=0,DG!$A$135&gt;6),0,B42+1)</f>
        <v>0</v>
      </c>
      <c r="C43" s="65">
        <f t="shared" si="0"/>
        <v>0</v>
      </c>
      <c r="D43" s="65">
        <f t="shared" si="12"/>
        <v>18</v>
      </c>
      <c r="E43" s="65">
        <f t="shared" si="6"/>
        <v>0</v>
      </c>
      <c r="F43" s="65">
        <f>IF(OR(L$43=0,DG!$A$256&gt;6),0,F42+1)</f>
        <v>0</v>
      </c>
      <c r="G43" s="65">
        <f t="shared" si="1"/>
        <v>0</v>
      </c>
      <c r="H43" s="65">
        <f t="shared" si="2"/>
        <v>0</v>
      </c>
      <c r="I43" s="65">
        <f t="shared" si="3"/>
        <v>0</v>
      </c>
      <c r="J43" s="203">
        <f>IF(DG!$A$135&lt;=6,$M$17,0)</f>
        <v>0</v>
      </c>
      <c r="K43" s="65">
        <f t="shared" si="7"/>
        <v>0</v>
      </c>
      <c r="L43" s="473">
        <f t="shared" si="8"/>
        <v>0</v>
      </c>
      <c r="M43" s="204">
        <f t="shared" si="9"/>
        <v>0</v>
      </c>
      <c r="N43" s="505">
        <f t="shared" si="10"/>
        <v>0</v>
      </c>
      <c r="O43" s="204">
        <f>IF(DG!$A$135&gt;6,0,IF(J43-J42&gt;0,MROUND((L43/12*Q42),1),MROUND(L43/12*P42,1)))</f>
        <v>0</v>
      </c>
      <c r="P43" s="204">
        <f t="shared" si="11"/>
        <v>0</v>
      </c>
      <c r="Q43" s="204">
        <f t="shared" si="4"/>
        <v>0</v>
      </c>
      <c r="R43" s="748">
        <v>0</v>
      </c>
    </row>
    <row r="44" spans="1:19" ht="14" thickTop="1" thickBot="1">
      <c r="A44" s="202">
        <f t="shared" si="5"/>
        <v>45839</v>
      </c>
      <c r="B44" s="65">
        <f>IF(OR(J$44=0,DG!$A$135&gt;7),0,B43+1)</f>
        <v>0</v>
      </c>
      <c r="C44" s="65">
        <f t="shared" si="0"/>
        <v>0</v>
      </c>
      <c r="D44" s="65">
        <f t="shared" si="12"/>
        <v>19</v>
      </c>
      <c r="E44" s="65">
        <f t="shared" si="6"/>
        <v>0</v>
      </c>
      <c r="F44" s="65">
        <f>IF(OR(L$44=0,DG!$A$256&gt;7),0,F43+1)</f>
        <v>0</v>
      </c>
      <c r="G44" s="65">
        <f t="shared" si="1"/>
        <v>0</v>
      </c>
      <c r="H44" s="65">
        <f t="shared" si="2"/>
        <v>0</v>
      </c>
      <c r="I44" s="65">
        <f t="shared" si="3"/>
        <v>0</v>
      </c>
      <c r="J44" s="203">
        <f>IF(DG!$A$135&lt;=7,$M$17,0)</f>
        <v>0</v>
      </c>
      <c r="K44" s="65">
        <f t="shared" si="7"/>
        <v>0</v>
      </c>
      <c r="L44" s="473">
        <f t="shared" si="8"/>
        <v>0</v>
      </c>
      <c r="M44" s="204">
        <f t="shared" si="9"/>
        <v>0</v>
      </c>
      <c r="N44" s="505">
        <f t="shared" si="10"/>
        <v>0</v>
      </c>
      <c r="O44" s="204">
        <f>IF(DG!$A$135&gt;7,0,IF(J44-J43&gt;0,MROUND((L44/12*Q43),1),MROUND(L44/12*P43,1)))</f>
        <v>0</v>
      </c>
      <c r="P44" s="204">
        <f t="shared" si="11"/>
        <v>0</v>
      </c>
      <c r="Q44" s="204">
        <f t="shared" si="4"/>
        <v>0</v>
      </c>
      <c r="R44" s="748">
        <v>0</v>
      </c>
    </row>
    <row r="45" spans="1:19" ht="14" thickTop="1" thickBot="1">
      <c r="A45" s="202">
        <f t="shared" si="5"/>
        <v>45870</v>
      </c>
      <c r="B45" s="65">
        <f>IF(OR(J$45=0,DG!$A$135&gt;7),0,B44+1)</f>
        <v>0</v>
      </c>
      <c r="C45" s="65">
        <f t="shared" si="0"/>
        <v>0</v>
      </c>
      <c r="D45" s="65">
        <f t="shared" si="12"/>
        <v>20</v>
      </c>
      <c r="E45" s="65">
        <f t="shared" si="6"/>
        <v>0</v>
      </c>
      <c r="F45" s="65">
        <f>IF(OR(L$45=0,DG!$A$256&gt;7),0,F44+1)</f>
        <v>0</v>
      </c>
      <c r="G45" s="65">
        <f t="shared" si="1"/>
        <v>0</v>
      </c>
      <c r="H45" s="65">
        <f t="shared" si="2"/>
        <v>0</v>
      </c>
      <c r="I45" s="65">
        <f t="shared" si="3"/>
        <v>0</v>
      </c>
      <c r="J45" s="203">
        <f>IF(DG!$A$135&lt;=7,$M$17,0)</f>
        <v>0</v>
      </c>
      <c r="K45" s="65">
        <f t="shared" si="7"/>
        <v>0</v>
      </c>
      <c r="L45" s="473">
        <f t="shared" si="8"/>
        <v>0</v>
      </c>
      <c r="M45" s="204">
        <f t="shared" si="9"/>
        <v>0</v>
      </c>
      <c r="N45" s="505">
        <f t="shared" si="10"/>
        <v>0</v>
      </c>
      <c r="O45" s="204">
        <f>IF(DG!$A$135&gt;7,0,IF(J45-J44&gt;0,MROUND((L45/12*Q44),1),MROUND(L45/12*P44,1)))</f>
        <v>0</v>
      </c>
      <c r="P45" s="204">
        <f t="shared" si="11"/>
        <v>0</v>
      </c>
      <c r="Q45" s="204">
        <f t="shared" si="4"/>
        <v>0</v>
      </c>
      <c r="R45" s="748">
        <v>0</v>
      </c>
    </row>
    <row r="46" spans="1:19" ht="14" thickTop="1" thickBot="1">
      <c r="A46" s="202">
        <f t="shared" si="5"/>
        <v>45901</v>
      </c>
      <c r="B46" s="65">
        <f>IF(OR(J$46=0,DG!$A$135&gt;7),0,B45+1)</f>
        <v>0</v>
      </c>
      <c r="C46" s="65">
        <f t="shared" si="0"/>
        <v>0</v>
      </c>
      <c r="D46" s="65">
        <f t="shared" si="12"/>
        <v>21</v>
      </c>
      <c r="E46" s="65">
        <f t="shared" si="6"/>
        <v>0</v>
      </c>
      <c r="F46" s="65">
        <f>IF(OR(L$46=0,DG!$A$256&gt;7),0,F45+1)</f>
        <v>0</v>
      </c>
      <c r="G46" s="65">
        <f t="shared" si="1"/>
        <v>0</v>
      </c>
      <c r="H46" s="65">
        <f t="shared" si="2"/>
        <v>0</v>
      </c>
      <c r="I46" s="65">
        <f t="shared" si="3"/>
        <v>0</v>
      </c>
      <c r="J46" s="203">
        <f>IF(DG!$A$135&lt;=7,$M$17,0)</f>
        <v>0</v>
      </c>
      <c r="K46" s="65">
        <f t="shared" si="7"/>
        <v>0</v>
      </c>
      <c r="L46" s="473">
        <f t="shared" si="8"/>
        <v>0</v>
      </c>
      <c r="M46" s="204">
        <f t="shared" si="9"/>
        <v>0</v>
      </c>
      <c r="N46" s="505">
        <f t="shared" si="10"/>
        <v>0</v>
      </c>
      <c r="O46" s="204">
        <f>IF(DG!$A$135&gt;7,0,IF(J46-J45&gt;0,MROUND((L46/12*Q45),1),MROUND(L46/12*P45,1)))</f>
        <v>0</v>
      </c>
      <c r="P46" s="204">
        <f t="shared" si="11"/>
        <v>0</v>
      </c>
      <c r="Q46" s="204">
        <f t="shared" si="4"/>
        <v>0</v>
      </c>
      <c r="R46" s="748">
        <v>0</v>
      </c>
    </row>
    <row r="47" spans="1:19" ht="14" thickTop="1" thickBot="1">
      <c r="A47" s="202">
        <f t="shared" si="5"/>
        <v>45931</v>
      </c>
      <c r="B47" s="65">
        <f>IF(OR(J$47=0,DG!$A$135&gt;8),0,B46+1)</f>
        <v>0</v>
      </c>
      <c r="C47" s="65">
        <f t="shared" si="0"/>
        <v>0</v>
      </c>
      <c r="D47" s="65">
        <f t="shared" si="12"/>
        <v>22</v>
      </c>
      <c r="E47" s="65">
        <f t="shared" si="6"/>
        <v>0</v>
      </c>
      <c r="F47" s="65">
        <f>IF(OR(L$47=0,DG!$A$256&gt;8),0,F46+1)</f>
        <v>0</v>
      </c>
      <c r="G47" s="65">
        <f t="shared" si="1"/>
        <v>0</v>
      </c>
      <c r="H47" s="65">
        <f t="shared" si="2"/>
        <v>0</v>
      </c>
      <c r="I47" s="65">
        <f t="shared" si="3"/>
        <v>0</v>
      </c>
      <c r="J47" s="203">
        <f>IF(DG!$A$135&lt;=8,$M$17,0)</f>
        <v>0</v>
      </c>
      <c r="K47" s="65">
        <f t="shared" si="7"/>
        <v>0</v>
      </c>
      <c r="L47" s="473">
        <f t="shared" si="8"/>
        <v>0</v>
      </c>
      <c r="M47" s="204">
        <f t="shared" si="9"/>
        <v>0</v>
      </c>
      <c r="N47" s="505">
        <f t="shared" si="10"/>
        <v>0</v>
      </c>
      <c r="O47" s="204">
        <f>IF(DG!$A$135&gt;8,0,IF(J47-J46&gt;0,MROUND((L47/12*Q46),1),MROUND(L47/12*P46,1)))</f>
        <v>0</v>
      </c>
      <c r="P47" s="204">
        <f t="shared" si="11"/>
        <v>0</v>
      </c>
      <c r="Q47" s="204">
        <f t="shared" si="4"/>
        <v>0</v>
      </c>
      <c r="R47" s="748">
        <v>0</v>
      </c>
    </row>
    <row r="48" spans="1:19" ht="14" thickTop="1" thickBot="1">
      <c r="A48" s="202">
        <f t="shared" si="5"/>
        <v>45962</v>
      </c>
      <c r="B48" s="65">
        <f>IF(OR(J$48=0,DG!$A$135&gt;8),0,B47+1)</f>
        <v>0</v>
      </c>
      <c r="C48" s="65">
        <f t="shared" si="0"/>
        <v>0</v>
      </c>
      <c r="D48" s="65">
        <f t="shared" si="12"/>
        <v>23</v>
      </c>
      <c r="E48" s="65">
        <f t="shared" si="6"/>
        <v>0</v>
      </c>
      <c r="F48" s="65">
        <f>IF(OR(L$48=0,DG!$A$256&gt;8),0,F47+1)</f>
        <v>0</v>
      </c>
      <c r="G48" s="65">
        <f t="shared" si="1"/>
        <v>0</v>
      </c>
      <c r="H48" s="65">
        <f t="shared" si="2"/>
        <v>0</v>
      </c>
      <c r="I48" s="65">
        <f t="shared" si="3"/>
        <v>0</v>
      </c>
      <c r="J48" s="203">
        <f>IF(DG!$A$135&lt;=8,$M$17,0)</f>
        <v>0</v>
      </c>
      <c r="K48" s="65">
        <f t="shared" si="7"/>
        <v>0</v>
      </c>
      <c r="L48" s="473">
        <f t="shared" si="8"/>
        <v>0</v>
      </c>
      <c r="M48" s="204">
        <f t="shared" si="9"/>
        <v>0</v>
      </c>
      <c r="N48" s="505">
        <f t="shared" si="10"/>
        <v>0</v>
      </c>
      <c r="O48" s="204">
        <f>IF(DG!$A$135&gt;8,0,IF(J48-J47&gt;0,MROUND((L48/12*Q47),1),MROUND(L48/12*P47,1)))</f>
        <v>0</v>
      </c>
      <c r="P48" s="204">
        <f t="shared" si="11"/>
        <v>0</v>
      </c>
      <c r="Q48" s="204">
        <f t="shared" si="4"/>
        <v>0</v>
      </c>
      <c r="R48" s="748">
        <v>0</v>
      </c>
    </row>
    <row r="49" spans="1:19" ht="14" thickTop="1" thickBot="1">
      <c r="A49" s="202">
        <f t="shared" si="5"/>
        <v>45992</v>
      </c>
      <c r="B49" s="65">
        <f>IF(OR(J$49=0,DG!$A$135&gt;8),0,B48+1)</f>
        <v>0</v>
      </c>
      <c r="C49" s="65">
        <f t="shared" si="0"/>
        <v>0</v>
      </c>
      <c r="D49" s="65">
        <f t="shared" si="12"/>
        <v>24</v>
      </c>
      <c r="E49" s="65">
        <f t="shared" si="6"/>
        <v>0</v>
      </c>
      <c r="F49" s="65">
        <f>IF(OR(L$49=0,DG!$A$256&gt;8),0,F48+1)</f>
        <v>0</v>
      </c>
      <c r="G49" s="65">
        <f t="shared" si="1"/>
        <v>0</v>
      </c>
      <c r="H49" s="65">
        <f t="shared" si="2"/>
        <v>0</v>
      </c>
      <c r="I49" s="65">
        <f t="shared" si="3"/>
        <v>0</v>
      </c>
      <c r="J49" s="203">
        <f>IF(DG!$A$135&lt;=8,$M$17,0)</f>
        <v>0</v>
      </c>
      <c r="K49" s="65">
        <f t="shared" si="7"/>
        <v>0</v>
      </c>
      <c r="L49" s="473">
        <f t="shared" si="8"/>
        <v>0</v>
      </c>
      <c r="M49" s="204">
        <f t="shared" si="9"/>
        <v>0</v>
      </c>
      <c r="N49" s="505">
        <f t="shared" si="10"/>
        <v>0</v>
      </c>
      <c r="O49" s="204">
        <f>IF(DG!$A$135&gt;8,0,IF(J49-J48&gt;0,MROUND((L49/12*Q48),1),MROUND(L49/12*P48,1)))</f>
        <v>0</v>
      </c>
      <c r="P49" s="204">
        <f t="shared" si="11"/>
        <v>0</v>
      </c>
      <c r="Q49" s="204">
        <f t="shared" si="4"/>
        <v>0</v>
      </c>
      <c r="R49" s="748">
        <v>0</v>
      </c>
      <c r="S49" s="511">
        <f>SUM(N38:N49)</f>
        <v>0</v>
      </c>
    </row>
    <row r="50" spans="1:19" ht="14" thickTop="1" thickBot="1">
      <c r="A50" s="202">
        <f t="shared" si="5"/>
        <v>46023</v>
      </c>
      <c r="B50" s="65">
        <f>IF(OR(J$50=0,DG!$A$135&gt;9),0,B49+1)</f>
        <v>0</v>
      </c>
      <c r="C50" s="65">
        <f>IF(F50-$E$269&gt;0,F50-$E$269,0)</f>
        <v>0</v>
      </c>
      <c r="D50" s="65">
        <f t="shared" si="12"/>
        <v>25</v>
      </c>
      <c r="E50" s="65">
        <f t="shared" si="6"/>
        <v>0</v>
      </c>
      <c r="F50" s="65">
        <f>IF(OR(L$50=0,DG!$A$256&gt;9),0,F49+1)</f>
        <v>0</v>
      </c>
      <c r="G50" s="65">
        <f t="shared" si="1"/>
        <v>0</v>
      </c>
      <c r="H50" s="65">
        <f t="shared" si="2"/>
        <v>0</v>
      </c>
      <c r="I50" s="65">
        <f t="shared" si="3"/>
        <v>0</v>
      </c>
      <c r="J50" s="203">
        <f>IF(DG!$A$135&lt;=9,$M$17,0)</f>
        <v>0</v>
      </c>
      <c r="K50" s="65">
        <f t="shared" si="7"/>
        <v>0</v>
      </c>
      <c r="L50" s="473">
        <f t="shared" si="8"/>
        <v>0</v>
      </c>
      <c r="M50" s="204">
        <f t="shared" si="9"/>
        <v>0</v>
      </c>
      <c r="N50" s="505">
        <f t="shared" si="10"/>
        <v>0</v>
      </c>
      <c r="O50" s="204">
        <f>IF(DG!$A$135&gt;9,0,IF(J50-J49&gt;0,MROUND((L50/12*Q49),1),MROUND(L50/12*P49,1)))</f>
        <v>0</v>
      </c>
      <c r="P50" s="204">
        <f t="shared" si="11"/>
        <v>0</v>
      </c>
      <c r="Q50" s="204">
        <f t="shared" si="4"/>
        <v>0</v>
      </c>
      <c r="R50" s="748">
        <v>0</v>
      </c>
    </row>
    <row r="51" spans="1:19" ht="14" thickTop="1" thickBot="1">
      <c r="A51" s="202">
        <f t="shared" si="5"/>
        <v>46054</v>
      </c>
      <c r="B51" s="65">
        <f>IF(OR(J$50=0,DG!$A$135&gt;10),0,B50+1)</f>
        <v>0</v>
      </c>
      <c r="C51" s="65">
        <f t="shared" ref="C51:C114" si="13">IF(F51-$E$269&gt;0,F51-$E$269,0)</f>
        <v>0</v>
      </c>
      <c r="D51" s="65">
        <f t="shared" si="12"/>
        <v>26</v>
      </c>
      <c r="E51" s="65">
        <f t="shared" si="6"/>
        <v>0</v>
      </c>
      <c r="F51" s="65">
        <f>IF(OR(L$51=0,DG!$A$256&gt;9),0,F50+1)</f>
        <v>0</v>
      </c>
      <c r="G51" s="65">
        <f t="shared" si="1"/>
        <v>0</v>
      </c>
      <c r="H51" s="65">
        <f t="shared" si="2"/>
        <v>0</v>
      </c>
      <c r="I51" s="65">
        <f t="shared" si="3"/>
        <v>0</v>
      </c>
      <c r="J51" s="203">
        <f>IF(DG!$A$135&lt;=10,$M$17,0)</f>
        <v>0</v>
      </c>
      <c r="K51" s="65">
        <f t="shared" si="7"/>
        <v>0</v>
      </c>
      <c r="L51" s="473">
        <f t="shared" si="8"/>
        <v>0</v>
      </c>
      <c r="M51" s="204">
        <f t="shared" si="9"/>
        <v>0</v>
      </c>
      <c r="N51" s="505">
        <f t="shared" si="10"/>
        <v>0</v>
      </c>
      <c r="O51" s="204">
        <f>IF(DG!$A$135&gt;9,0,IF(J51-J50&gt;0,MROUND((L51/12*Q50),1),MROUND(L51/12*P50,1)))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IF(OR(L$52=0,DG!$A$256&gt;9),0,F51+1)</f>
        <v>0</v>
      </c>
      <c r="G52" s="65">
        <f t="shared" si="1"/>
        <v>0</v>
      </c>
      <c r="H52" s="65">
        <f t="shared" si="2"/>
        <v>0</v>
      </c>
      <c r="I52" s="65">
        <f t="shared" si="3"/>
        <v>0</v>
      </c>
      <c r="J52" s="203">
        <f>IF(DG!$A$135&lt;=10,$M$17,0)</f>
        <v>0</v>
      </c>
      <c r="K52" s="65">
        <f t="shared" si="7"/>
        <v>0</v>
      </c>
      <c r="L52" s="473">
        <f t="shared" si="8"/>
        <v>0</v>
      </c>
      <c r="M52" s="204">
        <f t="shared" si="9"/>
        <v>0</v>
      </c>
      <c r="N52" s="505">
        <f t="shared" si="10"/>
        <v>0</v>
      </c>
      <c r="O52" s="204">
        <f>IF(DG!$A$135&gt;9,0,IF(J52-J51&gt;0,MROUND((L52/12*Q51),1),MROUND(L52/12*P51,1)))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IF(OR(L$53=0,DG!$A$256&gt;10),0,F52+1)</f>
        <v>0</v>
      </c>
      <c r="G53" s="65">
        <f t="shared" si="1"/>
        <v>0</v>
      </c>
      <c r="H53" s="65">
        <f t="shared" si="2"/>
        <v>0</v>
      </c>
      <c r="I53" s="65">
        <f t="shared" si="3"/>
        <v>0</v>
      </c>
      <c r="J53" s="203">
        <f>IF(DG!$A$135&lt;=10,$M$17,0)</f>
        <v>0</v>
      </c>
      <c r="K53" s="65">
        <f t="shared" si="7"/>
        <v>0</v>
      </c>
      <c r="L53" s="473">
        <f t="shared" si="8"/>
        <v>0</v>
      </c>
      <c r="M53" s="204">
        <f t="shared" si="9"/>
        <v>0</v>
      </c>
      <c r="N53" s="505">
        <f t="shared" si="10"/>
        <v>0</v>
      </c>
      <c r="O53" s="204">
        <f>IF(DG!$A$135&gt;10,0,IF(J53-J52&gt;0,MROUND((L53/12*Q52),1),MROUND(L53/12*P52,1)))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IF(OR(L$54=0,DG!$A$256&gt;10),0,F53+1)</f>
        <v>0</v>
      </c>
      <c r="G54" s="65">
        <f t="shared" si="1"/>
        <v>0</v>
      </c>
      <c r="H54" s="65">
        <f t="shared" si="2"/>
        <v>0</v>
      </c>
      <c r="I54" s="65">
        <f t="shared" si="3"/>
        <v>0</v>
      </c>
      <c r="J54" s="203">
        <f>IF(DG!$A$135&lt;=10,$M$17,0)</f>
        <v>0</v>
      </c>
      <c r="K54" s="65">
        <f t="shared" si="7"/>
        <v>0</v>
      </c>
      <c r="L54" s="473">
        <f t="shared" si="8"/>
        <v>0</v>
      </c>
      <c r="M54" s="204">
        <f t="shared" si="9"/>
        <v>0</v>
      </c>
      <c r="N54" s="505">
        <f t="shared" si="10"/>
        <v>0</v>
      </c>
      <c r="O54" s="204">
        <f>IF(DG!$A$135&gt;10,0,IF(J54-J53&gt;0,MROUND((L54/12*Q53),1),MROUND(L54/12*P53,1)))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IF(OR(L$55=0,DG!$A$256&gt;10),0,F54+1)</f>
        <v>0</v>
      </c>
      <c r="G55" s="65">
        <f t="shared" si="1"/>
        <v>0</v>
      </c>
      <c r="H55" s="65">
        <f t="shared" si="2"/>
        <v>0</v>
      </c>
      <c r="I55" s="65">
        <f t="shared" si="3"/>
        <v>0</v>
      </c>
      <c r="J55" s="203">
        <f>IF(DG!$A$135&lt;=10,$M$17,0)</f>
        <v>0</v>
      </c>
      <c r="K55" s="65">
        <f t="shared" si="7"/>
        <v>0</v>
      </c>
      <c r="L55" s="473">
        <f t="shared" si="8"/>
        <v>0</v>
      </c>
      <c r="M55" s="204">
        <f t="shared" si="9"/>
        <v>0</v>
      </c>
      <c r="N55" s="505">
        <f t="shared" si="10"/>
        <v>0</v>
      </c>
      <c r="O55" s="204">
        <f>IF(DG!$A$135&gt;10,0,IF(J55-J54&gt;0,MROUND((L55/12*Q54),1),MROUND(L55/12*P54,1)))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IF(OR(L$56=0,DG!$A$256&gt;11),0,F55+1)</f>
        <v>0</v>
      </c>
      <c r="G56" s="65">
        <f t="shared" si="1"/>
        <v>0</v>
      </c>
      <c r="H56" s="65">
        <f t="shared" si="2"/>
        <v>0</v>
      </c>
      <c r="I56" s="65">
        <f t="shared" si="3"/>
        <v>0</v>
      </c>
      <c r="J56" s="203">
        <f>IF(DG!$A$135&lt;=10,$M$17,0)</f>
        <v>0</v>
      </c>
      <c r="K56" s="65">
        <f t="shared" si="7"/>
        <v>0</v>
      </c>
      <c r="L56" s="473">
        <f t="shared" si="8"/>
        <v>0</v>
      </c>
      <c r="M56" s="204">
        <f t="shared" si="9"/>
        <v>0</v>
      </c>
      <c r="N56" s="505">
        <f t="shared" si="10"/>
        <v>0</v>
      </c>
      <c r="O56" s="204">
        <f>IF(DG!$A$135&gt;10,0,IF(J56-J55&gt;0,MROUND((L56/12*Q55),1),MROUND(L56/12*P55,1)))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IF(OR(L$57=0,DG!$A$256&gt;11),0,F56+1)</f>
        <v>0</v>
      </c>
      <c r="G57" s="65">
        <f t="shared" si="1"/>
        <v>0</v>
      </c>
      <c r="H57" s="65">
        <f t="shared" si="2"/>
        <v>0</v>
      </c>
      <c r="I57" s="65">
        <f t="shared" si="3"/>
        <v>0</v>
      </c>
      <c r="J57" s="203">
        <f>IF(DG!$A$135&lt;=10,$M$17,0)</f>
        <v>0</v>
      </c>
      <c r="K57" s="65">
        <f t="shared" si="7"/>
        <v>0</v>
      </c>
      <c r="L57" s="473">
        <f t="shared" si="8"/>
        <v>0</v>
      </c>
      <c r="M57" s="204">
        <f t="shared" si="9"/>
        <v>0</v>
      </c>
      <c r="N57" s="505">
        <f t="shared" si="10"/>
        <v>0</v>
      </c>
      <c r="O57" s="204">
        <f>IF(DG!$A$135&gt;10,0,IF(J57-J56&gt;0,MROUND((L57/12*Q56),1),MROUND(L57/12*P56,1)))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IF(OR(L$58=0,DG!$A$256&gt;11),0,F57+1)</f>
        <v>0</v>
      </c>
      <c r="G58" s="65">
        <f t="shared" si="1"/>
        <v>0</v>
      </c>
      <c r="H58" s="65">
        <f t="shared" si="2"/>
        <v>0</v>
      </c>
      <c r="I58" s="65">
        <f t="shared" si="3"/>
        <v>0</v>
      </c>
      <c r="J58" s="203">
        <f>IF(DG!$A$135&lt;=10,$M$17,0)</f>
        <v>0</v>
      </c>
      <c r="K58" s="65">
        <f t="shared" si="7"/>
        <v>0</v>
      </c>
      <c r="L58" s="473">
        <f t="shared" si="8"/>
        <v>0</v>
      </c>
      <c r="M58" s="204">
        <f t="shared" si="9"/>
        <v>0</v>
      </c>
      <c r="N58" s="505">
        <f t="shared" si="10"/>
        <v>0</v>
      </c>
      <c r="O58" s="204">
        <f>IF(DG!$A$135&gt;10,0,IF(J58-J57&gt;0,MROUND((L58/12*Q57),1),MROUND(L58/12*P57,1)))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IF(OR(L$59=0,DG!$A$256&gt;12),0,F58+1)</f>
        <v>0</v>
      </c>
      <c r="G59" s="65">
        <f t="shared" si="1"/>
        <v>0</v>
      </c>
      <c r="H59" s="65">
        <f t="shared" si="2"/>
        <v>0</v>
      </c>
      <c r="I59" s="65">
        <f t="shared" si="3"/>
        <v>0</v>
      </c>
      <c r="J59" s="203">
        <f>IF(DG!$A$135&lt;=10,$M$17,0)</f>
        <v>0</v>
      </c>
      <c r="K59" s="65">
        <f t="shared" si="7"/>
        <v>0</v>
      </c>
      <c r="L59" s="473">
        <f t="shared" si="8"/>
        <v>0</v>
      </c>
      <c r="M59" s="204">
        <f t="shared" si="9"/>
        <v>0</v>
      </c>
      <c r="N59" s="505">
        <f t="shared" si="10"/>
        <v>0</v>
      </c>
      <c r="O59" s="204">
        <f>IF(DG!$A$135&gt;10,0,IF(J59-J58&gt;0,MROUND((L59/12*Q58),1),MROUND(L59/12*P58,1)))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IF(OR(L$60=0,DG!$A$256&gt;12),0,F59+1)</f>
        <v>0</v>
      </c>
      <c r="G60" s="65">
        <f t="shared" si="1"/>
        <v>0</v>
      </c>
      <c r="H60" s="65">
        <f t="shared" si="2"/>
        <v>0</v>
      </c>
      <c r="I60" s="65">
        <f t="shared" si="3"/>
        <v>0</v>
      </c>
      <c r="J60" s="203">
        <f>IF(DG!$A$135&lt;=10,$M$17,0)</f>
        <v>0</v>
      </c>
      <c r="K60" s="65">
        <f t="shared" si="7"/>
        <v>0</v>
      </c>
      <c r="L60" s="473">
        <f t="shared" si="8"/>
        <v>0</v>
      </c>
      <c r="M60" s="204">
        <f t="shared" si="9"/>
        <v>0</v>
      </c>
      <c r="N60" s="505">
        <f t="shared" si="10"/>
        <v>0</v>
      </c>
      <c r="O60" s="204">
        <f>IF(DG!$A$135&gt;10,0,IF(J60-J59&gt;0,MROUND((L60/12*Q59),1),MROUND(L60/12*P59,1)))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IF(OR(L$61=0,DG!$A$256&gt;12),0,F60+1)</f>
        <v>0</v>
      </c>
      <c r="G61" s="65">
        <f t="shared" si="1"/>
        <v>0</v>
      </c>
      <c r="H61" s="65">
        <f t="shared" si="2"/>
        <v>0</v>
      </c>
      <c r="I61" s="65">
        <f t="shared" si="3"/>
        <v>0</v>
      </c>
      <c r="J61" s="203">
        <f>IF(DG!$A$135&lt;=10,$M$17,0)</f>
        <v>0</v>
      </c>
      <c r="K61" s="65">
        <f t="shared" si="7"/>
        <v>0</v>
      </c>
      <c r="L61" s="473">
        <f t="shared" si="8"/>
        <v>0</v>
      </c>
      <c r="M61" s="204">
        <f t="shared" si="9"/>
        <v>0</v>
      </c>
      <c r="N61" s="505">
        <f t="shared" si="10"/>
        <v>0</v>
      </c>
      <c r="O61" s="204">
        <f>IF(DG!$A$135&gt;10,0,IF(J61-J60&gt;0,MROUND((L61/12*Q60),1),MROUND(L61/12*P60,1)))</f>
        <v>0</v>
      </c>
      <c r="P61" s="204">
        <f t="shared" si="11"/>
        <v>0</v>
      </c>
      <c r="Q61" s="204">
        <f t="shared" si="4"/>
        <v>0</v>
      </c>
      <c r="R61" s="748">
        <v>0</v>
      </c>
      <c r="S61" s="511">
        <f>SUM(N50:N61)</f>
        <v>0</v>
      </c>
    </row>
    <row r="62" spans="1:19" ht="14" thickTop="1" thickBot="1">
      <c r="A62" s="202">
        <f t="shared" si="5"/>
        <v>46388</v>
      </c>
      <c r="B62" s="65">
        <f>IF(OR(J$62=0,DG!$A$135&gt;11),0,B61+1)</f>
        <v>0</v>
      </c>
      <c r="C62" s="65">
        <f t="shared" si="13"/>
        <v>0</v>
      </c>
      <c r="D62" s="65">
        <f t="shared" si="12"/>
        <v>37</v>
      </c>
      <c r="E62" s="65">
        <f t="shared" si="6"/>
        <v>0</v>
      </c>
      <c r="F62" s="65">
        <f>IF(OR(L$62=0,DG!$A$256&gt;13),0,F61+1)</f>
        <v>0</v>
      </c>
      <c r="G62" s="65">
        <f t="shared" si="1"/>
        <v>0</v>
      </c>
      <c r="H62" s="65">
        <f t="shared" si="2"/>
        <v>0</v>
      </c>
      <c r="I62" s="65">
        <f t="shared" si="3"/>
        <v>0</v>
      </c>
      <c r="J62" s="203">
        <f>IF(DG!$A$135&lt;=11,$M$17,0)</f>
        <v>0</v>
      </c>
      <c r="K62" s="65">
        <f t="shared" si="7"/>
        <v>0</v>
      </c>
      <c r="L62" s="473">
        <f t="shared" si="8"/>
        <v>0</v>
      </c>
      <c r="M62" s="204">
        <f t="shared" si="9"/>
        <v>0</v>
      </c>
      <c r="N62" s="505">
        <f t="shared" si="10"/>
        <v>0</v>
      </c>
      <c r="O62" s="204">
        <f>IF(DG!$A$135&gt;10,0,IF(J62-J61&gt;0,MROUND((L62/12*Q61),1),MROUND(L62/12*P61,1)))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IF(OR(L$63=0,DG!$A$256&gt;13),0,F62+1)</f>
        <v>0</v>
      </c>
      <c r="G63" s="65">
        <f t="shared" si="1"/>
        <v>0</v>
      </c>
      <c r="H63" s="65">
        <f t="shared" si="2"/>
        <v>0</v>
      </c>
      <c r="I63" s="65">
        <f t="shared" si="3"/>
        <v>0</v>
      </c>
      <c r="J63" s="203">
        <f>IF(DG!$A$135&lt;=11,$M$17,0)</f>
        <v>0</v>
      </c>
      <c r="K63" s="65">
        <f t="shared" si="7"/>
        <v>0</v>
      </c>
      <c r="L63" s="473">
        <f t="shared" si="8"/>
        <v>0</v>
      </c>
      <c r="M63" s="204">
        <f t="shared" si="9"/>
        <v>0</v>
      </c>
      <c r="N63" s="505">
        <f t="shared" si="10"/>
        <v>0</v>
      </c>
      <c r="O63" s="204">
        <f>IF(DG!$A$135&gt;10,0,IF(J63-J62&gt;0,MROUND((L63/12*Q62),1),MROUND(L63/12*P62,1)))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IF(OR(L$64=0,DG!$A$256&gt;13),0,F63+1)</f>
        <v>0</v>
      </c>
      <c r="G64" s="65">
        <f t="shared" si="1"/>
        <v>0</v>
      </c>
      <c r="H64" s="65">
        <f t="shared" si="2"/>
        <v>0</v>
      </c>
      <c r="I64" s="65">
        <f>IF(OR(G64=1,C64=0),0,IF(K64-C64&lt;$G$269,1,-1))</f>
        <v>0</v>
      </c>
      <c r="J64" s="203">
        <f>IF(DG!$A$135&lt;=11,$M$17,0)</f>
        <v>0</v>
      </c>
      <c r="K64" s="65">
        <f t="shared" si="7"/>
        <v>0</v>
      </c>
      <c r="L64" s="473">
        <f t="shared" si="8"/>
        <v>0</v>
      </c>
      <c r="M64" s="204">
        <f t="shared" si="9"/>
        <v>0</v>
      </c>
      <c r="N64" s="505">
        <f t="shared" si="10"/>
        <v>0</v>
      </c>
      <c r="O64" s="204">
        <f>IF(DG!$A$135&gt;10,0,IF(J64-J63&gt;0,MROUND((L64/12*Q63),1),MROUND(L64/12*P63,1)))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IF(OR(L$65=0,DG!$A$256&gt;14),0,F64+1)</f>
        <v>0</v>
      </c>
      <c r="G65" s="65">
        <f t="shared" si="1"/>
        <v>0</v>
      </c>
      <c r="H65" s="65">
        <f t="shared" si="2"/>
        <v>0</v>
      </c>
      <c r="I65" s="65">
        <f t="shared" ref="I65:I128" si="16">IF(OR(G65=1,C65=0),0,IF(K65-C65&lt;$G$269,1,-1))</f>
        <v>0</v>
      </c>
      <c r="J65" s="203">
        <f>IF(DG!$A$135&lt;=11,$M$17,0)</f>
        <v>0</v>
      </c>
      <c r="K65" s="65">
        <f t="shared" si="7"/>
        <v>0</v>
      </c>
      <c r="L65" s="473">
        <f t="shared" si="8"/>
        <v>0</v>
      </c>
      <c r="M65" s="204">
        <f t="shared" si="9"/>
        <v>0</v>
      </c>
      <c r="N65" s="505">
        <f t="shared" si="10"/>
        <v>0</v>
      </c>
      <c r="O65" s="204">
        <f>IF(DG!$A$135&gt;11,0,IF(J65-J64&gt;0,MROUND((L65/12*Q64),1),MROUND(L65/12*P64,1)))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IF(OR(L$66=0,DG!$A$256&gt;14),0,F65+1)</f>
        <v>0</v>
      </c>
      <c r="G66" s="65">
        <f t="shared" si="1"/>
        <v>0</v>
      </c>
      <c r="H66" s="65">
        <f t="shared" si="2"/>
        <v>0</v>
      </c>
      <c r="I66" s="65">
        <f t="shared" si="16"/>
        <v>0</v>
      </c>
      <c r="J66" s="203">
        <f>IF(DG!$A$135&lt;=11,$M$17,0)</f>
        <v>0</v>
      </c>
      <c r="K66" s="65">
        <f t="shared" si="7"/>
        <v>0</v>
      </c>
      <c r="L66" s="473">
        <f t="shared" si="8"/>
        <v>0</v>
      </c>
      <c r="M66" s="204">
        <f t="shared" si="9"/>
        <v>0</v>
      </c>
      <c r="N66" s="505">
        <f t="shared" si="10"/>
        <v>0</v>
      </c>
      <c r="O66" s="204">
        <f>IF(DG!$A$135&gt;11,0,IF(J66-J65&gt;0,MROUND((L66/12*Q65),1),MROUND(L66/12*P65,1)))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IF(OR(L$67=0,DG!$A$256&gt;14),0,F66+1)</f>
        <v>0</v>
      </c>
      <c r="G67" s="65">
        <f t="shared" si="1"/>
        <v>0</v>
      </c>
      <c r="H67" s="65">
        <f t="shared" si="2"/>
        <v>0</v>
      </c>
      <c r="I67" s="65">
        <f t="shared" si="16"/>
        <v>0</v>
      </c>
      <c r="J67" s="203">
        <f>IF(DG!$A$135&lt;=11,$M$17,0)</f>
        <v>0</v>
      </c>
      <c r="K67" s="65">
        <f t="shared" si="7"/>
        <v>0</v>
      </c>
      <c r="L67" s="473">
        <f t="shared" si="8"/>
        <v>0</v>
      </c>
      <c r="M67" s="204">
        <f t="shared" si="9"/>
        <v>0</v>
      </c>
      <c r="N67" s="505">
        <f t="shared" si="10"/>
        <v>0</v>
      </c>
      <c r="O67" s="204">
        <f>IF(DG!$A$135&gt;11,0,IF(J67-J66&gt;0,MROUND((L67/12*Q66),1),MROUND(L67/12*P66,1)))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IF(OR(L$68=0,DG!$A$256&gt;15),0,F67+1)</f>
        <v>0</v>
      </c>
      <c r="G68" s="65">
        <f t="shared" si="1"/>
        <v>0</v>
      </c>
      <c r="H68" s="65">
        <f t="shared" si="2"/>
        <v>0</v>
      </c>
      <c r="I68" s="65">
        <f t="shared" si="16"/>
        <v>0</v>
      </c>
      <c r="J68" s="203">
        <f>IF(DG!$A$135&lt;=11,$M$17,0)</f>
        <v>0</v>
      </c>
      <c r="K68" s="65">
        <f t="shared" si="7"/>
        <v>0</v>
      </c>
      <c r="L68" s="473">
        <f t="shared" si="8"/>
        <v>0</v>
      </c>
      <c r="M68" s="204">
        <f t="shared" si="9"/>
        <v>0</v>
      </c>
      <c r="N68" s="505">
        <f t="shared" si="10"/>
        <v>0</v>
      </c>
      <c r="O68" s="204">
        <f>IF(DG!$A$135&gt;11,0,IF(J68-J67&gt;0,MROUND((L68/12*Q67),1),MROUND(L68/12*P67,1)))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IF(OR(L$69=0,DG!$A$256&gt;15),0,F68+1)</f>
        <v>0</v>
      </c>
      <c r="G69" s="65">
        <f t="shared" si="1"/>
        <v>0</v>
      </c>
      <c r="H69" s="65">
        <f t="shared" si="2"/>
        <v>0</v>
      </c>
      <c r="I69" s="65">
        <f t="shared" si="16"/>
        <v>0</v>
      </c>
      <c r="J69" s="203">
        <f>IF(DG!$A$135&lt;=11,$M$17,0)</f>
        <v>0</v>
      </c>
      <c r="K69" s="65">
        <f t="shared" si="7"/>
        <v>0</v>
      </c>
      <c r="L69" s="473">
        <f t="shared" si="8"/>
        <v>0</v>
      </c>
      <c r="M69" s="204">
        <f t="shared" si="9"/>
        <v>0</v>
      </c>
      <c r="N69" s="505">
        <f t="shared" si="10"/>
        <v>0</v>
      </c>
      <c r="O69" s="204">
        <f>IF(DG!$A$135&gt;11,0,IF(J69-J68&gt;0,MROUND((L69/12*Q68),1),MROUND(L69/12*P68,1)))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IF(OR(L$70=0,DG!$A$256&gt;15),0,F69+1)</f>
        <v>0</v>
      </c>
      <c r="G70" s="65">
        <f t="shared" si="1"/>
        <v>0</v>
      </c>
      <c r="H70" s="65">
        <f t="shared" si="2"/>
        <v>0</v>
      </c>
      <c r="I70" s="65">
        <f t="shared" si="16"/>
        <v>0</v>
      </c>
      <c r="J70" s="203">
        <f>IF(DG!$A$135&lt;=11,$M$17,0)</f>
        <v>0</v>
      </c>
      <c r="K70" s="65">
        <f t="shared" si="7"/>
        <v>0</v>
      </c>
      <c r="L70" s="473">
        <f t="shared" si="8"/>
        <v>0</v>
      </c>
      <c r="M70" s="204">
        <f t="shared" si="9"/>
        <v>0</v>
      </c>
      <c r="N70" s="505">
        <f t="shared" si="10"/>
        <v>0</v>
      </c>
      <c r="O70" s="204">
        <f>IF(DG!$A$135&gt;11,0,IF(J70-J69&gt;0,MROUND((L70/12*Q69),1),MROUND(L70/12*P69,1)))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IF(OR(L$71=0,DG!$A$256&gt;16),0,F70+1)</f>
        <v>0</v>
      </c>
      <c r="G71" s="65">
        <f t="shared" si="1"/>
        <v>0</v>
      </c>
      <c r="H71" s="65">
        <f t="shared" si="2"/>
        <v>0</v>
      </c>
      <c r="I71" s="65">
        <f t="shared" si="16"/>
        <v>0</v>
      </c>
      <c r="J71" s="203">
        <f>IF(DG!$A$135&lt;=11,$M$17,0)</f>
        <v>0</v>
      </c>
      <c r="K71" s="65">
        <f t="shared" si="7"/>
        <v>0</v>
      </c>
      <c r="L71" s="473">
        <f t="shared" si="8"/>
        <v>0</v>
      </c>
      <c r="M71" s="204">
        <f t="shared" si="9"/>
        <v>0</v>
      </c>
      <c r="N71" s="505">
        <f t="shared" si="10"/>
        <v>0</v>
      </c>
      <c r="O71" s="204">
        <f>IF(DG!$A$135&gt;11,0,IF(J71-J70&gt;0,MROUND((L71/12*Q70),1),MROUND(L71/12*P70,1)))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IF(OR(L$72=0,DG!$A$256&gt;16),0,F71+1)</f>
        <v>0</v>
      </c>
      <c r="G72" s="65">
        <f t="shared" si="1"/>
        <v>0</v>
      </c>
      <c r="H72" s="65">
        <f t="shared" si="2"/>
        <v>0</v>
      </c>
      <c r="I72" s="65">
        <f t="shared" si="16"/>
        <v>0</v>
      </c>
      <c r="J72" s="203">
        <f>IF(DG!$A$135&lt;=11,$M$17,0)</f>
        <v>0</v>
      </c>
      <c r="K72" s="65">
        <f t="shared" si="7"/>
        <v>0</v>
      </c>
      <c r="L72" s="473">
        <f t="shared" si="8"/>
        <v>0</v>
      </c>
      <c r="M72" s="204">
        <f t="shared" si="9"/>
        <v>0</v>
      </c>
      <c r="N72" s="505">
        <f t="shared" si="10"/>
        <v>0</v>
      </c>
      <c r="O72" s="204">
        <f>IF(DG!$A$135&gt;11,0,IF(J72-J71&gt;0,MROUND((L72/12*Q71),1),MROUND(L72/12*P71,1)))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IF(OR(L$73=0,DG!$A$256&gt;16),0,F72+1)</f>
        <v>0</v>
      </c>
      <c r="G73" s="65">
        <f t="shared" si="1"/>
        <v>0</v>
      </c>
      <c r="H73" s="65">
        <f t="shared" si="2"/>
        <v>0</v>
      </c>
      <c r="I73" s="65">
        <f t="shared" si="16"/>
        <v>0</v>
      </c>
      <c r="J73" s="203">
        <f>IF(DG!$A$135&lt;=11,$M$17,0)</f>
        <v>0</v>
      </c>
      <c r="K73" s="65">
        <f t="shared" si="7"/>
        <v>0</v>
      </c>
      <c r="L73" s="473">
        <f t="shared" si="8"/>
        <v>0</v>
      </c>
      <c r="M73" s="204">
        <f t="shared" si="9"/>
        <v>0</v>
      </c>
      <c r="N73" s="505">
        <f t="shared" si="10"/>
        <v>0</v>
      </c>
      <c r="O73" s="204">
        <f>IF(DG!$A$135&gt;11,0,IF(J73-J72&gt;0,MROUND((L73/12*Q72),1),MROUND(L73/12*P72,1)))</f>
        <v>0</v>
      </c>
      <c r="P73" s="204">
        <f t="shared" si="11"/>
        <v>0</v>
      </c>
      <c r="Q73" s="204">
        <f t="shared" si="4"/>
        <v>0</v>
      </c>
      <c r="R73" s="748">
        <v>0</v>
      </c>
      <c r="S73" s="511">
        <f>SUM(N62:N73)</f>
        <v>0</v>
      </c>
    </row>
    <row r="74" spans="1:19" ht="14" thickTop="1" thickBot="1">
      <c r="A74" s="202">
        <f t="shared" si="5"/>
        <v>46753</v>
      </c>
      <c r="B74" s="65">
        <f>IF(OR(J$73=0,DG!$A$135&gt;12),0,B73+1)</f>
        <v>0</v>
      </c>
      <c r="C74" s="65">
        <f t="shared" si="13"/>
        <v>0</v>
      </c>
      <c r="D74" s="65">
        <f t="shared" si="12"/>
        <v>49</v>
      </c>
      <c r="E74" s="65">
        <f t="shared" si="6"/>
        <v>0</v>
      </c>
      <c r="F74" s="65">
        <f>IF(OR(L$73=0,DG!$A$256&gt;16),0,F73+1)</f>
        <v>0</v>
      </c>
      <c r="G74" s="65">
        <f t="shared" si="1"/>
        <v>0</v>
      </c>
      <c r="H74" s="65">
        <f t="shared" si="2"/>
        <v>0</v>
      </c>
      <c r="I74" s="65">
        <f t="shared" si="16"/>
        <v>0</v>
      </c>
      <c r="J74" s="203">
        <f>IF(DG!$A$135&lt;=12,$M$17,0)</f>
        <v>0</v>
      </c>
      <c r="K74" s="65">
        <f t="shared" si="7"/>
        <v>0</v>
      </c>
      <c r="L74" s="473">
        <f t="shared" si="8"/>
        <v>0</v>
      </c>
      <c r="M74" s="204">
        <f t="shared" si="9"/>
        <v>0</v>
      </c>
      <c r="N74" s="505">
        <f t="shared" si="10"/>
        <v>0</v>
      </c>
      <c r="O74" s="204">
        <f>IF(DG!$A$135&gt;11,0,IF(J74-J73&gt;0,MROUND((L74/12*Q73),1),MROUND(L74/12*P73,1)))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IF(OR(L$73=0,DG!$A$256&gt;16),0,F74+1)</f>
        <v>0</v>
      </c>
      <c r="G75" s="65">
        <f t="shared" si="1"/>
        <v>0</v>
      </c>
      <c r="H75" s="65">
        <f t="shared" si="2"/>
        <v>0</v>
      </c>
      <c r="I75" s="65">
        <f t="shared" si="16"/>
        <v>0</v>
      </c>
      <c r="J75" s="203">
        <f>IF(DG!$A$135&lt;=12,$M$17,0)</f>
        <v>0</v>
      </c>
      <c r="K75" s="65">
        <f t="shared" si="7"/>
        <v>0</v>
      </c>
      <c r="L75" s="473">
        <f t="shared" si="8"/>
        <v>0</v>
      </c>
      <c r="M75" s="204">
        <f t="shared" si="9"/>
        <v>0</v>
      </c>
      <c r="N75" s="505">
        <f t="shared" si="10"/>
        <v>0</v>
      </c>
      <c r="O75" s="204">
        <f>IF(DG!$A$135&gt;11,0,IF(J75-J74&gt;0,MROUND((L75/12*Q74),1),MROUND(L75/12*P74,1)))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IF(OR(L$73=0,DG!$A$256&gt;16),0,F75+1)</f>
        <v>0</v>
      </c>
      <c r="G76" s="65">
        <f t="shared" si="1"/>
        <v>0</v>
      </c>
      <c r="H76" s="65">
        <f t="shared" si="2"/>
        <v>0</v>
      </c>
      <c r="I76" s="65">
        <f t="shared" si="16"/>
        <v>0</v>
      </c>
      <c r="J76" s="203">
        <f>IF(DG!$A$135&lt;=11,$M$17,0)</f>
        <v>0</v>
      </c>
      <c r="K76" s="65">
        <f t="shared" si="7"/>
        <v>0</v>
      </c>
      <c r="L76" s="473">
        <f t="shared" si="8"/>
        <v>0</v>
      </c>
      <c r="M76" s="204">
        <f t="shared" si="9"/>
        <v>0</v>
      </c>
      <c r="N76" s="505">
        <f t="shared" si="10"/>
        <v>0</v>
      </c>
      <c r="O76" s="204">
        <f>IF(DG!$A$135&gt;11,0,IF(J76-J75&gt;0,MROUND((L76/12*Q75),1),MROUND(L76/12*P75,1)))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IF(OR(L$73=0,DG!$A$256&gt;16),0,F76+1)</f>
        <v>0</v>
      </c>
      <c r="G77" s="65">
        <f t="shared" si="1"/>
        <v>0</v>
      </c>
      <c r="H77" s="65">
        <f t="shared" si="2"/>
        <v>0</v>
      </c>
      <c r="I77" s="65">
        <f t="shared" si="16"/>
        <v>0</v>
      </c>
      <c r="J77" s="203">
        <f>IF(DG!$A$135&lt;=11,$M$17,0)</f>
        <v>0</v>
      </c>
      <c r="K77" s="65">
        <f t="shared" si="7"/>
        <v>0</v>
      </c>
      <c r="L77" s="473">
        <f t="shared" si="8"/>
        <v>0</v>
      </c>
      <c r="M77" s="204">
        <f t="shared" si="9"/>
        <v>0</v>
      </c>
      <c r="N77" s="505">
        <f t="shared" si="10"/>
        <v>0</v>
      </c>
      <c r="O77" s="204">
        <f>IF(DG!$A$135&gt;12,0,IF(J77-J76&gt;0,MROUND((L77/12*Q76),1),MROUND(L77/12*P76,1)))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IF(OR(L$73=0,DG!$A$256&gt;16),0,F77+1)</f>
        <v>0</v>
      </c>
      <c r="G78" s="65">
        <f t="shared" si="1"/>
        <v>0</v>
      </c>
      <c r="H78" s="65">
        <f t="shared" si="2"/>
        <v>0</v>
      </c>
      <c r="I78" s="65">
        <f t="shared" si="16"/>
        <v>0</v>
      </c>
      <c r="J78" s="203">
        <f>IF(DG!$A$135&lt;=11,$M$17,0)</f>
        <v>0</v>
      </c>
      <c r="K78" s="65">
        <f t="shared" si="7"/>
        <v>0</v>
      </c>
      <c r="L78" s="473">
        <f t="shared" si="8"/>
        <v>0</v>
      </c>
      <c r="M78" s="204">
        <f t="shared" si="9"/>
        <v>0</v>
      </c>
      <c r="N78" s="505">
        <f t="shared" si="10"/>
        <v>0</v>
      </c>
      <c r="O78" s="204">
        <f>IF(DG!$A$135&gt;12,0,IF(J78-J77&gt;0,MROUND((L78/12*Q77),1),MROUND(L78/12*P77,1)))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IF(OR(L$73=0,DG!$A$256&gt;16),0,F78+1)</f>
        <v>0</v>
      </c>
      <c r="G79" s="65">
        <f t="shared" si="1"/>
        <v>0</v>
      </c>
      <c r="H79" s="65">
        <f t="shared" si="2"/>
        <v>0</v>
      </c>
      <c r="I79" s="65">
        <f t="shared" si="16"/>
        <v>0</v>
      </c>
      <c r="J79" s="203">
        <f>IF(DG!$A$135&lt;=11,$M$17,0)</f>
        <v>0</v>
      </c>
      <c r="K79" s="65">
        <f t="shared" si="7"/>
        <v>0</v>
      </c>
      <c r="L79" s="473">
        <f t="shared" si="8"/>
        <v>0</v>
      </c>
      <c r="M79" s="204">
        <f t="shared" si="9"/>
        <v>0</v>
      </c>
      <c r="N79" s="505">
        <f t="shared" si="10"/>
        <v>0</v>
      </c>
      <c r="O79" s="204">
        <f>IF(DG!$A$135&gt;12,0,IF(J79-J78&gt;0,MROUND((L79/12*Q78),1),MROUND(L79/12*P78,1)))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IF(OR(L$73=0,DG!$A$256&gt;16),0,F79+1)</f>
        <v>0</v>
      </c>
      <c r="G80" s="65">
        <f t="shared" si="1"/>
        <v>0</v>
      </c>
      <c r="H80" s="65">
        <f t="shared" si="2"/>
        <v>0</v>
      </c>
      <c r="I80" s="65">
        <f t="shared" si="16"/>
        <v>0</v>
      </c>
      <c r="J80" s="203">
        <f>IF(DG!$A$135&lt;=11,$M$17,0)</f>
        <v>0</v>
      </c>
      <c r="K80" s="65">
        <f t="shared" si="7"/>
        <v>0</v>
      </c>
      <c r="L80" s="473">
        <f t="shared" si="8"/>
        <v>0</v>
      </c>
      <c r="M80" s="204">
        <f t="shared" si="9"/>
        <v>0</v>
      </c>
      <c r="N80" s="505">
        <f t="shared" si="10"/>
        <v>0</v>
      </c>
      <c r="O80" s="204">
        <f>IF(DG!$A$135&gt;12,0,IF(J80-J79&gt;0,MROUND((L80/12*Q79),1),MROUND(L80/12*P79,1)))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IF(OR(L$73=0,DG!$A$256&gt;16),0,F80+1)</f>
        <v>0</v>
      </c>
      <c r="G81" s="65">
        <f t="shared" si="1"/>
        <v>0</v>
      </c>
      <c r="H81" s="65">
        <f t="shared" si="2"/>
        <v>0</v>
      </c>
      <c r="I81" s="65">
        <f t="shared" si="16"/>
        <v>0</v>
      </c>
      <c r="J81" s="203">
        <f>IF(DG!$A$135&lt;=11,$M$17,0)</f>
        <v>0</v>
      </c>
      <c r="K81" s="65">
        <f t="shared" si="7"/>
        <v>0</v>
      </c>
      <c r="L81" s="473">
        <f t="shared" si="8"/>
        <v>0</v>
      </c>
      <c r="M81" s="204">
        <f t="shared" si="9"/>
        <v>0</v>
      </c>
      <c r="N81" s="505">
        <f t="shared" si="10"/>
        <v>0</v>
      </c>
      <c r="O81" s="204">
        <f>IF(DG!$A$135&gt;12,0,IF(J81-J80&gt;0,MROUND((L81/12*Q80),1),MROUND(L81/12*P80,1)))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IF(OR(L$73=0,DG!$A$256&gt;16),0,F81+1)</f>
        <v>0</v>
      </c>
      <c r="G82" s="65">
        <f t="shared" si="1"/>
        <v>0</v>
      </c>
      <c r="H82" s="65">
        <f t="shared" si="2"/>
        <v>0</v>
      </c>
      <c r="I82" s="65">
        <f t="shared" si="16"/>
        <v>0</v>
      </c>
      <c r="J82" s="203">
        <f>IF(DG!$A$135&lt;=11,$M$17,0)</f>
        <v>0</v>
      </c>
      <c r="K82" s="65">
        <f t="shared" si="7"/>
        <v>0</v>
      </c>
      <c r="L82" s="473">
        <f t="shared" si="8"/>
        <v>0</v>
      </c>
      <c r="M82" s="204">
        <f t="shared" si="9"/>
        <v>0</v>
      </c>
      <c r="N82" s="505">
        <f t="shared" si="10"/>
        <v>0</v>
      </c>
      <c r="O82" s="204">
        <f>IF(DG!$A$135&gt;12,0,IF(J82-J81&gt;0,MROUND((L82/12*Q81),1),MROUND(L82/12*P81,1)))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IF(OR(L$73=0,DG!$A$256&gt;16),0,F82+1)</f>
        <v>0</v>
      </c>
      <c r="G83" s="65">
        <f t="shared" si="1"/>
        <v>0</v>
      </c>
      <c r="H83" s="65">
        <f t="shared" si="2"/>
        <v>0</v>
      </c>
      <c r="I83" s="65">
        <f t="shared" si="16"/>
        <v>0</v>
      </c>
      <c r="J83" s="203">
        <f>IF(DG!$A$135&lt;=11,$M$17,0)</f>
        <v>0</v>
      </c>
      <c r="K83" s="65">
        <f t="shared" si="7"/>
        <v>0</v>
      </c>
      <c r="L83" s="473">
        <f t="shared" si="8"/>
        <v>0</v>
      </c>
      <c r="M83" s="204">
        <f t="shared" si="9"/>
        <v>0</v>
      </c>
      <c r="N83" s="505">
        <f t="shared" si="10"/>
        <v>0</v>
      </c>
      <c r="O83" s="204">
        <f>IF(DG!$A$135&gt;12,0,IF(J83-J82&gt;0,MROUND((L83/12*Q82),1),MROUND(L83/12*P82,1)))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IF(OR(L$73=0,DG!$A$256&gt;16),0,F83+1)</f>
        <v>0</v>
      </c>
      <c r="G84" s="65">
        <f t="shared" si="1"/>
        <v>0</v>
      </c>
      <c r="H84" s="65">
        <f t="shared" si="2"/>
        <v>0</v>
      </c>
      <c r="I84" s="65">
        <f t="shared" si="16"/>
        <v>0</v>
      </c>
      <c r="J84" s="203">
        <f>IF(DG!$A$135&lt;=11,$M$17,0)</f>
        <v>0</v>
      </c>
      <c r="K84" s="65">
        <f t="shared" si="7"/>
        <v>0</v>
      </c>
      <c r="L84" s="473">
        <f t="shared" si="8"/>
        <v>0</v>
      </c>
      <c r="M84" s="204">
        <f t="shared" si="9"/>
        <v>0</v>
      </c>
      <c r="N84" s="505">
        <f t="shared" si="10"/>
        <v>0</v>
      </c>
      <c r="O84" s="204">
        <f>IF(DG!$A$135&gt;12,0,IF(J84-J83&gt;0,MROUND((L84/12*Q83),1),MROUND(L84/12*P83,1)))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IF(OR(L$73=0,DG!$A$256&gt;16),0,F84+1)</f>
        <v>0</v>
      </c>
      <c r="G85" s="65">
        <f t="shared" si="1"/>
        <v>0</v>
      </c>
      <c r="H85" s="65">
        <f t="shared" si="2"/>
        <v>0</v>
      </c>
      <c r="I85" s="65">
        <f t="shared" si="16"/>
        <v>0</v>
      </c>
      <c r="J85" s="203">
        <f>IF(DG!$A$135&lt;=11,$M$17,0)</f>
        <v>0</v>
      </c>
      <c r="K85" s="65">
        <f t="shared" si="7"/>
        <v>0</v>
      </c>
      <c r="L85" s="473">
        <f t="shared" si="8"/>
        <v>0</v>
      </c>
      <c r="M85" s="204">
        <f t="shared" si="9"/>
        <v>0</v>
      </c>
      <c r="N85" s="505">
        <f t="shared" si="10"/>
        <v>0</v>
      </c>
      <c r="O85" s="204">
        <f>IF(DG!$A$135&gt;12,0,IF(J85-J84&gt;0,MROUND((L85/12*Q84),1),MROUND(L85/12*P84,1)))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IF(OR(L$73=0,DG!$A$256&gt;16),0,F85+1)</f>
        <v>0</v>
      </c>
      <c r="G86" s="65">
        <f t="shared" si="1"/>
        <v>0</v>
      </c>
      <c r="H86" s="65">
        <f t="shared" si="2"/>
        <v>0</v>
      </c>
      <c r="I86" s="65">
        <f t="shared" si="16"/>
        <v>0</v>
      </c>
      <c r="J86" s="203">
        <f>IF(DG!$A$135&lt;=11,$M$17,0)</f>
        <v>0</v>
      </c>
      <c r="K86" s="65">
        <f t="shared" si="7"/>
        <v>0</v>
      </c>
      <c r="L86" s="473">
        <f t="shared" si="8"/>
        <v>0</v>
      </c>
      <c r="M86" s="204">
        <f t="shared" si="9"/>
        <v>0</v>
      </c>
      <c r="N86" s="505">
        <f t="shared" si="10"/>
        <v>0</v>
      </c>
      <c r="O86" s="204">
        <f>IF(DG!$A$135&gt;12,0,IF(J86-J85&gt;0,MROUND((L86/12*Q85),1),MROUND(L86/12*P85,1)))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IF(OR(L$73=0,DG!$A$256&gt;16),0,F86+1)</f>
        <v>0</v>
      </c>
      <c r="G87" s="65">
        <f t="shared" si="1"/>
        <v>0</v>
      </c>
      <c r="H87" s="65">
        <f t="shared" si="2"/>
        <v>0</v>
      </c>
      <c r="I87" s="65">
        <f t="shared" si="16"/>
        <v>0</v>
      </c>
      <c r="J87" s="203">
        <f>IF(DG!$A$135&lt;=11,$M$17,0)</f>
        <v>0</v>
      </c>
      <c r="K87" s="65">
        <f t="shared" si="7"/>
        <v>0</v>
      </c>
      <c r="L87" s="473">
        <f t="shared" si="8"/>
        <v>0</v>
      </c>
      <c r="M87" s="204">
        <f t="shared" si="9"/>
        <v>0</v>
      </c>
      <c r="N87" s="505">
        <f t="shared" si="10"/>
        <v>0</v>
      </c>
      <c r="O87" s="204">
        <f>IF(DG!$A$135&gt;12,0,IF(J87-J86&gt;0,MROUND((L87/12*Q86),1),MROUND(L87/12*P86,1)))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IF(OR(L$73=0,DG!$A$256&gt;16),0,F87+1)</f>
        <v>0</v>
      </c>
      <c r="G88" s="65">
        <f t="shared" si="1"/>
        <v>0</v>
      </c>
      <c r="H88" s="65">
        <f t="shared" si="2"/>
        <v>0</v>
      </c>
      <c r="I88" s="65">
        <f t="shared" si="16"/>
        <v>0</v>
      </c>
      <c r="J88" s="203">
        <f>IF(DG!$A$135&lt;=11,$M$17,0)</f>
        <v>0</v>
      </c>
      <c r="K88" s="65">
        <f t="shared" si="7"/>
        <v>0</v>
      </c>
      <c r="L88" s="473">
        <f t="shared" si="8"/>
        <v>0</v>
      </c>
      <c r="M88" s="204">
        <f t="shared" si="9"/>
        <v>0</v>
      </c>
      <c r="N88" s="505">
        <f t="shared" si="10"/>
        <v>0</v>
      </c>
      <c r="O88" s="204">
        <f>IF(DG!$A$135&gt;12,0,IF(J88-J87&gt;0,MROUND((L88/12*Q87),1),MROUND(L88/12*P87,1)))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IF(OR(L$73=0,DG!$A$256&gt;16),0,F88+1)</f>
        <v>0</v>
      </c>
      <c r="G89" s="65">
        <f t="shared" si="1"/>
        <v>0</v>
      </c>
      <c r="H89" s="65">
        <f t="shared" si="2"/>
        <v>0</v>
      </c>
      <c r="I89" s="65">
        <f t="shared" si="16"/>
        <v>0</v>
      </c>
      <c r="J89" s="203">
        <f>IF(DG!$A$135&lt;=11,$M$17,0)</f>
        <v>0</v>
      </c>
      <c r="K89" s="65">
        <f t="shared" si="7"/>
        <v>0</v>
      </c>
      <c r="L89" s="473">
        <f t="shared" si="8"/>
        <v>0</v>
      </c>
      <c r="M89" s="204">
        <f t="shared" si="9"/>
        <v>0</v>
      </c>
      <c r="N89" s="505">
        <f t="shared" si="10"/>
        <v>0</v>
      </c>
      <c r="O89" s="204">
        <f>IF(DG!$A$135&gt;12,0,IF(J89-J88&gt;0,MROUND((L89/12*Q88),1),MROUND(L89/12*P88,1)))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IF(OR(L$73=0,DG!$A$256&gt;16),0,F89+1)</f>
        <v>0</v>
      </c>
      <c r="G90" s="65">
        <f t="shared" ref="G90:G153" si="19">IF(E90=0,0,IF(D90-E90-F90&gt;=0,1,0))</f>
        <v>0</v>
      </c>
      <c r="H90" s="65">
        <f t="shared" ref="H90:H150" si="20">IF(I90&gt;=0,0,H89+1)</f>
        <v>0</v>
      </c>
      <c r="I90" s="65">
        <f t="shared" si="16"/>
        <v>0</v>
      </c>
      <c r="J90" s="203">
        <f>IF(DG!$A$135&lt;=11,$M$17,0)</f>
        <v>0</v>
      </c>
      <c r="K90" s="65">
        <f t="shared" si="7"/>
        <v>0</v>
      </c>
      <c r="L90" s="473">
        <f t="shared" si="8"/>
        <v>0</v>
      </c>
      <c r="M90" s="204">
        <f t="shared" si="9"/>
        <v>0</v>
      </c>
      <c r="N90" s="505">
        <f t="shared" si="10"/>
        <v>0</v>
      </c>
      <c r="O90" s="204">
        <f>IF(DG!$A$135&gt;12,0,IF(J90-J89&gt;0,MROUND((L90/12*Q89),1),MROUND(L90/12*P89,1)))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IF(OR(L$73=0,DG!$A$256&gt;16),0,F90+1)</f>
        <v>0</v>
      </c>
      <c r="G91" s="65">
        <f t="shared" si="19"/>
        <v>0</v>
      </c>
      <c r="H91" s="65">
        <f t="shared" si="20"/>
        <v>0</v>
      </c>
      <c r="I91" s="65">
        <f t="shared" si="16"/>
        <v>0</v>
      </c>
      <c r="J91" s="203">
        <f>IF(DG!$A$135&lt;=11,$M$17,0)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IF(DG!$A$135&gt;12,0,IF(J91-J90&gt;0,MROUND((L91/12*Q90),1),MROUND(L91/12*P90,1)))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IF(OR(L$73=0,DG!$A$256&gt;16),0,F91+1)</f>
        <v>0</v>
      </c>
      <c r="G92" s="65">
        <f t="shared" si="19"/>
        <v>0</v>
      </c>
      <c r="H92" s="65">
        <f t="shared" si="20"/>
        <v>0</v>
      </c>
      <c r="I92" s="65">
        <f t="shared" si="16"/>
        <v>0</v>
      </c>
      <c r="J92" s="203">
        <f>IF(DG!$A$135&lt;=11,$M$17,0)</f>
        <v>0</v>
      </c>
      <c r="K92" s="65">
        <f t="shared" si="24"/>
        <v>0</v>
      </c>
      <c r="L92" s="473">
        <f t="shared" si="25"/>
        <v>0</v>
      </c>
      <c r="M92" s="204">
        <f t="shared" si="26"/>
        <v>0</v>
      </c>
      <c r="N92" s="505">
        <f t="shared" si="27"/>
        <v>0</v>
      </c>
      <c r="O92" s="204">
        <f>IF(DG!$A$135&gt;12,0,IF(J92-J91&gt;0,MROUND((L92/12*Q91),1),MROUND(L92/12*P91,1)))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IF(OR(L$73=0,DG!$A$256&gt;16),0,F92+1)</f>
        <v>0</v>
      </c>
      <c r="G93" s="65">
        <f t="shared" si="19"/>
        <v>0</v>
      </c>
      <c r="H93" s="65">
        <f t="shared" si="20"/>
        <v>0</v>
      </c>
      <c r="I93" s="65">
        <f t="shared" si="16"/>
        <v>0</v>
      </c>
      <c r="J93" s="203">
        <f>IF(DG!$A$135&lt;=11,$M$17,0)</f>
        <v>0</v>
      </c>
      <c r="K93" s="65">
        <f t="shared" si="24"/>
        <v>0</v>
      </c>
      <c r="L93" s="473">
        <f t="shared" si="25"/>
        <v>0</v>
      </c>
      <c r="M93" s="204">
        <f t="shared" si="26"/>
        <v>0</v>
      </c>
      <c r="N93" s="505">
        <f t="shared" si="27"/>
        <v>0</v>
      </c>
      <c r="O93" s="204">
        <f>IF(DG!$A$135&gt;12,0,IF(J93-J92&gt;0,MROUND((L93/12*Q92),1),MROUND(L93/12*P92,1)))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IF(OR(L$73=0,DG!$A$256&gt;16),0,F93+1)</f>
        <v>0</v>
      </c>
      <c r="G94" s="65">
        <f t="shared" si="19"/>
        <v>0</v>
      </c>
      <c r="H94" s="65">
        <f t="shared" si="20"/>
        <v>0</v>
      </c>
      <c r="I94" s="65">
        <f t="shared" si="16"/>
        <v>0</v>
      </c>
      <c r="J94" s="203">
        <f>IF(DG!$A$135&lt;=11,$M$17,0)</f>
        <v>0</v>
      </c>
      <c r="K94" s="65">
        <f t="shared" si="24"/>
        <v>0</v>
      </c>
      <c r="L94" s="473">
        <f t="shared" si="25"/>
        <v>0</v>
      </c>
      <c r="M94" s="204">
        <f t="shared" si="26"/>
        <v>0</v>
      </c>
      <c r="N94" s="505">
        <f t="shared" si="27"/>
        <v>0</v>
      </c>
      <c r="O94" s="204">
        <f>IF(DG!$A$135&gt;12,0,IF(J94-J93&gt;0,MROUND((L94/12*Q93),1),MROUND(L94/12*P93,1)))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IF(OR(L$73=0,DG!$A$256&gt;16),0,F94+1)</f>
        <v>0</v>
      </c>
      <c r="G95" s="65">
        <f t="shared" si="19"/>
        <v>0</v>
      </c>
      <c r="H95" s="65">
        <f t="shared" si="20"/>
        <v>0</v>
      </c>
      <c r="I95" s="65">
        <f t="shared" si="16"/>
        <v>0</v>
      </c>
      <c r="J95" s="203">
        <f>IF(DG!$A$135&lt;=11,$M$17,0)</f>
        <v>0</v>
      </c>
      <c r="K95" s="65">
        <f t="shared" si="24"/>
        <v>0</v>
      </c>
      <c r="L95" s="473">
        <f t="shared" si="25"/>
        <v>0</v>
      </c>
      <c r="M95" s="204">
        <f t="shared" si="26"/>
        <v>0</v>
      </c>
      <c r="N95" s="505">
        <f t="shared" si="27"/>
        <v>0</v>
      </c>
      <c r="O95" s="204">
        <f>IF(DG!$A$135&gt;12,0,IF(J95-J94&gt;0,MROUND((L95/12*Q94),1),MROUND(L95/12*P94,1)))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IF(OR(L$73=0,DG!$A$256&gt;16),0,F95+1)</f>
        <v>0</v>
      </c>
      <c r="G96" s="65">
        <f t="shared" si="19"/>
        <v>0</v>
      </c>
      <c r="H96" s="65">
        <f t="shared" si="20"/>
        <v>0</v>
      </c>
      <c r="I96" s="65">
        <f t="shared" si="16"/>
        <v>0</v>
      </c>
      <c r="J96" s="203">
        <f>IF(DG!$A$135&lt;=11,$M$17,0)</f>
        <v>0</v>
      </c>
      <c r="K96" s="65">
        <f t="shared" si="24"/>
        <v>0</v>
      </c>
      <c r="L96" s="473">
        <f t="shared" si="25"/>
        <v>0</v>
      </c>
      <c r="M96" s="204">
        <f t="shared" si="26"/>
        <v>0</v>
      </c>
      <c r="N96" s="505">
        <f t="shared" si="27"/>
        <v>0</v>
      </c>
      <c r="O96" s="204">
        <f>IF(DG!$A$135&gt;12,0,IF(J96-J95&gt;0,MROUND((L96/12*Q95),1),MROUND(L96/12*P95,1)))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IF(OR(L$73=0,DG!$A$256&gt;16),0,F96+1)</f>
        <v>0</v>
      </c>
      <c r="G97" s="65">
        <f t="shared" si="19"/>
        <v>0</v>
      </c>
      <c r="H97" s="65">
        <f t="shared" si="20"/>
        <v>0</v>
      </c>
      <c r="I97" s="65">
        <f t="shared" si="16"/>
        <v>0</v>
      </c>
      <c r="J97" s="203">
        <f>IF(DG!$A$135&lt;=11,$M$17,0)</f>
        <v>0</v>
      </c>
      <c r="K97" s="65">
        <f t="shared" si="24"/>
        <v>0</v>
      </c>
      <c r="L97" s="473">
        <f t="shared" si="25"/>
        <v>0</v>
      </c>
      <c r="M97" s="204">
        <f t="shared" si="26"/>
        <v>0</v>
      </c>
      <c r="N97" s="505">
        <f t="shared" si="27"/>
        <v>0</v>
      </c>
      <c r="O97" s="204">
        <f>IF(DG!$A$135&gt;12,0,IF(J97-J96&gt;0,MROUND((L97/12*Q96),1),MROUND(L97/12*P96,1)))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IF(OR(L$73=0,DG!$A$256&gt;16),0,F97+1)</f>
        <v>0</v>
      </c>
      <c r="G98" s="65">
        <f t="shared" si="19"/>
        <v>0</v>
      </c>
      <c r="H98" s="65">
        <f t="shared" si="20"/>
        <v>0</v>
      </c>
      <c r="I98" s="65">
        <f t="shared" si="16"/>
        <v>0</v>
      </c>
      <c r="J98" s="203">
        <f>IF(DG!$A$135&lt;=11,$M$17,0)</f>
        <v>0</v>
      </c>
      <c r="K98" s="65">
        <f t="shared" si="24"/>
        <v>0</v>
      </c>
      <c r="L98" s="473">
        <f t="shared" si="25"/>
        <v>0</v>
      </c>
      <c r="M98" s="204">
        <f t="shared" si="26"/>
        <v>0</v>
      </c>
      <c r="N98" s="505">
        <f t="shared" si="27"/>
        <v>0</v>
      </c>
      <c r="O98" s="204">
        <f>IF(DG!$A$135&gt;12,0,IF(J98-J97&gt;0,MROUND((L98/12*Q97),1),MROUND(L98/12*P97,1)))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IF(OR(L$73=0,DG!$A$256&gt;16),0,F98+1)</f>
        <v>0</v>
      </c>
      <c r="G99" s="65">
        <f t="shared" si="19"/>
        <v>0</v>
      </c>
      <c r="H99" s="65">
        <f t="shared" si="20"/>
        <v>0</v>
      </c>
      <c r="I99" s="65">
        <f t="shared" si="16"/>
        <v>0</v>
      </c>
      <c r="J99" s="203">
        <f>IF(DG!$A$135&lt;=11,$M$17,0)</f>
        <v>0</v>
      </c>
      <c r="K99" s="65">
        <f t="shared" si="24"/>
        <v>0</v>
      </c>
      <c r="L99" s="473">
        <f t="shared" si="25"/>
        <v>0</v>
      </c>
      <c r="M99" s="204">
        <f t="shared" si="26"/>
        <v>0</v>
      </c>
      <c r="N99" s="505">
        <f t="shared" si="27"/>
        <v>0</v>
      </c>
      <c r="O99" s="204">
        <f>IF(DG!$A$135&gt;12,0,IF(J99-J98&gt;0,MROUND((L99/12*Q98),1),MROUND(L99/12*P98,1)))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IF(OR(L$73=0,DG!$A$256&gt;16),0,F99+1)</f>
        <v>0</v>
      </c>
      <c r="G100" s="65">
        <f t="shared" si="19"/>
        <v>0</v>
      </c>
      <c r="H100" s="65">
        <f t="shared" si="20"/>
        <v>0</v>
      </c>
      <c r="I100" s="65">
        <f t="shared" si="16"/>
        <v>0</v>
      </c>
      <c r="J100" s="203">
        <f>IF(DG!$A$135&lt;=11,$M$17,0)</f>
        <v>0</v>
      </c>
      <c r="K100" s="65">
        <f t="shared" si="24"/>
        <v>0</v>
      </c>
      <c r="L100" s="473">
        <f t="shared" si="25"/>
        <v>0</v>
      </c>
      <c r="M100" s="204">
        <f t="shared" si="26"/>
        <v>0</v>
      </c>
      <c r="N100" s="505">
        <f t="shared" si="27"/>
        <v>0</v>
      </c>
      <c r="O100" s="204">
        <f>IF(DG!$A$135&gt;12,0,IF(J100-J99&gt;0,MROUND((L100/12*Q99),1),MROUND(L100/12*P99,1)))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IF(OR(L$73=0,DG!$A$256&gt;16),0,F100+1)</f>
        <v>0</v>
      </c>
      <c r="G101" s="65">
        <f t="shared" si="19"/>
        <v>0</v>
      </c>
      <c r="H101" s="65">
        <f t="shared" si="20"/>
        <v>0</v>
      </c>
      <c r="I101" s="65">
        <f t="shared" si="16"/>
        <v>0</v>
      </c>
      <c r="J101" s="203">
        <f>IF(DG!$A$135&lt;=11,$M$17,0)</f>
        <v>0</v>
      </c>
      <c r="K101" s="65">
        <f t="shared" si="24"/>
        <v>0</v>
      </c>
      <c r="L101" s="473">
        <f t="shared" si="25"/>
        <v>0</v>
      </c>
      <c r="M101" s="204">
        <f t="shared" si="26"/>
        <v>0</v>
      </c>
      <c r="N101" s="505">
        <f t="shared" si="27"/>
        <v>0</v>
      </c>
      <c r="O101" s="204">
        <f>IF(DG!$A$135&gt;12,0,IF(J101-J100&gt;0,MROUND((L101/12*Q100),1),MROUND(L101/12*P100,1)))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IF(OR(L$73=0,DG!$A$256&gt;16),0,F101+1)</f>
        <v>0</v>
      </c>
      <c r="G102" s="65">
        <f t="shared" si="19"/>
        <v>0</v>
      </c>
      <c r="H102" s="65">
        <f t="shared" si="20"/>
        <v>0</v>
      </c>
      <c r="I102" s="65">
        <f t="shared" si="16"/>
        <v>0</v>
      </c>
      <c r="J102" s="203">
        <f>IF(DG!$A$135&lt;=11,$M$17,0)</f>
        <v>0</v>
      </c>
      <c r="K102" s="65">
        <f t="shared" si="24"/>
        <v>0</v>
      </c>
      <c r="L102" s="473">
        <f t="shared" si="25"/>
        <v>0</v>
      </c>
      <c r="M102" s="204">
        <f t="shared" si="26"/>
        <v>0</v>
      </c>
      <c r="N102" s="505">
        <f t="shared" si="27"/>
        <v>0</v>
      </c>
      <c r="O102" s="204">
        <f>IF(DG!$A$135&gt;12,0,IF(J102-J101&gt;0,MROUND((L102/12*Q101),1),MROUND(L102/12*P101,1)))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IF(OR(L$73=0,DG!$A$256&gt;16),0,F102+1)</f>
        <v>0</v>
      </c>
      <c r="G103" s="65">
        <f t="shared" si="19"/>
        <v>0</v>
      </c>
      <c r="H103" s="65">
        <f t="shared" si="20"/>
        <v>0</v>
      </c>
      <c r="I103" s="65">
        <f t="shared" si="16"/>
        <v>0</v>
      </c>
      <c r="J103" s="203">
        <f>IF(DG!$A$135&lt;=11,$M$17,0)</f>
        <v>0</v>
      </c>
      <c r="K103" s="65">
        <f t="shared" si="24"/>
        <v>0</v>
      </c>
      <c r="L103" s="473">
        <f t="shared" si="25"/>
        <v>0</v>
      </c>
      <c r="M103" s="204">
        <f t="shared" si="26"/>
        <v>0</v>
      </c>
      <c r="N103" s="505">
        <f t="shared" si="27"/>
        <v>0</v>
      </c>
      <c r="O103" s="204">
        <f>IF(DG!$A$135&gt;12,0,IF(J103-J102&gt;0,MROUND((L103/12*Q102),1),MROUND(L103/12*P102,1)))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IF(OR(L$73=0,DG!$A$256&gt;16),0,F103+1)</f>
        <v>0</v>
      </c>
      <c r="G104" s="65">
        <f t="shared" si="19"/>
        <v>0</v>
      </c>
      <c r="H104" s="65">
        <f t="shared" si="20"/>
        <v>0</v>
      </c>
      <c r="I104" s="65">
        <f t="shared" si="16"/>
        <v>0</v>
      </c>
      <c r="J104" s="203">
        <f>IF(DG!$A$135&lt;=11,$M$17,0)</f>
        <v>0</v>
      </c>
      <c r="K104" s="65">
        <f t="shared" si="24"/>
        <v>0</v>
      </c>
      <c r="L104" s="473">
        <f t="shared" si="25"/>
        <v>0</v>
      </c>
      <c r="M104" s="204">
        <f t="shared" si="26"/>
        <v>0</v>
      </c>
      <c r="N104" s="505">
        <f t="shared" si="27"/>
        <v>0</v>
      </c>
      <c r="O104" s="204">
        <f>IF(DG!$A$135&gt;12,0,IF(J104-J103&gt;0,MROUND((L104/12*Q103),1),MROUND(L104/12*P103,1)))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IF(OR(L$73=0,DG!$A$256&gt;16),0,F104+1)</f>
        <v>0</v>
      </c>
      <c r="G105" s="65">
        <f t="shared" si="19"/>
        <v>0</v>
      </c>
      <c r="H105" s="65">
        <f t="shared" si="20"/>
        <v>0</v>
      </c>
      <c r="I105" s="65">
        <f t="shared" si="16"/>
        <v>0</v>
      </c>
      <c r="J105" s="203">
        <f>IF(DG!$A$135&lt;=11,$M$17,0)</f>
        <v>0</v>
      </c>
      <c r="K105" s="65">
        <f t="shared" si="24"/>
        <v>0</v>
      </c>
      <c r="L105" s="473">
        <f t="shared" si="25"/>
        <v>0</v>
      </c>
      <c r="M105" s="204">
        <f t="shared" si="26"/>
        <v>0</v>
      </c>
      <c r="N105" s="505">
        <f t="shared" si="27"/>
        <v>0</v>
      </c>
      <c r="O105" s="204">
        <f>IF(DG!$A$135&gt;12,0,IF(J105-J104&gt;0,MROUND((L105/12*Q104),1),MROUND(L105/12*P104,1)))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IF(OR(L$73=0,DG!$A$256&gt;16),0,F105+1)</f>
        <v>0</v>
      </c>
      <c r="G106" s="65">
        <f t="shared" si="19"/>
        <v>0</v>
      </c>
      <c r="H106" s="65">
        <f t="shared" si="20"/>
        <v>0</v>
      </c>
      <c r="I106" s="65">
        <f t="shared" si="16"/>
        <v>0</v>
      </c>
      <c r="J106" s="203">
        <f>IF(DG!$A$135&lt;=11,$M$17,0)</f>
        <v>0</v>
      </c>
      <c r="K106" s="65">
        <f t="shared" si="24"/>
        <v>0</v>
      </c>
      <c r="L106" s="473">
        <f t="shared" si="25"/>
        <v>0</v>
      </c>
      <c r="M106" s="204">
        <f t="shared" si="26"/>
        <v>0</v>
      </c>
      <c r="N106" s="505">
        <f t="shared" si="27"/>
        <v>0</v>
      </c>
      <c r="O106" s="204">
        <f>IF(DG!$A$135&gt;12,0,IF(J106-J105&gt;0,MROUND((L106/12*Q105),1),MROUND(L106/12*P105,1)))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IF(OR(L$73=0,DG!$A$256&gt;16),0,F106+1)</f>
        <v>0</v>
      </c>
      <c r="G107" s="65">
        <f t="shared" si="19"/>
        <v>0</v>
      </c>
      <c r="H107" s="65">
        <f t="shared" si="20"/>
        <v>0</v>
      </c>
      <c r="I107" s="65">
        <f t="shared" si="16"/>
        <v>0</v>
      </c>
      <c r="J107" s="203">
        <f>IF(DG!$A$135&lt;=11,$M$17,0)</f>
        <v>0</v>
      </c>
      <c r="K107" s="65">
        <f t="shared" si="24"/>
        <v>0</v>
      </c>
      <c r="L107" s="473">
        <f t="shared" si="25"/>
        <v>0</v>
      </c>
      <c r="M107" s="204">
        <f t="shared" si="26"/>
        <v>0</v>
      </c>
      <c r="N107" s="505">
        <f t="shared" si="27"/>
        <v>0</v>
      </c>
      <c r="O107" s="204">
        <f>IF(DG!$A$135&gt;12,0,IF(J107-J106&gt;0,MROUND((L107/12*Q106),1),MROUND(L107/12*P106,1)))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IF(OR(L$73=0,DG!$A$256&gt;16),0,F107+1)</f>
        <v>0</v>
      </c>
      <c r="G108" s="65">
        <f t="shared" si="19"/>
        <v>0</v>
      </c>
      <c r="H108" s="65">
        <f t="shared" si="20"/>
        <v>0</v>
      </c>
      <c r="I108" s="65">
        <f t="shared" si="16"/>
        <v>0</v>
      </c>
      <c r="J108" s="203">
        <f>IF(DG!$A$135&lt;=11,$M$17,0)</f>
        <v>0</v>
      </c>
      <c r="K108" s="65">
        <f t="shared" si="24"/>
        <v>0</v>
      </c>
      <c r="L108" s="473">
        <f t="shared" si="25"/>
        <v>0</v>
      </c>
      <c r="M108" s="204">
        <f t="shared" si="26"/>
        <v>0</v>
      </c>
      <c r="N108" s="505">
        <f t="shared" si="27"/>
        <v>0</v>
      </c>
      <c r="O108" s="204">
        <f>IF(DG!$A$135&gt;12,0,IF(J108-J107&gt;0,MROUND((L108/12*Q107),1),MROUND(L108/12*P107,1)))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IF(OR(L$73=0,DG!$A$256&gt;16),0,F108+1)</f>
        <v>0</v>
      </c>
      <c r="G109" s="65">
        <f t="shared" si="19"/>
        <v>0</v>
      </c>
      <c r="H109" s="65">
        <f t="shared" si="20"/>
        <v>0</v>
      </c>
      <c r="I109" s="65">
        <f t="shared" si="16"/>
        <v>0</v>
      </c>
      <c r="J109" s="203">
        <f>IF(DG!$A$135&lt;=11,$M$17,0)</f>
        <v>0</v>
      </c>
      <c r="K109" s="65">
        <f t="shared" si="24"/>
        <v>0</v>
      </c>
      <c r="L109" s="473">
        <f t="shared" si="25"/>
        <v>0</v>
      </c>
      <c r="M109" s="204">
        <f t="shared" si="26"/>
        <v>0</v>
      </c>
      <c r="N109" s="505">
        <f t="shared" si="27"/>
        <v>0</v>
      </c>
      <c r="O109" s="204">
        <f>IF(DG!$A$135&gt;12,0,IF(J109-J108&gt;0,MROUND((L109/12*Q108),1),MROUND(L109/12*P108,1)))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IF(OR(L$73=0,DG!$A$256&gt;16),0,F109+1)</f>
        <v>0</v>
      </c>
      <c r="G110" s="65">
        <f t="shared" si="19"/>
        <v>0</v>
      </c>
      <c r="H110" s="65">
        <f t="shared" si="20"/>
        <v>0</v>
      </c>
      <c r="I110" s="65">
        <f t="shared" si="16"/>
        <v>0</v>
      </c>
      <c r="J110" s="203">
        <f>IF(DG!$A$135&lt;=11,$M$17,0)</f>
        <v>0</v>
      </c>
      <c r="K110" s="65">
        <f t="shared" si="24"/>
        <v>0</v>
      </c>
      <c r="L110" s="473">
        <f t="shared" si="25"/>
        <v>0</v>
      </c>
      <c r="M110" s="204">
        <f t="shared" si="26"/>
        <v>0</v>
      </c>
      <c r="N110" s="505">
        <f t="shared" si="27"/>
        <v>0</v>
      </c>
      <c r="O110" s="204">
        <f>IF(DG!$A$135&gt;12,0,IF(J110-J109&gt;0,MROUND((L110/12*Q109),1),MROUND(L110/12*P109,1)))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IF(OR(L$73=0,DG!$A$256&gt;16),0,F110+1)</f>
        <v>0</v>
      </c>
      <c r="G111" s="65">
        <f t="shared" si="19"/>
        <v>0</v>
      </c>
      <c r="H111" s="65">
        <f t="shared" si="20"/>
        <v>0</v>
      </c>
      <c r="I111" s="65">
        <f t="shared" si="16"/>
        <v>0</v>
      </c>
      <c r="J111" s="203">
        <f>IF(DG!$A$135&lt;=11,$M$17,0)</f>
        <v>0</v>
      </c>
      <c r="K111" s="65">
        <f t="shared" si="24"/>
        <v>0</v>
      </c>
      <c r="L111" s="473">
        <f t="shared" si="25"/>
        <v>0</v>
      </c>
      <c r="M111" s="204">
        <f t="shared" si="26"/>
        <v>0</v>
      </c>
      <c r="N111" s="505">
        <f t="shared" si="27"/>
        <v>0</v>
      </c>
      <c r="O111" s="204">
        <f>IF(DG!$A$135&gt;12,0,IF(J111-J110&gt;0,MROUND((L111/12*Q110),1),MROUND(L111/12*P110,1)))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IF(OR(L$73=0,DG!$A$256&gt;16),0,F111+1)</f>
        <v>0</v>
      </c>
      <c r="G112" s="65">
        <f t="shared" si="19"/>
        <v>0</v>
      </c>
      <c r="H112" s="65">
        <f t="shared" si="20"/>
        <v>0</v>
      </c>
      <c r="I112" s="65">
        <f t="shared" si="16"/>
        <v>0</v>
      </c>
      <c r="J112" s="203">
        <f>IF(DG!$A$135&lt;=11,$M$17,0)</f>
        <v>0</v>
      </c>
      <c r="K112" s="65">
        <f t="shared" si="24"/>
        <v>0</v>
      </c>
      <c r="L112" s="473">
        <f t="shared" si="25"/>
        <v>0</v>
      </c>
      <c r="M112" s="204">
        <f t="shared" si="26"/>
        <v>0</v>
      </c>
      <c r="N112" s="505">
        <f t="shared" si="27"/>
        <v>0</v>
      </c>
      <c r="O112" s="204">
        <f>IF(DG!$A$135&gt;12,0,IF(J112-J111&gt;0,MROUND((L112/12*Q111),1),MROUND(L112/12*P111,1)))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IF(OR(L$73=0,DG!$A$256&gt;16),0,F112+1)</f>
        <v>0</v>
      </c>
      <c r="G113" s="65">
        <f t="shared" si="19"/>
        <v>0</v>
      </c>
      <c r="H113" s="65">
        <f t="shared" si="20"/>
        <v>0</v>
      </c>
      <c r="I113" s="65">
        <f t="shared" si="16"/>
        <v>0</v>
      </c>
      <c r="J113" s="203">
        <f>IF(DG!$A$135&lt;=11,$M$17,0)</f>
        <v>0</v>
      </c>
      <c r="K113" s="65">
        <f t="shared" si="24"/>
        <v>0</v>
      </c>
      <c r="L113" s="473">
        <f t="shared" si="25"/>
        <v>0</v>
      </c>
      <c r="M113" s="204">
        <f t="shared" si="26"/>
        <v>0</v>
      </c>
      <c r="N113" s="505">
        <f t="shared" si="27"/>
        <v>0</v>
      </c>
      <c r="O113" s="204">
        <f>IF(DG!$A$135&gt;12,0,IF(J113-J112&gt;0,MROUND((L113/12*Q112),1),MROUND(L113/12*P112,1)))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IF(OR(L$73=0,DG!$A$256&gt;16),0,F113+1)</f>
        <v>0</v>
      </c>
      <c r="G114" s="65">
        <f t="shared" si="19"/>
        <v>0</v>
      </c>
      <c r="H114" s="65">
        <f t="shared" si="20"/>
        <v>0</v>
      </c>
      <c r="I114" s="65">
        <f t="shared" si="16"/>
        <v>0</v>
      </c>
      <c r="J114" s="203">
        <f>IF(DG!$A$135&lt;=11,$M$17,0)</f>
        <v>0</v>
      </c>
      <c r="K114" s="65">
        <f t="shared" si="24"/>
        <v>0</v>
      </c>
      <c r="L114" s="473">
        <f t="shared" si="25"/>
        <v>0</v>
      </c>
      <c r="M114" s="204">
        <f t="shared" si="26"/>
        <v>0</v>
      </c>
      <c r="N114" s="505">
        <f t="shared" si="27"/>
        <v>0</v>
      </c>
      <c r="O114" s="204">
        <f>IF(DG!$A$135&gt;12,0,IF(J114-J113&gt;0,MROUND((L114/12*Q113),1),MROUND(L114/12*P113,1)))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IF(OR(L$73=0,DG!$A$256&gt;16),0,F114+1)</f>
        <v>0</v>
      </c>
      <c r="G115" s="65">
        <f t="shared" si="19"/>
        <v>0</v>
      </c>
      <c r="H115" s="65">
        <f t="shared" si="20"/>
        <v>0</v>
      </c>
      <c r="I115" s="65">
        <f t="shared" si="16"/>
        <v>0</v>
      </c>
      <c r="J115" s="203">
        <f>IF(DG!$A$135&lt;=11,$M$17,0)</f>
        <v>0</v>
      </c>
      <c r="K115" s="65">
        <f t="shared" si="24"/>
        <v>0</v>
      </c>
      <c r="L115" s="473">
        <f t="shared" si="25"/>
        <v>0</v>
      </c>
      <c r="M115" s="204">
        <f t="shared" si="26"/>
        <v>0</v>
      </c>
      <c r="N115" s="505">
        <f t="shared" si="27"/>
        <v>0</v>
      </c>
      <c r="O115" s="204">
        <f>IF(DG!$A$135&gt;12,0,IF(J115-J114&gt;0,MROUND((L115/12*Q114),1),MROUND(L115/12*P114,1)))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IF(OR(L$73=0,DG!$A$256&gt;16),0,F115+1)</f>
        <v>0</v>
      </c>
      <c r="G116" s="65">
        <f t="shared" si="19"/>
        <v>0</v>
      </c>
      <c r="H116" s="65">
        <f t="shared" si="20"/>
        <v>0</v>
      </c>
      <c r="I116" s="65">
        <f t="shared" si="16"/>
        <v>0</v>
      </c>
      <c r="J116" s="203">
        <f>IF(DG!$A$135&lt;=11,$M$17,0)</f>
        <v>0</v>
      </c>
      <c r="K116" s="65">
        <f t="shared" si="24"/>
        <v>0</v>
      </c>
      <c r="L116" s="473">
        <f t="shared" si="25"/>
        <v>0</v>
      </c>
      <c r="M116" s="204">
        <f t="shared" si="26"/>
        <v>0</v>
      </c>
      <c r="N116" s="505">
        <f t="shared" si="27"/>
        <v>0</v>
      </c>
      <c r="O116" s="204">
        <f>IF(DG!$A$135&gt;12,0,IF(J116-J115&gt;0,MROUND((L116/12*Q115),1),MROUND(L116/12*P115,1)))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IF(OR(L$73=0,DG!$A$256&gt;16),0,F116+1)</f>
        <v>0</v>
      </c>
      <c r="G117" s="65">
        <f t="shared" si="19"/>
        <v>0</v>
      </c>
      <c r="H117" s="65">
        <f t="shared" si="20"/>
        <v>0</v>
      </c>
      <c r="I117" s="65">
        <f t="shared" si="16"/>
        <v>0</v>
      </c>
      <c r="J117" s="203">
        <f>IF(DG!$A$135&lt;=11,$M$17,0)</f>
        <v>0</v>
      </c>
      <c r="K117" s="65">
        <f t="shared" si="24"/>
        <v>0</v>
      </c>
      <c r="L117" s="473">
        <f t="shared" si="25"/>
        <v>0</v>
      </c>
      <c r="M117" s="204">
        <f t="shared" si="26"/>
        <v>0</v>
      </c>
      <c r="N117" s="505">
        <f t="shared" si="27"/>
        <v>0</v>
      </c>
      <c r="O117" s="204">
        <f>IF(DG!$A$135&gt;12,0,IF(J117-J116&gt;0,MROUND((L117/12*Q116),1),MROUND(L117/12*P116,1)))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IF(OR(L$73=0,DG!$A$256&gt;16),0,F117+1)</f>
        <v>0</v>
      </c>
      <c r="G118" s="65">
        <f t="shared" si="19"/>
        <v>0</v>
      </c>
      <c r="H118" s="65">
        <f t="shared" si="20"/>
        <v>0</v>
      </c>
      <c r="I118" s="65">
        <f t="shared" si="16"/>
        <v>0</v>
      </c>
      <c r="J118" s="203">
        <f>IF(DG!$A$135&lt;=11,$M$17,0)</f>
        <v>0</v>
      </c>
      <c r="K118" s="65">
        <f t="shared" si="24"/>
        <v>0</v>
      </c>
      <c r="L118" s="473">
        <f t="shared" si="25"/>
        <v>0</v>
      </c>
      <c r="M118" s="204">
        <f t="shared" si="26"/>
        <v>0</v>
      </c>
      <c r="N118" s="505">
        <f t="shared" si="27"/>
        <v>0</v>
      </c>
      <c r="O118" s="204">
        <f>IF(DG!$A$135&gt;12,0,IF(J118-J117&gt;0,MROUND((L118/12*Q117),1),MROUND(L118/12*P117,1)))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IF(OR(L$73=0,DG!$A$256&gt;16),0,F118+1)</f>
        <v>0</v>
      </c>
      <c r="G119" s="65">
        <f t="shared" si="19"/>
        <v>0</v>
      </c>
      <c r="H119" s="65">
        <f t="shared" si="20"/>
        <v>0</v>
      </c>
      <c r="I119" s="65">
        <f t="shared" si="16"/>
        <v>0</v>
      </c>
      <c r="J119" s="203">
        <f>IF(DG!$A$135&lt;=11,$M$17,0)</f>
        <v>0</v>
      </c>
      <c r="K119" s="65">
        <f t="shared" si="24"/>
        <v>0</v>
      </c>
      <c r="L119" s="473">
        <f t="shared" si="25"/>
        <v>0</v>
      </c>
      <c r="M119" s="204">
        <f t="shared" si="26"/>
        <v>0</v>
      </c>
      <c r="N119" s="505">
        <f t="shared" si="27"/>
        <v>0</v>
      </c>
      <c r="O119" s="204">
        <f>IF(DG!$A$135&gt;12,0,IF(J119-J118&gt;0,MROUND((L119/12*Q118),1),MROUND(L119/12*P118,1)))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IF(OR(L$73=0,DG!$A$256&gt;16),0,F119+1)</f>
        <v>0</v>
      </c>
      <c r="G120" s="65">
        <f t="shared" si="19"/>
        <v>0</v>
      </c>
      <c r="H120" s="65">
        <f t="shared" si="20"/>
        <v>0</v>
      </c>
      <c r="I120" s="65">
        <f t="shared" si="16"/>
        <v>0</v>
      </c>
      <c r="J120" s="203">
        <f>IF(DG!$A$135&lt;=11,$M$17,0)</f>
        <v>0</v>
      </c>
      <c r="K120" s="65">
        <f t="shared" si="24"/>
        <v>0</v>
      </c>
      <c r="L120" s="473">
        <f t="shared" si="25"/>
        <v>0</v>
      </c>
      <c r="M120" s="204">
        <f t="shared" si="26"/>
        <v>0</v>
      </c>
      <c r="N120" s="505">
        <f t="shared" si="27"/>
        <v>0</v>
      </c>
      <c r="O120" s="204">
        <f>IF(DG!$A$135&gt;12,0,IF(J120-J119&gt;0,MROUND((L120/12*Q119),1),MROUND(L120/12*P119,1)))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IF(OR(L$73=0,DG!$A$256&gt;16),0,F120+1)</f>
        <v>0</v>
      </c>
      <c r="G121" s="65">
        <f t="shared" si="19"/>
        <v>0</v>
      </c>
      <c r="H121" s="65">
        <f t="shared" si="20"/>
        <v>0</v>
      </c>
      <c r="I121" s="65">
        <f t="shared" si="16"/>
        <v>0</v>
      </c>
      <c r="J121" s="203">
        <f>IF(DG!$A$135&lt;=11,$M$17,0)</f>
        <v>0</v>
      </c>
      <c r="K121" s="65">
        <f t="shared" si="24"/>
        <v>0</v>
      </c>
      <c r="L121" s="473">
        <f t="shared" si="25"/>
        <v>0</v>
      </c>
      <c r="M121" s="204">
        <f t="shared" si="26"/>
        <v>0</v>
      </c>
      <c r="N121" s="505">
        <f t="shared" si="27"/>
        <v>0</v>
      </c>
      <c r="O121" s="204">
        <f>IF(DG!$A$135&gt;12,0,IF(J121-J120&gt;0,MROUND((L121/12*Q120),1),MROUND(L121/12*P120,1)))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IF(OR(L$73=0,DG!$A$256&gt;16),0,F121+1)</f>
        <v>0</v>
      </c>
      <c r="G122" s="65">
        <f t="shared" si="19"/>
        <v>0</v>
      </c>
      <c r="H122" s="65">
        <f t="shared" si="20"/>
        <v>0</v>
      </c>
      <c r="I122" s="65">
        <f t="shared" si="16"/>
        <v>0</v>
      </c>
      <c r="J122" s="203">
        <f>IF(DG!$A$135&lt;=11,$M$17,0)</f>
        <v>0</v>
      </c>
      <c r="K122" s="65">
        <f t="shared" si="24"/>
        <v>0</v>
      </c>
      <c r="L122" s="473">
        <f t="shared" si="25"/>
        <v>0</v>
      </c>
      <c r="M122" s="204">
        <f t="shared" si="26"/>
        <v>0</v>
      </c>
      <c r="N122" s="505">
        <f t="shared" si="27"/>
        <v>0</v>
      </c>
      <c r="O122" s="204">
        <f>IF(DG!$A$135&gt;12,0,IF(J122-J121&gt;0,MROUND((L122/12*Q121),1),MROUND(L122/12*P121,1)))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IF(OR(L$73=0,DG!$A$256&gt;16),0,F122+1)</f>
        <v>0</v>
      </c>
      <c r="G123" s="65">
        <f t="shared" si="19"/>
        <v>0</v>
      </c>
      <c r="H123" s="65">
        <f t="shared" si="20"/>
        <v>0</v>
      </c>
      <c r="I123" s="65">
        <f t="shared" si="16"/>
        <v>0</v>
      </c>
      <c r="J123" s="203">
        <f>IF(DG!$A$135&lt;=11,$M$17,0)</f>
        <v>0</v>
      </c>
      <c r="K123" s="65">
        <f t="shared" si="24"/>
        <v>0</v>
      </c>
      <c r="L123" s="473">
        <f t="shared" si="25"/>
        <v>0</v>
      </c>
      <c r="M123" s="204">
        <f t="shared" si="26"/>
        <v>0</v>
      </c>
      <c r="N123" s="505">
        <f t="shared" si="27"/>
        <v>0</v>
      </c>
      <c r="O123" s="204">
        <f>IF(DG!$A$135&gt;12,0,IF(J123-J122&gt;0,MROUND((L123/12*Q122),1),MROUND(L123/12*P122,1)))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IF(OR(L$73=0,DG!$A$256&gt;16),0,F123+1)</f>
        <v>0</v>
      </c>
      <c r="G124" s="65">
        <f t="shared" si="19"/>
        <v>0</v>
      </c>
      <c r="H124" s="65">
        <f t="shared" si="20"/>
        <v>0</v>
      </c>
      <c r="I124" s="65">
        <f t="shared" si="16"/>
        <v>0</v>
      </c>
      <c r="J124" s="203">
        <f>IF(DG!$A$135&lt;=11,$M$17,0)</f>
        <v>0</v>
      </c>
      <c r="K124" s="65">
        <f t="shared" si="24"/>
        <v>0</v>
      </c>
      <c r="L124" s="473">
        <f t="shared" si="25"/>
        <v>0</v>
      </c>
      <c r="M124" s="204">
        <f t="shared" si="26"/>
        <v>0</v>
      </c>
      <c r="N124" s="505">
        <f t="shared" si="27"/>
        <v>0</v>
      </c>
      <c r="O124" s="204">
        <f>IF(DG!$A$135&gt;12,0,IF(J124-J123&gt;0,MROUND((L124/12*Q123),1),MROUND(L124/12*P123,1)))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IF(OR(L$73=0,DG!$A$256&gt;16),0,F124+1)</f>
        <v>0</v>
      </c>
      <c r="G125" s="65">
        <f t="shared" si="19"/>
        <v>0</v>
      </c>
      <c r="H125" s="65">
        <f t="shared" si="20"/>
        <v>0</v>
      </c>
      <c r="I125" s="65">
        <f t="shared" si="16"/>
        <v>0</v>
      </c>
      <c r="J125" s="203">
        <f>IF(DG!$A$135&lt;=11,$M$17,0)</f>
        <v>0</v>
      </c>
      <c r="K125" s="65">
        <f t="shared" si="24"/>
        <v>0</v>
      </c>
      <c r="L125" s="473">
        <f t="shared" si="25"/>
        <v>0</v>
      </c>
      <c r="M125" s="204">
        <f t="shared" si="26"/>
        <v>0</v>
      </c>
      <c r="N125" s="505">
        <f t="shared" si="27"/>
        <v>0</v>
      </c>
      <c r="O125" s="204">
        <f>IF(DG!$A$135&gt;12,0,IF(J125-J124&gt;0,MROUND((L125/12*Q124),1),MROUND(L125/12*P124,1)))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IF(OR(L$73=0,DG!$A$256&gt;16),0,F125+1)</f>
        <v>0</v>
      </c>
      <c r="G126" s="65">
        <f t="shared" si="19"/>
        <v>0</v>
      </c>
      <c r="H126" s="65">
        <f t="shared" si="20"/>
        <v>0</v>
      </c>
      <c r="I126" s="65">
        <f t="shared" si="16"/>
        <v>0</v>
      </c>
      <c r="J126" s="203">
        <f>IF(DG!$A$135&lt;=11,$M$17,0)</f>
        <v>0</v>
      </c>
      <c r="K126" s="65">
        <f t="shared" si="24"/>
        <v>0</v>
      </c>
      <c r="L126" s="473">
        <f t="shared" si="25"/>
        <v>0</v>
      </c>
      <c r="M126" s="204">
        <f t="shared" si="26"/>
        <v>0</v>
      </c>
      <c r="N126" s="505">
        <f t="shared" si="27"/>
        <v>0</v>
      </c>
      <c r="O126" s="204">
        <f>IF(DG!$A$135&gt;12,0,IF(J126-J125&gt;0,MROUND((L126/12*Q125),1),MROUND(L126/12*P125,1)))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IF(OR(L$73=0,DG!$A$256&gt;16),0,F126+1)</f>
        <v>0</v>
      </c>
      <c r="G127" s="65">
        <f t="shared" si="19"/>
        <v>0</v>
      </c>
      <c r="H127" s="65">
        <f t="shared" si="20"/>
        <v>0</v>
      </c>
      <c r="I127" s="65">
        <f t="shared" si="16"/>
        <v>0</v>
      </c>
      <c r="J127" s="203">
        <f>IF(DG!$A$135&lt;=11,$M$17,0)</f>
        <v>0</v>
      </c>
      <c r="K127" s="65">
        <f t="shared" si="24"/>
        <v>0</v>
      </c>
      <c r="L127" s="473">
        <f t="shared" si="25"/>
        <v>0</v>
      </c>
      <c r="M127" s="204">
        <f t="shared" si="26"/>
        <v>0</v>
      </c>
      <c r="N127" s="505">
        <f t="shared" si="27"/>
        <v>0</v>
      </c>
      <c r="O127" s="204">
        <f>IF(DG!$A$135&gt;12,0,IF(J127-J126&gt;0,MROUND((L127/12*Q126),1),MROUND(L127/12*P126,1)))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IF(OR(L$73=0,DG!$A$256&gt;16),0,F127+1)</f>
        <v>0</v>
      </c>
      <c r="G128" s="65">
        <f t="shared" si="19"/>
        <v>0</v>
      </c>
      <c r="H128" s="65">
        <f t="shared" si="20"/>
        <v>0</v>
      </c>
      <c r="I128" s="65">
        <f t="shared" si="16"/>
        <v>0</v>
      </c>
      <c r="J128" s="203">
        <f>IF(DG!$A$135&lt;=11,$M$17,0)</f>
        <v>0</v>
      </c>
      <c r="K128" s="65">
        <f t="shared" si="24"/>
        <v>0</v>
      </c>
      <c r="L128" s="473">
        <f t="shared" si="25"/>
        <v>0</v>
      </c>
      <c r="M128" s="204">
        <f t="shared" si="26"/>
        <v>0</v>
      </c>
      <c r="N128" s="505">
        <f t="shared" si="27"/>
        <v>0</v>
      </c>
      <c r="O128" s="204">
        <f>IF(DG!$A$135&gt;12,0,IF(J128-J127&gt;0,MROUND((L128/12*Q127),1),MROUND(L128/12*P127,1)))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IF(OR(L$73=0,DG!$A$256&gt;16),0,F128+1)</f>
        <v>0</v>
      </c>
      <c r="G129" s="65">
        <f t="shared" si="19"/>
        <v>0</v>
      </c>
      <c r="H129" s="65">
        <f t="shared" si="20"/>
        <v>0</v>
      </c>
      <c r="I129" s="65">
        <f t="shared" ref="I129:I192" si="31">IF(OR(G129=1,C129=0),0,IF(K129-C129&lt;$G$269,1,-1))</f>
        <v>0</v>
      </c>
      <c r="J129" s="203">
        <f>IF(DG!$A$135&lt;=11,$M$17,0)</f>
        <v>0</v>
      </c>
      <c r="K129" s="65">
        <f t="shared" si="24"/>
        <v>0</v>
      </c>
      <c r="L129" s="473">
        <f t="shared" si="25"/>
        <v>0</v>
      </c>
      <c r="M129" s="204">
        <f t="shared" si="26"/>
        <v>0</v>
      </c>
      <c r="N129" s="505">
        <f t="shared" si="27"/>
        <v>0</v>
      </c>
      <c r="O129" s="204">
        <f>IF(DG!$A$135&gt;12,0,IF(J129-J128&gt;0,MROUND((L129/12*Q128),1),MROUND(L129/12*P128,1)))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IF(OR(L$73=0,DG!$A$256&gt;16),0,F129+1)</f>
        <v>0</v>
      </c>
      <c r="G130" s="65">
        <f t="shared" si="19"/>
        <v>0</v>
      </c>
      <c r="H130" s="65">
        <f t="shared" si="20"/>
        <v>0</v>
      </c>
      <c r="I130" s="65">
        <f t="shared" si="31"/>
        <v>0</v>
      </c>
      <c r="J130" s="203">
        <f>IF(DG!$A$135&lt;=11,$M$17,0)</f>
        <v>0</v>
      </c>
      <c r="K130" s="65">
        <f t="shared" si="24"/>
        <v>0</v>
      </c>
      <c r="L130" s="473">
        <f t="shared" si="25"/>
        <v>0</v>
      </c>
      <c r="M130" s="204">
        <f t="shared" si="26"/>
        <v>0</v>
      </c>
      <c r="N130" s="505">
        <f t="shared" si="27"/>
        <v>0</v>
      </c>
      <c r="O130" s="204">
        <f>IF(DG!$A$135&gt;12,0,IF(J130-J129&gt;0,MROUND((L130/12*Q129),1),MROUND(L130/12*P129,1)))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IF(OR(L$73=0,DG!$A$256&gt;16),0,F130+1)</f>
        <v>0</v>
      </c>
      <c r="G131" s="65">
        <f t="shared" si="19"/>
        <v>0</v>
      </c>
      <c r="H131" s="65">
        <f t="shared" si="20"/>
        <v>0</v>
      </c>
      <c r="I131" s="65">
        <f t="shared" si="31"/>
        <v>0</v>
      </c>
      <c r="J131" s="203">
        <f>IF(DG!$A$135&lt;=11,$M$17,0)</f>
        <v>0</v>
      </c>
      <c r="K131" s="65">
        <f t="shared" si="24"/>
        <v>0</v>
      </c>
      <c r="L131" s="473">
        <f t="shared" si="25"/>
        <v>0</v>
      </c>
      <c r="M131" s="204">
        <f t="shared" si="26"/>
        <v>0</v>
      </c>
      <c r="N131" s="505">
        <f t="shared" si="27"/>
        <v>0</v>
      </c>
      <c r="O131" s="204">
        <f>IF(DG!$A$135&gt;12,0,IF(J131-J130&gt;0,MROUND((L131/12*Q130),1),MROUND(L131/12*P130,1)))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IF(OR(L$73=0,DG!$A$256&gt;16),0,F131+1)</f>
        <v>0</v>
      </c>
      <c r="G132" s="65">
        <f t="shared" si="19"/>
        <v>0</v>
      </c>
      <c r="H132" s="65">
        <f t="shared" si="20"/>
        <v>0</v>
      </c>
      <c r="I132" s="65">
        <f t="shared" si="31"/>
        <v>0</v>
      </c>
      <c r="J132" s="203">
        <f>IF(DG!$A$135&lt;=11,$M$17,0)</f>
        <v>0</v>
      </c>
      <c r="K132" s="65">
        <f t="shared" si="24"/>
        <v>0</v>
      </c>
      <c r="L132" s="473">
        <f t="shared" si="25"/>
        <v>0</v>
      </c>
      <c r="M132" s="204">
        <f t="shared" si="26"/>
        <v>0</v>
      </c>
      <c r="N132" s="505">
        <f t="shared" si="27"/>
        <v>0</v>
      </c>
      <c r="O132" s="204">
        <f>IF(DG!$A$135&gt;12,0,IF(J132-J131&gt;0,MROUND((L132/12*Q131),1),MROUND(L132/12*P131,1)))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IF(OR(L$73=0,DG!$A$256&gt;16),0,F132+1)</f>
        <v>0</v>
      </c>
      <c r="G133" s="65">
        <f t="shared" si="19"/>
        <v>0</v>
      </c>
      <c r="H133" s="65">
        <f t="shared" si="20"/>
        <v>0</v>
      </c>
      <c r="I133" s="65">
        <f t="shared" si="31"/>
        <v>0</v>
      </c>
      <c r="J133" s="203">
        <f>IF(DG!$A$135&lt;=11,$M$17,0)</f>
        <v>0</v>
      </c>
      <c r="K133" s="65">
        <f t="shared" si="24"/>
        <v>0</v>
      </c>
      <c r="L133" s="473">
        <f t="shared" si="25"/>
        <v>0</v>
      </c>
      <c r="M133" s="204">
        <f t="shared" si="26"/>
        <v>0</v>
      </c>
      <c r="N133" s="505">
        <f t="shared" si="27"/>
        <v>0</v>
      </c>
      <c r="O133" s="204">
        <f>IF(DG!$A$135&gt;12,0,IF(J133-J132&gt;0,MROUND((L133/12*Q132),1),MROUND(L133/12*P132,1)))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IF(OR(L$73=0,DG!$A$256&gt;16),0,F133+1)</f>
        <v>0</v>
      </c>
      <c r="G134" s="65">
        <f t="shared" si="19"/>
        <v>0</v>
      </c>
      <c r="H134" s="65">
        <f t="shared" si="20"/>
        <v>0</v>
      </c>
      <c r="I134" s="65">
        <f t="shared" si="31"/>
        <v>0</v>
      </c>
      <c r="J134" s="203">
        <f>IF(DG!$A$135&lt;=11,$M$17,0)</f>
        <v>0</v>
      </c>
      <c r="K134" s="65">
        <f t="shared" si="24"/>
        <v>0</v>
      </c>
      <c r="L134" s="473">
        <f t="shared" si="25"/>
        <v>0</v>
      </c>
      <c r="M134" s="204">
        <f t="shared" si="26"/>
        <v>0</v>
      </c>
      <c r="N134" s="505">
        <f t="shared" si="27"/>
        <v>0</v>
      </c>
      <c r="O134" s="204">
        <f>IF(DG!$A$135&gt;12,0,IF(J134-J133&gt;0,MROUND((L134/12*Q133),1),MROUND(L134/12*P133,1)))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IF(OR(L$73=0,DG!$A$256&gt;16),0,F134+1)</f>
        <v>0</v>
      </c>
      <c r="G135" s="65">
        <f t="shared" si="19"/>
        <v>0</v>
      </c>
      <c r="H135" s="65">
        <f t="shared" si="20"/>
        <v>0</v>
      </c>
      <c r="I135" s="65">
        <f t="shared" si="31"/>
        <v>0</v>
      </c>
      <c r="J135" s="203">
        <f>IF(DG!$A$135&lt;=11,$M$17,0)</f>
        <v>0</v>
      </c>
      <c r="K135" s="65">
        <f t="shared" si="24"/>
        <v>0</v>
      </c>
      <c r="L135" s="473">
        <f t="shared" si="25"/>
        <v>0</v>
      </c>
      <c r="M135" s="204">
        <f t="shared" si="26"/>
        <v>0</v>
      </c>
      <c r="N135" s="505">
        <f t="shared" si="27"/>
        <v>0</v>
      </c>
      <c r="O135" s="204">
        <f>IF(DG!$A$135&gt;12,0,IF(J135-J134&gt;0,MROUND((L135/12*Q134),1),MROUND(L135/12*P134,1)))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IF(OR(L$73=0,DG!$A$256&gt;16),0,F135+1)</f>
        <v>0</v>
      </c>
      <c r="G136" s="65">
        <f t="shared" si="19"/>
        <v>0</v>
      </c>
      <c r="H136" s="65">
        <f t="shared" si="20"/>
        <v>0</v>
      </c>
      <c r="I136" s="65">
        <f t="shared" si="31"/>
        <v>0</v>
      </c>
      <c r="J136" s="203">
        <f>IF(DG!$A$135&lt;=11,$M$17,0)</f>
        <v>0</v>
      </c>
      <c r="K136" s="65">
        <f t="shared" si="24"/>
        <v>0</v>
      </c>
      <c r="L136" s="473">
        <f t="shared" si="25"/>
        <v>0</v>
      </c>
      <c r="M136" s="204">
        <f t="shared" si="26"/>
        <v>0</v>
      </c>
      <c r="N136" s="505">
        <f t="shared" si="27"/>
        <v>0</v>
      </c>
      <c r="O136" s="204">
        <f>IF(DG!$A$135&gt;12,0,IF(J136-J135&gt;0,MROUND((L136/12*Q135),1),MROUND(L136/12*P135,1)))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IF(OR(L$73=0,DG!$A$256&gt;16),0,F136+1)</f>
        <v>0</v>
      </c>
      <c r="G137" s="65">
        <f t="shared" si="19"/>
        <v>0</v>
      </c>
      <c r="H137" s="65">
        <f t="shared" si="20"/>
        <v>0</v>
      </c>
      <c r="I137" s="65">
        <f t="shared" si="31"/>
        <v>0</v>
      </c>
      <c r="J137" s="203">
        <f>IF(DG!$A$135&lt;=11,$M$17,0)</f>
        <v>0</v>
      </c>
      <c r="K137" s="65">
        <f t="shared" si="24"/>
        <v>0</v>
      </c>
      <c r="L137" s="473">
        <f t="shared" si="25"/>
        <v>0</v>
      </c>
      <c r="M137" s="204">
        <f t="shared" si="26"/>
        <v>0</v>
      </c>
      <c r="N137" s="505">
        <f t="shared" si="27"/>
        <v>0</v>
      </c>
      <c r="O137" s="204">
        <f>IF(DG!$A$135&gt;12,0,IF(J137-J136&gt;0,MROUND((L137/12*Q136),1),MROUND(L137/12*P136,1)))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IF(OR(L$73=0,DG!$A$256&gt;16),0,F137+1)</f>
        <v>0</v>
      </c>
      <c r="G138" s="65">
        <f t="shared" si="19"/>
        <v>0</v>
      </c>
      <c r="H138" s="65">
        <f t="shared" si="20"/>
        <v>0</v>
      </c>
      <c r="I138" s="65">
        <f t="shared" si="31"/>
        <v>0</v>
      </c>
      <c r="J138" s="203">
        <f>IF(DG!$A$135&lt;=11,$M$17,0)</f>
        <v>0</v>
      </c>
      <c r="K138" s="65">
        <f t="shared" si="24"/>
        <v>0</v>
      </c>
      <c r="L138" s="473">
        <f t="shared" si="25"/>
        <v>0</v>
      </c>
      <c r="M138" s="204">
        <f t="shared" si="26"/>
        <v>0</v>
      </c>
      <c r="N138" s="505">
        <f t="shared" si="27"/>
        <v>0</v>
      </c>
      <c r="O138" s="204">
        <f>IF(DG!$A$135&gt;12,0,IF(J138-J137&gt;0,MROUND((L138/12*Q137),1),MROUND(L138/12*P137,1)))</f>
        <v>0</v>
      </c>
      <c r="P138" s="204">
        <f t="shared" si="28"/>
        <v>0</v>
      </c>
      <c r="Q138" s="204">
        <f t="shared" si="21"/>
        <v>0</v>
      </c>
      <c r="R138" s="476">
        <v>0</v>
      </c>
      <c r="S138" s="511">
        <f t="shared" ref="S138:S151" si="32">SUM(N127:N138)</f>
        <v>0</v>
      </c>
    </row>
    <row r="139" spans="1:19" ht="14" thickTop="1" thickBot="1">
      <c r="A139" s="202">
        <f t="shared" si="22"/>
        <v>48731</v>
      </c>
      <c r="B139" s="65">
        <f t="shared" si="18"/>
        <v>0</v>
      </c>
      <c r="C139" s="65">
        <f t="shared" si="30"/>
        <v>0</v>
      </c>
      <c r="D139" s="65">
        <f t="shared" si="29"/>
        <v>114</v>
      </c>
      <c r="E139" s="65">
        <f t="shared" si="23"/>
        <v>0</v>
      </c>
      <c r="F139" s="65">
        <f>IF(OR(L$73=0,DG!$A$256&gt;16),0,F138+1)</f>
        <v>0</v>
      </c>
      <c r="G139" s="65">
        <f t="shared" si="19"/>
        <v>0</v>
      </c>
      <c r="H139" s="65">
        <f t="shared" si="20"/>
        <v>0</v>
      </c>
      <c r="I139" s="65">
        <f t="shared" si="31"/>
        <v>0</v>
      </c>
      <c r="J139" s="203">
        <f>IF(DG!$A$135&lt;=11,$M$17,0)</f>
        <v>0</v>
      </c>
      <c r="K139" s="65">
        <f t="shared" si="24"/>
        <v>0</v>
      </c>
      <c r="L139" s="473">
        <f t="shared" si="25"/>
        <v>0</v>
      </c>
      <c r="M139" s="204">
        <f t="shared" si="26"/>
        <v>0</v>
      </c>
      <c r="N139" s="505">
        <f t="shared" si="27"/>
        <v>0</v>
      </c>
      <c r="O139" s="204">
        <f>IF(DG!$A$135&gt;12,0,IF(J139-J138&gt;0,MROUND((L139/12*Q138),1),MROUND(L139/12*P138,1)))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IF(OR(L$73=0,DG!$A$256&gt;16),0,F139+1)</f>
        <v>0</v>
      </c>
      <c r="G140" s="65">
        <f t="shared" si="19"/>
        <v>0</v>
      </c>
      <c r="H140" s="65">
        <f t="shared" si="20"/>
        <v>0</v>
      </c>
      <c r="I140" s="65">
        <f t="shared" si="31"/>
        <v>0</v>
      </c>
      <c r="J140" s="203">
        <f>IF(DG!$A$135&lt;=11,$M$17,0)</f>
        <v>0</v>
      </c>
      <c r="K140" s="65">
        <f t="shared" si="24"/>
        <v>0</v>
      </c>
      <c r="L140" s="473">
        <f t="shared" si="25"/>
        <v>0</v>
      </c>
      <c r="M140" s="204">
        <f t="shared" si="26"/>
        <v>0</v>
      </c>
      <c r="N140" s="505">
        <f t="shared" si="27"/>
        <v>0</v>
      </c>
      <c r="O140" s="204">
        <f>IF(DG!$A$135&gt;12,0,IF(J140-J139&gt;0,MROUND((L140/12*Q139),1),MROUND(L140/12*P139,1)))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IF(OR(L$73=0,DG!$A$256&gt;16),0,F140+1)</f>
        <v>0</v>
      </c>
      <c r="G141" s="65">
        <f t="shared" si="19"/>
        <v>0</v>
      </c>
      <c r="H141" s="65">
        <f t="shared" si="20"/>
        <v>0</v>
      </c>
      <c r="I141" s="65">
        <f t="shared" si="31"/>
        <v>0</v>
      </c>
      <c r="J141" s="203">
        <f>IF(DG!$A$135&lt;=11,$M$17,0)</f>
        <v>0</v>
      </c>
      <c r="K141" s="65">
        <f t="shared" si="24"/>
        <v>0</v>
      </c>
      <c r="L141" s="473">
        <f t="shared" si="25"/>
        <v>0</v>
      </c>
      <c r="M141" s="204">
        <f t="shared" si="26"/>
        <v>0</v>
      </c>
      <c r="N141" s="505">
        <f t="shared" si="27"/>
        <v>0</v>
      </c>
      <c r="O141" s="204">
        <f>IF(DG!$A$135&gt;12,0,IF(J141-J140&gt;0,MROUND((L141/12*Q140),1),MROUND(L141/12*P140,1)))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IF(OR(L$73=0,DG!$A$256&gt;16),0,F141+1)</f>
        <v>0</v>
      </c>
      <c r="G142" s="65">
        <f t="shared" si="19"/>
        <v>0</v>
      </c>
      <c r="H142" s="65">
        <f t="shared" si="20"/>
        <v>0</v>
      </c>
      <c r="I142" s="65">
        <f t="shared" si="31"/>
        <v>0</v>
      </c>
      <c r="J142" s="203">
        <f>IF(DG!$A$135&lt;=11,$M$17,0)</f>
        <v>0</v>
      </c>
      <c r="K142" s="65">
        <f t="shared" si="24"/>
        <v>0</v>
      </c>
      <c r="L142" s="473">
        <f t="shared" si="25"/>
        <v>0</v>
      </c>
      <c r="M142" s="204">
        <f t="shared" si="26"/>
        <v>0</v>
      </c>
      <c r="N142" s="505">
        <f t="shared" si="27"/>
        <v>0</v>
      </c>
      <c r="O142" s="204">
        <f>IF(DG!$A$135&gt;12,0,IF(J142-J141&gt;0,MROUND((L142/12*Q141),1),MROUND(L142/12*P141,1)))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IF(OR(L$73=0,DG!$A$256&gt;16),0,F142+1)</f>
        <v>0</v>
      </c>
      <c r="G143" s="65">
        <f t="shared" si="19"/>
        <v>0</v>
      </c>
      <c r="H143" s="65">
        <f t="shared" si="20"/>
        <v>0</v>
      </c>
      <c r="I143" s="65">
        <f t="shared" si="31"/>
        <v>0</v>
      </c>
      <c r="J143" s="203">
        <f>IF(DG!$A$135&lt;=11,$M$17,0)</f>
        <v>0</v>
      </c>
      <c r="K143" s="65">
        <f t="shared" si="24"/>
        <v>0</v>
      </c>
      <c r="L143" s="473">
        <f t="shared" si="25"/>
        <v>0</v>
      </c>
      <c r="M143" s="204">
        <f t="shared" si="26"/>
        <v>0</v>
      </c>
      <c r="N143" s="505">
        <f t="shared" si="27"/>
        <v>0</v>
      </c>
      <c r="O143" s="204">
        <f>IF(DG!$A$135&gt;12,0,IF(J143-J142&gt;0,MROUND((L143/12*Q142),1),MROUND(L143/12*P142,1)))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IF(OR(L$73=0,DG!$A$256&gt;16),0,F143+1)</f>
        <v>0</v>
      </c>
      <c r="G144" s="65">
        <f t="shared" si="19"/>
        <v>0</v>
      </c>
      <c r="H144" s="65">
        <f t="shared" si="20"/>
        <v>0</v>
      </c>
      <c r="I144" s="65">
        <f t="shared" si="31"/>
        <v>0</v>
      </c>
      <c r="J144" s="203">
        <f>IF(DG!$A$135&lt;=11,$M$17,0)</f>
        <v>0</v>
      </c>
      <c r="K144" s="65">
        <f t="shared" si="24"/>
        <v>0</v>
      </c>
      <c r="L144" s="473">
        <f t="shared" si="25"/>
        <v>0</v>
      </c>
      <c r="M144" s="204">
        <f t="shared" si="26"/>
        <v>0</v>
      </c>
      <c r="N144" s="505">
        <f t="shared" si="27"/>
        <v>0</v>
      </c>
      <c r="O144" s="204">
        <f>IF(DG!$A$135&gt;12,0,IF(J144-J143&gt;0,MROUND((L144/12*Q143),1),MROUND(L144/12*P143,1)))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IF(OR(L$73=0,DG!$A$256&gt;16),0,F144+1)</f>
        <v>0</v>
      </c>
      <c r="G145" s="65">
        <f t="shared" si="19"/>
        <v>0</v>
      </c>
      <c r="H145" s="65">
        <f t="shared" si="20"/>
        <v>0</v>
      </c>
      <c r="I145" s="65">
        <f t="shared" si="31"/>
        <v>0</v>
      </c>
      <c r="J145" s="203">
        <f>IF(DG!$A$135&lt;=11,$M$17,0)</f>
        <v>0</v>
      </c>
      <c r="K145" s="65">
        <f t="shared" si="24"/>
        <v>0</v>
      </c>
      <c r="L145" s="473">
        <f t="shared" si="25"/>
        <v>0</v>
      </c>
      <c r="M145" s="204">
        <f t="shared" si="26"/>
        <v>0</v>
      </c>
      <c r="N145" s="505">
        <f t="shared" si="27"/>
        <v>0</v>
      </c>
      <c r="O145" s="204">
        <f>IF(DG!$A$135&gt;12,0,IF(J145-J144&gt;0,MROUND((L145/12*Q144),1),MROUND(L145/12*P144,1)))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IF(OR(L$73=0,DG!$A$256&gt;16),0,F145+1)</f>
        <v>0</v>
      </c>
      <c r="G146" s="65">
        <f t="shared" si="19"/>
        <v>0</v>
      </c>
      <c r="H146" s="65">
        <f t="shared" si="20"/>
        <v>0</v>
      </c>
      <c r="I146" s="65">
        <f t="shared" si="31"/>
        <v>0</v>
      </c>
      <c r="J146" s="203">
        <f>IF(DG!$A$135&lt;=11,$M$17,0)</f>
        <v>0</v>
      </c>
      <c r="K146" s="65">
        <f t="shared" si="24"/>
        <v>0</v>
      </c>
      <c r="L146" s="473">
        <f t="shared" si="25"/>
        <v>0</v>
      </c>
      <c r="M146" s="204">
        <f t="shared" si="26"/>
        <v>0</v>
      </c>
      <c r="N146" s="505">
        <f t="shared" si="27"/>
        <v>0</v>
      </c>
      <c r="O146" s="204">
        <f>IF(DG!$A$135&gt;12,0,IF(J146-J145&gt;0,MROUND((L146/12*Q145),1),MROUND(L146/12*P145,1)))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IF(OR(L$73=0,DG!$A$256&gt;16),0,F146+1)</f>
        <v>0</v>
      </c>
      <c r="G147" s="65">
        <f t="shared" si="19"/>
        <v>0</v>
      </c>
      <c r="H147" s="65">
        <f t="shared" si="20"/>
        <v>0</v>
      </c>
      <c r="I147" s="65">
        <f t="shared" si="31"/>
        <v>0</v>
      </c>
      <c r="J147" s="203">
        <f>IF(DG!$A$135&lt;=11,$M$17,0)</f>
        <v>0</v>
      </c>
      <c r="K147" s="65">
        <f t="shared" si="24"/>
        <v>0</v>
      </c>
      <c r="L147" s="473">
        <f t="shared" si="25"/>
        <v>0</v>
      </c>
      <c r="M147" s="204">
        <f t="shared" si="26"/>
        <v>0</v>
      </c>
      <c r="N147" s="505">
        <f t="shared" si="27"/>
        <v>0</v>
      </c>
      <c r="O147" s="204">
        <f>IF(DG!$A$135&gt;12,0,IF(J147-J146&gt;0,MROUND((L147/12*Q146),1),MROUND(L147/12*P146,1)))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IF(OR(L$73=0,DG!$A$256&gt;16),0,F147+1)</f>
        <v>0</v>
      </c>
      <c r="G148" s="65">
        <f t="shared" si="19"/>
        <v>0</v>
      </c>
      <c r="H148" s="65">
        <f t="shared" si="20"/>
        <v>0</v>
      </c>
      <c r="I148" s="65">
        <f t="shared" si="31"/>
        <v>0</v>
      </c>
      <c r="J148" s="203">
        <f>IF(DG!$A$135&lt;=11,$M$17,0)</f>
        <v>0</v>
      </c>
      <c r="K148" s="65">
        <f t="shared" si="24"/>
        <v>0</v>
      </c>
      <c r="L148" s="473">
        <f t="shared" si="25"/>
        <v>0</v>
      </c>
      <c r="M148" s="204">
        <f t="shared" si="26"/>
        <v>0</v>
      </c>
      <c r="N148" s="505">
        <f t="shared" si="27"/>
        <v>0</v>
      </c>
      <c r="O148" s="204">
        <f>IF(DG!$A$135&gt;12,0,IF(J148-J147&gt;0,MROUND((L148/12*Q147),1),MROUND(L148/12*P147,1)))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IF(OR(L$73=0,DG!$A$256&gt;16),0,F148+1)</f>
        <v>0</v>
      </c>
      <c r="G149" s="65">
        <f t="shared" si="19"/>
        <v>0</v>
      </c>
      <c r="H149" s="65">
        <f t="shared" si="20"/>
        <v>0</v>
      </c>
      <c r="I149" s="65">
        <f t="shared" si="31"/>
        <v>0</v>
      </c>
      <c r="J149" s="203">
        <f>IF(DG!$A$135&lt;=11,$M$17,0)</f>
        <v>0</v>
      </c>
      <c r="K149" s="65">
        <f t="shared" si="24"/>
        <v>0</v>
      </c>
      <c r="L149" s="473">
        <f t="shared" si="25"/>
        <v>0</v>
      </c>
      <c r="M149" s="204">
        <f t="shared" si="26"/>
        <v>0</v>
      </c>
      <c r="N149" s="505">
        <f t="shared" si="27"/>
        <v>0</v>
      </c>
      <c r="O149" s="204">
        <f>IF(DG!$A$135&gt;12,0,IF(J149-J148&gt;0,MROUND((L149/12*Q148),1),MROUND(L149/12*P148,1)))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IF(OR(L$73=0,DG!$A$256&gt;16),0,F149+1)</f>
        <v>0</v>
      </c>
      <c r="G150" s="65">
        <f t="shared" si="19"/>
        <v>0</v>
      </c>
      <c r="H150" s="65">
        <f t="shared" si="20"/>
        <v>0</v>
      </c>
      <c r="I150" s="65">
        <f t="shared" si="31"/>
        <v>0</v>
      </c>
      <c r="J150" s="203">
        <f>IF(DG!$A$135&lt;=11,$M$17,0)</f>
        <v>0</v>
      </c>
      <c r="K150" s="65">
        <f t="shared" si="24"/>
        <v>0</v>
      </c>
      <c r="L150" s="473">
        <f t="shared" si="25"/>
        <v>0</v>
      </c>
      <c r="M150" s="204">
        <f t="shared" si="26"/>
        <v>0</v>
      </c>
      <c r="N150" s="505">
        <f t="shared" si="27"/>
        <v>0</v>
      </c>
      <c r="O150" s="204">
        <f>IF(DG!$A$135&gt;12,0,IF(J150-J149&gt;0,MROUND((L150/12*Q149),1),MROUND(L150/12*P149,1)))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IF(OR(L$73=0,DG!$A$256&gt;16),0,F150+1)</f>
        <v>0</v>
      </c>
      <c r="G151" s="65">
        <f t="shared" si="19"/>
        <v>0</v>
      </c>
      <c r="H151" s="65">
        <f>IF(I151&gt;=0,0,H150+1)</f>
        <v>0</v>
      </c>
      <c r="I151" s="65">
        <f t="shared" si="31"/>
        <v>0</v>
      </c>
      <c r="J151" s="203">
        <f>IF(DG!$A$135&lt;=11,$M$17,0)</f>
        <v>0</v>
      </c>
      <c r="K151" s="65">
        <f>K150</f>
        <v>0</v>
      </c>
      <c r="L151" s="473">
        <f t="shared" si="25"/>
        <v>0</v>
      </c>
      <c r="M151" s="204">
        <f t="shared" si="26"/>
        <v>0</v>
      </c>
      <c r="N151" s="505">
        <f t="shared" si="27"/>
        <v>0</v>
      </c>
      <c r="O151" s="204">
        <f>IF(DG!$A$135&gt;12,0,IF(J151-J150&gt;0,MROUND((L151/12*Q150),1),MROUND(L151/12*P150,1)))</f>
        <v>0</v>
      </c>
      <c r="P151" s="204">
        <f t="shared" si="28"/>
        <v>0</v>
      </c>
      <c r="Q151" s="204">
        <f t="shared" si="21"/>
        <v>0</v>
      </c>
      <c r="R151" s="476">
        <v>0</v>
      </c>
      <c r="S151" s="511">
        <f t="shared" si="32"/>
        <v>0</v>
      </c>
    </row>
    <row r="152" spans="1:19" ht="14" thickTop="1" thickBot="1">
      <c r="A152" s="202">
        <f t="shared" si="22"/>
        <v>49126</v>
      </c>
      <c r="B152" s="65">
        <f t="shared" si="33"/>
        <v>0</v>
      </c>
      <c r="C152" s="65">
        <f t="shared" si="30"/>
        <v>0</v>
      </c>
      <c r="D152" s="65">
        <f t="shared" ref="D152:D215" si="34">D151+1</f>
        <v>127</v>
      </c>
      <c r="E152" s="65">
        <f t="shared" si="23"/>
        <v>0</v>
      </c>
      <c r="F152" s="65">
        <f>IF(OR(L$73=0,DG!$A$256&gt;16),0,F151+1)</f>
        <v>0</v>
      </c>
      <c r="G152" s="65">
        <f t="shared" si="19"/>
        <v>0</v>
      </c>
      <c r="H152" s="65">
        <f t="shared" ref="H152:H215" si="35">IF(I152&gt;=0,0,H151+1)</f>
        <v>0</v>
      </c>
      <c r="I152" s="65">
        <f t="shared" si="31"/>
        <v>0</v>
      </c>
      <c r="J152" s="203">
        <f>IF(DG!$A$135&lt;=11,$M$17,0)</f>
        <v>0</v>
      </c>
      <c r="K152" s="65">
        <f t="shared" ref="K152:K215" si="36">K151</f>
        <v>0</v>
      </c>
      <c r="L152" s="473">
        <f t="shared" si="25"/>
        <v>0</v>
      </c>
      <c r="M152" s="204">
        <f t="shared" si="26"/>
        <v>0</v>
      </c>
      <c r="N152" s="505">
        <f t="shared" si="27"/>
        <v>0</v>
      </c>
      <c r="O152" s="204">
        <f>IF(DG!$A$135&gt;12,0,IF(J152-J151&gt;0,MROUND((L152/12*Q151),1),MROUND(L152/12*P151,1)))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IF(OR(L$73=0,DG!$A$256&gt;16),0,F152+1)</f>
        <v>0</v>
      </c>
      <c r="G153" s="65">
        <f t="shared" si="19"/>
        <v>0</v>
      </c>
      <c r="H153" s="65">
        <f t="shared" si="35"/>
        <v>0</v>
      </c>
      <c r="I153" s="65">
        <f t="shared" si="31"/>
        <v>0</v>
      </c>
      <c r="J153" s="203">
        <f>IF(DG!$A$135&lt;=11,$M$17,0)</f>
        <v>0</v>
      </c>
      <c r="K153" s="65">
        <f t="shared" si="36"/>
        <v>0</v>
      </c>
      <c r="L153" s="473">
        <f t="shared" si="25"/>
        <v>0</v>
      </c>
      <c r="M153" s="204">
        <f t="shared" si="26"/>
        <v>0</v>
      </c>
      <c r="N153" s="505">
        <f t="shared" si="27"/>
        <v>0</v>
      </c>
      <c r="O153" s="204">
        <f>IF(DG!$A$135&gt;12,0,IF(J153-J152&gt;0,MROUND((L153/12*Q152),1),MROUND(L153/12*P152,1)))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IF(OR(L$73=0,DG!$A$256&gt;16),0,F153+1)</f>
        <v>0</v>
      </c>
      <c r="G154" s="65">
        <f t="shared" ref="G154:G217" si="38">IF(E154=0,0,IF(D154-E154-F154&gt;=0,1,0))</f>
        <v>0</v>
      </c>
      <c r="H154" s="65">
        <f t="shared" si="35"/>
        <v>0</v>
      </c>
      <c r="I154" s="65">
        <f t="shared" si="31"/>
        <v>0</v>
      </c>
      <c r="J154" s="203">
        <f>IF(DG!$A$135&lt;=11,$M$17,0)</f>
        <v>0</v>
      </c>
      <c r="K154" s="65">
        <f t="shared" si="36"/>
        <v>0</v>
      </c>
      <c r="L154" s="473">
        <f t="shared" si="25"/>
        <v>0</v>
      </c>
      <c r="M154" s="204">
        <f t="shared" si="26"/>
        <v>0</v>
      </c>
      <c r="N154" s="505">
        <f t="shared" si="27"/>
        <v>0</v>
      </c>
      <c r="O154" s="204">
        <f>IF(DG!$A$135&gt;12,0,IF(J154-J153&gt;0,MROUND((L154/12*Q153),1),MROUND(L154/12*P153,1)))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IF(OR(L$73=0,DG!$A$256&gt;16),0,F154+1)</f>
        <v>0</v>
      </c>
      <c r="G155" s="65">
        <f t="shared" si="38"/>
        <v>0</v>
      </c>
      <c r="H155" s="65">
        <f t="shared" si="35"/>
        <v>0</v>
      </c>
      <c r="I155" s="65">
        <f t="shared" si="31"/>
        <v>0</v>
      </c>
      <c r="J155" s="203">
        <f>IF(DG!$A$135&lt;=11,$M$17,0)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IF(DG!$A$135&gt;12,0,IF(J155-J154&gt;0,MROUND((L155/12*Q154),1),MROUND(L155/12*P154,1)))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IF(OR(L$73=0,DG!$A$256&gt;16),0,F155+1)</f>
        <v>0</v>
      </c>
      <c r="G156" s="65">
        <f t="shared" si="38"/>
        <v>0</v>
      </c>
      <c r="H156" s="65">
        <f t="shared" si="35"/>
        <v>0</v>
      </c>
      <c r="I156" s="65">
        <f t="shared" si="31"/>
        <v>0</v>
      </c>
      <c r="J156" s="203">
        <f>IF(DG!$A$135&lt;=11,$M$17,0)</f>
        <v>0</v>
      </c>
      <c r="K156" s="65">
        <f t="shared" si="36"/>
        <v>0</v>
      </c>
      <c r="L156" s="473">
        <f t="shared" si="42"/>
        <v>0</v>
      </c>
      <c r="M156" s="204">
        <f t="shared" si="43"/>
        <v>0</v>
      </c>
      <c r="N156" s="505">
        <f t="shared" si="44"/>
        <v>0</v>
      </c>
      <c r="O156" s="204">
        <f>IF(DG!$A$135&gt;12,0,IF(J156-J155&gt;0,MROUND((L156/12*Q155),1),MROUND(L156/12*P155,1)))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IF(OR(L$73=0,DG!$A$256&gt;16),0,F156+1)</f>
        <v>0</v>
      </c>
      <c r="G157" s="65">
        <f t="shared" si="38"/>
        <v>0</v>
      </c>
      <c r="H157" s="65">
        <f t="shared" si="35"/>
        <v>0</v>
      </c>
      <c r="I157" s="65">
        <f t="shared" si="31"/>
        <v>0</v>
      </c>
      <c r="J157" s="203">
        <f>IF(DG!$A$135&lt;=11,$M$17,0)</f>
        <v>0</v>
      </c>
      <c r="K157" s="65">
        <f t="shared" si="36"/>
        <v>0</v>
      </c>
      <c r="L157" s="473">
        <f t="shared" si="42"/>
        <v>0</v>
      </c>
      <c r="M157" s="204">
        <f t="shared" si="43"/>
        <v>0</v>
      </c>
      <c r="N157" s="505">
        <f t="shared" si="44"/>
        <v>0</v>
      </c>
      <c r="O157" s="204">
        <f>IF(DG!$A$135&gt;12,0,IF(J157-J156&gt;0,MROUND((L157/12*Q156),1),MROUND(L157/12*P156,1)))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IF(OR(L$73=0,DG!$A$256&gt;16),0,F157+1)</f>
        <v>0</v>
      </c>
      <c r="G158" s="65">
        <f t="shared" si="38"/>
        <v>0</v>
      </c>
      <c r="H158" s="65">
        <f t="shared" si="35"/>
        <v>0</v>
      </c>
      <c r="I158" s="65">
        <f t="shared" si="31"/>
        <v>0</v>
      </c>
      <c r="J158" s="203">
        <f>IF(DG!$A$135&lt;=11,$M$17,0)</f>
        <v>0</v>
      </c>
      <c r="K158" s="65">
        <f t="shared" si="36"/>
        <v>0</v>
      </c>
      <c r="L158" s="473">
        <f t="shared" si="42"/>
        <v>0</v>
      </c>
      <c r="M158" s="204">
        <f t="shared" si="43"/>
        <v>0</v>
      </c>
      <c r="N158" s="505">
        <f t="shared" si="44"/>
        <v>0</v>
      </c>
      <c r="O158" s="204">
        <f>IF(DG!$A$135&gt;12,0,IF(J158-J157&gt;0,MROUND((L158/12*Q157),1),MROUND(L158/12*P157,1)))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IF(OR(L$73=0,DG!$A$256&gt;16),0,F158+1)</f>
        <v>0</v>
      </c>
      <c r="G159" s="65">
        <f t="shared" si="38"/>
        <v>0</v>
      </c>
      <c r="H159" s="65">
        <f t="shared" si="35"/>
        <v>0</v>
      </c>
      <c r="I159" s="65">
        <f t="shared" si="31"/>
        <v>0</v>
      </c>
      <c r="J159" s="203">
        <f>IF(DG!$A$135&lt;=11,$M$17,0)</f>
        <v>0</v>
      </c>
      <c r="K159" s="65">
        <f t="shared" si="36"/>
        <v>0</v>
      </c>
      <c r="L159" s="473">
        <f t="shared" si="42"/>
        <v>0</v>
      </c>
      <c r="M159" s="204">
        <f t="shared" si="43"/>
        <v>0</v>
      </c>
      <c r="N159" s="505">
        <f t="shared" si="44"/>
        <v>0</v>
      </c>
      <c r="O159" s="204">
        <f>IF(DG!$A$135&gt;12,0,IF(J159-J158&gt;0,MROUND((L159/12*Q158),1),MROUND(L159/12*P158,1)))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IF(OR(L$73=0,DG!$A$256&gt;16),0,F159+1)</f>
        <v>0</v>
      </c>
      <c r="G160" s="65">
        <f t="shared" si="38"/>
        <v>0</v>
      </c>
      <c r="H160" s="65">
        <f t="shared" si="35"/>
        <v>0</v>
      </c>
      <c r="I160" s="65">
        <f t="shared" si="31"/>
        <v>0</v>
      </c>
      <c r="J160" s="203">
        <f>IF(DG!$A$135&lt;=11,$M$17,0)</f>
        <v>0</v>
      </c>
      <c r="K160" s="65">
        <f t="shared" si="36"/>
        <v>0</v>
      </c>
      <c r="L160" s="473">
        <f t="shared" si="42"/>
        <v>0</v>
      </c>
      <c r="M160" s="204">
        <f t="shared" si="43"/>
        <v>0</v>
      </c>
      <c r="N160" s="505">
        <f t="shared" si="44"/>
        <v>0</v>
      </c>
      <c r="O160" s="204">
        <f>IF(DG!$A$135&gt;12,0,IF(J160-J159&gt;0,MROUND((L160/12*Q159),1),MROUND(L160/12*P159,1)))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IF(OR(L$73=0,DG!$A$256&gt;16),0,F160+1)</f>
        <v>0</v>
      </c>
      <c r="G161" s="65">
        <f t="shared" si="38"/>
        <v>0</v>
      </c>
      <c r="H161" s="65">
        <f t="shared" si="35"/>
        <v>0</v>
      </c>
      <c r="I161" s="65">
        <f t="shared" si="31"/>
        <v>0</v>
      </c>
      <c r="J161" s="203">
        <f>IF(DG!$A$135&lt;=11,$M$17,0)</f>
        <v>0</v>
      </c>
      <c r="K161" s="65">
        <f t="shared" si="36"/>
        <v>0</v>
      </c>
      <c r="L161" s="473">
        <f t="shared" si="42"/>
        <v>0</v>
      </c>
      <c r="M161" s="204">
        <f t="shared" si="43"/>
        <v>0</v>
      </c>
      <c r="N161" s="505">
        <f t="shared" si="44"/>
        <v>0</v>
      </c>
      <c r="O161" s="204">
        <f>IF(DG!$A$135&gt;12,0,IF(J161-J160&gt;0,MROUND((L161/12*Q160),1),MROUND(L161/12*P160,1)))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IF(OR(L$73=0,DG!$A$256&gt;16),0,F161+1)</f>
        <v>0</v>
      </c>
      <c r="G162" s="65">
        <f t="shared" si="38"/>
        <v>0</v>
      </c>
      <c r="H162" s="65">
        <f t="shared" si="35"/>
        <v>0</v>
      </c>
      <c r="I162" s="65">
        <f t="shared" si="31"/>
        <v>0</v>
      </c>
      <c r="J162" s="203">
        <f>IF(DG!$A$135&lt;=11,$M$17,0)</f>
        <v>0</v>
      </c>
      <c r="K162" s="65">
        <f t="shared" si="36"/>
        <v>0</v>
      </c>
      <c r="L162" s="473">
        <f t="shared" si="42"/>
        <v>0</v>
      </c>
      <c r="M162" s="204">
        <f t="shared" si="43"/>
        <v>0</v>
      </c>
      <c r="N162" s="505">
        <f t="shared" si="44"/>
        <v>0</v>
      </c>
      <c r="O162" s="204">
        <f>IF(DG!$A$135&gt;12,0,IF(J162-J161&gt;0,MROUND((L162/12*Q161),1),MROUND(L162/12*P161,1)))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IF(OR(L$73=0,DG!$A$256&gt;16),0,F162+1)</f>
        <v>0</v>
      </c>
      <c r="G163" s="65">
        <f t="shared" si="38"/>
        <v>0</v>
      </c>
      <c r="H163" s="65">
        <f t="shared" si="35"/>
        <v>0</v>
      </c>
      <c r="I163" s="65">
        <f t="shared" si="31"/>
        <v>0</v>
      </c>
      <c r="J163" s="203">
        <f>IF(DG!$A$135&lt;=11,$M$17,0)</f>
        <v>0</v>
      </c>
      <c r="K163" s="65">
        <f t="shared" si="36"/>
        <v>0</v>
      </c>
      <c r="L163" s="473">
        <f t="shared" si="42"/>
        <v>0</v>
      </c>
      <c r="M163" s="204">
        <f t="shared" si="43"/>
        <v>0</v>
      </c>
      <c r="N163" s="505">
        <f t="shared" si="44"/>
        <v>0</v>
      </c>
      <c r="O163" s="204">
        <f>IF(DG!$A$135&gt;12,0,IF(J163-J162&gt;0,MROUND((L163/12*Q162),1),MROUND(L163/12*P162,1)))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IF(OR(L$73=0,DG!$A$256&gt;16),0,F163+1)</f>
        <v>0</v>
      </c>
      <c r="G164" s="65">
        <f t="shared" si="38"/>
        <v>0</v>
      </c>
      <c r="H164" s="65">
        <f t="shared" si="35"/>
        <v>0</v>
      </c>
      <c r="I164" s="65">
        <f t="shared" si="31"/>
        <v>0</v>
      </c>
      <c r="J164" s="203">
        <f>IF(DG!$A$135&lt;=11,$M$17,0)</f>
        <v>0</v>
      </c>
      <c r="K164" s="65">
        <f t="shared" si="36"/>
        <v>0</v>
      </c>
      <c r="L164" s="473">
        <f t="shared" si="42"/>
        <v>0</v>
      </c>
      <c r="M164" s="204">
        <f t="shared" si="43"/>
        <v>0</v>
      </c>
      <c r="N164" s="505">
        <f t="shared" si="44"/>
        <v>0</v>
      </c>
      <c r="O164" s="204">
        <f>IF(DG!$A$135&gt;12,0,IF(J164-J163&gt;0,MROUND((L164/12*Q163),1),MROUND(L164/12*P163,1)))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IF(OR(L$73=0,DG!$A$256&gt;16),0,F164+1)</f>
        <v>0</v>
      </c>
      <c r="G165" s="65">
        <f t="shared" si="38"/>
        <v>0</v>
      </c>
      <c r="H165" s="65">
        <f t="shared" si="35"/>
        <v>0</v>
      </c>
      <c r="I165" s="65">
        <f t="shared" si="31"/>
        <v>0</v>
      </c>
      <c r="J165" s="203">
        <f>IF(DG!$A$135&lt;=11,$M$17,0)</f>
        <v>0</v>
      </c>
      <c r="K165" s="65">
        <f t="shared" si="36"/>
        <v>0</v>
      </c>
      <c r="L165" s="473">
        <f t="shared" si="42"/>
        <v>0</v>
      </c>
      <c r="M165" s="204">
        <f t="shared" si="43"/>
        <v>0</v>
      </c>
      <c r="N165" s="505">
        <f t="shared" si="44"/>
        <v>0</v>
      </c>
      <c r="O165" s="204">
        <f>IF(DG!$A$135&gt;12,0,IF(J165-J164&gt;0,MROUND((L165/12*Q164),1),MROUND(L165/12*P164,1)))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IF(OR(L$73=0,DG!$A$256&gt;16),0,F165+1)</f>
        <v>0</v>
      </c>
      <c r="G166" s="65">
        <f t="shared" si="38"/>
        <v>0</v>
      </c>
      <c r="H166" s="65">
        <f t="shared" si="35"/>
        <v>0</v>
      </c>
      <c r="I166" s="65">
        <f t="shared" si="31"/>
        <v>0</v>
      </c>
      <c r="J166" s="203">
        <f>IF(DG!$A$135&lt;=11,$M$17,0)</f>
        <v>0</v>
      </c>
      <c r="K166" s="65">
        <f t="shared" si="36"/>
        <v>0</v>
      </c>
      <c r="L166" s="473">
        <f t="shared" si="42"/>
        <v>0</v>
      </c>
      <c r="M166" s="204">
        <f t="shared" si="43"/>
        <v>0</v>
      </c>
      <c r="N166" s="505">
        <f t="shared" si="44"/>
        <v>0</v>
      </c>
      <c r="O166" s="204">
        <f>IF(DG!$A$135&gt;12,0,IF(J166-J165&gt;0,MROUND((L166/12*Q165),1),MROUND(L166/12*P165,1)))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IF(OR(L$73=0,DG!$A$256&gt;16),0,F166+1)</f>
        <v>0</v>
      </c>
      <c r="G167" s="65">
        <f t="shared" si="38"/>
        <v>0</v>
      </c>
      <c r="H167" s="65">
        <f t="shared" si="35"/>
        <v>0</v>
      </c>
      <c r="I167" s="65">
        <f t="shared" si="31"/>
        <v>0</v>
      </c>
      <c r="J167" s="203">
        <f>IF(DG!$A$135&lt;=11,$M$17,0)</f>
        <v>0</v>
      </c>
      <c r="K167" s="65">
        <f t="shared" si="36"/>
        <v>0</v>
      </c>
      <c r="L167" s="473">
        <f t="shared" si="42"/>
        <v>0</v>
      </c>
      <c r="M167" s="204">
        <f t="shared" si="43"/>
        <v>0</v>
      </c>
      <c r="N167" s="505">
        <f t="shared" si="44"/>
        <v>0</v>
      </c>
      <c r="O167" s="204">
        <f>IF(DG!$A$135&gt;12,0,IF(J167-J166&gt;0,MROUND((L167/12*Q166),1),MROUND(L167/12*P166,1)))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IF(OR(L$73=0,DG!$A$256&gt;16),0,F167+1)</f>
        <v>0</v>
      </c>
      <c r="G168" s="65">
        <f t="shared" si="38"/>
        <v>0</v>
      </c>
      <c r="H168" s="65">
        <f t="shared" si="35"/>
        <v>0</v>
      </c>
      <c r="I168" s="65">
        <f t="shared" si="31"/>
        <v>0</v>
      </c>
      <c r="J168" s="203">
        <f>IF(DG!$A$135&lt;=11,$M$17,0)</f>
        <v>0</v>
      </c>
      <c r="K168" s="65">
        <f t="shared" si="36"/>
        <v>0</v>
      </c>
      <c r="L168" s="473">
        <f t="shared" si="42"/>
        <v>0</v>
      </c>
      <c r="M168" s="204">
        <f t="shared" si="43"/>
        <v>0</v>
      </c>
      <c r="N168" s="505">
        <f t="shared" si="44"/>
        <v>0</v>
      </c>
      <c r="O168" s="204">
        <f>IF(DG!$A$135&gt;12,0,IF(J168-J167&gt;0,MROUND((L168/12*Q167),1),MROUND(L168/12*P167,1)))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IF(OR(L$73=0,DG!$A$256&gt;16),0,F168+1)</f>
        <v>0</v>
      </c>
      <c r="G169" s="65">
        <f t="shared" si="38"/>
        <v>0</v>
      </c>
      <c r="H169" s="65">
        <f t="shared" si="35"/>
        <v>0</v>
      </c>
      <c r="I169" s="65">
        <f t="shared" si="31"/>
        <v>0</v>
      </c>
      <c r="J169" s="203">
        <f>IF(DG!$A$135&lt;=11,$M$17,0)</f>
        <v>0</v>
      </c>
      <c r="K169" s="65">
        <f t="shared" si="36"/>
        <v>0</v>
      </c>
      <c r="L169" s="473">
        <f t="shared" si="42"/>
        <v>0</v>
      </c>
      <c r="M169" s="204">
        <f t="shared" si="43"/>
        <v>0</v>
      </c>
      <c r="N169" s="505">
        <f t="shared" si="44"/>
        <v>0</v>
      </c>
      <c r="O169" s="204">
        <f>IF(DG!$A$135&gt;12,0,IF(J169-J168&gt;0,MROUND((L169/12*Q168),1),MROUND(L169/12*P168,1)))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IF(OR(L$73=0,DG!$A$256&gt;16),0,F169+1)</f>
        <v>0</v>
      </c>
      <c r="G170" s="65">
        <f t="shared" si="38"/>
        <v>0</v>
      </c>
      <c r="H170" s="65">
        <f t="shared" si="35"/>
        <v>0</v>
      </c>
      <c r="I170" s="65">
        <f t="shared" si="31"/>
        <v>0</v>
      </c>
      <c r="J170" s="203">
        <f>IF(DG!$A$135&lt;=11,$M$17,0)</f>
        <v>0</v>
      </c>
      <c r="K170" s="65">
        <f t="shared" si="36"/>
        <v>0</v>
      </c>
      <c r="L170" s="473">
        <f t="shared" si="42"/>
        <v>0</v>
      </c>
      <c r="M170" s="204">
        <f t="shared" si="43"/>
        <v>0</v>
      </c>
      <c r="N170" s="505">
        <f t="shared" si="44"/>
        <v>0</v>
      </c>
      <c r="O170" s="204">
        <f>IF(DG!$A$135&gt;12,0,IF(J170-J169&gt;0,MROUND((L170/12*Q169),1),MROUND(L170/12*P169,1)))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IF(OR(L$73=0,DG!$A$256&gt;16),0,F170+1)</f>
        <v>0</v>
      </c>
      <c r="G171" s="65">
        <f t="shared" si="38"/>
        <v>0</v>
      </c>
      <c r="H171" s="65">
        <f t="shared" si="35"/>
        <v>0</v>
      </c>
      <c r="I171" s="65">
        <f t="shared" si="31"/>
        <v>0</v>
      </c>
      <c r="J171" s="203">
        <f>IF(DG!$A$135&lt;=11,$M$17,0)</f>
        <v>0</v>
      </c>
      <c r="K171" s="65">
        <f t="shared" si="36"/>
        <v>0</v>
      </c>
      <c r="L171" s="473">
        <f t="shared" si="42"/>
        <v>0</v>
      </c>
      <c r="M171" s="204">
        <f t="shared" si="43"/>
        <v>0</v>
      </c>
      <c r="N171" s="505">
        <f t="shared" si="44"/>
        <v>0</v>
      </c>
      <c r="O171" s="204">
        <f>IF(DG!$A$135&gt;12,0,IF(J171-J170&gt;0,MROUND((L171/12*Q170),1),MROUND(L171/12*P170,1)))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IF(OR(L$73=0,DG!$A$256&gt;16),0,F171+1)</f>
        <v>0</v>
      </c>
      <c r="G172" s="65">
        <f t="shared" si="38"/>
        <v>0</v>
      </c>
      <c r="H172" s="65">
        <f t="shared" si="35"/>
        <v>0</v>
      </c>
      <c r="I172" s="65">
        <f t="shared" si="31"/>
        <v>0</v>
      </c>
      <c r="J172" s="203">
        <f>IF(DG!$A$135&lt;=11,$M$17,0)</f>
        <v>0</v>
      </c>
      <c r="K172" s="65">
        <f t="shared" si="36"/>
        <v>0</v>
      </c>
      <c r="L172" s="473">
        <f t="shared" si="42"/>
        <v>0</v>
      </c>
      <c r="M172" s="204">
        <f t="shared" si="43"/>
        <v>0</v>
      </c>
      <c r="N172" s="505">
        <f t="shared" si="44"/>
        <v>0</v>
      </c>
      <c r="O172" s="204">
        <f>IF(DG!$A$135&gt;12,0,IF(J172-J171&gt;0,MROUND((L172/12*Q171),1),MROUND(L172/12*P171,1)))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IF(OR(L$73=0,DG!$A$256&gt;16),0,F172+1)</f>
        <v>0</v>
      </c>
      <c r="G173" s="65">
        <f t="shared" si="38"/>
        <v>0</v>
      </c>
      <c r="H173" s="65">
        <f t="shared" si="35"/>
        <v>0</v>
      </c>
      <c r="I173" s="65">
        <f t="shared" si="31"/>
        <v>0</v>
      </c>
      <c r="J173" s="203">
        <f>IF(DG!$A$135&lt;=11,$M$17,0)</f>
        <v>0</v>
      </c>
      <c r="K173" s="65">
        <f t="shared" si="36"/>
        <v>0</v>
      </c>
      <c r="L173" s="473">
        <f t="shared" si="42"/>
        <v>0</v>
      </c>
      <c r="M173" s="204">
        <f t="shared" si="43"/>
        <v>0</v>
      </c>
      <c r="N173" s="505">
        <f t="shared" si="44"/>
        <v>0</v>
      </c>
      <c r="O173" s="204">
        <f>IF(DG!$A$135&gt;12,0,IF(J173-J172&gt;0,MROUND((L173/12*Q172),1),MROUND(L173/12*P172,1)))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IF(OR(L$73=0,DG!$A$256&gt;16),0,F173+1)</f>
        <v>0</v>
      </c>
      <c r="G174" s="65">
        <f t="shared" si="38"/>
        <v>0</v>
      </c>
      <c r="H174" s="65">
        <f t="shared" si="35"/>
        <v>0</v>
      </c>
      <c r="I174" s="65">
        <f t="shared" si="31"/>
        <v>0</v>
      </c>
      <c r="J174" s="203">
        <f>IF(DG!$A$135&lt;=11,$M$17,0)</f>
        <v>0</v>
      </c>
      <c r="K174" s="65">
        <f t="shared" si="36"/>
        <v>0</v>
      </c>
      <c r="L174" s="473">
        <f t="shared" si="42"/>
        <v>0</v>
      </c>
      <c r="M174" s="204">
        <f t="shared" si="43"/>
        <v>0</v>
      </c>
      <c r="N174" s="505">
        <f t="shared" si="44"/>
        <v>0</v>
      </c>
      <c r="O174" s="204">
        <f>IF(DG!$A$135&gt;12,0,IF(J174-J173&gt;0,MROUND((L174/12*Q173),1),MROUND(L174/12*P173,1)))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IF(OR(L$73=0,DG!$A$256&gt;16),0,F174+1)</f>
        <v>0</v>
      </c>
      <c r="G175" s="65">
        <f t="shared" si="38"/>
        <v>0</v>
      </c>
      <c r="H175" s="65">
        <f t="shared" si="35"/>
        <v>0</v>
      </c>
      <c r="I175" s="65">
        <f t="shared" si="31"/>
        <v>0</v>
      </c>
      <c r="J175" s="203">
        <f>IF(DG!$A$135&lt;=11,$M$17,0)</f>
        <v>0</v>
      </c>
      <c r="K175" s="65">
        <f t="shared" si="36"/>
        <v>0</v>
      </c>
      <c r="L175" s="473">
        <f t="shared" si="42"/>
        <v>0</v>
      </c>
      <c r="M175" s="204">
        <f t="shared" si="43"/>
        <v>0</v>
      </c>
      <c r="N175" s="505">
        <f t="shared" si="44"/>
        <v>0</v>
      </c>
      <c r="O175" s="204">
        <f>IF(DG!$A$135&gt;12,0,IF(J175-J174&gt;0,MROUND((L175/12*Q174),1),MROUND(L175/12*P174,1)))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IF(OR(L$73=0,DG!$A$256&gt;16),0,F175+1)</f>
        <v>0</v>
      </c>
      <c r="G176" s="65">
        <f t="shared" si="38"/>
        <v>0</v>
      </c>
      <c r="H176" s="65">
        <f t="shared" si="35"/>
        <v>0</v>
      </c>
      <c r="I176" s="65">
        <f t="shared" si="31"/>
        <v>0</v>
      </c>
      <c r="J176" s="203">
        <f>IF(DG!$A$135&lt;=11,$M$17,0)</f>
        <v>0</v>
      </c>
      <c r="K176" s="65">
        <f t="shared" si="36"/>
        <v>0</v>
      </c>
      <c r="L176" s="473">
        <f t="shared" si="42"/>
        <v>0</v>
      </c>
      <c r="M176" s="204">
        <f t="shared" si="43"/>
        <v>0</v>
      </c>
      <c r="N176" s="505">
        <f t="shared" si="44"/>
        <v>0</v>
      </c>
      <c r="O176" s="204">
        <f>IF(DG!$A$135&gt;12,0,IF(J176-J175&gt;0,MROUND((L176/12*Q175),1),MROUND(L176/12*P175,1)))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IF(OR(L$73=0,DG!$A$256&gt;16),0,F176+1)</f>
        <v>0</v>
      </c>
      <c r="G177" s="65">
        <f t="shared" si="38"/>
        <v>0</v>
      </c>
      <c r="H177" s="65">
        <f t="shared" si="35"/>
        <v>0</v>
      </c>
      <c r="I177" s="65">
        <f t="shared" si="31"/>
        <v>0</v>
      </c>
      <c r="J177" s="203">
        <f>IF(DG!$A$135&lt;=11,$M$17,0)</f>
        <v>0</v>
      </c>
      <c r="K177" s="65">
        <f t="shared" si="36"/>
        <v>0</v>
      </c>
      <c r="L177" s="473">
        <f t="shared" si="42"/>
        <v>0</v>
      </c>
      <c r="M177" s="204">
        <f t="shared" si="43"/>
        <v>0</v>
      </c>
      <c r="N177" s="505">
        <f t="shared" si="44"/>
        <v>0</v>
      </c>
      <c r="O177" s="204">
        <f>IF(DG!$A$135&gt;12,0,IF(J177-J176&gt;0,MROUND((L177/12*Q176),1),MROUND(L177/12*P176,1)))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IF(OR(L$73=0,DG!$A$256&gt;16),0,F177+1)</f>
        <v>0</v>
      </c>
      <c r="G178" s="65">
        <f t="shared" si="38"/>
        <v>0</v>
      </c>
      <c r="H178" s="65">
        <f t="shared" si="35"/>
        <v>0</v>
      </c>
      <c r="I178" s="65">
        <f t="shared" si="31"/>
        <v>0</v>
      </c>
      <c r="J178" s="203">
        <f>IF(DG!$A$135&lt;=11,$M$17,0)</f>
        <v>0</v>
      </c>
      <c r="K178" s="65">
        <f t="shared" si="36"/>
        <v>0</v>
      </c>
      <c r="L178" s="473">
        <f t="shared" si="42"/>
        <v>0</v>
      </c>
      <c r="M178" s="204">
        <f t="shared" si="43"/>
        <v>0</v>
      </c>
      <c r="N178" s="505">
        <f t="shared" si="44"/>
        <v>0</v>
      </c>
      <c r="O178" s="204">
        <f>IF(DG!$A$135&gt;12,0,IF(J178-J177&gt;0,MROUND((L178/12*Q177),1),MROUND(L178/12*P177,1)))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IF(OR(L$73=0,DG!$A$256&gt;16),0,F178+1)</f>
        <v>0</v>
      </c>
      <c r="G179" s="65">
        <f t="shared" si="38"/>
        <v>0</v>
      </c>
      <c r="H179" s="65">
        <f t="shared" si="35"/>
        <v>0</v>
      </c>
      <c r="I179" s="65">
        <f t="shared" si="31"/>
        <v>0</v>
      </c>
      <c r="J179" s="203">
        <f>IF(DG!$A$135&lt;=11,$M$17,0)</f>
        <v>0</v>
      </c>
      <c r="K179" s="65">
        <f t="shared" si="36"/>
        <v>0</v>
      </c>
      <c r="L179" s="473">
        <f t="shared" si="42"/>
        <v>0</v>
      </c>
      <c r="M179" s="204">
        <f t="shared" si="43"/>
        <v>0</v>
      </c>
      <c r="N179" s="505">
        <f t="shared" si="44"/>
        <v>0</v>
      </c>
      <c r="O179" s="204">
        <f>IF(DG!$A$135&gt;12,0,IF(J179-J178&gt;0,MROUND((L179/12*Q178),1),MROUND(L179/12*P178,1)))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IF(OR(L$73=0,DG!$A$256&gt;16),0,F179+1)</f>
        <v>0</v>
      </c>
      <c r="G180" s="65">
        <f t="shared" si="38"/>
        <v>0</v>
      </c>
      <c r="H180" s="65">
        <f t="shared" si="35"/>
        <v>0</v>
      </c>
      <c r="I180" s="65">
        <f t="shared" si="31"/>
        <v>0</v>
      </c>
      <c r="J180" s="203">
        <f>IF(DG!$A$135&lt;=11,$M$17,0)</f>
        <v>0</v>
      </c>
      <c r="K180" s="65">
        <f t="shared" si="36"/>
        <v>0</v>
      </c>
      <c r="L180" s="473">
        <f t="shared" si="42"/>
        <v>0</v>
      </c>
      <c r="M180" s="204">
        <f t="shared" si="43"/>
        <v>0</v>
      </c>
      <c r="N180" s="505">
        <f t="shared" si="44"/>
        <v>0</v>
      </c>
      <c r="O180" s="204">
        <f>IF(DG!$A$135&gt;12,0,IF(J180-J179&gt;0,MROUND((L180/12*Q179),1),MROUND(L180/12*P179,1)))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IF(OR(L$73=0,DG!$A$256&gt;16),0,F180+1)</f>
        <v>0</v>
      </c>
      <c r="G181" s="65">
        <f t="shared" si="38"/>
        <v>0</v>
      </c>
      <c r="H181" s="65">
        <f t="shared" si="35"/>
        <v>0</v>
      </c>
      <c r="I181" s="65">
        <f t="shared" si="31"/>
        <v>0</v>
      </c>
      <c r="J181" s="203">
        <f>IF(DG!$A$135&lt;=11,$M$17,0)</f>
        <v>0</v>
      </c>
      <c r="K181" s="65">
        <f t="shared" si="36"/>
        <v>0</v>
      </c>
      <c r="L181" s="473">
        <f t="shared" si="42"/>
        <v>0</v>
      </c>
      <c r="M181" s="204">
        <f t="shared" si="43"/>
        <v>0</v>
      </c>
      <c r="N181" s="505">
        <f t="shared" si="44"/>
        <v>0</v>
      </c>
      <c r="O181" s="204">
        <f>IF(DG!$A$135&gt;12,0,IF(J181-J180&gt;0,MROUND((L181/12*Q180),1),MROUND(L181/12*P180,1)))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IF(OR(L$73=0,DG!$A$256&gt;16),0,F181+1)</f>
        <v>0</v>
      </c>
      <c r="G182" s="65">
        <f t="shared" si="38"/>
        <v>0</v>
      </c>
      <c r="H182" s="65">
        <f t="shared" si="35"/>
        <v>0</v>
      </c>
      <c r="I182" s="65">
        <f t="shared" si="31"/>
        <v>0</v>
      </c>
      <c r="J182" s="203">
        <f>IF(DG!$A$135&lt;=11,$M$17,0)</f>
        <v>0</v>
      </c>
      <c r="K182" s="65">
        <f t="shared" si="36"/>
        <v>0</v>
      </c>
      <c r="L182" s="473">
        <f t="shared" si="42"/>
        <v>0</v>
      </c>
      <c r="M182" s="204">
        <f t="shared" si="43"/>
        <v>0</v>
      </c>
      <c r="N182" s="505">
        <f t="shared" si="44"/>
        <v>0</v>
      </c>
      <c r="O182" s="204">
        <f>IF(DG!$A$135&gt;12,0,IF(J182-J181&gt;0,MROUND((L182/12*Q181),1),MROUND(L182/12*P181,1)))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IF(OR(L$73=0,DG!$A$256&gt;16),0,F182+1)</f>
        <v>0</v>
      </c>
      <c r="G183" s="65">
        <f t="shared" si="38"/>
        <v>0</v>
      </c>
      <c r="H183" s="65">
        <f t="shared" si="35"/>
        <v>0</v>
      </c>
      <c r="I183" s="65">
        <f t="shared" si="31"/>
        <v>0</v>
      </c>
      <c r="J183" s="203">
        <f>IF(DG!$A$135&lt;=11,$M$17,0)</f>
        <v>0</v>
      </c>
      <c r="K183" s="65">
        <f t="shared" si="36"/>
        <v>0</v>
      </c>
      <c r="L183" s="473">
        <f t="shared" si="42"/>
        <v>0</v>
      </c>
      <c r="M183" s="204">
        <f t="shared" si="43"/>
        <v>0</v>
      </c>
      <c r="N183" s="505">
        <f t="shared" si="44"/>
        <v>0</v>
      </c>
      <c r="O183" s="204">
        <f>IF(DG!$A$135&gt;12,0,IF(J183-J182&gt;0,MROUND((L183/12*Q182),1),MROUND(L183/12*P182,1)))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IF(OR(L$73=0,DG!$A$256&gt;16),0,F183+1)</f>
        <v>0</v>
      </c>
      <c r="G184" s="65">
        <f t="shared" si="38"/>
        <v>0</v>
      </c>
      <c r="H184" s="65">
        <f t="shared" si="35"/>
        <v>0</v>
      </c>
      <c r="I184" s="65">
        <f t="shared" si="31"/>
        <v>0</v>
      </c>
      <c r="J184" s="203">
        <f>IF(DG!$A$135&lt;=11,$M$17,0)</f>
        <v>0</v>
      </c>
      <c r="K184" s="65">
        <f t="shared" si="36"/>
        <v>0</v>
      </c>
      <c r="L184" s="473">
        <f t="shared" si="42"/>
        <v>0</v>
      </c>
      <c r="M184" s="204">
        <f t="shared" si="43"/>
        <v>0</v>
      </c>
      <c r="N184" s="505">
        <f t="shared" si="44"/>
        <v>0</v>
      </c>
      <c r="O184" s="204">
        <f>IF(DG!$A$135&gt;12,0,IF(J184-J183&gt;0,MROUND((L184/12*Q183),1),MROUND(L184/12*P183,1)))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IF(OR(L$73=0,DG!$A$256&gt;16),0,F184+1)</f>
        <v>0</v>
      </c>
      <c r="G185" s="65">
        <f t="shared" si="38"/>
        <v>0</v>
      </c>
      <c r="H185" s="65">
        <f t="shared" si="35"/>
        <v>0</v>
      </c>
      <c r="I185" s="65">
        <f t="shared" si="31"/>
        <v>0</v>
      </c>
      <c r="J185" s="203">
        <f>IF(DG!$A$135&lt;=11,$M$17,0)</f>
        <v>0</v>
      </c>
      <c r="K185" s="65">
        <f t="shared" si="36"/>
        <v>0</v>
      </c>
      <c r="L185" s="473">
        <f t="shared" si="42"/>
        <v>0</v>
      </c>
      <c r="M185" s="204">
        <f t="shared" si="43"/>
        <v>0</v>
      </c>
      <c r="N185" s="505">
        <f t="shared" si="44"/>
        <v>0</v>
      </c>
      <c r="O185" s="204">
        <f>IF(DG!$A$135&gt;12,0,IF(J185-J184&gt;0,MROUND((L185/12*Q184),1),MROUND(L185/12*P184,1)))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IF(OR(L$73=0,DG!$A$256&gt;16),0,F185+1)</f>
        <v>0</v>
      </c>
      <c r="G186" s="65">
        <f t="shared" si="38"/>
        <v>0</v>
      </c>
      <c r="H186" s="65">
        <f t="shared" si="35"/>
        <v>0</v>
      </c>
      <c r="I186" s="65">
        <f t="shared" si="31"/>
        <v>0</v>
      </c>
      <c r="J186" s="203">
        <f>IF(DG!$A$135&lt;=11,$M$17,0)</f>
        <v>0</v>
      </c>
      <c r="K186" s="65">
        <f t="shared" si="36"/>
        <v>0</v>
      </c>
      <c r="L186" s="473">
        <f t="shared" si="42"/>
        <v>0</v>
      </c>
      <c r="M186" s="204">
        <f t="shared" si="43"/>
        <v>0</v>
      </c>
      <c r="N186" s="505">
        <f t="shared" si="44"/>
        <v>0</v>
      </c>
      <c r="O186" s="204">
        <f>IF(DG!$A$135&gt;12,0,IF(J186-J185&gt;0,MROUND((L186/12*Q185),1),MROUND(L186/12*P185,1)))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IF(OR(L$73=0,DG!$A$256&gt;16),0,F186+1)</f>
        <v>0</v>
      </c>
      <c r="G187" s="65">
        <f t="shared" si="38"/>
        <v>0</v>
      </c>
      <c r="H187" s="65">
        <f t="shared" si="35"/>
        <v>0</v>
      </c>
      <c r="I187" s="65">
        <f t="shared" si="31"/>
        <v>0</v>
      </c>
      <c r="J187" s="203">
        <f>IF(DG!$A$135&lt;=11,$M$17,0)</f>
        <v>0</v>
      </c>
      <c r="K187" s="65">
        <f t="shared" si="36"/>
        <v>0</v>
      </c>
      <c r="L187" s="473">
        <f t="shared" si="42"/>
        <v>0</v>
      </c>
      <c r="M187" s="204">
        <f t="shared" si="43"/>
        <v>0</v>
      </c>
      <c r="N187" s="505">
        <f t="shared" si="44"/>
        <v>0</v>
      </c>
      <c r="O187" s="204">
        <f>IF(DG!$A$135&gt;12,0,IF(J187-J186&gt;0,MROUND((L187/12*Q186),1),MROUND(L187/12*P186,1)))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IF(OR(L$73=0,DG!$A$256&gt;16),0,F187+1)</f>
        <v>0</v>
      </c>
      <c r="G188" s="65">
        <f t="shared" si="38"/>
        <v>0</v>
      </c>
      <c r="H188" s="65">
        <f t="shared" si="35"/>
        <v>0</v>
      </c>
      <c r="I188" s="65">
        <f t="shared" si="31"/>
        <v>0</v>
      </c>
      <c r="J188" s="203">
        <f>IF(DG!$A$135&lt;=11,$M$17,0)</f>
        <v>0</v>
      </c>
      <c r="K188" s="65">
        <f t="shared" si="36"/>
        <v>0</v>
      </c>
      <c r="L188" s="473">
        <f t="shared" si="42"/>
        <v>0</v>
      </c>
      <c r="M188" s="204">
        <f t="shared" si="43"/>
        <v>0</v>
      </c>
      <c r="N188" s="505">
        <f t="shared" si="44"/>
        <v>0</v>
      </c>
      <c r="O188" s="204">
        <f>IF(DG!$A$135&gt;12,0,IF(J188-J187&gt;0,MROUND((L188/12*Q187),1),MROUND(L188/12*P187,1)))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IF(OR(L$73=0,DG!$A$256&gt;16),0,F188+1)</f>
        <v>0</v>
      </c>
      <c r="G189" s="65">
        <f t="shared" si="38"/>
        <v>0</v>
      </c>
      <c r="H189" s="65">
        <f t="shared" si="35"/>
        <v>0</v>
      </c>
      <c r="I189" s="65">
        <f t="shared" si="31"/>
        <v>0</v>
      </c>
      <c r="J189" s="203">
        <f>IF(DG!$A$135&lt;=11,$M$17,0)</f>
        <v>0</v>
      </c>
      <c r="K189" s="65">
        <f t="shared" si="36"/>
        <v>0</v>
      </c>
      <c r="L189" s="473">
        <f t="shared" si="42"/>
        <v>0</v>
      </c>
      <c r="M189" s="204">
        <f t="shared" si="43"/>
        <v>0</v>
      </c>
      <c r="N189" s="505">
        <f t="shared" si="44"/>
        <v>0</v>
      </c>
      <c r="O189" s="204">
        <f>IF(DG!$A$135&gt;12,0,IF(J189-J188&gt;0,MROUND((L189/12*Q188),1),MROUND(L189/12*P188,1)))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IF(OR(L$73=0,DG!$A$256&gt;16),0,F189+1)</f>
        <v>0</v>
      </c>
      <c r="G190" s="65">
        <f t="shared" si="38"/>
        <v>0</v>
      </c>
      <c r="H190" s="65">
        <f t="shared" si="35"/>
        <v>0</v>
      </c>
      <c r="I190" s="65">
        <f t="shared" si="31"/>
        <v>0</v>
      </c>
      <c r="J190" s="203">
        <f>IF(DG!$A$135&lt;=11,$M$17,0)</f>
        <v>0</v>
      </c>
      <c r="K190" s="65">
        <f t="shared" si="36"/>
        <v>0</v>
      </c>
      <c r="L190" s="473">
        <f t="shared" si="42"/>
        <v>0</v>
      </c>
      <c r="M190" s="204">
        <f t="shared" si="43"/>
        <v>0</v>
      </c>
      <c r="N190" s="505">
        <f t="shared" si="44"/>
        <v>0</v>
      </c>
      <c r="O190" s="204">
        <f>IF(DG!$A$135&gt;12,0,IF(J190-J189&gt;0,MROUND((L190/12*Q189),1),MROUND(L190/12*P189,1)))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IF(OR(L$73=0,DG!$A$256&gt;16),0,F190+1)</f>
        <v>0</v>
      </c>
      <c r="G191" s="65">
        <f t="shared" si="38"/>
        <v>0</v>
      </c>
      <c r="H191" s="65">
        <f t="shared" si="35"/>
        <v>0</v>
      </c>
      <c r="I191" s="65">
        <f t="shared" si="31"/>
        <v>0</v>
      </c>
      <c r="J191" s="203">
        <f>IF(DG!$A$135&lt;=11,$M$17,0)</f>
        <v>0</v>
      </c>
      <c r="K191" s="65">
        <f t="shared" si="36"/>
        <v>0</v>
      </c>
      <c r="L191" s="473">
        <f t="shared" si="42"/>
        <v>0</v>
      </c>
      <c r="M191" s="204">
        <f t="shared" si="43"/>
        <v>0</v>
      </c>
      <c r="N191" s="505">
        <f t="shared" si="44"/>
        <v>0</v>
      </c>
      <c r="O191" s="204">
        <f>IF(DG!$A$135&gt;12,0,IF(J191-J190&gt;0,MROUND((L191/12*Q190),1),MROUND(L191/12*P190,1)))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IF(OR(L$73=0,DG!$A$256&gt;16),0,F191+1)</f>
        <v>0</v>
      </c>
      <c r="G192" s="65">
        <f t="shared" si="38"/>
        <v>0</v>
      </c>
      <c r="H192" s="65">
        <f t="shared" si="35"/>
        <v>0</v>
      </c>
      <c r="I192" s="65">
        <f t="shared" si="31"/>
        <v>0</v>
      </c>
      <c r="J192" s="203">
        <f>IF(DG!$A$135&lt;=11,$M$17,0)</f>
        <v>0</v>
      </c>
      <c r="K192" s="65">
        <f t="shared" si="36"/>
        <v>0</v>
      </c>
      <c r="L192" s="473">
        <f t="shared" si="42"/>
        <v>0</v>
      </c>
      <c r="M192" s="204">
        <f t="shared" si="43"/>
        <v>0</v>
      </c>
      <c r="N192" s="505">
        <f t="shared" si="44"/>
        <v>0</v>
      </c>
      <c r="O192" s="204">
        <f>IF(DG!$A$135&gt;12,0,IF(J192-J191&gt;0,MROUND((L192/12*Q191),1),MROUND(L192/12*P191,1)))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IF(OR(L$73=0,DG!$A$256&gt;16),0,F192+1)</f>
        <v>0</v>
      </c>
      <c r="G193" s="65">
        <f t="shared" si="38"/>
        <v>0</v>
      </c>
      <c r="H193" s="65">
        <f t="shared" si="35"/>
        <v>0</v>
      </c>
      <c r="I193" s="65">
        <f t="shared" ref="I193:I256" si="47">IF(OR(G193=1,C193=0),0,IF(K193-C193&lt;$G$269,1,-1))</f>
        <v>0</v>
      </c>
      <c r="J193" s="203">
        <f>IF(DG!$A$135&lt;=11,$M$17,0)</f>
        <v>0</v>
      </c>
      <c r="K193" s="65">
        <f t="shared" si="36"/>
        <v>0</v>
      </c>
      <c r="L193" s="473">
        <f t="shared" si="42"/>
        <v>0</v>
      </c>
      <c r="M193" s="204">
        <f t="shared" si="43"/>
        <v>0</v>
      </c>
      <c r="N193" s="505">
        <f t="shared" si="44"/>
        <v>0</v>
      </c>
      <c r="O193" s="204">
        <f>IF(DG!$A$135&gt;12,0,IF(J193-J192&gt;0,MROUND((L193/12*Q192),1),MROUND(L193/12*P192,1)))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IF(OR(L$73=0,DG!$A$256&gt;16),0,F193+1)</f>
        <v>0</v>
      </c>
      <c r="G194" s="65">
        <f t="shared" si="38"/>
        <v>0</v>
      </c>
      <c r="H194" s="65">
        <f t="shared" si="35"/>
        <v>0</v>
      </c>
      <c r="I194" s="65">
        <f t="shared" si="47"/>
        <v>0</v>
      </c>
      <c r="J194" s="203">
        <f>IF(DG!$A$135&lt;=11,$M$17,0)</f>
        <v>0</v>
      </c>
      <c r="K194" s="65">
        <f t="shared" si="36"/>
        <v>0</v>
      </c>
      <c r="L194" s="473">
        <f t="shared" si="42"/>
        <v>0</v>
      </c>
      <c r="M194" s="204">
        <f t="shared" si="43"/>
        <v>0</v>
      </c>
      <c r="N194" s="505">
        <f t="shared" si="44"/>
        <v>0</v>
      </c>
      <c r="O194" s="204">
        <f>IF(DG!$A$135&gt;12,0,IF(J194-J193&gt;0,MROUND((L194/12*Q193),1),MROUND(L194/12*P193,1)))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IF(OR(L$73=0,DG!$A$256&gt;16),0,F194+1)</f>
        <v>0</v>
      </c>
      <c r="G195" s="65">
        <f t="shared" si="38"/>
        <v>0</v>
      </c>
      <c r="H195" s="65">
        <f t="shared" si="35"/>
        <v>0</v>
      </c>
      <c r="I195" s="65">
        <f t="shared" si="47"/>
        <v>0</v>
      </c>
      <c r="J195" s="203">
        <f>IF(DG!$A$135&lt;=11,$M$17,0)</f>
        <v>0</v>
      </c>
      <c r="K195" s="65">
        <f t="shared" si="36"/>
        <v>0</v>
      </c>
      <c r="L195" s="473">
        <f t="shared" si="42"/>
        <v>0</v>
      </c>
      <c r="M195" s="204">
        <f t="shared" si="43"/>
        <v>0</v>
      </c>
      <c r="N195" s="505">
        <f t="shared" si="44"/>
        <v>0</v>
      </c>
      <c r="O195" s="204">
        <f>IF(DG!$A$135&gt;12,0,IF(J195-J194&gt;0,MROUND((L195/12*Q194),1),MROUND(L195/12*P194,1)))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IF(OR(L$73=0,DG!$A$256&gt;16),0,F195+1)</f>
        <v>0</v>
      </c>
      <c r="G196" s="65">
        <f t="shared" si="38"/>
        <v>0</v>
      </c>
      <c r="H196" s="65">
        <f t="shared" si="35"/>
        <v>0</v>
      </c>
      <c r="I196" s="65">
        <f t="shared" si="47"/>
        <v>0</v>
      </c>
      <c r="J196" s="203">
        <f>IF(DG!$A$135&lt;=11,$M$17,0)</f>
        <v>0</v>
      </c>
      <c r="K196" s="65">
        <f t="shared" si="36"/>
        <v>0</v>
      </c>
      <c r="L196" s="473">
        <f t="shared" si="42"/>
        <v>0</v>
      </c>
      <c r="M196" s="204">
        <f t="shared" si="43"/>
        <v>0</v>
      </c>
      <c r="N196" s="505">
        <f t="shared" si="44"/>
        <v>0</v>
      </c>
      <c r="O196" s="204">
        <f>IF(DG!$A$135&gt;12,0,IF(J196-J195&gt;0,MROUND((L196/12*Q195),1),MROUND(L196/12*P195,1)))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IF(OR(L$73=0,DG!$A$256&gt;16),0,F196+1)</f>
        <v>0</v>
      </c>
      <c r="G197" s="65">
        <f t="shared" si="38"/>
        <v>0</v>
      </c>
      <c r="H197" s="65">
        <f t="shared" si="35"/>
        <v>0</v>
      </c>
      <c r="I197" s="65">
        <f t="shared" si="47"/>
        <v>0</v>
      </c>
      <c r="J197" s="203">
        <f>IF(DG!$A$135&lt;=11,$M$17,0)</f>
        <v>0</v>
      </c>
      <c r="K197" s="65">
        <f t="shared" si="36"/>
        <v>0</v>
      </c>
      <c r="L197" s="473">
        <f t="shared" si="42"/>
        <v>0</v>
      </c>
      <c r="M197" s="204">
        <f t="shared" si="43"/>
        <v>0</v>
      </c>
      <c r="N197" s="505">
        <f t="shared" si="44"/>
        <v>0</v>
      </c>
      <c r="O197" s="204">
        <f>IF(DG!$A$135&gt;12,0,IF(J197-J196&gt;0,MROUND((L197/12*Q196),1),MROUND(L197/12*P196,1)))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IF(OR(L$73=0,DG!$A$256&gt;16),0,F197+1)</f>
        <v>0</v>
      </c>
      <c r="G198" s="65">
        <f t="shared" si="38"/>
        <v>0</v>
      </c>
      <c r="H198" s="65">
        <f t="shared" si="35"/>
        <v>0</v>
      </c>
      <c r="I198" s="65">
        <f t="shared" si="47"/>
        <v>0</v>
      </c>
      <c r="J198" s="203">
        <f>IF(DG!$A$135&lt;=11,$M$17,0)</f>
        <v>0</v>
      </c>
      <c r="K198" s="65">
        <f t="shared" si="36"/>
        <v>0</v>
      </c>
      <c r="L198" s="473">
        <f t="shared" si="42"/>
        <v>0</v>
      </c>
      <c r="M198" s="204">
        <f t="shared" si="43"/>
        <v>0</v>
      </c>
      <c r="N198" s="505">
        <f t="shared" si="44"/>
        <v>0</v>
      </c>
      <c r="O198" s="204">
        <f>IF(DG!$A$135&gt;12,0,IF(J198-J197&gt;0,MROUND((L198/12*Q197),1),MROUND(L198/12*P197,1)))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IF(OR(L$73=0,DG!$A$256&gt;16),0,F198+1)</f>
        <v>0</v>
      </c>
      <c r="G199" s="65">
        <f t="shared" si="38"/>
        <v>0</v>
      </c>
      <c r="H199" s="65">
        <f t="shared" si="35"/>
        <v>0</v>
      </c>
      <c r="I199" s="65">
        <f t="shared" si="47"/>
        <v>0</v>
      </c>
      <c r="J199" s="203">
        <f>IF(DG!$A$135&lt;=11,$M$17,0)</f>
        <v>0</v>
      </c>
      <c r="K199" s="65">
        <f t="shared" si="36"/>
        <v>0</v>
      </c>
      <c r="L199" s="473">
        <f t="shared" si="42"/>
        <v>0</v>
      </c>
      <c r="M199" s="204">
        <f t="shared" si="43"/>
        <v>0</v>
      </c>
      <c r="N199" s="505">
        <f t="shared" si="44"/>
        <v>0</v>
      </c>
      <c r="O199" s="204">
        <f>IF(DG!$A$135&gt;12,0,IF(J199-J198&gt;0,MROUND((L199/12*Q198),1),MROUND(L199/12*P198,1)))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IF(OR(L$73=0,DG!$A$256&gt;16),0,F199+1)</f>
        <v>0</v>
      </c>
      <c r="G200" s="65">
        <f t="shared" si="38"/>
        <v>0</v>
      </c>
      <c r="H200" s="65">
        <f t="shared" si="35"/>
        <v>0</v>
      </c>
      <c r="I200" s="65">
        <f t="shared" si="47"/>
        <v>0</v>
      </c>
      <c r="J200" s="203">
        <f>IF(DG!$A$135&lt;=11,$M$17,0)</f>
        <v>0</v>
      </c>
      <c r="K200" s="65">
        <f t="shared" si="36"/>
        <v>0</v>
      </c>
      <c r="L200" s="473">
        <f t="shared" si="42"/>
        <v>0</v>
      </c>
      <c r="M200" s="204">
        <f t="shared" si="43"/>
        <v>0</v>
      </c>
      <c r="N200" s="505">
        <f t="shared" si="44"/>
        <v>0</v>
      </c>
      <c r="O200" s="204">
        <f>IF(DG!$A$135&gt;12,0,IF(J200-J199&gt;0,MROUND((L200/12*Q199),1),MROUND(L200/12*P199,1)))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IF(OR(L$73=0,DG!$A$256&gt;16),0,F200+1)</f>
        <v>0</v>
      </c>
      <c r="G201" s="65">
        <f t="shared" si="38"/>
        <v>0</v>
      </c>
      <c r="H201" s="65">
        <f t="shared" si="35"/>
        <v>0</v>
      </c>
      <c r="I201" s="65">
        <f t="shared" si="47"/>
        <v>0</v>
      </c>
      <c r="J201" s="203">
        <f>IF(DG!$A$135&lt;=11,$M$17,0)</f>
        <v>0</v>
      </c>
      <c r="K201" s="65">
        <f t="shared" si="36"/>
        <v>0</v>
      </c>
      <c r="L201" s="473">
        <f t="shared" si="42"/>
        <v>0</v>
      </c>
      <c r="M201" s="204">
        <f t="shared" si="43"/>
        <v>0</v>
      </c>
      <c r="N201" s="505">
        <f t="shared" si="44"/>
        <v>0</v>
      </c>
      <c r="O201" s="204">
        <f>IF(DG!$A$135&gt;12,0,IF(J201-J200&gt;0,MROUND((L201/12*Q200),1),MROUND(L201/12*P200,1)))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IF(OR(L$73=0,DG!$A$256&gt;16),0,F201+1)</f>
        <v>0</v>
      </c>
      <c r="G202" s="65">
        <f t="shared" si="38"/>
        <v>0</v>
      </c>
      <c r="H202" s="65">
        <f t="shared" si="35"/>
        <v>0</v>
      </c>
      <c r="I202" s="65">
        <f t="shared" si="47"/>
        <v>0</v>
      </c>
      <c r="J202" s="203">
        <f>IF(DG!$A$135&lt;=11,$M$17,0)</f>
        <v>0</v>
      </c>
      <c r="K202" s="65">
        <f t="shared" si="36"/>
        <v>0</v>
      </c>
      <c r="L202" s="473">
        <f t="shared" si="42"/>
        <v>0</v>
      </c>
      <c r="M202" s="204">
        <f t="shared" si="43"/>
        <v>0</v>
      </c>
      <c r="N202" s="505">
        <f t="shared" si="44"/>
        <v>0</v>
      </c>
      <c r="O202" s="204">
        <f>IF(DG!$A$135&gt;12,0,IF(J202-J201&gt;0,MROUND((L202/12*Q201),1),MROUND(L202/12*P201,1)))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IF(OR(L$73=0,DG!$A$256&gt;16),0,F202+1)</f>
        <v>0</v>
      </c>
      <c r="G203" s="65">
        <f t="shared" si="38"/>
        <v>0</v>
      </c>
      <c r="H203" s="65">
        <f t="shared" si="35"/>
        <v>0</v>
      </c>
      <c r="I203" s="65">
        <f t="shared" si="47"/>
        <v>0</v>
      </c>
      <c r="J203" s="203">
        <f>IF(DG!$A$135&lt;=11,$M$17,0)</f>
        <v>0</v>
      </c>
      <c r="K203" s="65">
        <f t="shared" si="36"/>
        <v>0</v>
      </c>
      <c r="L203" s="473">
        <f t="shared" si="42"/>
        <v>0</v>
      </c>
      <c r="M203" s="204">
        <f t="shared" si="43"/>
        <v>0</v>
      </c>
      <c r="N203" s="505">
        <f t="shared" si="44"/>
        <v>0</v>
      </c>
      <c r="O203" s="204">
        <f>IF(DG!$A$135&gt;12,0,IF(J203-J202&gt;0,MROUND((L203/12*Q202),1),MROUND(L203/12*P202,1)))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IF(OR(L$73=0,DG!$A$256&gt;16),0,F203+1)</f>
        <v>0</v>
      </c>
      <c r="G204" s="65">
        <f t="shared" si="38"/>
        <v>0</v>
      </c>
      <c r="H204" s="65">
        <f t="shared" si="35"/>
        <v>0</v>
      </c>
      <c r="I204" s="65">
        <f t="shared" si="47"/>
        <v>0</v>
      </c>
      <c r="J204" s="203">
        <f>IF(DG!$A$135&lt;=11,$M$17,0)</f>
        <v>0</v>
      </c>
      <c r="K204" s="65">
        <f t="shared" si="36"/>
        <v>0</v>
      </c>
      <c r="L204" s="473">
        <f t="shared" si="42"/>
        <v>0</v>
      </c>
      <c r="M204" s="204">
        <f t="shared" si="43"/>
        <v>0</v>
      </c>
      <c r="N204" s="505">
        <f t="shared" si="44"/>
        <v>0</v>
      </c>
      <c r="O204" s="204">
        <f>IF(DG!$A$135&gt;12,0,IF(J204-J203&gt;0,MROUND((L204/12*Q203),1),MROUND(L204/12*P203,1)))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IF(OR(L$73=0,DG!$A$256&gt;16),0,F204+1)</f>
        <v>0</v>
      </c>
      <c r="G205" s="65">
        <f t="shared" si="38"/>
        <v>0</v>
      </c>
      <c r="H205" s="65">
        <f t="shared" si="35"/>
        <v>0</v>
      </c>
      <c r="I205" s="65">
        <f t="shared" si="47"/>
        <v>0</v>
      </c>
      <c r="J205" s="203">
        <f>IF(DG!$A$135&lt;=11,$M$17,0)</f>
        <v>0</v>
      </c>
      <c r="K205" s="65">
        <f t="shared" si="36"/>
        <v>0</v>
      </c>
      <c r="L205" s="473">
        <f t="shared" si="42"/>
        <v>0</v>
      </c>
      <c r="M205" s="204">
        <f t="shared" si="43"/>
        <v>0</v>
      </c>
      <c r="N205" s="505">
        <f t="shared" si="44"/>
        <v>0</v>
      </c>
      <c r="O205" s="204">
        <f>IF(DG!$A$135&gt;12,0,IF(J205-J204&gt;0,MROUND((L205/12*Q204),1),MROUND(L205/12*P204,1)))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IF(OR(L$73=0,DG!$A$256&gt;16),0,F205+1)</f>
        <v>0</v>
      </c>
      <c r="G206" s="65">
        <f t="shared" si="38"/>
        <v>0</v>
      </c>
      <c r="H206" s="65">
        <f t="shared" si="35"/>
        <v>0</v>
      </c>
      <c r="I206" s="65">
        <f t="shared" si="47"/>
        <v>0</v>
      </c>
      <c r="J206" s="203">
        <f>IF(DG!$A$135&lt;=11,$M$17,0)</f>
        <v>0</v>
      </c>
      <c r="K206" s="65">
        <f t="shared" si="36"/>
        <v>0</v>
      </c>
      <c r="L206" s="473">
        <f t="shared" si="42"/>
        <v>0</v>
      </c>
      <c r="M206" s="204">
        <f t="shared" si="43"/>
        <v>0</v>
      </c>
      <c r="N206" s="505">
        <f t="shared" si="44"/>
        <v>0</v>
      </c>
      <c r="O206" s="204">
        <f>IF(DG!$A$135&gt;12,0,IF(J206-J205&gt;0,MROUND((L206/12*Q205),1),MROUND(L206/12*P205,1)))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IF(OR(L$73=0,DG!$A$256&gt;16),0,F206+1)</f>
        <v>0</v>
      </c>
      <c r="G207" s="65">
        <f t="shared" si="38"/>
        <v>0</v>
      </c>
      <c r="H207" s="65">
        <f t="shared" si="35"/>
        <v>0</v>
      </c>
      <c r="I207" s="65">
        <f t="shared" si="47"/>
        <v>0</v>
      </c>
      <c r="J207" s="203">
        <f>IF(DG!$A$135&lt;=11,$M$17,0)</f>
        <v>0</v>
      </c>
      <c r="K207" s="65">
        <f t="shared" si="36"/>
        <v>0</v>
      </c>
      <c r="L207" s="473">
        <f t="shared" si="42"/>
        <v>0</v>
      </c>
      <c r="M207" s="204">
        <f t="shared" si="43"/>
        <v>0</v>
      </c>
      <c r="N207" s="505">
        <f t="shared" si="44"/>
        <v>0</v>
      </c>
      <c r="O207" s="204">
        <f>IF(DG!$A$135&gt;12,0,IF(J207-J206&gt;0,MROUND((L207/12*Q206),1),MROUND(L207/12*P206,1)))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IF(OR(L$73=0,DG!$A$256&gt;16),0,F207+1)</f>
        <v>0</v>
      </c>
      <c r="G208" s="65">
        <f t="shared" si="38"/>
        <v>0</v>
      </c>
      <c r="H208" s="65">
        <f t="shared" si="35"/>
        <v>0</v>
      </c>
      <c r="I208" s="65">
        <f t="shared" si="47"/>
        <v>0</v>
      </c>
      <c r="J208" s="203">
        <f>IF(DG!$A$135&lt;=11,$M$17,0)</f>
        <v>0</v>
      </c>
      <c r="K208" s="65">
        <f t="shared" si="36"/>
        <v>0</v>
      </c>
      <c r="L208" s="473">
        <f t="shared" si="42"/>
        <v>0</v>
      </c>
      <c r="M208" s="204">
        <f t="shared" si="43"/>
        <v>0</v>
      </c>
      <c r="N208" s="505">
        <f t="shared" si="44"/>
        <v>0</v>
      </c>
      <c r="O208" s="204">
        <f>IF(DG!$A$135&gt;12,0,IF(J208-J207&gt;0,MROUND((L208/12*Q207),1),MROUND(L208/12*P207,1)))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IF(OR(L$73=0,DG!$A$256&gt;16),0,F208+1)</f>
        <v>0</v>
      </c>
      <c r="G209" s="65">
        <f t="shared" si="38"/>
        <v>0</v>
      </c>
      <c r="H209" s="65">
        <f t="shared" si="35"/>
        <v>0</v>
      </c>
      <c r="I209" s="65">
        <f t="shared" si="47"/>
        <v>0</v>
      </c>
      <c r="J209" s="203">
        <f>IF(DG!$A$135&lt;=11,$M$17,0)</f>
        <v>0</v>
      </c>
      <c r="K209" s="65">
        <f t="shared" si="36"/>
        <v>0</v>
      </c>
      <c r="L209" s="473">
        <f t="shared" si="42"/>
        <v>0</v>
      </c>
      <c r="M209" s="204">
        <f t="shared" si="43"/>
        <v>0</v>
      </c>
      <c r="N209" s="505">
        <f t="shared" si="44"/>
        <v>0</v>
      </c>
      <c r="O209" s="204">
        <f>IF(DG!$A$135&gt;12,0,IF(J209-J208&gt;0,MROUND((L209/12*Q208),1),MROUND(L209/12*P208,1)))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IF(OR(L$73=0,DG!$A$256&gt;16),0,F209+1)</f>
        <v>0</v>
      </c>
      <c r="G210" s="65">
        <f t="shared" si="38"/>
        <v>0</v>
      </c>
      <c r="H210" s="65">
        <f t="shared" si="35"/>
        <v>0</v>
      </c>
      <c r="I210" s="65">
        <f t="shared" si="47"/>
        <v>0</v>
      </c>
      <c r="J210" s="203">
        <f>IF(DG!$A$135&lt;=11,$M$17,0)</f>
        <v>0</v>
      </c>
      <c r="K210" s="65">
        <f t="shared" si="36"/>
        <v>0</v>
      </c>
      <c r="L210" s="473">
        <f t="shared" si="42"/>
        <v>0</v>
      </c>
      <c r="M210" s="204">
        <f t="shared" si="43"/>
        <v>0</v>
      </c>
      <c r="N210" s="505">
        <f t="shared" si="44"/>
        <v>0</v>
      </c>
      <c r="O210" s="204">
        <f>IF(DG!$A$135&gt;12,0,IF(J210-J209&gt;0,MROUND((L210/12*Q209),1),MROUND(L210/12*P209,1)))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IF(OR(L$73=0,DG!$A$256&gt;16),0,F210+1)</f>
        <v>0</v>
      </c>
      <c r="G211" s="65">
        <f t="shared" si="38"/>
        <v>0</v>
      </c>
      <c r="H211" s="65">
        <f t="shared" si="35"/>
        <v>0</v>
      </c>
      <c r="I211" s="65">
        <f t="shared" si="47"/>
        <v>0</v>
      </c>
      <c r="J211" s="203">
        <f>IF(DG!$A$135&lt;=11,$M$17,0)</f>
        <v>0</v>
      </c>
      <c r="K211" s="65">
        <f t="shared" si="36"/>
        <v>0</v>
      </c>
      <c r="L211" s="473">
        <f t="shared" si="42"/>
        <v>0</v>
      </c>
      <c r="M211" s="204">
        <f t="shared" si="43"/>
        <v>0</v>
      </c>
      <c r="N211" s="505">
        <f t="shared" si="44"/>
        <v>0</v>
      </c>
      <c r="O211" s="204">
        <f>IF(DG!$A$135&gt;12,0,IF(J211-J210&gt;0,MROUND((L211/12*Q210),1),MROUND(L211/12*P210,1)))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IF(OR(L$73=0,DG!$A$256&gt;16),0,F211+1)</f>
        <v>0</v>
      </c>
      <c r="G212" s="65">
        <f t="shared" si="38"/>
        <v>0</v>
      </c>
      <c r="H212" s="65">
        <f t="shared" si="35"/>
        <v>0</v>
      </c>
      <c r="I212" s="65">
        <f t="shared" si="47"/>
        <v>0</v>
      </c>
      <c r="J212" s="203">
        <f>IF(DG!$A$135&lt;=11,$M$17,0)</f>
        <v>0</v>
      </c>
      <c r="K212" s="65">
        <f t="shared" si="36"/>
        <v>0</v>
      </c>
      <c r="L212" s="473">
        <f t="shared" si="42"/>
        <v>0</v>
      </c>
      <c r="M212" s="204">
        <f t="shared" si="43"/>
        <v>0</v>
      </c>
      <c r="N212" s="505">
        <f t="shared" si="44"/>
        <v>0</v>
      </c>
      <c r="O212" s="204">
        <f>IF(DG!$A$135&gt;12,0,IF(J212-J211&gt;0,MROUND((L212/12*Q211),1),MROUND(L212/12*P211,1)))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IF(OR(L$73=0,DG!$A$256&gt;16),0,F212+1)</f>
        <v>0</v>
      </c>
      <c r="G213" s="65">
        <f t="shared" si="38"/>
        <v>0</v>
      </c>
      <c r="H213" s="65">
        <f t="shared" si="35"/>
        <v>0</v>
      </c>
      <c r="I213" s="65">
        <f t="shared" si="47"/>
        <v>0</v>
      </c>
      <c r="J213" s="203">
        <f>IF(DG!$A$135&lt;=11,$M$17,0)</f>
        <v>0</v>
      </c>
      <c r="K213" s="65">
        <f t="shared" si="36"/>
        <v>0</v>
      </c>
      <c r="L213" s="473">
        <f t="shared" si="42"/>
        <v>0</v>
      </c>
      <c r="M213" s="204">
        <f t="shared" si="43"/>
        <v>0</v>
      </c>
      <c r="N213" s="505">
        <f t="shared" si="44"/>
        <v>0</v>
      </c>
      <c r="O213" s="204">
        <f>IF(DG!$A$135&gt;12,0,IF(J213-J212&gt;0,MROUND((L213/12*Q212),1),MROUND(L213/12*P212,1)))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IF(OR(L$73=0,DG!$A$256&gt;16),0,F213+1)</f>
        <v>0</v>
      </c>
      <c r="G214" s="65">
        <f t="shared" si="38"/>
        <v>0</v>
      </c>
      <c r="H214" s="65">
        <f t="shared" si="35"/>
        <v>0</v>
      </c>
      <c r="I214" s="65">
        <f t="shared" si="47"/>
        <v>0</v>
      </c>
      <c r="J214" s="203">
        <f>IF(DG!$A$135&lt;=11,$M$17,0)</f>
        <v>0</v>
      </c>
      <c r="K214" s="65">
        <f t="shared" si="36"/>
        <v>0</v>
      </c>
      <c r="L214" s="473">
        <f t="shared" si="42"/>
        <v>0</v>
      </c>
      <c r="M214" s="204">
        <f t="shared" si="43"/>
        <v>0</v>
      </c>
      <c r="N214" s="505">
        <f t="shared" si="44"/>
        <v>0</v>
      </c>
      <c r="O214" s="204">
        <f>IF(DG!$A$135&gt;12,0,IF(J214-J213&gt;0,MROUND((L214/12*Q213),1),MROUND(L214/12*P213,1)))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IF(OR(L$73=0,DG!$A$256&gt;16),0,F214+1)</f>
        <v>0</v>
      </c>
      <c r="G215" s="65">
        <f t="shared" si="38"/>
        <v>0</v>
      </c>
      <c r="H215" s="65">
        <f t="shared" si="35"/>
        <v>0</v>
      </c>
      <c r="I215" s="65">
        <f t="shared" si="47"/>
        <v>0</v>
      </c>
      <c r="J215" s="203">
        <f>IF(DG!$A$135&lt;=11,$M$17,0)</f>
        <v>0</v>
      </c>
      <c r="K215" s="65">
        <f t="shared" si="36"/>
        <v>0</v>
      </c>
      <c r="L215" s="473">
        <f t="shared" si="42"/>
        <v>0</v>
      </c>
      <c r="M215" s="204">
        <f t="shared" si="43"/>
        <v>0</v>
      </c>
      <c r="N215" s="505">
        <f t="shared" si="44"/>
        <v>0</v>
      </c>
      <c r="O215" s="204">
        <f>IF(DG!$A$135&gt;12,0,IF(J215-J214&gt;0,MROUND((L215/12*Q214),1),MROUND(L215/12*P214,1)))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IF(OR(L$73=0,DG!$A$256&gt;16),0,F215+1)</f>
        <v>0</v>
      </c>
      <c r="G216" s="65">
        <f t="shared" si="38"/>
        <v>0</v>
      </c>
      <c r="H216" s="65">
        <f t="shared" ref="H216:H265" si="50">IF(I216&gt;=0,0,H215+1)</f>
        <v>0</v>
      </c>
      <c r="I216" s="65">
        <f t="shared" si="47"/>
        <v>0</v>
      </c>
      <c r="J216" s="203">
        <f>IF(DG!$A$135&lt;=11,$M$17,0)</f>
        <v>0</v>
      </c>
      <c r="K216" s="65">
        <f t="shared" ref="K216:K265" si="51">K215</f>
        <v>0</v>
      </c>
      <c r="L216" s="473">
        <f t="shared" si="42"/>
        <v>0</v>
      </c>
      <c r="M216" s="204">
        <f t="shared" si="43"/>
        <v>0</v>
      </c>
      <c r="N216" s="505">
        <f t="shared" si="44"/>
        <v>0</v>
      </c>
      <c r="O216" s="204">
        <f>IF(DG!$A$135&gt;12,0,IF(J216-J215&gt;0,MROUND((L216/12*Q215),1),MROUND(L216/12*P215,1)))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IF(OR(L$73=0,DG!$A$256&gt;16),0,F216+1)</f>
        <v>0</v>
      </c>
      <c r="G217" s="65">
        <f t="shared" si="38"/>
        <v>0</v>
      </c>
      <c r="H217" s="65">
        <f t="shared" si="50"/>
        <v>0</v>
      </c>
      <c r="I217" s="65">
        <f t="shared" si="47"/>
        <v>0</v>
      </c>
      <c r="J217" s="203">
        <f>IF(DG!$A$135&lt;=11,$M$17,0)</f>
        <v>0</v>
      </c>
      <c r="K217" s="65">
        <f t="shared" si="51"/>
        <v>0</v>
      </c>
      <c r="L217" s="473">
        <f t="shared" si="42"/>
        <v>0</v>
      </c>
      <c r="M217" s="204">
        <f t="shared" si="43"/>
        <v>0</v>
      </c>
      <c r="N217" s="505">
        <f t="shared" si="44"/>
        <v>0</v>
      </c>
      <c r="O217" s="204">
        <f>IF(DG!$A$135&gt;12,0,IF(J217-J216&gt;0,MROUND((L217/12*Q216),1),MROUND(L217/12*P216,1)))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IF(OR(L$73=0,DG!$A$256&gt;16),0,F217+1)</f>
        <v>0</v>
      </c>
      <c r="G218" s="65">
        <f t="shared" ref="G218:G265" si="53">IF(E218=0,0,IF(D218-E218-F218&gt;=0,1,0))</f>
        <v>0</v>
      </c>
      <c r="H218" s="65">
        <f t="shared" si="50"/>
        <v>0</v>
      </c>
      <c r="I218" s="65">
        <f t="shared" si="47"/>
        <v>0</v>
      </c>
      <c r="J218" s="203">
        <f>IF(DG!$A$135&lt;=11,$M$17,0)</f>
        <v>0</v>
      </c>
      <c r="K218" s="65">
        <f t="shared" si="51"/>
        <v>0</v>
      </c>
      <c r="L218" s="473">
        <f t="shared" si="42"/>
        <v>0</v>
      </c>
      <c r="M218" s="204">
        <f t="shared" si="43"/>
        <v>0</v>
      </c>
      <c r="N218" s="505">
        <f t="shared" si="44"/>
        <v>0</v>
      </c>
      <c r="O218" s="204">
        <f>IF(DG!$A$135&gt;12,0,IF(J218-J217&gt;0,MROUND((L218/12*Q217),1),MROUND(L218/12*P217,1)))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IF(OR(L$73=0,DG!$A$256&gt;16),0,F218+1)</f>
        <v>0</v>
      </c>
      <c r="G219" s="65">
        <f t="shared" si="53"/>
        <v>0</v>
      </c>
      <c r="H219" s="65">
        <f t="shared" si="50"/>
        <v>0</v>
      </c>
      <c r="I219" s="65">
        <f t="shared" si="47"/>
        <v>0</v>
      </c>
      <c r="J219" s="203">
        <f>IF(DG!$A$135&lt;=11,$M$17,0)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IF(DG!$A$135&gt;12,0,IF(J219-J218&gt;0,MROUND((L219/12*Q218),1),MROUND(L219/12*P218,1)))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IF(OR(L$73=0,DG!$A$256&gt;16),0,F219+1)</f>
        <v>0</v>
      </c>
      <c r="G220" s="65">
        <f t="shared" si="53"/>
        <v>0</v>
      </c>
      <c r="H220" s="65">
        <f t="shared" si="50"/>
        <v>0</v>
      </c>
      <c r="I220" s="65">
        <f t="shared" si="47"/>
        <v>0</v>
      </c>
      <c r="J220" s="203">
        <f>IF(DG!$A$135&lt;=11,$M$17,0)</f>
        <v>0</v>
      </c>
      <c r="K220" s="65">
        <f t="shared" si="51"/>
        <v>0</v>
      </c>
      <c r="L220" s="473">
        <f t="shared" si="57"/>
        <v>0</v>
      </c>
      <c r="M220" s="204">
        <f t="shared" si="58"/>
        <v>0</v>
      </c>
      <c r="N220" s="505">
        <f t="shared" si="59"/>
        <v>0</v>
      </c>
      <c r="O220" s="204">
        <f>IF(DG!$A$135&gt;12,0,IF(J220-J219&gt;0,MROUND((L220/12*Q219),1),MROUND(L220/12*P219,1)))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IF(OR(L$73=0,DG!$A$256&gt;16),0,F220+1)</f>
        <v>0</v>
      </c>
      <c r="G221" s="65">
        <f t="shared" si="53"/>
        <v>0</v>
      </c>
      <c r="H221" s="65">
        <f t="shared" si="50"/>
        <v>0</v>
      </c>
      <c r="I221" s="65">
        <f t="shared" si="47"/>
        <v>0</v>
      </c>
      <c r="J221" s="203">
        <f>IF(DG!$A$135&lt;=11,$M$17,0)</f>
        <v>0</v>
      </c>
      <c r="K221" s="65">
        <f t="shared" si="51"/>
        <v>0</v>
      </c>
      <c r="L221" s="473">
        <f t="shared" si="57"/>
        <v>0</v>
      </c>
      <c r="M221" s="204">
        <f t="shared" si="58"/>
        <v>0</v>
      </c>
      <c r="N221" s="505">
        <f t="shared" si="59"/>
        <v>0</v>
      </c>
      <c r="O221" s="204">
        <f>IF(DG!$A$135&gt;12,0,IF(J221-J220&gt;0,MROUND((L221/12*Q220),1),MROUND(L221/12*P220,1)))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IF(OR(L$73=0,DG!$A$256&gt;16),0,F221+1)</f>
        <v>0</v>
      </c>
      <c r="G222" s="65">
        <f t="shared" si="53"/>
        <v>0</v>
      </c>
      <c r="H222" s="65">
        <f t="shared" si="50"/>
        <v>0</v>
      </c>
      <c r="I222" s="65">
        <f t="shared" si="47"/>
        <v>0</v>
      </c>
      <c r="J222" s="203">
        <f>IF(DG!$A$135&lt;=11,$M$17,0)</f>
        <v>0</v>
      </c>
      <c r="K222" s="65">
        <f t="shared" si="51"/>
        <v>0</v>
      </c>
      <c r="L222" s="473">
        <f t="shared" si="57"/>
        <v>0</v>
      </c>
      <c r="M222" s="204">
        <f t="shared" si="58"/>
        <v>0</v>
      </c>
      <c r="N222" s="505">
        <f t="shared" si="59"/>
        <v>0</v>
      </c>
      <c r="O222" s="204">
        <f>IF(DG!$A$135&gt;12,0,IF(J222-J221&gt;0,MROUND((L222/12*Q221),1),MROUND(L222/12*P221,1)))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IF(OR(L$73=0,DG!$A$256&gt;16),0,F222+1)</f>
        <v>0</v>
      </c>
      <c r="G223" s="65">
        <f t="shared" si="53"/>
        <v>0</v>
      </c>
      <c r="H223" s="65">
        <f t="shared" si="50"/>
        <v>0</v>
      </c>
      <c r="I223" s="65">
        <f t="shared" si="47"/>
        <v>0</v>
      </c>
      <c r="J223" s="203">
        <f>IF(DG!$A$135&lt;=11,$M$17,0)</f>
        <v>0</v>
      </c>
      <c r="K223" s="65">
        <f t="shared" si="51"/>
        <v>0</v>
      </c>
      <c r="L223" s="473">
        <f t="shared" si="57"/>
        <v>0</v>
      </c>
      <c r="M223" s="204">
        <f t="shared" si="58"/>
        <v>0</v>
      </c>
      <c r="N223" s="505">
        <f t="shared" si="59"/>
        <v>0</v>
      </c>
      <c r="O223" s="204">
        <f>IF(DG!$A$135&gt;12,0,IF(J223-J222&gt;0,MROUND((L223/12*Q222),1),MROUND(L223/12*P222,1)))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IF(OR(L$73=0,DG!$A$256&gt;16),0,F223+1)</f>
        <v>0</v>
      </c>
      <c r="G224" s="65">
        <f t="shared" si="53"/>
        <v>0</v>
      </c>
      <c r="H224" s="65">
        <f t="shared" si="50"/>
        <v>0</v>
      </c>
      <c r="I224" s="65">
        <f t="shared" si="47"/>
        <v>0</v>
      </c>
      <c r="J224" s="203">
        <f>IF(DG!$A$135&lt;=11,$M$17,0)</f>
        <v>0</v>
      </c>
      <c r="K224" s="65">
        <f t="shared" si="51"/>
        <v>0</v>
      </c>
      <c r="L224" s="473">
        <f t="shared" si="57"/>
        <v>0</v>
      </c>
      <c r="M224" s="204">
        <f t="shared" si="58"/>
        <v>0</v>
      </c>
      <c r="N224" s="505">
        <f t="shared" si="59"/>
        <v>0</v>
      </c>
      <c r="O224" s="204">
        <f>IF(DG!$A$135&gt;12,0,IF(J224-J223&gt;0,MROUND((L224/12*Q223),1),MROUND(L224/12*P223,1)))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IF(OR(L$73=0,DG!$A$256&gt;16),0,F224+1)</f>
        <v>0</v>
      </c>
      <c r="G225" s="65">
        <f t="shared" si="53"/>
        <v>0</v>
      </c>
      <c r="H225" s="65">
        <f t="shared" si="50"/>
        <v>0</v>
      </c>
      <c r="I225" s="65">
        <f t="shared" si="47"/>
        <v>0</v>
      </c>
      <c r="J225" s="203">
        <f>IF(DG!$A$135&lt;=11,$M$17,0)</f>
        <v>0</v>
      </c>
      <c r="K225" s="65">
        <f t="shared" si="51"/>
        <v>0</v>
      </c>
      <c r="L225" s="473">
        <f t="shared" si="57"/>
        <v>0</v>
      </c>
      <c r="M225" s="204">
        <f t="shared" si="58"/>
        <v>0</v>
      </c>
      <c r="N225" s="505">
        <f t="shared" si="59"/>
        <v>0</v>
      </c>
      <c r="O225" s="204">
        <f>IF(DG!$A$135&gt;12,0,IF(J225-J224&gt;0,MROUND((L225/12*Q224),1),MROUND(L225/12*P224,1)))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IF(OR(L$73=0,DG!$A$256&gt;16),0,F225+1)</f>
        <v>0</v>
      </c>
      <c r="G226" s="65">
        <f t="shared" si="53"/>
        <v>0</v>
      </c>
      <c r="H226" s="65">
        <f t="shared" si="50"/>
        <v>0</v>
      </c>
      <c r="I226" s="65">
        <f t="shared" si="47"/>
        <v>0</v>
      </c>
      <c r="J226" s="203">
        <f>IF(DG!$A$135&lt;=11,$M$17,0)</f>
        <v>0</v>
      </c>
      <c r="K226" s="65">
        <f t="shared" si="51"/>
        <v>0</v>
      </c>
      <c r="L226" s="473">
        <f t="shared" si="57"/>
        <v>0</v>
      </c>
      <c r="M226" s="204">
        <f t="shared" si="58"/>
        <v>0</v>
      </c>
      <c r="N226" s="505">
        <f t="shared" si="59"/>
        <v>0</v>
      </c>
      <c r="O226" s="204">
        <f>IF(DG!$A$135&gt;12,0,IF(J226-J225&gt;0,MROUND((L226/12*Q225),1),MROUND(L226/12*P225,1)))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IF(OR(L$73=0,DG!$A$256&gt;16),0,F226+1)</f>
        <v>0</v>
      </c>
      <c r="G227" s="65">
        <f t="shared" si="53"/>
        <v>0</v>
      </c>
      <c r="H227" s="65">
        <f t="shared" si="50"/>
        <v>0</v>
      </c>
      <c r="I227" s="65">
        <f t="shared" si="47"/>
        <v>0</v>
      </c>
      <c r="J227" s="203">
        <f>IF(DG!$A$135&lt;=11,$M$17,0)</f>
        <v>0</v>
      </c>
      <c r="K227" s="65">
        <f t="shared" si="51"/>
        <v>0</v>
      </c>
      <c r="L227" s="473">
        <f t="shared" si="57"/>
        <v>0</v>
      </c>
      <c r="M227" s="204">
        <f t="shared" si="58"/>
        <v>0</v>
      </c>
      <c r="N227" s="505">
        <f t="shared" si="59"/>
        <v>0</v>
      </c>
      <c r="O227" s="204">
        <f>IF(DG!$A$135&gt;12,0,IF(J227-J226&gt;0,MROUND((L227/12*Q226),1),MROUND(L227/12*P226,1)))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IF(OR(L$73=0,DG!$A$256&gt;16),0,F227+1)</f>
        <v>0</v>
      </c>
      <c r="G228" s="65">
        <f t="shared" si="53"/>
        <v>0</v>
      </c>
      <c r="H228" s="65">
        <f t="shared" si="50"/>
        <v>0</v>
      </c>
      <c r="I228" s="65">
        <f t="shared" si="47"/>
        <v>0</v>
      </c>
      <c r="J228" s="203">
        <f>IF(DG!$A$135&lt;=11,$M$17,0)</f>
        <v>0</v>
      </c>
      <c r="K228" s="65">
        <f t="shared" si="51"/>
        <v>0</v>
      </c>
      <c r="L228" s="473">
        <f t="shared" si="57"/>
        <v>0</v>
      </c>
      <c r="M228" s="204">
        <f t="shared" si="58"/>
        <v>0</v>
      </c>
      <c r="N228" s="505">
        <f t="shared" si="59"/>
        <v>0</v>
      </c>
      <c r="O228" s="204">
        <f>IF(DG!$A$135&gt;12,0,IF(J228-J227&gt;0,MROUND((L228/12*Q227),1),MROUND(L228/12*P227,1)))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IF(OR(L$73=0,DG!$A$256&gt;16),0,F228+1)</f>
        <v>0</v>
      </c>
      <c r="G229" s="65">
        <f t="shared" si="53"/>
        <v>0</v>
      </c>
      <c r="H229" s="65">
        <f t="shared" si="50"/>
        <v>0</v>
      </c>
      <c r="I229" s="65">
        <f t="shared" si="47"/>
        <v>0</v>
      </c>
      <c r="J229" s="203">
        <f>IF(DG!$A$135&lt;=11,$M$17,0)</f>
        <v>0</v>
      </c>
      <c r="K229" s="65">
        <f t="shared" si="51"/>
        <v>0</v>
      </c>
      <c r="L229" s="473">
        <f t="shared" si="57"/>
        <v>0</v>
      </c>
      <c r="M229" s="204">
        <f t="shared" si="58"/>
        <v>0</v>
      </c>
      <c r="N229" s="505">
        <f t="shared" si="59"/>
        <v>0</v>
      </c>
      <c r="O229" s="204">
        <f>IF(DG!$A$135&gt;12,0,IF(J229-J228&gt;0,MROUND((L229/12*Q228),1),MROUND(L229/12*P228,1)))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IF(OR(L$73=0,DG!$A$256&gt;16),0,F229+1)</f>
        <v>0</v>
      </c>
      <c r="G230" s="65">
        <f t="shared" si="53"/>
        <v>0</v>
      </c>
      <c r="H230" s="65">
        <f t="shared" si="50"/>
        <v>0</v>
      </c>
      <c r="I230" s="65">
        <f t="shared" si="47"/>
        <v>0</v>
      </c>
      <c r="J230" s="203">
        <f>IF(DG!$A$135&lt;=11,$M$17,0)</f>
        <v>0</v>
      </c>
      <c r="K230" s="65">
        <f t="shared" si="51"/>
        <v>0</v>
      </c>
      <c r="L230" s="473">
        <f t="shared" si="57"/>
        <v>0</v>
      </c>
      <c r="M230" s="204">
        <f t="shared" si="58"/>
        <v>0</v>
      </c>
      <c r="N230" s="505">
        <f t="shared" si="59"/>
        <v>0</v>
      </c>
      <c r="O230" s="204">
        <f>IF(DG!$A$135&gt;12,0,IF(J230-J229&gt;0,MROUND((L230/12*Q229),1),MROUND(L230/12*P229,1)))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IF(OR(L$73=0,DG!$A$256&gt;16),0,F230+1)</f>
        <v>0</v>
      </c>
      <c r="G231" s="65">
        <f t="shared" si="53"/>
        <v>0</v>
      </c>
      <c r="H231" s="65">
        <f t="shared" si="50"/>
        <v>0</v>
      </c>
      <c r="I231" s="65">
        <f t="shared" si="47"/>
        <v>0</v>
      </c>
      <c r="J231" s="203">
        <f>IF(DG!$A$135&lt;=11,$M$17,0)</f>
        <v>0</v>
      </c>
      <c r="K231" s="65">
        <f t="shared" si="51"/>
        <v>0</v>
      </c>
      <c r="L231" s="473">
        <f t="shared" si="57"/>
        <v>0</v>
      </c>
      <c r="M231" s="204">
        <f t="shared" si="58"/>
        <v>0</v>
      </c>
      <c r="N231" s="505">
        <f t="shared" si="59"/>
        <v>0</v>
      </c>
      <c r="O231" s="204">
        <f>IF(DG!$A$135&gt;12,0,IF(J231-J230&gt;0,MROUND((L231/12*Q230),1),MROUND(L231/12*P230,1)))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IF(OR(L$73=0,DG!$A$256&gt;16),0,F231+1)</f>
        <v>0</v>
      </c>
      <c r="G232" s="65">
        <f t="shared" si="53"/>
        <v>0</v>
      </c>
      <c r="H232" s="65">
        <f t="shared" si="50"/>
        <v>0</v>
      </c>
      <c r="I232" s="65">
        <f t="shared" si="47"/>
        <v>0</v>
      </c>
      <c r="J232" s="203">
        <f>IF(DG!$A$135&lt;=11,$M$17,0)</f>
        <v>0</v>
      </c>
      <c r="K232" s="65">
        <f t="shared" si="51"/>
        <v>0</v>
      </c>
      <c r="L232" s="473">
        <f t="shared" si="57"/>
        <v>0</v>
      </c>
      <c r="M232" s="204">
        <f t="shared" si="58"/>
        <v>0</v>
      </c>
      <c r="N232" s="505">
        <f t="shared" si="59"/>
        <v>0</v>
      </c>
      <c r="O232" s="204">
        <f>IF(DG!$A$135&gt;12,0,IF(J232-J231&gt;0,MROUND((L232/12*Q231),1),MROUND(L232/12*P231,1)))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IF(OR(L$73=0,DG!$A$256&gt;16),0,F232+1)</f>
        <v>0</v>
      </c>
      <c r="G233" s="65">
        <f t="shared" si="53"/>
        <v>0</v>
      </c>
      <c r="H233" s="65">
        <f t="shared" si="50"/>
        <v>0</v>
      </c>
      <c r="I233" s="65">
        <f t="shared" si="47"/>
        <v>0</v>
      </c>
      <c r="J233" s="203">
        <f>IF(DG!$A$135&lt;=11,$M$17,0)</f>
        <v>0</v>
      </c>
      <c r="K233" s="65">
        <f t="shared" si="51"/>
        <v>0</v>
      </c>
      <c r="L233" s="473">
        <f t="shared" si="57"/>
        <v>0</v>
      </c>
      <c r="M233" s="204">
        <f t="shared" si="58"/>
        <v>0</v>
      </c>
      <c r="N233" s="505">
        <f t="shared" si="59"/>
        <v>0</v>
      </c>
      <c r="O233" s="204">
        <f>IF(DG!$A$135&gt;12,0,IF(J233-J232&gt;0,MROUND((L233/12*Q232),1),MROUND(L233/12*P232,1)))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IF(OR(L$73=0,DG!$A$256&gt;16),0,F233+1)</f>
        <v>0</v>
      </c>
      <c r="G234" s="65">
        <f t="shared" si="53"/>
        <v>0</v>
      </c>
      <c r="H234" s="65">
        <f t="shared" si="50"/>
        <v>0</v>
      </c>
      <c r="I234" s="65">
        <f t="shared" si="47"/>
        <v>0</v>
      </c>
      <c r="J234" s="203">
        <f>IF(DG!$A$135&lt;=11,$M$17,0)</f>
        <v>0</v>
      </c>
      <c r="K234" s="65">
        <f t="shared" si="51"/>
        <v>0</v>
      </c>
      <c r="L234" s="473">
        <f t="shared" si="57"/>
        <v>0</v>
      </c>
      <c r="M234" s="204">
        <f t="shared" si="58"/>
        <v>0</v>
      </c>
      <c r="N234" s="505">
        <f t="shared" si="59"/>
        <v>0</v>
      </c>
      <c r="O234" s="204">
        <f>IF(DG!$A$135&gt;12,0,IF(J234-J233&gt;0,MROUND((L234/12*Q233),1),MROUND(L234/12*P233,1)))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IF(OR(L$73=0,DG!$A$256&gt;16),0,F234+1)</f>
        <v>0</v>
      </c>
      <c r="G235" s="65">
        <f t="shared" si="53"/>
        <v>0</v>
      </c>
      <c r="H235" s="65">
        <f t="shared" si="50"/>
        <v>0</v>
      </c>
      <c r="I235" s="65">
        <f t="shared" si="47"/>
        <v>0</v>
      </c>
      <c r="J235" s="203">
        <f>IF(DG!$A$135&lt;=11,$M$17,0)</f>
        <v>0</v>
      </c>
      <c r="K235" s="65">
        <f t="shared" si="51"/>
        <v>0</v>
      </c>
      <c r="L235" s="473">
        <f t="shared" si="57"/>
        <v>0</v>
      </c>
      <c r="M235" s="204">
        <f t="shared" si="58"/>
        <v>0</v>
      </c>
      <c r="N235" s="505">
        <f t="shared" si="59"/>
        <v>0</v>
      </c>
      <c r="O235" s="204">
        <f>IF(DG!$A$135&gt;12,0,IF(J235-J234&gt;0,MROUND((L235/12*Q234),1),MROUND(L235/12*P234,1)))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IF(OR(L$73=0,DG!$A$256&gt;16),0,F235+1)</f>
        <v>0</v>
      </c>
      <c r="G236" s="65">
        <f t="shared" si="53"/>
        <v>0</v>
      </c>
      <c r="H236" s="65">
        <f t="shared" si="50"/>
        <v>0</v>
      </c>
      <c r="I236" s="65">
        <f t="shared" si="47"/>
        <v>0</v>
      </c>
      <c r="J236" s="203">
        <f>IF(DG!$A$135&lt;=11,$M$17,0)</f>
        <v>0</v>
      </c>
      <c r="K236" s="65">
        <f t="shared" si="51"/>
        <v>0</v>
      </c>
      <c r="L236" s="473">
        <f t="shared" si="57"/>
        <v>0</v>
      </c>
      <c r="M236" s="204">
        <f t="shared" si="58"/>
        <v>0</v>
      </c>
      <c r="N236" s="505">
        <f t="shared" si="59"/>
        <v>0</v>
      </c>
      <c r="O236" s="204">
        <f>IF(DG!$A$135&gt;12,0,IF(J236-J235&gt;0,MROUND((L236/12*Q235),1),MROUND(L236/12*P235,1)))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IF(OR(L$73=0,DG!$A$256&gt;16),0,F236+1)</f>
        <v>0</v>
      </c>
      <c r="G237" s="65">
        <f t="shared" si="53"/>
        <v>0</v>
      </c>
      <c r="H237" s="65">
        <f t="shared" si="50"/>
        <v>0</v>
      </c>
      <c r="I237" s="65">
        <f t="shared" si="47"/>
        <v>0</v>
      </c>
      <c r="J237" s="203">
        <f>IF(DG!$A$135&lt;=11,$M$17,0)</f>
        <v>0</v>
      </c>
      <c r="K237" s="65">
        <f t="shared" si="51"/>
        <v>0</v>
      </c>
      <c r="L237" s="473">
        <f t="shared" si="57"/>
        <v>0</v>
      </c>
      <c r="M237" s="204">
        <f t="shared" si="58"/>
        <v>0</v>
      </c>
      <c r="N237" s="505">
        <f t="shared" si="59"/>
        <v>0</v>
      </c>
      <c r="O237" s="204">
        <f>IF(DG!$A$135&gt;12,0,IF(J237-J236&gt;0,MROUND((L237/12*Q236),1),MROUND(L237/12*P236,1)))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IF(OR(L$73=0,DG!$A$256&gt;16),0,F237+1)</f>
        <v>0</v>
      </c>
      <c r="G238" s="65">
        <f t="shared" si="53"/>
        <v>0</v>
      </c>
      <c r="H238" s="65">
        <f t="shared" si="50"/>
        <v>0</v>
      </c>
      <c r="I238" s="65">
        <f t="shared" si="47"/>
        <v>0</v>
      </c>
      <c r="J238" s="203">
        <f>IF(DG!$A$135&lt;=11,$M$17,0)</f>
        <v>0</v>
      </c>
      <c r="K238" s="65">
        <f t="shared" si="51"/>
        <v>0</v>
      </c>
      <c r="L238" s="473">
        <f t="shared" si="57"/>
        <v>0</v>
      </c>
      <c r="M238" s="204">
        <f t="shared" si="58"/>
        <v>0</v>
      </c>
      <c r="N238" s="505">
        <f t="shared" si="59"/>
        <v>0</v>
      </c>
      <c r="O238" s="204">
        <f>IF(DG!$A$135&gt;12,0,IF(J238-J237&gt;0,MROUND((L238/12*Q237),1),MROUND(L238/12*P237,1)))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IF(OR(L$73=0,DG!$A$256&gt;16),0,F238+1)</f>
        <v>0</v>
      </c>
      <c r="G239" s="65">
        <f t="shared" si="53"/>
        <v>0</v>
      </c>
      <c r="H239" s="65">
        <f t="shared" si="50"/>
        <v>0</v>
      </c>
      <c r="I239" s="65">
        <f t="shared" si="47"/>
        <v>0</v>
      </c>
      <c r="J239" s="203">
        <f>IF(DG!$A$135&lt;=11,$M$17,0)</f>
        <v>0</v>
      </c>
      <c r="K239" s="65">
        <f t="shared" si="51"/>
        <v>0</v>
      </c>
      <c r="L239" s="473">
        <f t="shared" si="57"/>
        <v>0</v>
      </c>
      <c r="M239" s="204">
        <f t="shared" si="58"/>
        <v>0</v>
      </c>
      <c r="N239" s="505">
        <f t="shared" si="59"/>
        <v>0</v>
      </c>
      <c r="O239" s="204">
        <f>IF(DG!$A$135&gt;12,0,IF(J239-J238&gt;0,MROUND((L239/12*Q238),1),MROUND(L239/12*P238,1)))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IF(OR(L$73=0,DG!$A$256&gt;16),0,F239+1)</f>
        <v>0</v>
      </c>
      <c r="G240" s="65">
        <f t="shared" si="53"/>
        <v>0</v>
      </c>
      <c r="H240" s="65">
        <f t="shared" si="50"/>
        <v>0</v>
      </c>
      <c r="I240" s="65">
        <f t="shared" si="47"/>
        <v>0</v>
      </c>
      <c r="J240" s="203">
        <f>IF(DG!$A$135&lt;=11,$M$17,0)</f>
        <v>0</v>
      </c>
      <c r="K240" s="65">
        <f t="shared" si="51"/>
        <v>0</v>
      </c>
      <c r="L240" s="473">
        <f t="shared" si="57"/>
        <v>0</v>
      </c>
      <c r="M240" s="204">
        <f t="shared" si="58"/>
        <v>0</v>
      </c>
      <c r="N240" s="505">
        <f t="shared" si="59"/>
        <v>0</v>
      </c>
      <c r="O240" s="204">
        <f>IF(DG!$A$135&gt;12,0,IF(J240-J239&gt;0,MROUND((L240/12*Q239),1),MROUND(L240/12*P239,1)))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IF(OR(L$73=0,DG!$A$256&gt;16),0,F240+1)</f>
        <v>0</v>
      </c>
      <c r="G241" s="65">
        <f t="shared" si="53"/>
        <v>0</v>
      </c>
      <c r="H241" s="65">
        <f t="shared" si="50"/>
        <v>0</v>
      </c>
      <c r="I241" s="65">
        <f t="shared" si="47"/>
        <v>0</v>
      </c>
      <c r="J241" s="203">
        <f>IF(DG!$A$135&lt;=11,$M$17,0)</f>
        <v>0</v>
      </c>
      <c r="K241" s="65">
        <f t="shared" si="51"/>
        <v>0</v>
      </c>
      <c r="L241" s="473">
        <f t="shared" si="57"/>
        <v>0</v>
      </c>
      <c r="M241" s="204">
        <f t="shared" si="58"/>
        <v>0</v>
      </c>
      <c r="N241" s="505">
        <f t="shared" si="59"/>
        <v>0</v>
      </c>
      <c r="O241" s="204">
        <f>IF(DG!$A$135&gt;12,0,IF(J241-J240&gt;0,MROUND((L241/12*Q240),1),MROUND(L241/12*P240,1)))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IF(OR(L$73=0,DG!$A$256&gt;16),0,F241+1)</f>
        <v>0</v>
      </c>
      <c r="G242" s="65">
        <f t="shared" si="53"/>
        <v>0</v>
      </c>
      <c r="H242" s="65">
        <f t="shared" si="50"/>
        <v>0</v>
      </c>
      <c r="I242" s="65">
        <f t="shared" si="47"/>
        <v>0</v>
      </c>
      <c r="J242" s="203">
        <f>IF(DG!$A$135&lt;=11,$M$17,0)</f>
        <v>0</v>
      </c>
      <c r="K242" s="65">
        <f t="shared" si="51"/>
        <v>0</v>
      </c>
      <c r="L242" s="473">
        <f t="shared" si="57"/>
        <v>0</v>
      </c>
      <c r="M242" s="204">
        <f t="shared" si="58"/>
        <v>0</v>
      </c>
      <c r="N242" s="505">
        <f t="shared" si="59"/>
        <v>0</v>
      </c>
      <c r="O242" s="204">
        <f>IF(DG!$A$135&gt;12,0,IF(J242-J241&gt;0,MROUND((L242/12*Q241),1),MROUND(L242/12*P241,1)))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IF(OR(L$73=0,DG!$A$256&gt;16),0,F242+1)</f>
        <v>0</v>
      </c>
      <c r="G243" s="65">
        <f t="shared" si="53"/>
        <v>0</v>
      </c>
      <c r="H243" s="65">
        <f t="shared" si="50"/>
        <v>0</v>
      </c>
      <c r="I243" s="65">
        <f t="shared" si="47"/>
        <v>0</v>
      </c>
      <c r="J243" s="203">
        <f>IF(DG!$A$135&lt;=11,$M$17,0)</f>
        <v>0</v>
      </c>
      <c r="K243" s="65">
        <f t="shared" si="51"/>
        <v>0</v>
      </c>
      <c r="L243" s="473">
        <f t="shared" si="57"/>
        <v>0</v>
      </c>
      <c r="M243" s="204">
        <f t="shared" si="58"/>
        <v>0</v>
      </c>
      <c r="N243" s="505">
        <f t="shared" si="59"/>
        <v>0</v>
      </c>
      <c r="O243" s="204">
        <f>IF(DG!$A$135&gt;12,0,IF(J243-J242&gt;0,MROUND((L243/12*Q242),1),MROUND(L243/12*P242,1)))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IF(OR(L$73=0,DG!$A$256&gt;16),0,F243+1)</f>
        <v>0</v>
      </c>
      <c r="G244" s="65">
        <f t="shared" si="53"/>
        <v>0</v>
      </c>
      <c r="H244" s="65">
        <f t="shared" si="50"/>
        <v>0</v>
      </c>
      <c r="I244" s="65">
        <f t="shared" si="47"/>
        <v>0</v>
      </c>
      <c r="J244" s="203">
        <f>IF(DG!$A$135&lt;=11,$M$17,0)</f>
        <v>0</v>
      </c>
      <c r="K244" s="65">
        <f t="shared" si="51"/>
        <v>0</v>
      </c>
      <c r="L244" s="473">
        <f t="shared" si="57"/>
        <v>0</v>
      </c>
      <c r="M244" s="204">
        <f t="shared" si="58"/>
        <v>0</v>
      </c>
      <c r="N244" s="505">
        <f t="shared" si="59"/>
        <v>0</v>
      </c>
      <c r="O244" s="204">
        <f>IF(DG!$A$135&gt;12,0,IF(J244-J243&gt;0,MROUND((L244/12*Q243),1),MROUND(L244/12*P243,1)))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IF(OR(L$73=0,DG!$A$256&gt;16),0,F244+1)</f>
        <v>0</v>
      </c>
      <c r="G245" s="65">
        <f t="shared" si="53"/>
        <v>0</v>
      </c>
      <c r="H245" s="65">
        <f t="shared" si="50"/>
        <v>0</v>
      </c>
      <c r="I245" s="65">
        <f t="shared" si="47"/>
        <v>0</v>
      </c>
      <c r="J245" s="203">
        <f>IF(DG!$A$135&lt;=11,$M$17,0)</f>
        <v>0</v>
      </c>
      <c r="K245" s="65">
        <f t="shared" si="51"/>
        <v>0</v>
      </c>
      <c r="L245" s="473">
        <f t="shared" si="57"/>
        <v>0</v>
      </c>
      <c r="M245" s="204">
        <f t="shared" si="58"/>
        <v>0</v>
      </c>
      <c r="N245" s="505">
        <f t="shared" si="59"/>
        <v>0</v>
      </c>
      <c r="O245" s="204">
        <f>IF(DG!$A$135&gt;12,0,IF(J245-J244&gt;0,MROUND((L245/12*Q244),1),MROUND(L245/12*P244,1)))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IF(OR(L$73=0,DG!$A$256&gt;16),0,F245+1)</f>
        <v>0</v>
      </c>
      <c r="G246" s="65">
        <f t="shared" si="53"/>
        <v>0</v>
      </c>
      <c r="H246" s="65">
        <f t="shared" si="50"/>
        <v>0</v>
      </c>
      <c r="I246" s="65">
        <f t="shared" si="47"/>
        <v>0</v>
      </c>
      <c r="J246" s="203">
        <f>IF(DG!$A$135&lt;=11,$M$17,0)</f>
        <v>0</v>
      </c>
      <c r="K246" s="65">
        <f t="shared" si="51"/>
        <v>0</v>
      </c>
      <c r="L246" s="473">
        <f t="shared" si="57"/>
        <v>0</v>
      </c>
      <c r="M246" s="204">
        <f t="shared" si="58"/>
        <v>0</v>
      </c>
      <c r="N246" s="505">
        <f t="shared" si="59"/>
        <v>0</v>
      </c>
      <c r="O246" s="204">
        <f>IF(DG!$A$135&gt;12,0,IF(J246-J245&gt;0,MROUND((L246/12*Q245),1),MROUND(L246/12*P245,1)))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IF(OR(L$73=0,DG!$A$256&gt;16),0,F246+1)</f>
        <v>0</v>
      </c>
      <c r="G247" s="65">
        <f t="shared" si="53"/>
        <v>0</v>
      </c>
      <c r="H247" s="65">
        <f t="shared" si="50"/>
        <v>0</v>
      </c>
      <c r="I247" s="65">
        <f t="shared" si="47"/>
        <v>0</v>
      </c>
      <c r="J247" s="203">
        <f>IF(DG!$A$135&lt;=11,$M$17,0)</f>
        <v>0</v>
      </c>
      <c r="K247" s="65">
        <f t="shared" si="51"/>
        <v>0</v>
      </c>
      <c r="L247" s="473">
        <f t="shared" si="57"/>
        <v>0</v>
      </c>
      <c r="M247" s="204">
        <f t="shared" si="58"/>
        <v>0</v>
      </c>
      <c r="N247" s="505">
        <f t="shared" si="59"/>
        <v>0</v>
      </c>
      <c r="O247" s="204">
        <f>IF(DG!$A$135&gt;12,0,IF(J247-J246&gt;0,MROUND((L247/12*Q246),1),MROUND(L247/12*P246,1)))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IF(OR(L$73=0,DG!$A$256&gt;16),0,F247+1)</f>
        <v>0</v>
      </c>
      <c r="G248" s="65">
        <f t="shared" si="53"/>
        <v>0</v>
      </c>
      <c r="H248" s="65">
        <f t="shared" si="50"/>
        <v>0</v>
      </c>
      <c r="I248" s="65">
        <f t="shared" si="47"/>
        <v>0</v>
      </c>
      <c r="J248" s="203">
        <f>IF(DG!$A$135&lt;=11,$M$17,0)</f>
        <v>0</v>
      </c>
      <c r="K248" s="65">
        <f t="shared" si="51"/>
        <v>0</v>
      </c>
      <c r="L248" s="473">
        <f t="shared" si="57"/>
        <v>0</v>
      </c>
      <c r="M248" s="204">
        <f t="shared" si="58"/>
        <v>0</v>
      </c>
      <c r="N248" s="505">
        <f t="shared" si="59"/>
        <v>0</v>
      </c>
      <c r="O248" s="204">
        <f>IF(DG!$A$135&gt;12,0,IF(J248-J247&gt;0,MROUND((L248/12*Q247),1),MROUND(L248/12*P247,1)))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IF(OR(L$73=0,DG!$A$256&gt;16),0,F248+1)</f>
        <v>0</v>
      </c>
      <c r="G249" s="65">
        <f t="shared" si="53"/>
        <v>0</v>
      </c>
      <c r="H249" s="65">
        <f t="shared" si="50"/>
        <v>0</v>
      </c>
      <c r="I249" s="65">
        <f t="shared" si="47"/>
        <v>0</v>
      </c>
      <c r="J249" s="203">
        <f>IF(DG!$A$135&lt;=11,$M$17,0)</f>
        <v>0</v>
      </c>
      <c r="K249" s="65">
        <f t="shared" si="51"/>
        <v>0</v>
      </c>
      <c r="L249" s="473">
        <f t="shared" si="57"/>
        <v>0</v>
      </c>
      <c r="M249" s="204">
        <f t="shared" si="58"/>
        <v>0</v>
      </c>
      <c r="N249" s="505">
        <f t="shared" si="59"/>
        <v>0</v>
      </c>
      <c r="O249" s="204">
        <f>IF(DG!$A$135&gt;12,0,IF(J249-J248&gt;0,MROUND((L249/12*Q248),1),MROUND(L249/12*P248,1)))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IF(OR(L$73=0,DG!$A$256&gt;16),0,F249+1)</f>
        <v>0</v>
      </c>
      <c r="G250" s="65">
        <f t="shared" si="53"/>
        <v>0</v>
      </c>
      <c r="H250" s="65">
        <f t="shared" si="50"/>
        <v>0</v>
      </c>
      <c r="I250" s="65">
        <f t="shared" si="47"/>
        <v>0</v>
      </c>
      <c r="J250" s="203">
        <f>IF(DG!$A$135&lt;=11,$M$17,0)</f>
        <v>0</v>
      </c>
      <c r="K250" s="65">
        <f t="shared" si="51"/>
        <v>0</v>
      </c>
      <c r="L250" s="473">
        <f t="shared" si="57"/>
        <v>0</v>
      </c>
      <c r="M250" s="204">
        <f t="shared" si="58"/>
        <v>0</v>
      </c>
      <c r="N250" s="505">
        <f t="shared" si="59"/>
        <v>0</v>
      </c>
      <c r="O250" s="204">
        <f>IF(DG!$A$135&gt;12,0,IF(J250-J249&gt;0,MROUND((L250/12*Q249),1),MROUND(L250/12*P249,1)))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IF(OR(L$73=0,DG!$A$256&gt;16),0,F250+1)</f>
        <v>0</v>
      </c>
      <c r="G251" s="65">
        <f t="shared" si="53"/>
        <v>0</v>
      </c>
      <c r="H251" s="65">
        <f t="shared" si="50"/>
        <v>0</v>
      </c>
      <c r="I251" s="65">
        <f t="shared" si="47"/>
        <v>0</v>
      </c>
      <c r="J251" s="203">
        <f>IF(DG!$A$135&lt;=11,$M$17,0)</f>
        <v>0</v>
      </c>
      <c r="K251" s="65">
        <f t="shared" si="51"/>
        <v>0</v>
      </c>
      <c r="L251" s="473">
        <f t="shared" si="57"/>
        <v>0</v>
      </c>
      <c r="M251" s="204">
        <f t="shared" si="58"/>
        <v>0</v>
      </c>
      <c r="N251" s="505">
        <f t="shared" si="59"/>
        <v>0</v>
      </c>
      <c r="O251" s="204">
        <f>IF(DG!$A$135&gt;12,0,IF(J251-J250&gt;0,MROUND((L251/12*Q250),1),MROUND(L251/12*P250,1)))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IF(OR(L$73=0,DG!$A$256&gt;16),0,F251+1)</f>
        <v>0</v>
      </c>
      <c r="G252" s="65">
        <f t="shared" si="53"/>
        <v>0</v>
      </c>
      <c r="H252" s="65">
        <f t="shared" si="50"/>
        <v>0</v>
      </c>
      <c r="I252" s="65">
        <f t="shared" si="47"/>
        <v>0</v>
      </c>
      <c r="J252" s="203">
        <f>IF(DG!$A$135&lt;=11,$M$17,0)</f>
        <v>0</v>
      </c>
      <c r="K252" s="65">
        <f t="shared" si="51"/>
        <v>0</v>
      </c>
      <c r="L252" s="473">
        <f t="shared" si="57"/>
        <v>0</v>
      </c>
      <c r="M252" s="204">
        <f t="shared" si="58"/>
        <v>0</v>
      </c>
      <c r="N252" s="505">
        <f t="shared" si="59"/>
        <v>0</v>
      </c>
      <c r="O252" s="204">
        <f>IF(DG!$A$135&gt;12,0,IF(J252-J251&gt;0,MROUND((L252/12*Q251),1),MROUND(L252/12*P251,1)))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IF(OR(L$73=0,DG!$A$256&gt;16),0,F252+1)</f>
        <v>0</v>
      </c>
      <c r="G253" s="65">
        <f t="shared" si="53"/>
        <v>0</v>
      </c>
      <c r="H253" s="65">
        <f t="shared" si="50"/>
        <v>0</v>
      </c>
      <c r="I253" s="65">
        <f t="shared" si="47"/>
        <v>0</v>
      </c>
      <c r="J253" s="203">
        <f>IF(DG!$A$135&lt;=11,$M$17,0)</f>
        <v>0</v>
      </c>
      <c r="K253" s="65">
        <f t="shared" si="51"/>
        <v>0</v>
      </c>
      <c r="L253" s="473">
        <f t="shared" si="57"/>
        <v>0</v>
      </c>
      <c r="M253" s="204">
        <f t="shared" si="58"/>
        <v>0</v>
      </c>
      <c r="N253" s="505">
        <f t="shared" si="59"/>
        <v>0</v>
      </c>
      <c r="O253" s="204">
        <f>IF(DG!$A$135&gt;12,0,IF(J253-J252&gt;0,MROUND((L253/12*Q252),1),MROUND(L253/12*P252,1)))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IF(OR(L$73=0,DG!$A$256&gt;16),0,F253+1)</f>
        <v>0</v>
      </c>
      <c r="G254" s="65">
        <f t="shared" si="53"/>
        <v>0</v>
      </c>
      <c r="H254" s="65">
        <f t="shared" si="50"/>
        <v>0</v>
      </c>
      <c r="I254" s="65">
        <f t="shared" si="47"/>
        <v>0</v>
      </c>
      <c r="J254" s="203">
        <f>IF(DG!$A$135&lt;=11,$M$17,0)</f>
        <v>0</v>
      </c>
      <c r="K254" s="65">
        <f t="shared" si="51"/>
        <v>0</v>
      </c>
      <c r="L254" s="473">
        <f t="shared" si="57"/>
        <v>0</v>
      </c>
      <c r="M254" s="204">
        <f t="shared" si="58"/>
        <v>0</v>
      </c>
      <c r="N254" s="505">
        <f t="shared" si="59"/>
        <v>0</v>
      </c>
      <c r="O254" s="204">
        <f>IF(DG!$A$135&gt;12,0,IF(J254-J253&gt;0,MROUND((L254/12*Q253),1),MROUND(L254/12*P253,1)))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IF(OR(L$73=0,DG!$A$256&gt;16),0,F254+1)</f>
        <v>0</v>
      </c>
      <c r="G255" s="65">
        <f t="shared" si="53"/>
        <v>0</v>
      </c>
      <c r="H255" s="65">
        <f t="shared" si="50"/>
        <v>0</v>
      </c>
      <c r="I255" s="65">
        <f t="shared" si="47"/>
        <v>0</v>
      </c>
      <c r="J255" s="203">
        <f>IF(DG!$A$135&lt;=11,$M$17,0)</f>
        <v>0</v>
      </c>
      <c r="K255" s="65">
        <f t="shared" si="51"/>
        <v>0</v>
      </c>
      <c r="L255" s="473">
        <f t="shared" si="57"/>
        <v>0</v>
      </c>
      <c r="M255" s="204">
        <f t="shared" si="58"/>
        <v>0</v>
      </c>
      <c r="N255" s="505">
        <f t="shared" si="59"/>
        <v>0</v>
      </c>
      <c r="O255" s="204">
        <f>IF(DG!$A$135&gt;12,0,IF(J255-J254&gt;0,MROUND((L255/12*Q254),1),MROUND(L255/12*P254,1)))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IF(OR(L$73=0,DG!$A$256&gt;16),0,F255+1)</f>
        <v>0</v>
      </c>
      <c r="G256" s="65">
        <f t="shared" si="53"/>
        <v>0</v>
      </c>
      <c r="H256" s="65">
        <f t="shared" si="50"/>
        <v>0</v>
      </c>
      <c r="I256" s="65">
        <f t="shared" si="47"/>
        <v>0</v>
      </c>
      <c r="J256" s="203">
        <f>IF(DG!$A$135&lt;=11,$M$17,0)</f>
        <v>0</v>
      </c>
      <c r="K256" s="65">
        <f t="shared" si="51"/>
        <v>0</v>
      </c>
      <c r="L256" s="473">
        <f t="shared" si="57"/>
        <v>0</v>
      </c>
      <c r="M256" s="204">
        <f t="shared" si="58"/>
        <v>0</v>
      </c>
      <c r="N256" s="505">
        <f t="shared" si="59"/>
        <v>0</v>
      </c>
      <c r="O256" s="204">
        <f>IF(DG!$A$135&gt;12,0,IF(J256-J255&gt;0,MROUND((L256/12*Q255),1),MROUND(L256/12*P255,1)))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IF(OR(L$73=0,DG!$A$256&gt;16),0,F256+1)</f>
        <v>0</v>
      </c>
      <c r="G257" s="65">
        <f t="shared" si="53"/>
        <v>0</v>
      </c>
      <c r="H257" s="65">
        <f t="shared" si="50"/>
        <v>0</v>
      </c>
      <c r="I257" s="65">
        <f t="shared" ref="I257:I265" si="62">IF(OR(G257=1,C257=0),0,IF(K257-C257&lt;$G$269,1,-1))</f>
        <v>0</v>
      </c>
      <c r="J257" s="203">
        <f>IF(DG!$A$135&lt;=11,$M$17,0)</f>
        <v>0</v>
      </c>
      <c r="K257" s="65">
        <f t="shared" si="51"/>
        <v>0</v>
      </c>
      <c r="L257" s="473">
        <f t="shared" si="57"/>
        <v>0</v>
      </c>
      <c r="M257" s="204">
        <f t="shared" si="58"/>
        <v>0</v>
      </c>
      <c r="N257" s="505">
        <f t="shared" si="59"/>
        <v>0</v>
      </c>
      <c r="O257" s="204">
        <f>IF(DG!$A$135&gt;12,0,IF(J257-J256&gt;0,MROUND((L257/12*Q256),1),MROUND(L257/12*P256,1)))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IF(OR(L$73=0,DG!$A$256&gt;16),0,F257+1)</f>
        <v>0</v>
      </c>
      <c r="G258" s="65">
        <f t="shared" si="53"/>
        <v>0</v>
      </c>
      <c r="H258" s="65">
        <f t="shared" si="50"/>
        <v>0</v>
      </c>
      <c r="I258" s="65">
        <f t="shared" si="62"/>
        <v>0</v>
      </c>
      <c r="J258" s="203">
        <f>IF(DG!$A$135&lt;=11,$M$17,0)</f>
        <v>0</v>
      </c>
      <c r="K258" s="65">
        <f t="shared" si="51"/>
        <v>0</v>
      </c>
      <c r="L258" s="473">
        <f t="shared" si="57"/>
        <v>0</v>
      </c>
      <c r="M258" s="204">
        <f t="shared" si="58"/>
        <v>0</v>
      </c>
      <c r="N258" s="505">
        <f t="shared" si="59"/>
        <v>0</v>
      </c>
      <c r="O258" s="204">
        <f>IF(DG!$A$135&gt;12,0,IF(J258-J257&gt;0,MROUND((L258/12*Q257),1),MROUND(L258/12*P257,1)))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IF(OR(L$73=0,DG!$A$256&gt;16),0,F258+1)</f>
        <v>0</v>
      </c>
      <c r="G259" s="65">
        <f t="shared" si="53"/>
        <v>0</v>
      </c>
      <c r="H259" s="65">
        <f t="shared" si="50"/>
        <v>0</v>
      </c>
      <c r="I259" s="65">
        <f t="shared" si="62"/>
        <v>0</v>
      </c>
      <c r="J259" s="203">
        <f>IF(DG!$A$135&lt;=11,$M$17,0)</f>
        <v>0</v>
      </c>
      <c r="K259" s="65">
        <f t="shared" si="51"/>
        <v>0</v>
      </c>
      <c r="L259" s="473">
        <f t="shared" si="57"/>
        <v>0</v>
      </c>
      <c r="M259" s="204">
        <f t="shared" si="58"/>
        <v>0</v>
      </c>
      <c r="N259" s="505">
        <f t="shared" si="59"/>
        <v>0</v>
      </c>
      <c r="O259" s="204">
        <f>IF(DG!$A$135&gt;12,0,IF(J259-J258&gt;0,MROUND((L259/12*Q258),1),MROUND(L259/12*P258,1)))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IF(OR(L$73=0,DG!$A$256&gt;16),0,F259+1)</f>
        <v>0</v>
      </c>
      <c r="G260" s="65">
        <f t="shared" si="53"/>
        <v>0</v>
      </c>
      <c r="H260" s="65">
        <f t="shared" si="50"/>
        <v>0</v>
      </c>
      <c r="I260" s="65">
        <f t="shared" si="62"/>
        <v>0</v>
      </c>
      <c r="J260" s="203">
        <f>IF(DG!$A$135&lt;=11,$M$17,0)</f>
        <v>0</v>
      </c>
      <c r="K260" s="65">
        <f t="shared" si="51"/>
        <v>0</v>
      </c>
      <c r="L260" s="473">
        <f t="shared" si="57"/>
        <v>0</v>
      </c>
      <c r="M260" s="204">
        <f t="shared" si="58"/>
        <v>0</v>
      </c>
      <c r="N260" s="505">
        <f t="shared" si="59"/>
        <v>0</v>
      </c>
      <c r="O260" s="204">
        <f>IF(DG!$A$135&gt;12,0,IF(J260-J259&gt;0,MROUND((L260/12*Q259),1),MROUND(L260/12*P259,1)))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IF(OR(L$73=0,DG!$A$256&gt;16),0,F260+1)</f>
        <v>0</v>
      </c>
      <c r="G261" s="65">
        <f t="shared" si="53"/>
        <v>0</v>
      </c>
      <c r="H261" s="65">
        <f t="shared" si="50"/>
        <v>0</v>
      </c>
      <c r="I261" s="65">
        <f t="shared" si="62"/>
        <v>0</v>
      </c>
      <c r="J261" s="203">
        <f>IF(DG!$A$135&lt;=11,$M$17,0)</f>
        <v>0</v>
      </c>
      <c r="K261" s="65">
        <f t="shared" si="51"/>
        <v>0</v>
      </c>
      <c r="L261" s="473">
        <f t="shared" si="57"/>
        <v>0</v>
      </c>
      <c r="M261" s="204">
        <f t="shared" si="58"/>
        <v>0</v>
      </c>
      <c r="N261" s="505">
        <f t="shared" si="59"/>
        <v>0</v>
      </c>
      <c r="O261" s="204">
        <f>IF(DG!$A$135&gt;12,0,IF(J261-J260&gt;0,MROUND((L261/12*Q260),1),MROUND(L261/12*P260,1)))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IF(OR(L$73=0,DG!$A$256&gt;16),0,F261+1)</f>
        <v>0</v>
      </c>
      <c r="G262" s="65">
        <f t="shared" si="53"/>
        <v>0</v>
      </c>
      <c r="H262" s="65">
        <f t="shared" si="50"/>
        <v>0</v>
      </c>
      <c r="I262" s="65">
        <f t="shared" si="62"/>
        <v>0</v>
      </c>
      <c r="J262" s="203">
        <f>IF(DG!$A$135&lt;=11,$M$17,0)</f>
        <v>0</v>
      </c>
      <c r="K262" s="65">
        <f t="shared" si="51"/>
        <v>0</v>
      </c>
      <c r="L262" s="473">
        <f t="shared" si="57"/>
        <v>0</v>
      </c>
      <c r="M262" s="204">
        <f t="shared" si="58"/>
        <v>0</v>
      </c>
      <c r="N262" s="505">
        <f t="shared" si="59"/>
        <v>0</v>
      </c>
      <c r="O262" s="204">
        <f>IF(DG!$A$135&gt;12,0,IF(J262-J261&gt;0,MROUND((L262/12*Q261),1),MROUND(L262/12*P261,1)))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IF(OR(L$73=0,DG!$A$256&gt;16),0,F262+1)</f>
        <v>0</v>
      </c>
      <c r="G263" s="65">
        <f t="shared" si="53"/>
        <v>0</v>
      </c>
      <c r="H263" s="65">
        <f t="shared" si="50"/>
        <v>0</v>
      </c>
      <c r="I263" s="65">
        <f t="shared" si="62"/>
        <v>0</v>
      </c>
      <c r="J263" s="203">
        <f>IF(DG!$A$135&lt;=11,$M$17,0)</f>
        <v>0</v>
      </c>
      <c r="K263" s="65">
        <f t="shared" si="51"/>
        <v>0</v>
      </c>
      <c r="L263" s="473">
        <f t="shared" si="57"/>
        <v>0</v>
      </c>
      <c r="M263" s="204">
        <f t="shared" si="58"/>
        <v>0</v>
      </c>
      <c r="N263" s="505">
        <f t="shared" si="59"/>
        <v>0</v>
      </c>
      <c r="O263" s="204">
        <f>IF(DG!$A$135&gt;12,0,IF(J263-J262&gt;0,MROUND((L263/12*Q262),1),MROUND(L263/12*P262,1)))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IF(OR(L$73=0,DG!$A$256&gt;16),0,F263+1)</f>
        <v>0</v>
      </c>
      <c r="G264" s="65">
        <f t="shared" si="53"/>
        <v>0</v>
      </c>
      <c r="H264" s="65">
        <f t="shared" si="50"/>
        <v>0</v>
      </c>
      <c r="I264" s="65">
        <f t="shared" si="62"/>
        <v>0</v>
      </c>
      <c r="J264" s="203">
        <f>IF(DG!$A$135&lt;=11,$M$17,0)</f>
        <v>0</v>
      </c>
      <c r="K264" s="65">
        <f t="shared" si="51"/>
        <v>0</v>
      </c>
      <c r="L264" s="473">
        <f t="shared" si="57"/>
        <v>0</v>
      </c>
      <c r="M264" s="204">
        <f t="shared" si="58"/>
        <v>0</v>
      </c>
      <c r="N264" s="505">
        <f t="shared" si="59"/>
        <v>0</v>
      </c>
      <c r="O264" s="204">
        <f>IF(DG!$A$135&gt;12,0,IF(J264-J263&gt;0,MROUND((L264/12*Q263),1),MROUND(L264/12*P263,1)))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IF(OR(L$73=0,DG!$A$256&gt;16),0,F264+1)</f>
        <v>0</v>
      </c>
      <c r="G265" s="65">
        <f t="shared" si="53"/>
        <v>0</v>
      </c>
      <c r="H265" s="65">
        <f t="shared" si="50"/>
        <v>0</v>
      </c>
      <c r="I265" s="65">
        <f t="shared" si="62"/>
        <v>0</v>
      </c>
      <c r="J265" s="203">
        <f>IF(DG!$A$135&lt;=11,$M$17,0)</f>
        <v>0</v>
      </c>
      <c r="K265" s="65">
        <f t="shared" si="51"/>
        <v>0</v>
      </c>
      <c r="L265" s="473">
        <f t="shared" si="57"/>
        <v>0</v>
      </c>
      <c r="M265" s="204">
        <f t="shared" si="58"/>
        <v>0</v>
      </c>
      <c r="N265" s="505">
        <f t="shared" si="59"/>
        <v>0</v>
      </c>
      <c r="O265" s="204">
        <f>IF(DG!$A$135&gt;12,0,IF(J265-J264&gt;0,MROUND((L265/12*Q264),1),MROUND(L265/12*P264,1)))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IF(DG!$A$135&gt;12,0,IF(J266-J265&gt;0,MROUND((L266/12*Q265),1),MROUND(L266/12*P265,1)))</f>
        <v>0</v>
      </c>
    </row>
    <row r="267" spans="1:19">
      <c r="H267" s="65">
        <f>IF(B267&gt;0,1,0)</f>
        <v>0</v>
      </c>
      <c r="I267" s="65">
        <f>SUM(E267:H267)</f>
        <v>0</v>
      </c>
      <c r="M267" s="205"/>
      <c r="N267" s="505">
        <f t="shared" si="59"/>
        <v>0</v>
      </c>
      <c r="O267" s="204">
        <f>IF(DG!$A$135&gt;12,0,IF(J267-J266&gt;0,MROUND((L267/12*Q266),1),MROUND(L267/12*P266,1)))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4" r:id="rId4" name="Drop Down 4">
              <controlPr defaultSize="0" autoFill="0" autoLine="0" autoPict="0">
                <anchor moveWithCells="1">
                  <from>
                    <xdr:col>15</xdr:col>
                    <xdr:colOff>0</xdr:colOff>
                    <xdr:row>15</xdr:row>
                    <xdr:rowOff>63500</xdr:rowOff>
                  </from>
                  <to>
                    <xdr:col>16</xdr:col>
                    <xdr:colOff>63500</xdr:colOff>
                    <xdr:row>17</xdr:row>
                    <xdr:rowOff>38100</xdr:rowOff>
                  </to>
                </anchor>
              </controlPr>
            </control>
          </mc:Choice>
        </mc:AlternateContent>
        <mc:AlternateContent xmlns:mc="http://schemas.openxmlformats.org/markup-compatibility/2006">
          <mc:Choice Requires="x14">
            <control shapeId="56326" r:id="rId5" name="Drop Down 6">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56329" r:id="rId6" name="Drop Down 9">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Feuil28">
    <pageSetUpPr fitToPage="1"/>
  </sheetPr>
  <dimension ref="A8:S269"/>
  <sheetViews>
    <sheetView showGridLines="0" showOutlineSymbols="0" zoomScale="120" zoomScaleNormal="120" workbookViewId="0">
      <selection activeCell="O2" sqref="O2"/>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148</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IF(OR(J$26=0,DG!$A$136&gt;1),0,B25+1)</f>
        <v>0</v>
      </c>
      <c r="C26" s="65">
        <f t="shared" ref="C26:C49" si="0">IF(F26-$E$269&gt;0,F26-$E$269,0)</f>
        <v>0</v>
      </c>
      <c r="D26" s="65">
        <v>1</v>
      </c>
      <c r="E26" s="65">
        <f>B26</f>
        <v>0</v>
      </c>
      <c r="F26" s="65">
        <f>IF(OR(L$26=0,DG!$A$257&gt;1),0,F25+1)</f>
        <v>0</v>
      </c>
      <c r="G26" s="65">
        <f t="shared" ref="G26:G89" si="1">IF(E26=0,0,IF(D26-E26-F26&gt;=0,1,0))</f>
        <v>0</v>
      </c>
      <c r="H26" s="65">
        <f t="shared" ref="H26:H89" si="2">IF(I26&gt;=0,0,H25+1)</f>
        <v>0</v>
      </c>
      <c r="I26" s="65">
        <f t="shared" ref="I26:I63" si="3">IF(OR(G26=1,C26=0),0,IF(K26-C26&lt;$G$269,1,-1))</f>
        <v>0</v>
      </c>
      <c r="J26" s="203">
        <f>IF(DG!$A$136&lt;=1,$M$17,0)</f>
        <v>0</v>
      </c>
      <c r="K26" s="65">
        <f>M21</f>
        <v>0</v>
      </c>
      <c r="L26" s="473">
        <f>IF($M$17&gt;0,$M$19+0.0000001,0)</f>
        <v>0</v>
      </c>
      <c r="M26" s="204">
        <f>IF(H26=0,0,IF($R$13=1,N26+O26,IF(N26=0,O26,-PMT(L26/12,K26-$G$269,J26))))</f>
        <v>0</v>
      </c>
      <c r="N26" s="505">
        <f>IF(OR(H26-K26&gt;0,I26&gt;=0),0,MROUND(-PPMT(L26/12,H26,K26-G269,J26),1)+R26)</f>
        <v>0</v>
      </c>
      <c r="O26" s="204">
        <f>IF(DG!$A$136&gt;1,0,IF(J26-J25&gt;0,MROUND((L26/12*Q25),1),MROUND(L26/12*P25,1)))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IF(OR(J$27=0,DG!$A$136&gt;1),0,B26+1)</f>
        <v>0</v>
      </c>
      <c r="C27" s="65">
        <f t="shared" si="0"/>
        <v>0</v>
      </c>
      <c r="D27" s="65">
        <f>D26+1</f>
        <v>2</v>
      </c>
      <c r="E27" s="65">
        <f t="shared" ref="E27:E90" si="6">B27</f>
        <v>0</v>
      </c>
      <c r="F27" s="65">
        <f>IF(OR(L$27=0,DG!$A$257&gt;1),0,F26+1)</f>
        <v>0</v>
      </c>
      <c r="G27" s="65">
        <f t="shared" si="1"/>
        <v>0</v>
      </c>
      <c r="H27" s="65">
        <f t="shared" si="2"/>
        <v>0</v>
      </c>
      <c r="I27" s="65">
        <f t="shared" si="3"/>
        <v>0</v>
      </c>
      <c r="J27" s="203">
        <f>IF(DG!$A$136&lt;=1,$M$17,0)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IF(DG!$A$136&gt;1,0,IF(J27-J26&gt;0,MROUND((L27/12*Q26),1),MROUND(L27/12*P26,1)))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IF(OR(J$28=0,DG!$A$136&gt;1),0,B27+1)</f>
        <v>0</v>
      </c>
      <c r="C28" s="65">
        <f t="shared" si="0"/>
        <v>0</v>
      </c>
      <c r="D28" s="65">
        <f t="shared" ref="D28:D91" si="12">D27+1</f>
        <v>3</v>
      </c>
      <c r="E28" s="65">
        <f t="shared" si="6"/>
        <v>0</v>
      </c>
      <c r="F28" s="65">
        <f>IF(OR(L$28=0,DG!$A$257&gt;1),0,F27+1)</f>
        <v>0</v>
      </c>
      <c r="G28" s="65">
        <f t="shared" si="1"/>
        <v>0</v>
      </c>
      <c r="H28" s="65">
        <f t="shared" si="2"/>
        <v>0</v>
      </c>
      <c r="I28" s="65">
        <f t="shared" si="3"/>
        <v>0</v>
      </c>
      <c r="J28" s="203">
        <f>IF(DG!$A$136&lt;=1,$M$17,0)</f>
        <v>0</v>
      </c>
      <c r="K28" s="65">
        <f t="shared" si="7"/>
        <v>0</v>
      </c>
      <c r="L28" s="473">
        <f t="shared" si="8"/>
        <v>0</v>
      </c>
      <c r="M28" s="204">
        <f t="shared" si="9"/>
        <v>0</v>
      </c>
      <c r="N28" s="505">
        <f t="shared" si="10"/>
        <v>0</v>
      </c>
      <c r="O28" s="204">
        <f>IF(DG!$A$136&gt;1,0,IF(J28-J27&gt;0,MROUND((L28/12*Q27),1),MROUND(L28/12*P27,1)))</f>
        <v>0</v>
      </c>
      <c r="P28" s="204">
        <f t="shared" si="11"/>
        <v>0</v>
      </c>
      <c r="Q28" s="204">
        <f t="shared" si="4"/>
        <v>0</v>
      </c>
      <c r="R28" s="748">
        <v>0</v>
      </c>
    </row>
    <row r="29" spans="1:18" ht="14" thickTop="1" thickBot="1">
      <c r="A29" s="202">
        <f t="shared" si="5"/>
        <v>45383</v>
      </c>
      <c r="B29" s="65">
        <f>IF(OR(J$29=0,DG!$A$136&gt;2),0,B28+1)</f>
        <v>0</v>
      </c>
      <c r="C29" s="65">
        <f t="shared" si="0"/>
        <v>0</v>
      </c>
      <c r="D29" s="65">
        <f t="shared" si="12"/>
        <v>4</v>
      </c>
      <c r="E29" s="65">
        <f t="shared" si="6"/>
        <v>0</v>
      </c>
      <c r="F29" s="65">
        <f>IF(OR(L$29=0,DG!$A$257&gt;2),0,F28+1)</f>
        <v>0</v>
      </c>
      <c r="G29" s="65">
        <f t="shared" si="1"/>
        <v>0</v>
      </c>
      <c r="H29" s="65">
        <f t="shared" si="2"/>
        <v>0</v>
      </c>
      <c r="I29" s="65">
        <f t="shared" si="3"/>
        <v>0</v>
      </c>
      <c r="J29" s="203">
        <f>IF(DG!$A$136&lt;=2,$M$17,0)</f>
        <v>0</v>
      </c>
      <c r="K29" s="65">
        <f t="shared" si="7"/>
        <v>0</v>
      </c>
      <c r="L29" s="473">
        <f t="shared" si="8"/>
        <v>0</v>
      </c>
      <c r="M29" s="204">
        <f t="shared" si="9"/>
        <v>0</v>
      </c>
      <c r="N29" s="505">
        <f t="shared" si="10"/>
        <v>0</v>
      </c>
      <c r="O29" s="204">
        <f>IF(DG!$A$136&gt;2,0,IF(J29-J28&gt;0,MROUND((L29/12*Q28),1),MROUND(L29/12*P28,1)))</f>
        <v>0</v>
      </c>
      <c r="P29" s="204">
        <f t="shared" si="11"/>
        <v>0</v>
      </c>
      <c r="Q29" s="204">
        <f t="shared" si="4"/>
        <v>0</v>
      </c>
      <c r="R29" s="748">
        <v>0</v>
      </c>
    </row>
    <row r="30" spans="1:18" ht="14" thickTop="1" thickBot="1">
      <c r="A30" s="202">
        <f t="shared" si="5"/>
        <v>45413</v>
      </c>
      <c r="B30" s="65">
        <f>IF(OR(J$30=0,DG!$A$136&gt;2),0,B29+1)</f>
        <v>0</v>
      </c>
      <c r="C30" s="65">
        <f t="shared" si="0"/>
        <v>0</v>
      </c>
      <c r="D30" s="65">
        <f t="shared" si="12"/>
        <v>5</v>
      </c>
      <c r="E30" s="65">
        <f t="shared" si="6"/>
        <v>0</v>
      </c>
      <c r="F30" s="65">
        <f>IF(OR(L$30=0,DG!$A$257&gt;2),0,F29+1)</f>
        <v>0</v>
      </c>
      <c r="G30" s="65">
        <f t="shared" si="1"/>
        <v>0</v>
      </c>
      <c r="H30" s="65">
        <f t="shared" si="2"/>
        <v>0</v>
      </c>
      <c r="I30" s="65">
        <f t="shared" si="3"/>
        <v>0</v>
      </c>
      <c r="J30" s="203">
        <f>IF(DG!$A$136&lt;=2,$M$17,0)</f>
        <v>0</v>
      </c>
      <c r="K30" s="65">
        <f t="shared" si="7"/>
        <v>0</v>
      </c>
      <c r="L30" s="473">
        <f t="shared" si="8"/>
        <v>0</v>
      </c>
      <c r="M30" s="204">
        <f t="shared" si="9"/>
        <v>0</v>
      </c>
      <c r="N30" s="505">
        <f t="shared" si="10"/>
        <v>0</v>
      </c>
      <c r="O30" s="204">
        <f>IF(DG!$A$136&gt;2,0,IF(J30-J29&gt;0,MROUND((L30/12*Q29),1),MROUND(L30/12*P29,1)))</f>
        <v>0</v>
      </c>
      <c r="P30" s="204">
        <f t="shared" si="11"/>
        <v>0</v>
      </c>
      <c r="Q30" s="204">
        <f t="shared" si="4"/>
        <v>0</v>
      </c>
      <c r="R30" s="748">
        <v>0</v>
      </c>
    </row>
    <row r="31" spans="1:18" ht="14" thickTop="1" thickBot="1">
      <c r="A31" s="202">
        <f t="shared" si="5"/>
        <v>45444</v>
      </c>
      <c r="B31" s="65">
        <f>IF(OR(J$31=0,DG!$A$136&gt;2),0,B30+1)</f>
        <v>0</v>
      </c>
      <c r="C31" s="65">
        <f t="shared" si="0"/>
        <v>0</v>
      </c>
      <c r="D31" s="65">
        <f t="shared" si="12"/>
        <v>6</v>
      </c>
      <c r="E31" s="65">
        <f t="shared" si="6"/>
        <v>0</v>
      </c>
      <c r="F31" s="65">
        <f>IF(OR(L$31=0,DG!$A$257&gt;2),0,F30+1)</f>
        <v>0</v>
      </c>
      <c r="G31" s="65">
        <f t="shared" si="1"/>
        <v>0</v>
      </c>
      <c r="H31" s="65">
        <f t="shared" si="2"/>
        <v>0</v>
      </c>
      <c r="I31" s="65">
        <f t="shared" si="3"/>
        <v>0</v>
      </c>
      <c r="J31" s="203">
        <f>IF(DG!$A$136&lt;=2,$M$17,0)</f>
        <v>0</v>
      </c>
      <c r="K31" s="65">
        <f t="shared" si="7"/>
        <v>0</v>
      </c>
      <c r="L31" s="473">
        <f t="shared" si="8"/>
        <v>0</v>
      </c>
      <c r="M31" s="204">
        <f t="shared" si="9"/>
        <v>0</v>
      </c>
      <c r="N31" s="505">
        <f t="shared" si="10"/>
        <v>0</v>
      </c>
      <c r="O31" s="204">
        <f>IF(DG!$A$136&gt;2,0,IF(J31-J30&gt;0,MROUND((L31/12*Q30),1),MROUND(L31/12*P30,1)))</f>
        <v>0</v>
      </c>
      <c r="P31" s="204">
        <f t="shared" si="11"/>
        <v>0</v>
      </c>
      <c r="Q31" s="204">
        <f t="shared" si="4"/>
        <v>0</v>
      </c>
      <c r="R31" s="748">
        <v>0</v>
      </c>
    </row>
    <row r="32" spans="1:18" ht="14" thickTop="1" thickBot="1">
      <c r="A32" s="202">
        <f t="shared" si="5"/>
        <v>45474</v>
      </c>
      <c r="B32" s="65">
        <f>IF(OR(J$32=0,DG!$A$136&gt;3),0,B31+1)</f>
        <v>0</v>
      </c>
      <c r="C32" s="65">
        <f t="shared" si="0"/>
        <v>0</v>
      </c>
      <c r="D32" s="65">
        <f t="shared" si="12"/>
        <v>7</v>
      </c>
      <c r="E32" s="65">
        <f t="shared" si="6"/>
        <v>0</v>
      </c>
      <c r="F32" s="65">
        <f>IF(OR(L$32=0,DG!$A$257&gt;3),0,F31+1)</f>
        <v>0</v>
      </c>
      <c r="G32" s="65">
        <f t="shared" si="1"/>
        <v>0</v>
      </c>
      <c r="H32" s="65">
        <f t="shared" si="2"/>
        <v>0</v>
      </c>
      <c r="I32" s="65">
        <f t="shared" si="3"/>
        <v>0</v>
      </c>
      <c r="J32" s="203">
        <f>IF(DG!$A$136&lt;=3,$M$17,0)</f>
        <v>0</v>
      </c>
      <c r="K32" s="65">
        <f t="shared" si="7"/>
        <v>0</v>
      </c>
      <c r="L32" s="473">
        <f t="shared" si="8"/>
        <v>0</v>
      </c>
      <c r="M32" s="204">
        <f t="shared" si="9"/>
        <v>0</v>
      </c>
      <c r="N32" s="505">
        <f t="shared" si="10"/>
        <v>0</v>
      </c>
      <c r="O32" s="204">
        <f>IF(DG!$A$136&gt;3,0,IF(J32-J31&gt;0,MROUND((L32/12*Q31),1),MROUND(L32/12*P31,1)))</f>
        <v>0</v>
      </c>
      <c r="P32" s="204">
        <f t="shared" si="11"/>
        <v>0</v>
      </c>
      <c r="Q32" s="204">
        <f t="shared" si="4"/>
        <v>0</v>
      </c>
      <c r="R32" s="748">
        <v>0</v>
      </c>
    </row>
    <row r="33" spans="1:19" ht="14" thickTop="1" thickBot="1">
      <c r="A33" s="202">
        <f t="shared" si="5"/>
        <v>45505</v>
      </c>
      <c r="B33" s="65">
        <f>IF(OR(J$33=0,DG!$A$136&gt;3),0,B32+1)</f>
        <v>0</v>
      </c>
      <c r="C33" s="65">
        <f t="shared" si="0"/>
        <v>0</v>
      </c>
      <c r="D33" s="65">
        <f t="shared" si="12"/>
        <v>8</v>
      </c>
      <c r="E33" s="65">
        <f t="shared" si="6"/>
        <v>0</v>
      </c>
      <c r="F33" s="65">
        <f>IF(OR(L$33=0,DG!$A$257&gt;3),0,F32+1)</f>
        <v>0</v>
      </c>
      <c r="G33" s="65">
        <f t="shared" si="1"/>
        <v>0</v>
      </c>
      <c r="H33" s="65">
        <f t="shared" si="2"/>
        <v>0</v>
      </c>
      <c r="I33" s="65">
        <f t="shared" si="3"/>
        <v>0</v>
      </c>
      <c r="J33" s="203">
        <f>IF(DG!$A$136&lt;=3,$M$17,0)</f>
        <v>0</v>
      </c>
      <c r="K33" s="65">
        <f t="shared" si="7"/>
        <v>0</v>
      </c>
      <c r="L33" s="473">
        <f t="shared" si="8"/>
        <v>0</v>
      </c>
      <c r="M33" s="204">
        <f t="shared" si="9"/>
        <v>0</v>
      </c>
      <c r="N33" s="505">
        <f t="shared" si="10"/>
        <v>0</v>
      </c>
      <c r="O33" s="204">
        <f>IF(DG!$A$136&gt;3,0,IF(J33-J32&gt;0,MROUND((L33/12*Q32),1),MROUND(L33/12*P32,1)))</f>
        <v>0</v>
      </c>
      <c r="P33" s="204">
        <f t="shared" si="11"/>
        <v>0</v>
      </c>
      <c r="Q33" s="204">
        <f t="shared" si="4"/>
        <v>0</v>
      </c>
      <c r="R33" s="748">
        <v>0</v>
      </c>
    </row>
    <row r="34" spans="1:19" ht="14" thickTop="1" thickBot="1">
      <c r="A34" s="202">
        <f t="shared" si="5"/>
        <v>45536</v>
      </c>
      <c r="B34" s="65">
        <f>IF(OR(J$34=0,DG!$A$136&gt;3),0,B33+1)</f>
        <v>0</v>
      </c>
      <c r="C34" s="65">
        <f t="shared" si="0"/>
        <v>0</v>
      </c>
      <c r="D34" s="65">
        <f t="shared" si="12"/>
        <v>9</v>
      </c>
      <c r="E34" s="65">
        <f t="shared" si="6"/>
        <v>0</v>
      </c>
      <c r="F34" s="65">
        <f>IF(OR(L$34=0,DG!$A$257&gt;3),0,F33+1)</f>
        <v>0</v>
      </c>
      <c r="G34" s="65">
        <f t="shared" si="1"/>
        <v>0</v>
      </c>
      <c r="H34" s="65">
        <f t="shared" si="2"/>
        <v>0</v>
      </c>
      <c r="I34" s="65">
        <f t="shared" si="3"/>
        <v>0</v>
      </c>
      <c r="J34" s="203">
        <f>IF(DG!$A$136&lt;=3,$M$17,0)</f>
        <v>0</v>
      </c>
      <c r="K34" s="65">
        <f t="shared" si="7"/>
        <v>0</v>
      </c>
      <c r="L34" s="473">
        <f t="shared" si="8"/>
        <v>0</v>
      </c>
      <c r="M34" s="204">
        <f t="shared" si="9"/>
        <v>0</v>
      </c>
      <c r="N34" s="505">
        <f t="shared" si="10"/>
        <v>0</v>
      </c>
      <c r="O34" s="204">
        <f>IF(DG!$A$136&gt;3,0,IF(J34-J33&gt;0,MROUND((L34/12*Q33),1),MROUND(L34/12*P33,1)))</f>
        <v>0</v>
      </c>
      <c r="P34" s="204">
        <f t="shared" si="11"/>
        <v>0</v>
      </c>
      <c r="Q34" s="204">
        <f t="shared" si="4"/>
        <v>0</v>
      </c>
      <c r="R34" s="748">
        <v>0</v>
      </c>
    </row>
    <row r="35" spans="1:19" ht="14" thickTop="1" thickBot="1">
      <c r="A35" s="202">
        <f t="shared" si="5"/>
        <v>45566</v>
      </c>
      <c r="B35" s="65">
        <f>IF(OR(J$35=0,DG!$A$136&gt;4),0,B34+1)</f>
        <v>0</v>
      </c>
      <c r="C35" s="65">
        <f t="shared" si="0"/>
        <v>0</v>
      </c>
      <c r="D35" s="65">
        <f t="shared" si="12"/>
        <v>10</v>
      </c>
      <c r="E35" s="65">
        <f t="shared" si="6"/>
        <v>0</v>
      </c>
      <c r="F35" s="65">
        <f>IF(OR(L$35=0,DG!$A$257&gt;4),0,F34+1)</f>
        <v>0</v>
      </c>
      <c r="G35" s="65">
        <f t="shared" si="1"/>
        <v>0</v>
      </c>
      <c r="H35" s="65">
        <f t="shared" si="2"/>
        <v>0</v>
      </c>
      <c r="I35" s="65">
        <f t="shared" si="3"/>
        <v>0</v>
      </c>
      <c r="J35" s="203">
        <f>IF(DG!$A$136&lt;=4,$M$17,0)</f>
        <v>0</v>
      </c>
      <c r="K35" s="65">
        <f t="shared" si="7"/>
        <v>0</v>
      </c>
      <c r="L35" s="473">
        <f t="shared" si="8"/>
        <v>0</v>
      </c>
      <c r="M35" s="204">
        <f t="shared" si="9"/>
        <v>0</v>
      </c>
      <c r="N35" s="505">
        <f t="shared" si="10"/>
        <v>0</v>
      </c>
      <c r="O35" s="204">
        <f>IF(DG!$A$136&gt;4,0,IF(J35-J34&gt;0,MROUND((L35/12*Q34),1),MROUND(L35/12*P34,1)))</f>
        <v>0</v>
      </c>
      <c r="P35" s="204">
        <f t="shared" si="11"/>
        <v>0</v>
      </c>
      <c r="Q35" s="204">
        <f t="shared" si="4"/>
        <v>0</v>
      </c>
      <c r="R35" s="748">
        <v>0</v>
      </c>
    </row>
    <row r="36" spans="1:19" ht="14" thickTop="1" thickBot="1">
      <c r="A36" s="202">
        <f t="shared" si="5"/>
        <v>45597</v>
      </c>
      <c r="B36" s="65">
        <f>IF(OR(J$36=0,DG!$A$136&gt;4),0,B35+1)</f>
        <v>0</v>
      </c>
      <c r="C36" s="65">
        <f t="shared" si="0"/>
        <v>0</v>
      </c>
      <c r="D36" s="65">
        <f t="shared" si="12"/>
        <v>11</v>
      </c>
      <c r="E36" s="65">
        <f t="shared" si="6"/>
        <v>0</v>
      </c>
      <c r="F36" s="65">
        <f>IF(OR(L$36=0,DG!$A$257&gt;4),0,F35+1)</f>
        <v>0</v>
      </c>
      <c r="G36" s="65">
        <f t="shared" si="1"/>
        <v>0</v>
      </c>
      <c r="H36" s="65">
        <f t="shared" si="2"/>
        <v>0</v>
      </c>
      <c r="I36" s="65">
        <f t="shared" si="3"/>
        <v>0</v>
      </c>
      <c r="J36" s="203">
        <f>IF(DG!$A$136&lt;=4,$M$17,0)</f>
        <v>0</v>
      </c>
      <c r="K36" s="65">
        <f t="shared" si="7"/>
        <v>0</v>
      </c>
      <c r="L36" s="473">
        <f t="shared" si="8"/>
        <v>0</v>
      </c>
      <c r="M36" s="204">
        <f t="shared" si="9"/>
        <v>0</v>
      </c>
      <c r="N36" s="505">
        <f t="shared" si="10"/>
        <v>0</v>
      </c>
      <c r="O36" s="204">
        <f>IF(DG!$A$136&gt;4,0,IF(J36-J35&gt;0,MROUND((L36/12*Q35),1),MROUND(L36/12*P35,1)))</f>
        <v>0</v>
      </c>
      <c r="P36" s="204">
        <f t="shared" si="11"/>
        <v>0</v>
      </c>
      <c r="Q36" s="204">
        <f t="shared" si="4"/>
        <v>0</v>
      </c>
      <c r="R36" s="748">
        <v>0</v>
      </c>
    </row>
    <row r="37" spans="1:19" ht="14" thickTop="1" thickBot="1">
      <c r="A37" s="202">
        <f t="shared" si="5"/>
        <v>45627</v>
      </c>
      <c r="B37" s="65">
        <f>IF(OR(J$37=0,DG!$A$136&gt;4),0,B36+1)</f>
        <v>0</v>
      </c>
      <c r="C37" s="65">
        <f t="shared" si="0"/>
        <v>0</v>
      </c>
      <c r="D37" s="65">
        <f t="shared" si="12"/>
        <v>12</v>
      </c>
      <c r="E37" s="65">
        <f t="shared" si="6"/>
        <v>0</v>
      </c>
      <c r="F37" s="65">
        <f>IF(OR(L$37=0,DG!$A$257&gt;4),0,F36+1)</f>
        <v>0</v>
      </c>
      <c r="G37" s="65">
        <f t="shared" si="1"/>
        <v>0</v>
      </c>
      <c r="H37" s="65">
        <f t="shared" si="2"/>
        <v>0</v>
      </c>
      <c r="I37" s="65">
        <f t="shared" si="3"/>
        <v>0</v>
      </c>
      <c r="J37" s="203">
        <f>IF(DG!$A$136&lt;=4,$M$17,0)</f>
        <v>0</v>
      </c>
      <c r="K37" s="65">
        <f t="shared" si="7"/>
        <v>0</v>
      </c>
      <c r="L37" s="473">
        <f t="shared" si="8"/>
        <v>0</v>
      </c>
      <c r="M37" s="204">
        <f t="shared" si="9"/>
        <v>0</v>
      </c>
      <c r="N37" s="505">
        <f t="shared" si="10"/>
        <v>0</v>
      </c>
      <c r="O37" s="204">
        <f>IF(DG!$A$136&gt;4,0,IF(J37-J36&gt;0,MROUND((L37/12*Q36),1),MROUND(L37/12*P36,1)))</f>
        <v>0</v>
      </c>
      <c r="P37" s="204">
        <f t="shared" si="11"/>
        <v>0</v>
      </c>
      <c r="Q37" s="204">
        <f t="shared" si="4"/>
        <v>0</v>
      </c>
      <c r="R37" s="748">
        <v>0</v>
      </c>
      <c r="S37" s="511">
        <f>SUM(N26:N37)</f>
        <v>0</v>
      </c>
    </row>
    <row r="38" spans="1:19" ht="14" thickTop="1" thickBot="1">
      <c r="A38" s="202">
        <f t="shared" si="5"/>
        <v>45658</v>
      </c>
      <c r="B38" s="65">
        <f>IF(OR(J$38=0,DG!$A$136&gt;5),0,B37+1)</f>
        <v>0</v>
      </c>
      <c r="C38" s="65">
        <f t="shared" si="0"/>
        <v>0</v>
      </c>
      <c r="D38" s="65">
        <f t="shared" si="12"/>
        <v>13</v>
      </c>
      <c r="E38" s="65">
        <f t="shared" si="6"/>
        <v>0</v>
      </c>
      <c r="F38" s="65">
        <f>IF(OR(L$38=0,DG!$A$257&gt;5),0,F37+1)</f>
        <v>0</v>
      </c>
      <c r="G38" s="65">
        <f t="shared" si="1"/>
        <v>0</v>
      </c>
      <c r="H38" s="65">
        <f t="shared" si="2"/>
        <v>0</v>
      </c>
      <c r="I38" s="65">
        <f t="shared" si="3"/>
        <v>0</v>
      </c>
      <c r="J38" s="203">
        <f>IF(DG!$A$136&lt;=5,$M$17,0)</f>
        <v>0</v>
      </c>
      <c r="K38" s="65">
        <f t="shared" si="7"/>
        <v>0</v>
      </c>
      <c r="L38" s="473">
        <f t="shared" si="8"/>
        <v>0</v>
      </c>
      <c r="M38" s="204">
        <f t="shared" si="9"/>
        <v>0</v>
      </c>
      <c r="N38" s="505">
        <f t="shared" si="10"/>
        <v>0</v>
      </c>
      <c r="O38" s="204">
        <f>IF(DG!$A$136&gt;5,0,IF(J38-J37&gt;0,MROUND((L38/12*Q37),1),MROUND(L38/12*P37,1)))</f>
        <v>0</v>
      </c>
      <c r="P38" s="204">
        <f t="shared" si="11"/>
        <v>0</v>
      </c>
      <c r="Q38" s="204">
        <f t="shared" si="4"/>
        <v>0</v>
      </c>
      <c r="R38" s="748">
        <v>0</v>
      </c>
    </row>
    <row r="39" spans="1:19" ht="14" thickTop="1" thickBot="1">
      <c r="A39" s="202">
        <f t="shared" si="5"/>
        <v>45689</v>
      </c>
      <c r="B39" s="65">
        <f>IF(OR(J$39=0,DG!$A$136&gt;5),0,B38+1)</f>
        <v>0</v>
      </c>
      <c r="C39" s="65">
        <f t="shared" si="0"/>
        <v>0</v>
      </c>
      <c r="D39" s="65">
        <f t="shared" si="12"/>
        <v>14</v>
      </c>
      <c r="E39" s="65">
        <f t="shared" si="6"/>
        <v>0</v>
      </c>
      <c r="F39" s="65">
        <f>IF(OR(L$39=0,DG!$A$257&gt;5),0,F38+1)</f>
        <v>0</v>
      </c>
      <c r="G39" s="65">
        <f t="shared" si="1"/>
        <v>0</v>
      </c>
      <c r="H39" s="65">
        <f t="shared" si="2"/>
        <v>0</v>
      </c>
      <c r="I39" s="65">
        <f t="shared" si="3"/>
        <v>0</v>
      </c>
      <c r="J39" s="203">
        <f>IF(DG!$A$136&lt;=5,$M$17,0)</f>
        <v>0</v>
      </c>
      <c r="K39" s="65">
        <f t="shared" si="7"/>
        <v>0</v>
      </c>
      <c r="L39" s="473">
        <f t="shared" si="8"/>
        <v>0</v>
      </c>
      <c r="M39" s="204">
        <f t="shared" si="9"/>
        <v>0</v>
      </c>
      <c r="N39" s="505">
        <f t="shared" si="10"/>
        <v>0</v>
      </c>
      <c r="O39" s="204">
        <f>IF(DG!$A$136&gt;5,0,IF(J39-J38&gt;0,MROUND((L39/12*Q38),1),MROUND(L39/12*P38,1)))</f>
        <v>0</v>
      </c>
      <c r="P39" s="204">
        <f t="shared" si="11"/>
        <v>0</v>
      </c>
      <c r="Q39" s="204">
        <f t="shared" si="4"/>
        <v>0</v>
      </c>
      <c r="R39" s="748">
        <v>0</v>
      </c>
    </row>
    <row r="40" spans="1:19" ht="14" thickTop="1" thickBot="1">
      <c r="A40" s="202">
        <f t="shared" si="5"/>
        <v>45717</v>
      </c>
      <c r="B40" s="65">
        <f>IF(OR(J$40=0,DG!$A$136&gt;5),0,B39+1)</f>
        <v>0</v>
      </c>
      <c r="C40" s="65">
        <f t="shared" si="0"/>
        <v>0</v>
      </c>
      <c r="D40" s="65">
        <f t="shared" si="12"/>
        <v>15</v>
      </c>
      <c r="E40" s="65">
        <f t="shared" si="6"/>
        <v>0</v>
      </c>
      <c r="F40" s="65">
        <f>IF(OR(L$40=0,DG!$A$257&gt;5),0,F39+1)</f>
        <v>0</v>
      </c>
      <c r="G40" s="65">
        <f t="shared" si="1"/>
        <v>0</v>
      </c>
      <c r="H40" s="65">
        <f t="shared" si="2"/>
        <v>0</v>
      </c>
      <c r="I40" s="65">
        <f t="shared" si="3"/>
        <v>0</v>
      </c>
      <c r="J40" s="203">
        <f>IF(DG!$A$136&lt;=5,$M$17,0)</f>
        <v>0</v>
      </c>
      <c r="K40" s="65">
        <f t="shared" si="7"/>
        <v>0</v>
      </c>
      <c r="L40" s="473">
        <f t="shared" si="8"/>
        <v>0</v>
      </c>
      <c r="M40" s="204">
        <f t="shared" si="9"/>
        <v>0</v>
      </c>
      <c r="N40" s="505">
        <f t="shared" si="10"/>
        <v>0</v>
      </c>
      <c r="O40" s="204">
        <f>IF(DG!$A$136&gt;5,0,IF(J40-J39&gt;0,MROUND((L40/12*Q39),1),MROUND(L40/12*P39,1)))</f>
        <v>0</v>
      </c>
      <c r="P40" s="204">
        <f t="shared" si="11"/>
        <v>0</v>
      </c>
      <c r="Q40" s="204">
        <f t="shared" si="4"/>
        <v>0</v>
      </c>
      <c r="R40" s="748">
        <v>0</v>
      </c>
    </row>
    <row r="41" spans="1:19" ht="14" thickTop="1" thickBot="1">
      <c r="A41" s="202">
        <f t="shared" si="5"/>
        <v>45748</v>
      </c>
      <c r="B41" s="65">
        <f>IF(OR(J$41=0,DG!$A$136&gt;6),0,B40+1)</f>
        <v>0</v>
      </c>
      <c r="C41" s="65">
        <f t="shared" si="0"/>
        <v>0</v>
      </c>
      <c r="D41" s="65">
        <f t="shared" si="12"/>
        <v>16</v>
      </c>
      <c r="E41" s="65">
        <f t="shared" si="6"/>
        <v>0</v>
      </c>
      <c r="F41" s="65">
        <f>IF(OR(L$41=0,DG!$A$257&gt;6),0,F40+1)</f>
        <v>0</v>
      </c>
      <c r="G41" s="65">
        <f t="shared" si="1"/>
        <v>0</v>
      </c>
      <c r="H41" s="65">
        <f t="shared" si="2"/>
        <v>0</v>
      </c>
      <c r="I41" s="65">
        <f t="shared" si="3"/>
        <v>0</v>
      </c>
      <c r="J41" s="203">
        <f>IF(DG!$A$136&lt;=6,$M$17,0)</f>
        <v>0</v>
      </c>
      <c r="K41" s="65">
        <f t="shared" si="7"/>
        <v>0</v>
      </c>
      <c r="L41" s="473">
        <f t="shared" si="8"/>
        <v>0</v>
      </c>
      <c r="M41" s="204">
        <f t="shared" si="9"/>
        <v>0</v>
      </c>
      <c r="N41" s="505">
        <f t="shared" si="10"/>
        <v>0</v>
      </c>
      <c r="O41" s="204">
        <f>IF(DG!$A$136&gt;6,0,IF(J41-J40&gt;0,MROUND((L41/12*Q40),1),MROUND(L41/12*P40,1)))</f>
        <v>0</v>
      </c>
      <c r="P41" s="204">
        <f t="shared" si="11"/>
        <v>0</v>
      </c>
      <c r="Q41" s="204">
        <f t="shared" si="4"/>
        <v>0</v>
      </c>
      <c r="R41" s="748">
        <v>0</v>
      </c>
    </row>
    <row r="42" spans="1:19" ht="14" thickTop="1" thickBot="1">
      <c r="A42" s="202">
        <f t="shared" si="5"/>
        <v>45778</v>
      </c>
      <c r="B42" s="65">
        <f>IF(OR(J$42=0,DG!$A$136&gt;6),0,B41+1)</f>
        <v>0</v>
      </c>
      <c r="C42" s="65">
        <f t="shared" si="0"/>
        <v>0</v>
      </c>
      <c r="D42" s="65">
        <f t="shared" si="12"/>
        <v>17</v>
      </c>
      <c r="E42" s="65">
        <f t="shared" si="6"/>
        <v>0</v>
      </c>
      <c r="F42" s="65">
        <f>IF(OR(L$42=0,DG!$A$257&gt;6),0,F41+1)</f>
        <v>0</v>
      </c>
      <c r="G42" s="65">
        <f t="shared" si="1"/>
        <v>0</v>
      </c>
      <c r="H42" s="65">
        <f t="shared" si="2"/>
        <v>0</v>
      </c>
      <c r="I42" s="65">
        <f t="shared" si="3"/>
        <v>0</v>
      </c>
      <c r="J42" s="203">
        <f>IF(DG!$A$136&lt;=6,$M$17,0)</f>
        <v>0</v>
      </c>
      <c r="K42" s="65">
        <f t="shared" si="7"/>
        <v>0</v>
      </c>
      <c r="L42" s="473">
        <f t="shared" si="8"/>
        <v>0</v>
      </c>
      <c r="M42" s="204">
        <f t="shared" si="9"/>
        <v>0</v>
      </c>
      <c r="N42" s="505">
        <f t="shared" si="10"/>
        <v>0</v>
      </c>
      <c r="O42" s="204">
        <f>IF(DG!$A$136&gt;6,0,IF(J42-J41&gt;0,MROUND((L42/12*Q41),1),MROUND(L42/12*P41,1)))</f>
        <v>0</v>
      </c>
      <c r="P42" s="204">
        <f t="shared" si="11"/>
        <v>0</v>
      </c>
      <c r="Q42" s="204">
        <f t="shared" si="4"/>
        <v>0</v>
      </c>
      <c r="R42" s="748">
        <v>0</v>
      </c>
    </row>
    <row r="43" spans="1:19" ht="14" thickTop="1" thickBot="1">
      <c r="A43" s="202">
        <f t="shared" si="5"/>
        <v>45809</v>
      </c>
      <c r="B43" s="65">
        <f>IF(OR(J$43=0,DG!$A$136&gt;6),0,B42+1)</f>
        <v>0</v>
      </c>
      <c r="C43" s="65">
        <f t="shared" si="0"/>
        <v>0</v>
      </c>
      <c r="D43" s="65">
        <f t="shared" si="12"/>
        <v>18</v>
      </c>
      <c r="E43" s="65">
        <f t="shared" si="6"/>
        <v>0</v>
      </c>
      <c r="F43" s="65">
        <f>IF(OR(L$43=0,DG!$A$257&gt;6),0,F42+1)</f>
        <v>0</v>
      </c>
      <c r="G43" s="65">
        <f t="shared" si="1"/>
        <v>0</v>
      </c>
      <c r="H43" s="65">
        <f t="shared" si="2"/>
        <v>0</v>
      </c>
      <c r="I43" s="65">
        <f t="shared" si="3"/>
        <v>0</v>
      </c>
      <c r="J43" s="203">
        <f>IF(DG!$A$136&lt;=6,$M$17,0)</f>
        <v>0</v>
      </c>
      <c r="K43" s="65">
        <f t="shared" si="7"/>
        <v>0</v>
      </c>
      <c r="L43" s="473">
        <f t="shared" si="8"/>
        <v>0</v>
      </c>
      <c r="M43" s="204">
        <f t="shared" si="9"/>
        <v>0</v>
      </c>
      <c r="N43" s="505">
        <f t="shared" si="10"/>
        <v>0</v>
      </c>
      <c r="O43" s="204">
        <f>IF(DG!$A$136&gt;6,0,IF(J43-J42&gt;0,MROUND((L43/12*Q42),1),MROUND(L43/12*P42,1)))</f>
        <v>0</v>
      </c>
      <c r="P43" s="204">
        <f t="shared" si="11"/>
        <v>0</v>
      </c>
      <c r="Q43" s="204">
        <f t="shared" si="4"/>
        <v>0</v>
      </c>
      <c r="R43" s="748">
        <v>0</v>
      </c>
    </row>
    <row r="44" spans="1:19" ht="14" thickTop="1" thickBot="1">
      <c r="A44" s="202">
        <f t="shared" si="5"/>
        <v>45839</v>
      </c>
      <c r="B44" s="65">
        <f>IF(OR(J$44=0,DG!$A$136&gt;7),0,B43+1)</f>
        <v>0</v>
      </c>
      <c r="C44" s="65">
        <f t="shared" si="0"/>
        <v>0</v>
      </c>
      <c r="D44" s="65">
        <f t="shared" si="12"/>
        <v>19</v>
      </c>
      <c r="E44" s="65">
        <f t="shared" si="6"/>
        <v>0</v>
      </c>
      <c r="F44" s="65">
        <f>IF(OR(L$44=0,DG!$A$257&gt;7),0,F43+1)</f>
        <v>0</v>
      </c>
      <c r="G44" s="65">
        <f t="shared" si="1"/>
        <v>0</v>
      </c>
      <c r="H44" s="65">
        <f t="shared" si="2"/>
        <v>0</v>
      </c>
      <c r="I44" s="65">
        <f t="shared" si="3"/>
        <v>0</v>
      </c>
      <c r="J44" s="203">
        <f>IF(DG!$A$136&lt;=7,$M$17,0)</f>
        <v>0</v>
      </c>
      <c r="K44" s="65">
        <f t="shared" si="7"/>
        <v>0</v>
      </c>
      <c r="L44" s="473">
        <f t="shared" si="8"/>
        <v>0</v>
      </c>
      <c r="M44" s="204">
        <f t="shared" si="9"/>
        <v>0</v>
      </c>
      <c r="N44" s="505">
        <f t="shared" si="10"/>
        <v>0</v>
      </c>
      <c r="O44" s="204">
        <f>IF(DG!$A$136&gt;7,0,IF(J44-J43&gt;0,MROUND((L44/12*Q43),1),MROUND(L44/12*P43,1)))</f>
        <v>0</v>
      </c>
      <c r="P44" s="204">
        <f t="shared" si="11"/>
        <v>0</v>
      </c>
      <c r="Q44" s="204">
        <f t="shared" si="4"/>
        <v>0</v>
      </c>
      <c r="R44" s="748">
        <v>0</v>
      </c>
    </row>
    <row r="45" spans="1:19" ht="14" thickTop="1" thickBot="1">
      <c r="A45" s="202">
        <f t="shared" si="5"/>
        <v>45870</v>
      </c>
      <c r="B45" s="65">
        <f>IF(OR(J$45=0,DG!$A$136&gt;7),0,B44+1)</f>
        <v>0</v>
      </c>
      <c r="C45" s="65">
        <f t="shared" si="0"/>
        <v>0</v>
      </c>
      <c r="D45" s="65">
        <f t="shared" si="12"/>
        <v>20</v>
      </c>
      <c r="E45" s="65">
        <f t="shared" si="6"/>
        <v>0</v>
      </c>
      <c r="F45" s="65">
        <f>IF(OR(L$45=0,DG!$A$257&gt;7),0,F44+1)</f>
        <v>0</v>
      </c>
      <c r="G45" s="65">
        <f t="shared" si="1"/>
        <v>0</v>
      </c>
      <c r="H45" s="65">
        <f t="shared" si="2"/>
        <v>0</v>
      </c>
      <c r="I45" s="65">
        <f t="shared" si="3"/>
        <v>0</v>
      </c>
      <c r="J45" s="203">
        <f>IF(DG!$A$136&lt;=7,$M$17,0)</f>
        <v>0</v>
      </c>
      <c r="K45" s="65">
        <f t="shared" si="7"/>
        <v>0</v>
      </c>
      <c r="L45" s="473">
        <f t="shared" si="8"/>
        <v>0</v>
      </c>
      <c r="M45" s="204">
        <f t="shared" si="9"/>
        <v>0</v>
      </c>
      <c r="N45" s="505">
        <f t="shared" si="10"/>
        <v>0</v>
      </c>
      <c r="O45" s="204">
        <f>IF(DG!$A$136&gt;7,0,IF(J45-J44&gt;0,MROUND((L45/12*Q44),1),MROUND(L45/12*P44,1)))</f>
        <v>0</v>
      </c>
      <c r="P45" s="204">
        <f t="shared" si="11"/>
        <v>0</v>
      </c>
      <c r="Q45" s="204">
        <f t="shared" si="4"/>
        <v>0</v>
      </c>
      <c r="R45" s="748">
        <v>0</v>
      </c>
    </row>
    <row r="46" spans="1:19" ht="14" thickTop="1" thickBot="1">
      <c r="A46" s="202">
        <f t="shared" si="5"/>
        <v>45901</v>
      </c>
      <c r="B46" s="65">
        <f>IF(OR(J$46=0,DG!$A$136&gt;7),0,B45+1)</f>
        <v>0</v>
      </c>
      <c r="C46" s="65">
        <f t="shared" si="0"/>
        <v>0</v>
      </c>
      <c r="D46" s="65">
        <f t="shared" si="12"/>
        <v>21</v>
      </c>
      <c r="E46" s="65">
        <f t="shared" si="6"/>
        <v>0</v>
      </c>
      <c r="F46" s="65">
        <f>IF(OR(L$46=0,DG!$A$257&gt;7),0,F45+1)</f>
        <v>0</v>
      </c>
      <c r="G46" s="65">
        <f t="shared" si="1"/>
        <v>0</v>
      </c>
      <c r="H46" s="65">
        <f t="shared" si="2"/>
        <v>0</v>
      </c>
      <c r="I46" s="65">
        <f t="shared" si="3"/>
        <v>0</v>
      </c>
      <c r="J46" s="203">
        <f>IF(DG!$A$136&lt;=7,$M$17,0)</f>
        <v>0</v>
      </c>
      <c r="K46" s="65">
        <f t="shared" si="7"/>
        <v>0</v>
      </c>
      <c r="L46" s="473">
        <f t="shared" si="8"/>
        <v>0</v>
      </c>
      <c r="M46" s="204">
        <f t="shared" si="9"/>
        <v>0</v>
      </c>
      <c r="N46" s="505">
        <f t="shared" si="10"/>
        <v>0</v>
      </c>
      <c r="O46" s="204">
        <f>IF(DG!$A$136&gt;7,0,IF(J46-J45&gt;0,MROUND((L46/12*Q45),1),MROUND(L46/12*P45,1)))</f>
        <v>0</v>
      </c>
      <c r="P46" s="204">
        <f t="shared" si="11"/>
        <v>0</v>
      </c>
      <c r="Q46" s="204">
        <f t="shared" si="4"/>
        <v>0</v>
      </c>
      <c r="R46" s="748">
        <v>0</v>
      </c>
    </row>
    <row r="47" spans="1:19" ht="14" thickTop="1" thickBot="1">
      <c r="A47" s="202">
        <f t="shared" si="5"/>
        <v>45931</v>
      </c>
      <c r="B47" s="65">
        <f>IF(OR(J$47=0,DG!$A$136&gt;8),0,B46+1)</f>
        <v>0</v>
      </c>
      <c r="C47" s="65">
        <f t="shared" si="0"/>
        <v>0</v>
      </c>
      <c r="D47" s="65">
        <f t="shared" si="12"/>
        <v>22</v>
      </c>
      <c r="E47" s="65">
        <f t="shared" si="6"/>
        <v>0</v>
      </c>
      <c r="F47" s="65">
        <f>IF(OR(L$47=0,DG!$A$257&gt;8),0,F46+1)</f>
        <v>0</v>
      </c>
      <c r="G47" s="65">
        <f t="shared" si="1"/>
        <v>0</v>
      </c>
      <c r="H47" s="65">
        <f t="shared" si="2"/>
        <v>0</v>
      </c>
      <c r="I47" s="65">
        <f t="shared" si="3"/>
        <v>0</v>
      </c>
      <c r="J47" s="203">
        <f>IF(DG!$A$136&lt;=8,$M$17,0)</f>
        <v>0</v>
      </c>
      <c r="K47" s="65">
        <f t="shared" si="7"/>
        <v>0</v>
      </c>
      <c r="L47" s="473">
        <f t="shared" si="8"/>
        <v>0</v>
      </c>
      <c r="M47" s="204">
        <f t="shared" si="9"/>
        <v>0</v>
      </c>
      <c r="N47" s="505">
        <f t="shared" si="10"/>
        <v>0</v>
      </c>
      <c r="O47" s="204">
        <f>IF(DG!$A$136&gt;8,0,IF(J47-J46&gt;0,MROUND((L47/12*Q46),1),MROUND(L47/12*P46,1)))</f>
        <v>0</v>
      </c>
      <c r="P47" s="204">
        <f t="shared" si="11"/>
        <v>0</v>
      </c>
      <c r="Q47" s="204">
        <f t="shared" si="4"/>
        <v>0</v>
      </c>
      <c r="R47" s="748">
        <v>0</v>
      </c>
    </row>
    <row r="48" spans="1:19" ht="14" thickTop="1" thickBot="1">
      <c r="A48" s="202">
        <f t="shared" si="5"/>
        <v>45962</v>
      </c>
      <c r="B48" s="65">
        <f>IF(OR(J$48=0,DG!$A$136&gt;8),0,B47+1)</f>
        <v>0</v>
      </c>
      <c r="C48" s="65">
        <f t="shared" si="0"/>
        <v>0</v>
      </c>
      <c r="D48" s="65">
        <f t="shared" si="12"/>
        <v>23</v>
      </c>
      <c r="E48" s="65">
        <f t="shared" si="6"/>
        <v>0</v>
      </c>
      <c r="F48" s="65">
        <f>IF(OR(L$48=0,DG!$A$257&gt;8),0,F47+1)</f>
        <v>0</v>
      </c>
      <c r="G48" s="65">
        <f t="shared" si="1"/>
        <v>0</v>
      </c>
      <c r="H48" s="65">
        <f t="shared" si="2"/>
        <v>0</v>
      </c>
      <c r="I48" s="65">
        <f t="shared" si="3"/>
        <v>0</v>
      </c>
      <c r="J48" s="203">
        <f>IF(DG!$A$136&lt;=8,$M$17,0)</f>
        <v>0</v>
      </c>
      <c r="K48" s="65">
        <f t="shared" si="7"/>
        <v>0</v>
      </c>
      <c r="L48" s="473">
        <f t="shared" si="8"/>
        <v>0</v>
      </c>
      <c r="M48" s="204">
        <f t="shared" si="9"/>
        <v>0</v>
      </c>
      <c r="N48" s="505">
        <f t="shared" si="10"/>
        <v>0</v>
      </c>
      <c r="O48" s="204">
        <f>IF(DG!$A$136&gt;8,0,IF(J48-J47&gt;0,MROUND((L48/12*Q47),1),MROUND(L48/12*P47,1)))</f>
        <v>0</v>
      </c>
      <c r="P48" s="204">
        <f t="shared" si="11"/>
        <v>0</v>
      </c>
      <c r="Q48" s="204">
        <f t="shared" si="4"/>
        <v>0</v>
      </c>
      <c r="R48" s="748">
        <v>0</v>
      </c>
    </row>
    <row r="49" spans="1:19" ht="14" thickTop="1" thickBot="1">
      <c r="A49" s="202">
        <f t="shared" si="5"/>
        <v>45992</v>
      </c>
      <c r="B49" s="65">
        <f>IF(OR(J$49=0,DG!$A$136&gt;8),0,B48+1)</f>
        <v>0</v>
      </c>
      <c r="C49" s="65">
        <f t="shared" si="0"/>
        <v>0</v>
      </c>
      <c r="D49" s="65">
        <f t="shared" si="12"/>
        <v>24</v>
      </c>
      <c r="E49" s="65">
        <f t="shared" si="6"/>
        <v>0</v>
      </c>
      <c r="F49" s="65">
        <f>IF(OR(L$49=0,DG!$A$257&gt;8),0,F48+1)</f>
        <v>0</v>
      </c>
      <c r="G49" s="65">
        <f t="shared" si="1"/>
        <v>0</v>
      </c>
      <c r="H49" s="65">
        <f t="shared" si="2"/>
        <v>0</v>
      </c>
      <c r="I49" s="65">
        <f t="shared" si="3"/>
        <v>0</v>
      </c>
      <c r="J49" s="203">
        <f>IF(DG!$A$136&lt;=8,$M$17,0)</f>
        <v>0</v>
      </c>
      <c r="K49" s="65">
        <f t="shared" si="7"/>
        <v>0</v>
      </c>
      <c r="L49" s="473">
        <f t="shared" si="8"/>
        <v>0</v>
      </c>
      <c r="M49" s="204">
        <f t="shared" si="9"/>
        <v>0</v>
      </c>
      <c r="N49" s="505">
        <f t="shared" si="10"/>
        <v>0</v>
      </c>
      <c r="O49" s="204">
        <f>IF(DG!$A$136&gt;8,0,IF(J49-J48&gt;0,MROUND((L49/12*Q48),1),MROUND(L49/12*P48,1)))</f>
        <v>0</v>
      </c>
      <c r="P49" s="204">
        <f t="shared" si="11"/>
        <v>0</v>
      </c>
      <c r="Q49" s="204">
        <f t="shared" si="4"/>
        <v>0</v>
      </c>
      <c r="R49" s="748">
        <v>0</v>
      </c>
      <c r="S49" s="511">
        <f>SUM(N38:N49)</f>
        <v>0</v>
      </c>
    </row>
    <row r="50" spans="1:19" ht="14" thickTop="1" thickBot="1">
      <c r="A50" s="202">
        <f t="shared" si="5"/>
        <v>46023</v>
      </c>
      <c r="B50" s="65">
        <f>IF(OR(J$50=0,DG!$A$136&gt;9),0,B49+1)</f>
        <v>0</v>
      </c>
      <c r="C50" s="65">
        <f>IF(F50-$E$269&gt;0,F50-$E$269,0)</f>
        <v>0</v>
      </c>
      <c r="D50" s="65">
        <f t="shared" si="12"/>
        <v>25</v>
      </c>
      <c r="E50" s="65">
        <f t="shared" si="6"/>
        <v>0</v>
      </c>
      <c r="F50" s="65">
        <f>IF(OR(L$50=0,DG!$A$257&gt;9),0,F49+1)</f>
        <v>0</v>
      </c>
      <c r="G50" s="65">
        <f t="shared" si="1"/>
        <v>0</v>
      </c>
      <c r="H50" s="65">
        <f t="shared" si="2"/>
        <v>0</v>
      </c>
      <c r="I50" s="65">
        <f t="shared" si="3"/>
        <v>0</v>
      </c>
      <c r="J50" s="203">
        <f>IF(DG!$A$136&lt;=9,$M$17,0)</f>
        <v>0</v>
      </c>
      <c r="K50" s="65">
        <f t="shared" si="7"/>
        <v>0</v>
      </c>
      <c r="L50" s="473">
        <f t="shared" si="8"/>
        <v>0</v>
      </c>
      <c r="M50" s="204">
        <f t="shared" si="9"/>
        <v>0</v>
      </c>
      <c r="N50" s="505">
        <f t="shared" si="10"/>
        <v>0</v>
      </c>
      <c r="O50" s="204">
        <f>IF(DG!$A$136&gt;9,0,IF(J50-J49&gt;0,MROUND((L50/12*Q49),1),MROUND(L50/12*P49,1)))</f>
        <v>0</v>
      </c>
      <c r="P50" s="204">
        <f t="shared" si="11"/>
        <v>0</v>
      </c>
      <c r="Q50" s="204">
        <f t="shared" si="4"/>
        <v>0</v>
      </c>
      <c r="R50" s="748">
        <v>0</v>
      </c>
    </row>
    <row r="51" spans="1:19" ht="14" thickTop="1" thickBot="1">
      <c r="A51" s="202">
        <f t="shared" si="5"/>
        <v>46054</v>
      </c>
      <c r="B51" s="65">
        <f>IF(OR(J$50=0,DG!$A$136&gt;10),0,B50+1)</f>
        <v>0</v>
      </c>
      <c r="C51" s="65">
        <f t="shared" ref="C51:C114" si="13">IF(F51-$E$269&gt;0,F51-$E$269,0)</f>
        <v>0</v>
      </c>
      <c r="D51" s="65">
        <f t="shared" si="12"/>
        <v>26</v>
      </c>
      <c r="E51" s="65">
        <f t="shared" si="6"/>
        <v>0</v>
      </c>
      <c r="F51" s="65">
        <f>IF(OR(L$51=0,DG!$A$257&gt;9),0,F50+1)</f>
        <v>0</v>
      </c>
      <c r="G51" s="65">
        <f t="shared" si="1"/>
        <v>0</v>
      </c>
      <c r="H51" s="65">
        <f t="shared" si="2"/>
        <v>0</v>
      </c>
      <c r="I51" s="65">
        <f t="shared" si="3"/>
        <v>0</v>
      </c>
      <c r="J51" s="203">
        <f>IF(DG!$A$136&lt;=10,$M$17,0)</f>
        <v>0</v>
      </c>
      <c r="K51" s="65">
        <f t="shared" si="7"/>
        <v>0</v>
      </c>
      <c r="L51" s="473">
        <f t="shared" si="8"/>
        <v>0</v>
      </c>
      <c r="M51" s="204">
        <f t="shared" si="9"/>
        <v>0</v>
      </c>
      <c r="N51" s="505">
        <f t="shared" si="10"/>
        <v>0</v>
      </c>
      <c r="O51" s="204">
        <f>IF(DG!$A$136&gt;9,0,IF(J51-J50&gt;0,MROUND((L51/12*Q50),1),MROUND(L51/12*P50,1)))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IF(OR(L$52=0,DG!$A$257&gt;9),0,F51+1)</f>
        <v>0</v>
      </c>
      <c r="G52" s="65">
        <f t="shared" si="1"/>
        <v>0</v>
      </c>
      <c r="H52" s="65">
        <f t="shared" si="2"/>
        <v>0</v>
      </c>
      <c r="I52" s="65">
        <f t="shared" si="3"/>
        <v>0</v>
      </c>
      <c r="J52" s="203">
        <f>IF(DG!$A$136&lt;=10,$M$17,0)</f>
        <v>0</v>
      </c>
      <c r="K52" s="65">
        <f t="shared" si="7"/>
        <v>0</v>
      </c>
      <c r="L52" s="473">
        <f t="shared" si="8"/>
        <v>0</v>
      </c>
      <c r="M52" s="204">
        <f t="shared" si="9"/>
        <v>0</v>
      </c>
      <c r="N52" s="505">
        <f t="shared" si="10"/>
        <v>0</v>
      </c>
      <c r="O52" s="204">
        <f>IF(DG!$A$136&gt;9,0,IF(J52-J51&gt;0,MROUND((L52/12*Q51),1),MROUND(L52/12*P51,1)))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IF(OR(L$53=0,DG!$A$257&gt;10),0,F52+1)</f>
        <v>0</v>
      </c>
      <c r="G53" s="65">
        <f t="shared" si="1"/>
        <v>0</v>
      </c>
      <c r="H53" s="65">
        <f t="shared" si="2"/>
        <v>0</v>
      </c>
      <c r="I53" s="65">
        <f t="shared" si="3"/>
        <v>0</v>
      </c>
      <c r="J53" s="203">
        <f>IF(DG!$A$136&lt;=10,$M$17,0)</f>
        <v>0</v>
      </c>
      <c r="K53" s="65">
        <f t="shared" si="7"/>
        <v>0</v>
      </c>
      <c r="L53" s="473">
        <f t="shared" si="8"/>
        <v>0</v>
      </c>
      <c r="M53" s="204">
        <f t="shared" si="9"/>
        <v>0</v>
      </c>
      <c r="N53" s="505">
        <f t="shared" si="10"/>
        <v>0</v>
      </c>
      <c r="O53" s="204">
        <f>IF(DG!$A$136&gt;10,0,IF(J53-J52&gt;0,MROUND((L53/12*Q52),1),MROUND(L53/12*P52,1)))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IF(OR(L$54=0,DG!$A$257&gt;10),0,F53+1)</f>
        <v>0</v>
      </c>
      <c r="G54" s="65">
        <f t="shared" si="1"/>
        <v>0</v>
      </c>
      <c r="H54" s="65">
        <f t="shared" si="2"/>
        <v>0</v>
      </c>
      <c r="I54" s="65">
        <f t="shared" si="3"/>
        <v>0</v>
      </c>
      <c r="J54" s="203">
        <f>IF(DG!$A$136&lt;=10,$M$17,0)</f>
        <v>0</v>
      </c>
      <c r="K54" s="65">
        <f t="shared" si="7"/>
        <v>0</v>
      </c>
      <c r="L54" s="473">
        <f t="shared" si="8"/>
        <v>0</v>
      </c>
      <c r="M54" s="204">
        <f t="shared" si="9"/>
        <v>0</v>
      </c>
      <c r="N54" s="505">
        <f t="shared" si="10"/>
        <v>0</v>
      </c>
      <c r="O54" s="204">
        <f>IF(DG!$A$136&gt;10,0,IF(J54-J53&gt;0,MROUND((L54/12*Q53),1),MROUND(L54/12*P53,1)))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IF(OR(L$55=0,DG!$A$257&gt;10),0,F54+1)</f>
        <v>0</v>
      </c>
      <c r="G55" s="65">
        <f t="shared" si="1"/>
        <v>0</v>
      </c>
      <c r="H55" s="65">
        <f t="shared" si="2"/>
        <v>0</v>
      </c>
      <c r="I55" s="65">
        <f t="shared" si="3"/>
        <v>0</v>
      </c>
      <c r="J55" s="203">
        <f>IF(DG!$A$136&lt;=10,$M$17,0)</f>
        <v>0</v>
      </c>
      <c r="K55" s="65">
        <f t="shared" si="7"/>
        <v>0</v>
      </c>
      <c r="L55" s="473">
        <f t="shared" si="8"/>
        <v>0</v>
      </c>
      <c r="M55" s="204">
        <f t="shared" si="9"/>
        <v>0</v>
      </c>
      <c r="N55" s="505">
        <f t="shared" si="10"/>
        <v>0</v>
      </c>
      <c r="O55" s="204">
        <f>IF(DG!$A$136&gt;10,0,IF(J55-J54&gt;0,MROUND((L55/12*Q54),1),MROUND(L55/12*P54,1)))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IF(OR(L$56=0,DG!$A$257&gt;11),0,F55+1)</f>
        <v>0</v>
      </c>
      <c r="G56" s="65">
        <f t="shared" si="1"/>
        <v>0</v>
      </c>
      <c r="H56" s="65">
        <f t="shared" si="2"/>
        <v>0</v>
      </c>
      <c r="I56" s="65">
        <f t="shared" si="3"/>
        <v>0</v>
      </c>
      <c r="J56" s="203">
        <f>IF(DG!$A$136&lt;=10,$M$17,0)</f>
        <v>0</v>
      </c>
      <c r="K56" s="65">
        <f t="shared" si="7"/>
        <v>0</v>
      </c>
      <c r="L56" s="473">
        <f t="shared" si="8"/>
        <v>0</v>
      </c>
      <c r="M56" s="204">
        <f t="shared" si="9"/>
        <v>0</v>
      </c>
      <c r="N56" s="505">
        <f t="shared" si="10"/>
        <v>0</v>
      </c>
      <c r="O56" s="204">
        <f>IF(DG!$A$136&gt;10,0,IF(J56-J55&gt;0,MROUND((L56/12*Q55),1),MROUND(L56/12*P55,1)))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IF(OR(L$57=0,DG!$A$257&gt;11),0,F56+1)</f>
        <v>0</v>
      </c>
      <c r="G57" s="65">
        <f t="shared" si="1"/>
        <v>0</v>
      </c>
      <c r="H57" s="65">
        <f t="shared" si="2"/>
        <v>0</v>
      </c>
      <c r="I57" s="65">
        <f t="shared" si="3"/>
        <v>0</v>
      </c>
      <c r="J57" s="203">
        <f>IF(DG!$A$136&lt;=10,$M$17,0)</f>
        <v>0</v>
      </c>
      <c r="K57" s="65">
        <f t="shared" si="7"/>
        <v>0</v>
      </c>
      <c r="L57" s="473">
        <f t="shared" si="8"/>
        <v>0</v>
      </c>
      <c r="M57" s="204">
        <f t="shared" si="9"/>
        <v>0</v>
      </c>
      <c r="N57" s="505">
        <f t="shared" si="10"/>
        <v>0</v>
      </c>
      <c r="O57" s="204">
        <f>IF(DG!$A$136&gt;10,0,IF(J57-J56&gt;0,MROUND((L57/12*Q56),1),MROUND(L57/12*P56,1)))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IF(OR(L$58=0,DG!$A$257&gt;11),0,F57+1)</f>
        <v>0</v>
      </c>
      <c r="G58" s="65">
        <f t="shared" si="1"/>
        <v>0</v>
      </c>
      <c r="H58" s="65">
        <f t="shared" si="2"/>
        <v>0</v>
      </c>
      <c r="I58" s="65">
        <f t="shared" si="3"/>
        <v>0</v>
      </c>
      <c r="J58" s="203">
        <f>IF(DG!$A$136&lt;=10,$M$17,0)</f>
        <v>0</v>
      </c>
      <c r="K58" s="65">
        <f t="shared" si="7"/>
        <v>0</v>
      </c>
      <c r="L58" s="473">
        <f t="shared" si="8"/>
        <v>0</v>
      </c>
      <c r="M58" s="204">
        <f t="shared" si="9"/>
        <v>0</v>
      </c>
      <c r="N58" s="505">
        <f t="shared" si="10"/>
        <v>0</v>
      </c>
      <c r="O58" s="204">
        <f>IF(DG!$A$136&gt;10,0,IF(J58-J57&gt;0,MROUND((L58/12*Q57),1),MROUND(L58/12*P57,1)))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IF(OR(L$59=0,DG!$A$257&gt;12),0,F58+1)</f>
        <v>0</v>
      </c>
      <c r="G59" s="65">
        <f t="shared" si="1"/>
        <v>0</v>
      </c>
      <c r="H59" s="65">
        <f t="shared" si="2"/>
        <v>0</v>
      </c>
      <c r="I59" s="65">
        <f t="shared" si="3"/>
        <v>0</v>
      </c>
      <c r="J59" s="203">
        <f>IF(DG!$A$136&lt;=10,$M$17,0)</f>
        <v>0</v>
      </c>
      <c r="K59" s="65">
        <f t="shared" si="7"/>
        <v>0</v>
      </c>
      <c r="L59" s="473">
        <f t="shared" si="8"/>
        <v>0</v>
      </c>
      <c r="M59" s="204">
        <f t="shared" si="9"/>
        <v>0</v>
      </c>
      <c r="N59" s="505">
        <f t="shared" si="10"/>
        <v>0</v>
      </c>
      <c r="O59" s="204">
        <f>IF(DG!$A$136&gt;10,0,IF(J59-J58&gt;0,MROUND((L59/12*Q58),1),MROUND(L59/12*P58,1)))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IF(OR(L$60=0,DG!$A$257&gt;12),0,F59+1)</f>
        <v>0</v>
      </c>
      <c r="G60" s="65">
        <f t="shared" si="1"/>
        <v>0</v>
      </c>
      <c r="H60" s="65">
        <f t="shared" si="2"/>
        <v>0</v>
      </c>
      <c r="I60" s="65">
        <f t="shared" si="3"/>
        <v>0</v>
      </c>
      <c r="J60" s="203">
        <f>IF(DG!$A$136&lt;=10,$M$17,0)</f>
        <v>0</v>
      </c>
      <c r="K60" s="65">
        <f t="shared" si="7"/>
        <v>0</v>
      </c>
      <c r="L60" s="473">
        <f t="shared" si="8"/>
        <v>0</v>
      </c>
      <c r="M60" s="204">
        <f t="shared" si="9"/>
        <v>0</v>
      </c>
      <c r="N60" s="505">
        <f t="shared" si="10"/>
        <v>0</v>
      </c>
      <c r="O60" s="204">
        <f>IF(DG!$A$136&gt;10,0,IF(J60-J59&gt;0,MROUND((L60/12*Q59),1),MROUND(L60/12*P59,1)))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IF(OR(L$61=0,DG!$A$257&gt;12),0,F60+1)</f>
        <v>0</v>
      </c>
      <c r="G61" s="65">
        <f t="shared" si="1"/>
        <v>0</v>
      </c>
      <c r="H61" s="65">
        <f t="shared" si="2"/>
        <v>0</v>
      </c>
      <c r="I61" s="65">
        <f t="shared" si="3"/>
        <v>0</v>
      </c>
      <c r="J61" s="203">
        <f>IF(DG!$A$136&lt;=10,$M$17,0)</f>
        <v>0</v>
      </c>
      <c r="K61" s="65">
        <f t="shared" si="7"/>
        <v>0</v>
      </c>
      <c r="L61" s="473">
        <f t="shared" si="8"/>
        <v>0</v>
      </c>
      <c r="M61" s="204">
        <f t="shared" si="9"/>
        <v>0</v>
      </c>
      <c r="N61" s="505">
        <f t="shared" si="10"/>
        <v>0</v>
      </c>
      <c r="O61" s="204">
        <f>IF(DG!$A$136&gt;10,0,IF(J61-J60&gt;0,MROUND((L61/12*Q60),1),MROUND(L61/12*P60,1)))</f>
        <v>0</v>
      </c>
      <c r="P61" s="204">
        <f t="shared" si="11"/>
        <v>0</v>
      </c>
      <c r="Q61" s="204">
        <f t="shared" si="4"/>
        <v>0</v>
      </c>
      <c r="R61" s="748">
        <v>0</v>
      </c>
      <c r="S61" s="511">
        <f>SUM(N50:N61)</f>
        <v>0</v>
      </c>
    </row>
    <row r="62" spans="1:19" ht="14" thickTop="1" thickBot="1">
      <c r="A62" s="202">
        <f t="shared" si="5"/>
        <v>46388</v>
      </c>
      <c r="B62" s="65">
        <f>IF(OR(J$62=0,DG!$A$136&gt;11),0,B61+1)</f>
        <v>0</v>
      </c>
      <c r="C62" s="65">
        <f t="shared" si="13"/>
        <v>0</v>
      </c>
      <c r="D62" s="65">
        <f t="shared" si="12"/>
        <v>37</v>
      </c>
      <c r="E62" s="65">
        <f t="shared" si="6"/>
        <v>0</v>
      </c>
      <c r="F62" s="65">
        <f>IF(OR(L$62=0,DG!$A$257&gt;13),0,F61+1)</f>
        <v>0</v>
      </c>
      <c r="G62" s="65">
        <f t="shared" si="1"/>
        <v>0</v>
      </c>
      <c r="H62" s="65">
        <f t="shared" si="2"/>
        <v>0</v>
      </c>
      <c r="I62" s="65">
        <f t="shared" si="3"/>
        <v>0</v>
      </c>
      <c r="J62" s="203">
        <f>IF(DG!$A$136&lt;=11,$M$17,0)</f>
        <v>0</v>
      </c>
      <c r="K62" s="65">
        <f t="shared" si="7"/>
        <v>0</v>
      </c>
      <c r="L62" s="473">
        <f t="shared" si="8"/>
        <v>0</v>
      </c>
      <c r="M62" s="204">
        <f t="shared" si="9"/>
        <v>0</v>
      </c>
      <c r="N62" s="505">
        <f t="shared" si="10"/>
        <v>0</v>
      </c>
      <c r="O62" s="204">
        <f>IF(DG!$A$136&gt;10,0,IF(J62-J61&gt;0,MROUND((L62/12*Q61),1),MROUND(L62/12*P61,1)))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IF(OR(L$63=0,DG!$A$257&gt;13),0,F62+1)</f>
        <v>0</v>
      </c>
      <c r="G63" s="65">
        <f t="shared" si="1"/>
        <v>0</v>
      </c>
      <c r="H63" s="65">
        <f t="shared" si="2"/>
        <v>0</v>
      </c>
      <c r="I63" s="65">
        <f t="shared" si="3"/>
        <v>0</v>
      </c>
      <c r="J63" s="203">
        <f>IF(DG!$A$136&lt;=11,$M$17,0)</f>
        <v>0</v>
      </c>
      <c r="K63" s="65">
        <f t="shared" si="7"/>
        <v>0</v>
      </c>
      <c r="L63" s="473">
        <f t="shared" si="8"/>
        <v>0</v>
      </c>
      <c r="M63" s="204">
        <f t="shared" si="9"/>
        <v>0</v>
      </c>
      <c r="N63" s="505">
        <f t="shared" si="10"/>
        <v>0</v>
      </c>
      <c r="O63" s="204">
        <f>IF(DG!$A$136&gt;10,0,IF(J63-J62&gt;0,MROUND((L63/12*Q62),1),MROUND(L63/12*P62,1)))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IF(OR(L$64=0,DG!$A$257&gt;13),0,F63+1)</f>
        <v>0</v>
      </c>
      <c r="G64" s="65">
        <f t="shared" si="1"/>
        <v>0</v>
      </c>
      <c r="H64" s="65">
        <f t="shared" si="2"/>
        <v>0</v>
      </c>
      <c r="I64" s="65">
        <f>IF(OR(G64=1,C64=0),0,IF(K64-C64&lt;$G$269,1,-1))</f>
        <v>0</v>
      </c>
      <c r="J64" s="203">
        <f>IF(DG!$A$136&lt;=11,$M$17,0)</f>
        <v>0</v>
      </c>
      <c r="K64" s="65">
        <f t="shared" si="7"/>
        <v>0</v>
      </c>
      <c r="L64" s="473">
        <f t="shared" si="8"/>
        <v>0</v>
      </c>
      <c r="M64" s="204">
        <f t="shared" si="9"/>
        <v>0</v>
      </c>
      <c r="N64" s="505">
        <f t="shared" si="10"/>
        <v>0</v>
      </c>
      <c r="O64" s="204">
        <f>IF(DG!$A$136&gt;10,0,IF(J64-J63&gt;0,MROUND((L64/12*Q63),1),MROUND(L64/12*P63,1)))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IF(OR(L$65=0,DG!$A$257&gt;14),0,F64+1)</f>
        <v>0</v>
      </c>
      <c r="G65" s="65">
        <f t="shared" si="1"/>
        <v>0</v>
      </c>
      <c r="H65" s="65">
        <f t="shared" si="2"/>
        <v>0</v>
      </c>
      <c r="I65" s="65">
        <f t="shared" ref="I65:I128" si="16">IF(OR(G65=1,C65=0),0,IF(K65-C65&lt;$G$269,1,-1))</f>
        <v>0</v>
      </c>
      <c r="J65" s="203">
        <f>IF(DG!$A$136&lt;=11,$M$17,0)</f>
        <v>0</v>
      </c>
      <c r="K65" s="65">
        <f t="shared" si="7"/>
        <v>0</v>
      </c>
      <c r="L65" s="473">
        <f t="shared" si="8"/>
        <v>0</v>
      </c>
      <c r="M65" s="204">
        <f t="shared" si="9"/>
        <v>0</v>
      </c>
      <c r="N65" s="505">
        <f t="shared" si="10"/>
        <v>0</v>
      </c>
      <c r="O65" s="204">
        <f>IF(DG!$A$136&gt;11,0,IF(J65-J64&gt;0,MROUND((L65/12*Q64),1),MROUND(L65/12*P64,1)))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IF(OR(L$66=0,DG!$A$257&gt;14),0,F65+1)</f>
        <v>0</v>
      </c>
      <c r="G66" s="65">
        <f t="shared" si="1"/>
        <v>0</v>
      </c>
      <c r="H66" s="65">
        <f t="shared" si="2"/>
        <v>0</v>
      </c>
      <c r="I66" s="65">
        <f t="shared" si="16"/>
        <v>0</v>
      </c>
      <c r="J66" s="203">
        <f>IF(DG!$A$136&lt;=11,$M$17,0)</f>
        <v>0</v>
      </c>
      <c r="K66" s="65">
        <f t="shared" si="7"/>
        <v>0</v>
      </c>
      <c r="L66" s="473">
        <f t="shared" si="8"/>
        <v>0</v>
      </c>
      <c r="M66" s="204">
        <f t="shared" si="9"/>
        <v>0</v>
      </c>
      <c r="N66" s="505">
        <f t="shared" si="10"/>
        <v>0</v>
      </c>
      <c r="O66" s="204">
        <f>IF(DG!$A$136&gt;11,0,IF(J66-J65&gt;0,MROUND((L66/12*Q65),1),MROUND(L66/12*P65,1)))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IF(OR(L$67=0,DG!$A$257&gt;14),0,F66+1)</f>
        <v>0</v>
      </c>
      <c r="G67" s="65">
        <f t="shared" si="1"/>
        <v>0</v>
      </c>
      <c r="H67" s="65">
        <f t="shared" si="2"/>
        <v>0</v>
      </c>
      <c r="I67" s="65">
        <f t="shared" si="16"/>
        <v>0</v>
      </c>
      <c r="J67" s="203">
        <f>IF(DG!$A$136&lt;=11,$M$17,0)</f>
        <v>0</v>
      </c>
      <c r="K67" s="65">
        <f t="shared" si="7"/>
        <v>0</v>
      </c>
      <c r="L67" s="473">
        <f t="shared" si="8"/>
        <v>0</v>
      </c>
      <c r="M67" s="204">
        <f t="shared" si="9"/>
        <v>0</v>
      </c>
      <c r="N67" s="505">
        <f t="shared" si="10"/>
        <v>0</v>
      </c>
      <c r="O67" s="204">
        <f>IF(DG!$A$136&gt;11,0,IF(J67-J66&gt;0,MROUND((L67/12*Q66),1),MROUND(L67/12*P66,1)))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IF(OR(L$68=0,DG!$A$257&gt;15),0,F67+1)</f>
        <v>0</v>
      </c>
      <c r="G68" s="65">
        <f t="shared" si="1"/>
        <v>0</v>
      </c>
      <c r="H68" s="65">
        <f t="shared" si="2"/>
        <v>0</v>
      </c>
      <c r="I68" s="65">
        <f t="shared" si="16"/>
        <v>0</v>
      </c>
      <c r="J68" s="203">
        <f>IF(DG!$A$136&lt;=11,$M$17,0)</f>
        <v>0</v>
      </c>
      <c r="K68" s="65">
        <f t="shared" si="7"/>
        <v>0</v>
      </c>
      <c r="L68" s="473">
        <f t="shared" si="8"/>
        <v>0</v>
      </c>
      <c r="M68" s="204">
        <f t="shared" si="9"/>
        <v>0</v>
      </c>
      <c r="N68" s="505">
        <f t="shared" si="10"/>
        <v>0</v>
      </c>
      <c r="O68" s="204">
        <f>IF(DG!$A$136&gt;11,0,IF(J68-J67&gt;0,MROUND((L68/12*Q67),1),MROUND(L68/12*P67,1)))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IF(OR(L$69=0,DG!$A$257&gt;15),0,F68+1)</f>
        <v>0</v>
      </c>
      <c r="G69" s="65">
        <f t="shared" si="1"/>
        <v>0</v>
      </c>
      <c r="H69" s="65">
        <f t="shared" si="2"/>
        <v>0</v>
      </c>
      <c r="I69" s="65">
        <f t="shared" si="16"/>
        <v>0</v>
      </c>
      <c r="J69" s="203">
        <f>IF(DG!$A$136&lt;=11,$M$17,0)</f>
        <v>0</v>
      </c>
      <c r="K69" s="65">
        <f t="shared" si="7"/>
        <v>0</v>
      </c>
      <c r="L69" s="473">
        <f t="shared" si="8"/>
        <v>0</v>
      </c>
      <c r="M69" s="204">
        <f t="shared" si="9"/>
        <v>0</v>
      </c>
      <c r="N69" s="505">
        <f t="shared" si="10"/>
        <v>0</v>
      </c>
      <c r="O69" s="204">
        <f>IF(DG!$A$136&gt;11,0,IF(J69-J68&gt;0,MROUND((L69/12*Q68),1),MROUND(L69/12*P68,1)))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IF(OR(L$70=0,DG!$A$257&gt;15),0,F69+1)</f>
        <v>0</v>
      </c>
      <c r="G70" s="65">
        <f t="shared" si="1"/>
        <v>0</v>
      </c>
      <c r="H70" s="65">
        <f t="shared" si="2"/>
        <v>0</v>
      </c>
      <c r="I70" s="65">
        <f t="shared" si="16"/>
        <v>0</v>
      </c>
      <c r="J70" s="203">
        <f>IF(DG!$A$136&lt;=11,$M$17,0)</f>
        <v>0</v>
      </c>
      <c r="K70" s="65">
        <f t="shared" si="7"/>
        <v>0</v>
      </c>
      <c r="L70" s="473">
        <f t="shared" si="8"/>
        <v>0</v>
      </c>
      <c r="M70" s="204">
        <f t="shared" si="9"/>
        <v>0</v>
      </c>
      <c r="N70" s="505">
        <f t="shared" si="10"/>
        <v>0</v>
      </c>
      <c r="O70" s="204">
        <f>IF(DG!$A$136&gt;11,0,IF(J70-J69&gt;0,MROUND((L70/12*Q69),1),MROUND(L70/12*P69,1)))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IF(OR(L$71=0,DG!$A$257&gt;16),0,F70+1)</f>
        <v>0</v>
      </c>
      <c r="G71" s="65">
        <f t="shared" si="1"/>
        <v>0</v>
      </c>
      <c r="H71" s="65">
        <f t="shared" si="2"/>
        <v>0</v>
      </c>
      <c r="I71" s="65">
        <f t="shared" si="16"/>
        <v>0</v>
      </c>
      <c r="J71" s="203">
        <f>IF(DG!$A$136&lt;=11,$M$17,0)</f>
        <v>0</v>
      </c>
      <c r="K71" s="65">
        <f t="shared" si="7"/>
        <v>0</v>
      </c>
      <c r="L71" s="473">
        <f t="shared" si="8"/>
        <v>0</v>
      </c>
      <c r="M71" s="204">
        <f t="shared" si="9"/>
        <v>0</v>
      </c>
      <c r="N71" s="505">
        <f t="shared" si="10"/>
        <v>0</v>
      </c>
      <c r="O71" s="204">
        <f>IF(DG!$A$136&gt;11,0,IF(J71-J70&gt;0,MROUND((L71/12*Q70),1),MROUND(L71/12*P70,1)))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IF(OR(L$72=0,DG!$A$257&gt;16),0,F71+1)</f>
        <v>0</v>
      </c>
      <c r="G72" s="65">
        <f t="shared" si="1"/>
        <v>0</v>
      </c>
      <c r="H72" s="65">
        <f t="shared" si="2"/>
        <v>0</v>
      </c>
      <c r="I72" s="65">
        <f t="shared" si="16"/>
        <v>0</v>
      </c>
      <c r="J72" s="203">
        <f>IF(DG!$A$136&lt;=11,$M$17,0)</f>
        <v>0</v>
      </c>
      <c r="K72" s="65">
        <f t="shared" si="7"/>
        <v>0</v>
      </c>
      <c r="L72" s="473">
        <f t="shared" si="8"/>
        <v>0</v>
      </c>
      <c r="M72" s="204">
        <f t="shared" si="9"/>
        <v>0</v>
      </c>
      <c r="N72" s="505">
        <f t="shared" si="10"/>
        <v>0</v>
      </c>
      <c r="O72" s="204">
        <f>IF(DG!$A$136&gt;11,0,IF(J72-J71&gt;0,MROUND((L72/12*Q71),1),MROUND(L72/12*P71,1)))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IF(OR(L$73=0,DG!$A$257&gt;16),0,F72+1)</f>
        <v>0</v>
      </c>
      <c r="G73" s="65">
        <f t="shared" si="1"/>
        <v>0</v>
      </c>
      <c r="H73" s="65">
        <f t="shared" si="2"/>
        <v>0</v>
      </c>
      <c r="I73" s="65">
        <f t="shared" si="16"/>
        <v>0</v>
      </c>
      <c r="J73" s="203">
        <f>IF(DG!$A$136&lt;=11,$M$17,0)</f>
        <v>0</v>
      </c>
      <c r="K73" s="65">
        <f t="shared" si="7"/>
        <v>0</v>
      </c>
      <c r="L73" s="473">
        <f t="shared" si="8"/>
        <v>0</v>
      </c>
      <c r="M73" s="204">
        <f t="shared" si="9"/>
        <v>0</v>
      </c>
      <c r="N73" s="505">
        <f t="shared" si="10"/>
        <v>0</v>
      </c>
      <c r="O73" s="204">
        <f>IF(DG!$A$136&gt;11,0,IF(J73-J72&gt;0,MROUND((L73/12*Q72),1),MROUND(L73/12*P72,1)))</f>
        <v>0</v>
      </c>
      <c r="P73" s="204">
        <f t="shared" si="11"/>
        <v>0</v>
      </c>
      <c r="Q73" s="204">
        <f t="shared" si="4"/>
        <v>0</v>
      </c>
      <c r="R73" s="748">
        <v>0</v>
      </c>
      <c r="S73" s="511">
        <f>SUM(N62:N73)</f>
        <v>0</v>
      </c>
    </row>
    <row r="74" spans="1:19" ht="14" thickTop="1" thickBot="1">
      <c r="A74" s="202">
        <f t="shared" si="5"/>
        <v>46753</v>
      </c>
      <c r="B74" s="65">
        <f>IF(OR(J$73=0,DG!$A$136&gt;12),0,B73+1)</f>
        <v>0</v>
      </c>
      <c r="C74" s="65">
        <f t="shared" si="13"/>
        <v>0</v>
      </c>
      <c r="D74" s="65">
        <f t="shared" si="12"/>
        <v>49</v>
      </c>
      <c r="E74" s="65">
        <f t="shared" si="6"/>
        <v>0</v>
      </c>
      <c r="F74" s="65">
        <f>IF(OR(L$73=0,DG!$A$257&gt;16),0,F73+1)</f>
        <v>0</v>
      </c>
      <c r="G74" s="65">
        <f t="shared" si="1"/>
        <v>0</v>
      </c>
      <c r="H74" s="65">
        <f t="shared" si="2"/>
        <v>0</v>
      </c>
      <c r="I74" s="65">
        <f t="shared" si="16"/>
        <v>0</v>
      </c>
      <c r="J74" s="203">
        <f>IF(DG!$A$136&lt;=12,$M$17,0)</f>
        <v>0</v>
      </c>
      <c r="K74" s="65">
        <f t="shared" si="7"/>
        <v>0</v>
      </c>
      <c r="L74" s="473">
        <f t="shared" si="8"/>
        <v>0</v>
      </c>
      <c r="M74" s="204">
        <f t="shared" si="9"/>
        <v>0</v>
      </c>
      <c r="N74" s="505">
        <f t="shared" si="10"/>
        <v>0</v>
      </c>
      <c r="O74" s="204">
        <f>IF(DG!$A$136&gt;11,0,IF(J74-J73&gt;0,MROUND((L74/12*Q73),1),MROUND(L74/12*P73,1)))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IF(OR(L$73=0,DG!$A$257&gt;16),0,F74+1)</f>
        <v>0</v>
      </c>
      <c r="G75" s="65">
        <f t="shared" si="1"/>
        <v>0</v>
      </c>
      <c r="H75" s="65">
        <f t="shared" si="2"/>
        <v>0</v>
      </c>
      <c r="I75" s="65">
        <f t="shared" si="16"/>
        <v>0</v>
      </c>
      <c r="J75" s="203">
        <f>IF(DG!$A$136&lt;=12,$M$17,0)</f>
        <v>0</v>
      </c>
      <c r="K75" s="65">
        <f t="shared" si="7"/>
        <v>0</v>
      </c>
      <c r="L75" s="473">
        <f t="shared" si="8"/>
        <v>0</v>
      </c>
      <c r="M75" s="204">
        <f t="shared" si="9"/>
        <v>0</v>
      </c>
      <c r="N75" s="505">
        <f t="shared" si="10"/>
        <v>0</v>
      </c>
      <c r="O75" s="204">
        <f>IF(DG!$A$136&gt;11,0,IF(J75-J74&gt;0,MROUND((L75/12*Q74),1),MROUND(L75/12*P74,1)))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IF(OR(L$73=0,DG!$A$257&gt;16),0,F75+1)</f>
        <v>0</v>
      </c>
      <c r="G76" s="65">
        <f t="shared" si="1"/>
        <v>0</v>
      </c>
      <c r="H76" s="65">
        <f t="shared" si="2"/>
        <v>0</v>
      </c>
      <c r="I76" s="65">
        <f t="shared" si="16"/>
        <v>0</v>
      </c>
      <c r="J76" s="203">
        <f>IF(DG!$A$136&lt;=11,$M$17,0)</f>
        <v>0</v>
      </c>
      <c r="K76" s="65">
        <f t="shared" si="7"/>
        <v>0</v>
      </c>
      <c r="L76" s="473">
        <f t="shared" si="8"/>
        <v>0</v>
      </c>
      <c r="M76" s="204">
        <f t="shared" si="9"/>
        <v>0</v>
      </c>
      <c r="N76" s="505">
        <f t="shared" si="10"/>
        <v>0</v>
      </c>
      <c r="O76" s="204">
        <f>IF(DG!$A$136&gt;11,0,IF(J76-J75&gt;0,MROUND((L76/12*Q75),1),MROUND(L76/12*P75,1)))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IF(OR(L$73=0,DG!$A$257&gt;16),0,F76+1)</f>
        <v>0</v>
      </c>
      <c r="G77" s="65">
        <f t="shared" si="1"/>
        <v>0</v>
      </c>
      <c r="H77" s="65">
        <f t="shared" si="2"/>
        <v>0</v>
      </c>
      <c r="I77" s="65">
        <f t="shared" si="16"/>
        <v>0</v>
      </c>
      <c r="J77" s="203">
        <f>IF(DG!$A$136&lt;=11,$M$17,0)</f>
        <v>0</v>
      </c>
      <c r="K77" s="65">
        <f t="shared" si="7"/>
        <v>0</v>
      </c>
      <c r="L77" s="473">
        <f t="shared" si="8"/>
        <v>0</v>
      </c>
      <c r="M77" s="204">
        <f t="shared" si="9"/>
        <v>0</v>
      </c>
      <c r="N77" s="505">
        <f t="shared" si="10"/>
        <v>0</v>
      </c>
      <c r="O77" s="204">
        <f>IF(DG!$A$136&gt;12,0,IF(J77-J76&gt;0,MROUND((L77/12*Q76),1),MROUND(L77/12*P76,1)))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IF(OR(L$73=0,DG!$A$257&gt;16),0,F77+1)</f>
        <v>0</v>
      </c>
      <c r="G78" s="65">
        <f t="shared" si="1"/>
        <v>0</v>
      </c>
      <c r="H78" s="65">
        <f t="shared" si="2"/>
        <v>0</v>
      </c>
      <c r="I78" s="65">
        <f t="shared" si="16"/>
        <v>0</v>
      </c>
      <c r="J78" s="203">
        <f>IF(DG!$A$136&lt;=11,$M$17,0)</f>
        <v>0</v>
      </c>
      <c r="K78" s="65">
        <f t="shared" si="7"/>
        <v>0</v>
      </c>
      <c r="L78" s="473">
        <f t="shared" si="8"/>
        <v>0</v>
      </c>
      <c r="M78" s="204">
        <f t="shared" si="9"/>
        <v>0</v>
      </c>
      <c r="N78" s="505">
        <f t="shared" si="10"/>
        <v>0</v>
      </c>
      <c r="O78" s="204">
        <f>IF(DG!$A$136&gt;12,0,IF(J78-J77&gt;0,MROUND((L78/12*Q77),1),MROUND(L78/12*P77,1)))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IF(OR(L$73=0,DG!$A$257&gt;16),0,F78+1)</f>
        <v>0</v>
      </c>
      <c r="G79" s="65">
        <f t="shared" si="1"/>
        <v>0</v>
      </c>
      <c r="H79" s="65">
        <f t="shared" si="2"/>
        <v>0</v>
      </c>
      <c r="I79" s="65">
        <f t="shared" si="16"/>
        <v>0</v>
      </c>
      <c r="J79" s="203">
        <f>IF(DG!$A$136&lt;=11,$M$17,0)</f>
        <v>0</v>
      </c>
      <c r="K79" s="65">
        <f t="shared" si="7"/>
        <v>0</v>
      </c>
      <c r="L79" s="473">
        <f t="shared" si="8"/>
        <v>0</v>
      </c>
      <c r="M79" s="204">
        <f t="shared" si="9"/>
        <v>0</v>
      </c>
      <c r="N79" s="505">
        <f t="shared" si="10"/>
        <v>0</v>
      </c>
      <c r="O79" s="204">
        <f>IF(DG!$A$136&gt;12,0,IF(J79-J78&gt;0,MROUND((L79/12*Q78),1),MROUND(L79/12*P78,1)))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IF(OR(L$73=0,DG!$A$257&gt;16),0,F79+1)</f>
        <v>0</v>
      </c>
      <c r="G80" s="65">
        <f t="shared" si="1"/>
        <v>0</v>
      </c>
      <c r="H80" s="65">
        <f t="shared" si="2"/>
        <v>0</v>
      </c>
      <c r="I80" s="65">
        <f t="shared" si="16"/>
        <v>0</v>
      </c>
      <c r="J80" s="203">
        <f>IF(DG!$A$136&lt;=11,$M$17,0)</f>
        <v>0</v>
      </c>
      <c r="K80" s="65">
        <f t="shared" si="7"/>
        <v>0</v>
      </c>
      <c r="L80" s="473">
        <f t="shared" si="8"/>
        <v>0</v>
      </c>
      <c r="M80" s="204">
        <f t="shared" si="9"/>
        <v>0</v>
      </c>
      <c r="N80" s="505">
        <f t="shared" si="10"/>
        <v>0</v>
      </c>
      <c r="O80" s="204">
        <f>IF(DG!$A$136&gt;12,0,IF(J80-J79&gt;0,MROUND((L80/12*Q79),1),MROUND(L80/12*P79,1)))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IF(OR(L$73=0,DG!$A$257&gt;16),0,F80+1)</f>
        <v>0</v>
      </c>
      <c r="G81" s="65">
        <f t="shared" si="1"/>
        <v>0</v>
      </c>
      <c r="H81" s="65">
        <f t="shared" si="2"/>
        <v>0</v>
      </c>
      <c r="I81" s="65">
        <f t="shared" si="16"/>
        <v>0</v>
      </c>
      <c r="J81" s="203">
        <f>IF(DG!$A$136&lt;=11,$M$17,0)</f>
        <v>0</v>
      </c>
      <c r="K81" s="65">
        <f t="shared" si="7"/>
        <v>0</v>
      </c>
      <c r="L81" s="473">
        <f t="shared" si="8"/>
        <v>0</v>
      </c>
      <c r="M81" s="204">
        <f t="shared" si="9"/>
        <v>0</v>
      </c>
      <c r="N81" s="505">
        <f t="shared" si="10"/>
        <v>0</v>
      </c>
      <c r="O81" s="204">
        <f>IF(DG!$A$136&gt;12,0,IF(J81-J80&gt;0,MROUND((L81/12*Q80),1),MROUND(L81/12*P80,1)))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IF(OR(L$73=0,DG!$A$257&gt;16),0,F81+1)</f>
        <v>0</v>
      </c>
      <c r="G82" s="65">
        <f t="shared" si="1"/>
        <v>0</v>
      </c>
      <c r="H82" s="65">
        <f t="shared" si="2"/>
        <v>0</v>
      </c>
      <c r="I82" s="65">
        <f t="shared" si="16"/>
        <v>0</v>
      </c>
      <c r="J82" s="203">
        <f>IF(DG!$A$136&lt;=11,$M$17,0)</f>
        <v>0</v>
      </c>
      <c r="K82" s="65">
        <f t="shared" si="7"/>
        <v>0</v>
      </c>
      <c r="L82" s="473">
        <f t="shared" si="8"/>
        <v>0</v>
      </c>
      <c r="M82" s="204">
        <f t="shared" si="9"/>
        <v>0</v>
      </c>
      <c r="N82" s="505">
        <f t="shared" si="10"/>
        <v>0</v>
      </c>
      <c r="O82" s="204">
        <f>IF(DG!$A$136&gt;12,0,IF(J82-J81&gt;0,MROUND((L82/12*Q81),1),MROUND(L82/12*P81,1)))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IF(OR(L$73=0,DG!$A$257&gt;16),0,F82+1)</f>
        <v>0</v>
      </c>
      <c r="G83" s="65">
        <f t="shared" si="1"/>
        <v>0</v>
      </c>
      <c r="H83" s="65">
        <f t="shared" si="2"/>
        <v>0</v>
      </c>
      <c r="I83" s="65">
        <f t="shared" si="16"/>
        <v>0</v>
      </c>
      <c r="J83" s="203">
        <f>IF(DG!$A$136&lt;=11,$M$17,0)</f>
        <v>0</v>
      </c>
      <c r="K83" s="65">
        <f t="shared" si="7"/>
        <v>0</v>
      </c>
      <c r="L83" s="473">
        <f t="shared" si="8"/>
        <v>0</v>
      </c>
      <c r="M83" s="204">
        <f t="shared" si="9"/>
        <v>0</v>
      </c>
      <c r="N83" s="505">
        <f t="shared" si="10"/>
        <v>0</v>
      </c>
      <c r="O83" s="204">
        <f>IF(DG!$A$136&gt;12,0,IF(J83-J82&gt;0,MROUND((L83/12*Q82),1),MROUND(L83/12*P82,1)))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IF(OR(L$73=0,DG!$A$257&gt;16),0,F83+1)</f>
        <v>0</v>
      </c>
      <c r="G84" s="65">
        <f t="shared" si="1"/>
        <v>0</v>
      </c>
      <c r="H84" s="65">
        <f t="shared" si="2"/>
        <v>0</v>
      </c>
      <c r="I84" s="65">
        <f t="shared" si="16"/>
        <v>0</v>
      </c>
      <c r="J84" s="203">
        <f>IF(DG!$A$136&lt;=11,$M$17,0)</f>
        <v>0</v>
      </c>
      <c r="K84" s="65">
        <f t="shared" si="7"/>
        <v>0</v>
      </c>
      <c r="L84" s="473">
        <f t="shared" si="8"/>
        <v>0</v>
      </c>
      <c r="M84" s="204">
        <f t="shared" si="9"/>
        <v>0</v>
      </c>
      <c r="N84" s="505">
        <f t="shared" si="10"/>
        <v>0</v>
      </c>
      <c r="O84" s="204">
        <f>IF(DG!$A$136&gt;12,0,IF(J84-J83&gt;0,MROUND((L84/12*Q83),1),MROUND(L84/12*P83,1)))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IF(OR(L$73=0,DG!$A$257&gt;16),0,F84+1)</f>
        <v>0</v>
      </c>
      <c r="G85" s="65">
        <f t="shared" si="1"/>
        <v>0</v>
      </c>
      <c r="H85" s="65">
        <f t="shared" si="2"/>
        <v>0</v>
      </c>
      <c r="I85" s="65">
        <f t="shared" si="16"/>
        <v>0</v>
      </c>
      <c r="J85" s="203">
        <f>IF(DG!$A$136&lt;=11,$M$17,0)</f>
        <v>0</v>
      </c>
      <c r="K85" s="65">
        <f t="shared" si="7"/>
        <v>0</v>
      </c>
      <c r="L85" s="473">
        <f t="shared" si="8"/>
        <v>0</v>
      </c>
      <c r="M85" s="204">
        <f t="shared" si="9"/>
        <v>0</v>
      </c>
      <c r="N85" s="505">
        <f t="shared" si="10"/>
        <v>0</v>
      </c>
      <c r="O85" s="204">
        <f>IF(DG!$A$136&gt;12,0,IF(J85-J84&gt;0,MROUND((L85/12*Q84),1),MROUND(L85/12*P84,1)))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IF(OR(L$73=0,DG!$A$257&gt;16),0,F85+1)</f>
        <v>0</v>
      </c>
      <c r="G86" s="65">
        <f t="shared" si="1"/>
        <v>0</v>
      </c>
      <c r="H86" s="65">
        <f t="shared" si="2"/>
        <v>0</v>
      </c>
      <c r="I86" s="65">
        <f t="shared" si="16"/>
        <v>0</v>
      </c>
      <c r="J86" s="203">
        <f>IF(DG!$A$136&lt;=11,$M$17,0)</f>
        <v>0</v>
      </c>
      <c r="K86" s="65">
        <f t="shared" si="7"/>
        <v>0</v>
      </c>
      <c r="L86" s="473">
        <f t="shared" si="8"/>
        <v>0</v>
      </c>
      <c r="M86" s="204">
        <f t="shared" si="9"/>
        <v>0</v>
      </c>
      <c r="N86" s="505">
        <f t="shared" si="10"/>
        <v>0</v>
      </c>
      <c r="O86" s="204">
        <f>IF(DG!$A$136&gt;12,0,IF(J86-J85&gt;0,MROUND((L86/12*Q85),1),MROUND(L86/12*P85,1)))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IF(OR(L$73=0,DG!$A$257&gt;16),0,F86+1)</f>
        <v>0</v>
      </c>
      <c r="G87" s="65">
        <f t="shared" si="1"/>
        <v>0</v>
      </c>
      <c r="H87" s="65">
        <f t="shared" si="2"/>
        <v>0</v>
      </c>
      <c r="I87" s="65">
        <f t="shared" si="16"/>
        <v>0</v>
      </c>
      <c r="J87" s="203">
        <f>IF(DG!$A$136&lt;=11,$M$17,0)</f>
        <v>0</v>
      </c>
      <c r="K87" s="65">
        <f t="shared" si="7"/>
        <v>0</v>
      </c>
      <c r="L87" s="473">
        <f t="shared" si="8"/>
        <v>0</v>
      </c>
      <c r="M87" s="204">
        <f t="shared" si="9"/>
        <v>0</v>
      </c>
      <c r="N87" s="505">
        <f t="shared" si="10"/>
        <v>0</v>
      </c>
      <c r="O87" s="204">
        <f>IF(DG!$A$136&gt;12,0,IF(J87-J86&gt;0,MROUND((L87/12*Q86),1),MROUND(L87/12*P86,1)))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IF(OR(L$73=0,DG!$A$257&gt;16),0,F87+1)</f>
        <v>0</v>
      </c>
      <c r="G88" s="65">
        <f t="shared" si="1"/>
        <v>0</v>
      </c>
      <c r="H88" s="65">
        <f t="shared" si="2"/>
        <v>0</v>
      </c>
      <c r="I88" s="65">
        <f t="shared" si="16"/>
        <v>0</v>
      </c>
      <c r="J88" s="203">
        <f>IF(DG!$A$136&lt;=11,$M$17,0)</f>
        <v>0</v>
      </c>
      <c r="K88" s="65">
        <f t="shared" si="7"/>
        <v>0</v>
      </c>
      <c r="L88" s="473">
        <f t="shared" si="8"/>
        <v>0</v>
      </c>
      <c r="M88" s="204">
        <f t="shared" si="9"/>
        <v>0</v>
      </c>
      <c r="N88" s="505">
        <f t="shared" si="10"/>
        <v>0</v>
      </c>
      <c r="O88" s="204">
        <f>IF(DG!$A$136&gt;12,0,IF(J88-J87&gt;0,MROUND((L88/12*Q87),1),MROUND(L88/12*P87,1)))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IF(OR(L$73=0,DG!$A$257&gt;16),0,F88+1)</f>
        <v>0</v>
      </c>
      <c r="G89" s="65">
        <f t="shared" si="1"/>
        <v>0</v>
      </c>
      <c r="H89" s="65">
        <f t="shared" si="2"/>
        <v>0</v>
      </c>
      <c r="I89" s="65">
        <f t="shared" si="16"/>
        <v>0</v>
      </c>
      <c r="J89" s="203">
        <f>IF(DG!$A$136&lt;=11,$M$17,0)</f>
        <v>0</v>
      </c>
      <c r="K89" s="65">
        <f t="shared" si="7"/>
        <v>0</v>
      </c>
      <c r="L89" s="473">
        <f t="shared" si="8"/>
        <v>0</v>
      </c>
      <c r="M89" s="204">
        <f t="shared" si="9"/>
        <v>0</v>
      </c>
      <c r="N89" s="505">
        <f t="shared" si="10"/>
        <v>0</v>
      </c>
      <c r="O89" s="204">
        <f>IF(DG!$A$136&gt;12,0,IF(J89-J88&gt;0,MROUND((L89/12*Q88),1),MROUND(L89/12*P88,1)))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IF(OR(L$73=0,DG!$A$257&gt;16),0,F89+1)</f>
        <v>0</v>
      </c>
      <c r="G90" s="65">
        <f t="shared" ref="G90:G153" si="19">IF(E90=0,0,IF(D90-E90-F90&gt;=0,1,0))</f>
        <v>0</v>
      </c>
      <c r="H90" s="65">
        <f t="shared" ref="H90:H150" si="20">IF(I90&gt;=0,0,H89+1)</f>
        <v>0</v>
      </c>
      <c r="I90" s="65">
        <f t="shared" si="16"/>
        <v>0</v>
      </c>
      <c r="J90" s="203">
        <f>IF(DG!$A$136&lt;=11,$M$17,0)</f>
        <v>0</v>
      </c>
      <c r="K90" s="65">
        <f t="shared" si="7"/>
        <v>0</v>
      </c>
      <c r="L90" s="473">
        <f t="shared" si="8"/>
        <v>0</v>
      </c>
      <c r="M90" s="204">
        <f t="shared" si="9"/>
        <v>0</v>
      </c>
      <c r="N90" s="505">
        <f t="shared" si="10"/>
        <v>0</v>
      </c>
      <c r="O90" s="204">
        <f>IF(DG!$A$136&gt;12,0,IF(J90-J89&gt;0,MROUND((L90/12*Q89),1),MROUND(L90/12*P89,1)))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IF(OR(L$73=0,DG!$A$257&gt;16),0,F90+1)</f>
        <v>0</v>
      </c>
      <c r="G91" s="65">
        <f t="shared" si="19"/>
        <v>0</v>
      </c>
      <c r="H91" s="65">
        <f t="shared" si="20"/>
        <v>0</v>
      </c>
      <c r="I91" s="65">
        <f t="shared" si="16"/>
        <v>0</v>
      </c>
      <c r="J91" s="203">
        <f>IF(DG!$A$136&lt;=11,$M$17,0)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IF(DG!$A$136&gt;12,0,IF(J91-J90&gt;0,MROUND((L91/12*Q90),1),MROUND(L91/12*P90,1)))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IF(OR(L$73=0,DG!$A$257&gt;16),0,F91+1)</f>
        <v>0</v>
      </c>
      <c r="G92" s="65">
        <f t="shared" si="19"/>
        <v>0</v>
      </c>
      <c r="H92" s="65">
        <f t="shared" si="20"/>
        <v>0</v>
      </c>
      <c r="I92" s="65">
        <f t="shared" si="16"/>
        <v>0</v>
      </c>
      <c r="J92" s="203">
        <f>IF(DG!$A$136&lt;=11,$M$17,0)</f>
        <v>0</v>
      </c>
      <c r="K92" s="65">
        <f t="shared" si="24"/>
        <v>0</v>
      </c>
      <c r="L92" s="473">
        <f t="shared" si="25"/>
        <v>0</v>
      </c>
      <c r="M92" s="204">
        <f t="shared" si="26"/>
        <v>0</v>
      </c>
      <c r="N92" s="505">
        <f t="shared" si="27"/>
        <v>0</v>
      </c>
      <c r="O92" s="204">
        <f>IF(DG!$A$136&gt;12,0,IF(J92-J91&gt;0,MROUND((L92/12*Q91),1),MROUND(L92/12*P91,1)))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IF(OR(L$73=0,DG!$A$257&gt;16),0,F92+1)</f>
        <v>0</v>
      </c>
      <c r="G93" s="65">
        <f t="shared" si="19"/>
        <v>0</v>
      </c>
      <c r="H93" s="65">
        <f t="shared" si="20"/>
        <v>0</v>
      </c>
      <c r="I93" s="65">
        <f t="shared" si="16"/>
        <v>0</v>
      </c>
      <c r="J93" s="203">
        <f>IF(DG!$A$136&lt;=11,$M$17,0)</f>
        <v>0</v>
      </c>
      <c r="K93" s="65">
        <f t="shared" si="24"/>
        <v>0</v>
      </c>
      <c r="L93" s="473">
        <f t="shared" si="25"/>
        <v>0</v>
      </c>
      <c r="M93" s="204">
        <f t="shared" si="26"/>
        <v>0</v>
      </c>
      <c r="N93" s="505">
        <f t="shared" si="27"/>
        <v>0</v>
      </c>
      <c r="O93" s="204">
        <f>IF(DG!$A$136&gt;12,0,IF(J93-J92&gt;0,MROUND((L93/12*Q92),1),MROUND(L93/12*P92,1)))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IF(OR(L$73=0,DG!$A$257&gt;16),0,F93+1)</f>
        <v>0</v>
      </c>
      <c r="G94" s="65">
        <f t="shared" si="19"/>
        <v>0</v>
      </c>
      <c r="H94" s="65">
        <f t="shared" si="20"/>
        <v>0</v>
      </c>
      <c r="I94" s="65">
        <f t="shared" si="16"/>
        <v>0</v>
      </c>
      <c r="J94" s="203">
        <f>IF(DG!$A$136&lt;=11,$M$17,0)</f>
        <v>0</v>
      </c>
      <c r="K94" s="65">
        <f t="shared" si="24"/>
        <v>0</v>
      </c>
      <c r="L94" s="473">
        <f t="shared" si="25"/>
        <v>0</v>
      </c>
      <c r="M94" s="204">
        <f t="shared" si="26"/>
        <v>0</v>
      </c>
      <c r="N94" s="505">
        <f t="shared" si="27"/>
        <v>0</v>
      </c>
      <c r="O94" s="204">
        <f>IF(DG!$A$136&gt;12,0,IF(J94-J93&gt;0,MROUND((L94/12*Q93),1),MROUND(L94/12*P93,1)))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IF(OR(L$73=0,DG!$A$257&gt;16),0,F94+1)</f>
        <v>0</v>
      </c>
      <c r="G95" s="65">
        <f t="shared" si="19"/>
        <v>0</v>
      </c>
      <c r="H95" s="65">
        <f t="shared" si="20"/>
        <v>0</v>
      </c>
      <c r="I95" s="65">
        <f t="shared" si="16"/>
        <v>0</v>
      </c>
      <c r="J95" s="203">
        <f>IF(DG!$A$136&lt;=11,$M$17,0)</f>
        <v>0</v>
      </c>
      <c r="K95" s="65">
        <f t="shared" si="24"/>
        <v>0</v>
      </c>
      <c r="L95" s="473">
        <f t="shared" si="25"/>
        <v>0</v>
      </c>
      <c r="M95" s="204">
        <f t="shared" si="26"/>
        <v>0</v>
      </c>
      <c r="N95" s="505">
        <f t="shared" si="27"/>
        <v>0</v>
      </c>
      <c r="O95" s="204">
        <f>IF(DG!$A$136&gt;12,0,IF(J95-J94&gt;0,MROUND((L95/12*Q94),1),MROUND(L95/12*P94,1)))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IF(OR(L$73=0,DG!$A$257&gt;16),0,F95+1)</f>
        <v>0</v>
      </c>
      <c r="G96" s="65">
        <f t="shared" si="19"/>
        <v>0</v>
      </c>
      <c r="H96" s="65">
        <f t="shared" si="20"/>
        <v>0</v>
      </c>
      <c r="I96" s="65">
        <f t="shared" si="16"/>
        <v>0</v>
      </c>
      <c r="J96" s="203">
        <f>IF(DG!$A$136&lt;=11,$M$17,0)</f>
        <v>0</v>
      </c>
      <c r="K96" s="65">
        <f t="shared" si="24"/>
        <v>0</v>
      </c>
      <c r="L96" s="473">
        <f t="shared" si="25"/>
        <v>0</v>
      </c>
      <c r="M96" s="204">
        <f t="shared" si="26"/>
        <v>0</v>
      </c>
      <c r="N96" s="505">
        <f t="shared" si="27"/>
        <v>0</v>
      </c>
      <c r="O96" s="204">
        <f>IF(DG!$A$136&gt;12,0,IF(J96-J95&gt;0,MROUND((L96/12*Q95),1),MROUND(L96/12*P95,1)))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IF(OR(L$73=0,DG!$A$257&gt;16),0,F96+1)</f>
        <v>0</v>
      </c>
      <c r="G97" s="65">
        <f t="shared" si="19"/>
        <v>0</v>
      </c>
      <c r="H97" s="65">
        <f t="shared" si="20"/>
        <v>0</v>
      </c>
      <c r="I97" s="65">
        <f t="shared" si="16"/>
        <v>0</v>
      </c>
      <c r="J97" s="203">
        <f>IF(DG!$A$136&lt;=11,$M$17,0)</f>
        <v>0</v>
      </c>
      <c r="K97" s="65">
        <f t="shared" si="24"/>
        <v>0</v>
      </c>
      <c r="L97" s="473">
        <f t="shared" si="25"/>
        <v>0</v>
      </c>
      <c r="M97" s="204">
        <f t="shared" si="26"/>
        <v>0</v>
      </c>
      <c r="N97" s="505">
        <f t="shared" si="27"/>
        <v>0</v>
      </c>
      <c r="O97" s="204">
        <f>IF(DG!$A$136&gt;12,0,IF(J97-J96&gt;0,MROUND((L97/12*Q96),1),MROUND(L97/12*P96,1)))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IF(OR(L$73=0,DG!$A$257&gt;16),0,F97+1)</f>
        <v>0</v>
      </c>
      <c r="G98" s="65">
        <f t="shared" si="19"/>
        <v>0</v>
      </c>
      <c r="H98" s="65">
        <f t="shared" si="20"/>
        <v>0</v>
      </c>
      <c r="I98" s="65">
        <f t="shared" si="16"/>
        <v>0</v>
      </c>
      <c r="J98" s="203">
        <f>IF(DG!$A$136&lt;=11,$M$17,0)</f>
        <v>0</v>
      </c>
      <c r="K98" s="65">
        <f t="shared" si="24"/>
        <v>0</v>
      </c>
      <c r="L98" s="473">
        <f t="shared" si="25"/>
        <v>0</v>
      </c>
      <c r="M98" s="204">
        <f t="shared" si="26"/>
        <v>0</v>
      </c>
      <c r="N98" s="505">
        <f t="shared" si="27"/>
        <v>0</v>
      </c>
      <c r="O98" s="204">
        <f>IF(DG!$A$136&gt;12,0,IF(J98-J97&gt;0,MROUND((L98/12*Q97),1),MROUND(L98/12*P97,1)))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IF(OR(L$73=0,DG!$A$257&gt;16),0,F98+1)</f>
        <v>0</v>
      </c>
      <c r="G99" s="65">
        <f t="shared" si="19"/>
        <v>0</v>
      </c>
      <c r="H99" s="65">
        <f t="shared" si="20"/>
        <v>0</v>
      </c>
      <c r="I99" s="65">
        <f t="shared" si="16"/>
        <v>0</v>
      </c>
      <c r="J99" s="203">
        <f>IF(DG!$A$136&lt;=11,$M$17,0)</f>
        <v>0</v>
      </c>
      <c r="K99" s="65">
        <f t="shared" si="24"/>
        <v>0</v>
      </c>
      <c r="L99" s="473">
        <f t="shared" si="25"/>
        <v>0</v>
      </c>
      <c r="M99" s="204">
        <f t="shared" si="26"/>
        <v>0</v>
      </c>
      <c r="N99" s="505">
        <f t="shared" si="27"/>
        <v>0</v>
      </c>
      <c r="O99" s="204">
        <f>IF(DG!$A$136&gt;12,0,IF(J99-J98&gt;0,MROUND((L99/12*Q98),1),MROUND(L99/12*P98,1)))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IF(OR(L$73=0,DG!$A$257&gt;16),0,F99+1)</f>
        <v>0</v>
      </c>
      <c r="G100" s="65">
        <f t="shared" si="19"/>
        <v>0</v>
      </c>
      <c r="H100" s="65">
        <f t="shared" si="20"/>
        <v>0</v>
      </c>
      <c r="I100" s="65">
        <f t="shared" si="16"/>
        <v>0</v>
      </c>
      <c r="J100" s="203">
        <f>IF(DG!$A$136&lt;=11,$M$17,0)</f>
        <v>0</v>
      </c>
      <c r="K100" s="65">
        <f t="shared" si="24"/>
        <v>0</v>
      </c>
      <c r="L100" s="473">
        <f t="shared" si="25"/>
        <v>0</v>
      </c>
      <c r="M100" s="204">
        <f t="shared" si="26"/>
        <v>0</v>
      </c>
      <c r="N100" s="505">
        <f t="shared" si="27"/>
        <v>0</v>
      </c>
      <c r="O100" s="204">
        <f>IF(DG!$A$136&gt;12,0,IF(J100-J99&gt;0,MROUND((L100/12*Q99),1),MROUND(L100/12*P99,1)))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IF(OR(L$73=0,DG!$A$257&gt;16),0,F100+1)</f>
        <v>0</v>
      </c>
      <c r="G101" s="65">
        <f t="shared" si="19"/>
        <v>0</v>
      </c>
      <c r="H101" s="65">
        <f t="shared" si="20"/>
        <v>0</v>
      </c>
      <c r="I101" s="65">
        <f t="shared" si="16"/>
        <v>0</v>
      </c>
      <c r="J101" s="203">
        <f>IF(DG!$A$136&lt;=11,$M$17,0)</f>
        <v>0</v>
      </c>
      <c r="K101" s="65">
        <f t="shared" si="24"/>
        <v>0</v>
      </c>
      <c r="L101" s="473">
        <f t="shared" si="25"/>
        <v>0</v>
      </c>
      <c r="M101" s="204">
        <f t="shared" si="26"/>
        <v>0</v>
      </c>
      <c r="N101" s="505">
        <f t="shared" si="27"/>
        <v>0</v>
      </c>
      <c r="O101" s="204">
        <f>IF(DG!$A$136&gt;12,0,IF(J101-J100&gt;0,MROUND((L101/12*Q100),1),MROUND(L101/12*P100,1)))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IF(OR(L$73=0,DG!$A$257&gt;16),0,F101+1)</f>
        <v>0</v>
      </c>
      <c r="G102" s="65">
        <f t="shared" si="19"/>
        <v>0</v>
      </c>
      <c r="H102" s="65">
        <f t="shared" si="20"/>
        <v>0</v>
      </c>
      <c r="I102" s="65">
        <f t="shared" si="16"/>
        <v>0</v>
      </c>
      <c r="J102" s="203">
        <f>IF(DG!$A$136&lt;=11,$M$17,0)</f>
        <v>0</v>
      </c>
      <c r="K102" s="65">
        <f t="shared" si="24"/>
        <v>0</v>
      </c>
      <c r="L102" s="473">
        <f t="shared" si="25"/>
        <v>0</v>
      </c>
      <c r="M102" s="204">
        <f t="shared" si="26"/>
        <v>0</v>
      </c>
      <c r="N102" s="505">
        <f t="shared" si="27"/>
        <v>0</v>
      </c>
      <c r="O102" s="204">
        <f>IF(DG!$A$136&gt;12,0,IF(J102-J101&gt;0,MROUND((L102/12*Q101),1),MROUND(L102/12*P101,1)))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IF(OR(L$73=0,DG!$A$257&gt;16),0,F102+1)</f>
        <v>0</v>
      </c>
      <c r="G103" s="65">
        <f t="shared" si="19"/>
        <v>0</v>
      </c>
      <c r="H103" s="65">
        <f t="shared" si="20"/>
        <v>0</v>
      </c>
      <c r="I103" s="65">
        <f t="shared" si="16"/>
        <v>0</v>
      </c>
      <c r="J103" s="203">
        <f>IF(DG!$A$136&lt;=11,$M$17,0)</f>
        <v>0</v>
      </c>
      <c r="K103" s="65">
        <f t="shared" si="24"/>
        <v>0</v>
      </c>
      <c r="L103" s="473">
        <f t="shared" si="25"/>
        <v>0</v>
      </c>
      <c r="M103" s="204">
        <f t="shared" si="26"/>
        <v>0</v>
      </c>
      <c r="N103" s="505">
        <f t="shared" si="27"/>
        <v>0</v>
      </c>
      <c r="O103" s="204">
        <f>IF(DG!$A$136&gt;12,0,IF(J103-J102&gt;0,MROUND((L103/12*Q102),1),MROUND(L103/12*P102,1)))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IF(OR(L$73=0,DG!$A$257&gt;16),0,F103+1)</f>
        <v>0</v>
      </c>
      <c r="G104" s="65">
        <f t="shared" si="19"/>
        <v>0</v>
      </c>
      <c r="H104" s="65">
        <f t="shared" si="20"/>
        <v>0</v>
      </c>
      <c r="I104" s="65">
        <f t="shared" si="16"/>
        <v>0</v>
      </c>
      <c r="J104" s="203">
        <f>IF(DG!$A$136&lt;=11,$M$17,0)</f>
        <v>0</v>
      </c>
      <c r="K104" s="65">
        <f t="shared" si="24"/>
        <v>0</v>
      </c>
      <c r="L104" s="473">
        <f t="shared" si="25"/>
        <v>0</v>
      </c>
      <c r="M104" s="204">
        <f t="shared" si="26"/>
        <v>0</v>
      </c>
      <c r="N104" s="505">
        <f t="shared" si="27"/>
        <v>0</v>
      </c>
      <c r="O104" s="204">
        <f>IF(DG!$A$136&gt;12,0,IF(J104-J103&gt;0,MROUND((L104/12*Q103),1),MROUND(L104/12*P103,1)))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IF(OR(L$73=0,DG!$A$257&gt;16),0,F104+1)</f>
        <v>0</v>
      </c>
      <c r="G105" s="65">
        <f t="shared" si="19"/>
        <v>0</v>
      </c>
      <c r="H105" s="65">
        <f t="shared" si="20"/>
        <v>0</v>
      </c>
      <c r="I105" s="65">
        <f t="shared" si="16"/>
        <v>0</v>
      </c>
      <c r="J105" s="203">
        <f>IF(DG!$A$136&lt;=11,$M$17,0)</f>
        <v>0</v>
      </c>
      <c r="K105" s="65">
        <f t="shared" si="24"/>
        <v>0</v>
      </c>
      <c r="L105" s="473">
        <f t="shared" si="25"/>
        <v>0</v>
      </c>
      <c r="M105" s="204">
        <f t="shared" si="26"/>
        <v>0</v>
      </c>
      <c r="N105" s="505">
        <f t="shared" si="27"/>
        <v>0</v>
      </c>
      <c r="O105" s="204">
        <f>IF(DG!$A$136&gt;12,0,IF(J105-J104&gt;0,MROUND((L105/12*Q104),1),MROUND(L105/12*P104,1)))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IF(OR(L$73=0,DG!$A$257&gt;16),0,F105+1)</f>
        <v>0</v>
      </c>
      <c r="G106" s="65">
        <f t="shared" si="19"/>
        <v>0</v>
      </c>
      <c r="H106" s="65">
        <f t="shared" si="20"/>
        <v>0</v>
      </c>
      <c r="I106" s="65">
        <f t="shared" si="16"/>
        <v>0</v>
      </c>
      <c r="J106" s="203">
        <f>IF(DG!$A$136&lt;=11,$M$17,0)</f>
        <v>0</v>
      </c>
      <c r="K106" s="65">
        <f t="shared" si="24"/>
        <v>0</v>
      </c>
      <c r="L106" s="473">
        <f t="shared" si="25"/>
        <v>0</v>
      </c>
      <c r="M106" s="204">
        <f t="shared" si="26"/>
        <v>0</v>
      </c>
      <c r="N106" s="505">
        <f t="shared" si="27"/>
        <v>0</v>
      </c>
      <c r="O106" s="204">
        <f>IF(DG!$A$136&gt;12,0,IF(J106-J105&gt;0,MROUND((L106/12*Q105),1),MROUND(L106/12*P105,1)))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IF(OR(L$73=0,DG!$A$257&gt;16),0,F106+1)</f>
        <v>0</v>
      </c>
      <c r="G107" s="65">
        <f t="shared" si="19"/>
        <v>0</v>
      </c>
      <c r="H107" s="65">
        <f t="shared" si="20"/>
        <v>0</v>
      </c>
      <c r="I107" s="65">
        <f t="shared" si="16"/>
        <v>0</v>
      </c>
      <c r="J107" s="203">
        <f>IF(DG!$A$136&lt;=11,$M$17,0)</f>
        <v>0</v>
      </c>
      <c r="K107" s="65">
        <f t="shared" si="24"/>
        <v>0</v>
      </c>
      <c r="L107" s="473">
        <f t="shared" si="25"/>
        <v>0</v>
      </c>
      <c r="M107" s="204">
        <f t="shared" si="26"/>
        <v>0</v>
      </c>
      <c r="N107" s="505">
        <f t="shared" si="27"/>
        <v>0</v>
      </c>
      <c r="O107" s="204">
        <f>IF(DG!$A$136&gt;12,0,IF(J107-J106&gt;0,MROUND((L107/12*Q106),1),MROUND(L107/12*P106,1)))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IF(OR(L$73=0,DG!$A$257&gt;16),0,F107+1)</f>
        <v>0</v>
      </c>
      <c r="G108" s="65">
        <f t="shared" si="19"/>
        <v>0</v>
      </c>
      <c r="H108" s="65">
        <f t="shared" si="20"/>
        <v>0</v>
      </c>
      <c r="I108" s="65">
        <f t="shared" si="16"/>
        <v>0</v>
      </c>
      <c r="J108" s="203">
        <f>IF(DG!$A$136&lt;=11,$M$17,0)</f>
        <v>0</v>
      </c>
      <c r="K108" s="65">
        <f t="shared" si="24"/>
        <v>0</v>
      </c>
      <c r="L108" s="473">
        <f t="shared" si="25"/>
        <v>0</v>
      </c>
      <c r="M108" s="204">
        <f t="shared" si="26"/>
        <v>0</v>
      </c>
      <c r="N108" s="505">
        <f t="shared" si="27"/>
        <v>0</v>
      </c>
      <c r="O108" s="204">
        <f>IF(DG!$A$136&gt;12,0,IF(J108-J107&gt;0,MROUND((L108/12*Q107),1),MROUND(L108/12*P107,1)))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IF(OR(L$73=0,DG!$A$257&gt;16),0,F108+1)</f>
        <v>0</v>
      </c>
      <c r="G109" s="65">
        <f t="shared" si="19"/>
        <v>0</v>
      </c>
      <c r="H109" s="65">
        <f t="shared" si="20"/>
        <v>0</v>
      </c>
      <c r="I109" s="65">
        <f t="shared" si="16"/>
        <v>0</v>
      </c>
      <c r="J109" s="203">
        <f>IF(DG!$A$136&lt;=11,$M$17,0)</f>
        <v>0</v>
      </c>
      <c r="K109" s="65">
        <f t="shared" si="24"/>
        <v>0</v>
      </c>
      <c r="L109" s="473">
        <f t="shared" si="25"/>
        <v>0</v>
      </c>
      <c r="M109" s="204">
        <f t="shared" si="26"/>
        <v>0</v>
      </c>
      <c r="N109" s="505">
        <f t="shared" si="27"/>
        <v>0</v>
      </c>
      <c r="O109" s="204">
        <f>IF(DG!$A$136&gt;12,0,IF(J109-J108&gt;0,MROUND((L109/12*Q108),1),MROUND(L109/12*P108,1)))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IF(OR(L$73=0,DG!$A$257&gt;16),0,F109+1)</f>
        <v>0</v>
      </c>
      <c r="G110" s="65">
        <f t="shared" si="19"/>
        <v>0</v>
      </c>
      <c r="H110" s="65">
        <f t="shared" si="20"/>
        <v>0</v>
      </c>
      <c r="I110" s="65">
        <f t="shared" si="16"/>
        <v>0</v>
      </c>
      <c r="J110" s="203">
        <f>IF(DG!$A$136&lt;=11,$M$17,0)</f>
        <v>0</v>
      </c>
      <c r="K110" s="65">
        <f t="shared" si="24"/>
        <v>0</v>
      </c>
      <c r="L110" s="473">
        <f t="shared" si="25"/>
        <v>0</v>
      </c>
      <c r="M110" s="204">
        <f t="shared" si="26"/>
        <v>0</v>
      </c>
      <c r="N110" s="505">
        <f t="shared" si="27"/>
        <v>0</v>
      </c>
      <c r="O110" s="204">
        <f>IF(DG!$A$136&gt;12,0,IF(J110-J109&gt;0,MROUND((L110/12*Q109),1),MROUND(L110/12*P109,1)))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IF(OR(L$73=0,DG!$A$257&gt;16),0,F110+1)</f>
        <v>0</v>
      </c>
      <c r="G111" s="65">
        <f t="shared" si="19"/>
        <v>0</v>
      </c>
      <c r="H111" s="65">
        <f t="shared" si="20"/>
        <v>0</v>
      </c>
      <c r="I111" s="65">
        <f t="shared" si="16"/>
        <v>0</v>
      </c>
      <c r="J111" s="203">
        <f>IF(DG!$A$136&lt;=11,$M$17,0)</f>
        <v>0</v>
      </c>
      <c r="K111" s="65">
        <f t="shared" si="24"/>
        <v>0</v>
      </c>
      <c r="L111" s="473">
        <f t="shared" si="25"/>
        <v>0</v>
      </c>
      <c r="M111" s="204">
        <f t="shared" si="26"/>
        <v>0</v>
      </c>
      <c r="N111" s="505">
        <f t="shared" si="27"/>
        <v>0</v>
      </c>
      <c r="O111" s="204">
        <f>IF(DG!$A$136&gt;12,0,IF(J111-J110&gt;0,MROUND((L111/12*Q110),1),MROUND(L111/12*P110,1)))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IF(OR(L$73=0,DG!$A$257&gt;16),0,F111+1)</f>
        <v>0</v>
      </c>
      <c r="G112" s="65">
        <f t="shared" si="19"/>
        <v>0</v>
      </c>
      <c r="H112" s="65">
        <f t="shared" si="20"/>
        <v>0</v>
      </c>
      <c r="I112" s="65">
        <f t="shared" si="16"/>
        <v>0</v>
      </c>
      <c r="J112" s="203">
        <f>IF(DG!$A$136&lt;=11,$M$17,0)</f>
        <v>0</v>
      </c>
      <c r="K112" s="65">
        <f t="shared" si="24"/>
        <v>0</v>
      </c>
      <c r="L112" s="473">
        <f t="shared" si="25"/>
        <v>0</v>
      </c>
      <c r="M112" s="204">
        <f t="shared" si="26"/>
        <v>0</v>
      </c>
      <c r="N112" s="505">
        <f t="shared" si="27"/>
        <v>0</v>
      </c>
      <c r="O112" s="204">
        <f>IF(DG!$A$136&gt;12,0,IF(J112-J111&gt;0,MROUND((L112/12*Q111),1),MROUND(L112/12*P111,1)))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IF(OR(L$73=0,DG!$A$257&gt;16),0,F112+1)</f>
        <v>0</v>
      </c>
      <c r="G113" s="65">
        <f t="shared" si="19"/>
        <v>0</v>
      </c>
      <c r="H113" s="65">
        <f t="shared" si="20"/>
        <v>0</v>
      </c>
      <c r="I113" s="65">
        <f t="shared" si="16"/>
        <v>0</v>
      </c>
      <c r="J113" s="203">
        <f>IF(DG!$A$136&lt;=11,$M$17,0)</f>
        <v>0</v>
      </c>
      <c r="K113" s="65">
        <f t="shared" si="24"/>
        <v>0</v>
      </c>
      <c r="L113" s="473">
        <f t="shared" si="25"/>
        <v>0</v>
      </c>
      <c r="M113" s="204">
        <f t="shared" si="26"/>
        <v>0</v>
      </c>
      <c r="N113" s="505">
        <f t="shared" si="27"/>
        <v>0</v>
      </c>
      <c r="O113" s="204">
        <f>IF(DG!$A$136&gt;12,0,IF(J113-J112&gt;0,MROUND((L113/12*Q112),1),MROUND(L113/12*P112,1)))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IF(OR(L$73=0,DG!$A$257&gt;16),0,F113+1)</f>
        <v>0</v>
      </c>
      <c r="G114" s="65">
        <f t="shared" si="19"/>
        <v>0</v>
      </c>
      <c r="H114" s="65">
        <f t="shared" si="20"/>
        <v>0</v>
      </c>
      <c r="I114" s="65">
        <f t="shared" si="16"/>
        <v>0</v>
      </c>
      <c r="J114" s="203">
        <f>IF(DG!$A$136&lt;=11,$M$17,0)</f>
        <v>0</v>
      </c>
      <c r="K114" s="65">
        <f t="shared" si="24"/>
        <v>0</v>
      </c>
      <c r="L114" s="473">
        <f t="shared" si="25"/>
        <v>0</v>
      </c>
      <c r="M114" s="204">
        <f t="shared" si="26"/>
        <v>0</v>
      </c>
      <c r="N114" s="505">
        <f t="shared" si="27"/>
        <v>0</v>
      </c>
      <c r="O114" s="204">
        <f>IF(DG!$A$136&gt;12,0,IF(J114-J113&gt;0,MROUND((L114/12*Q113),1),MROUND(L114/12*P113,1)))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IF(OR(L$73=0,DG!$A$257&gt;16),0,F114+1)</f>
        <v>0</v>
      </c>
      <c r="G115" s="65">
        <f t="shared" si="19"/>
        <v>0</v>
      </c>
      <c r="H115" s="65">
        <f t="shared" si="20"/>
        <v>0</v>
      </c>
      <c r="I115" s="65">
        <f t="shared" si="16"/>
        <v>0</v>
      </c>
      <c r="J115" s="203">
        <f>IF(DG!$A$136&lt;=11,$M$17,0)</f>
        <v>0</v>
      </c>
      <c r="K115" s="65">
        <f t="shared" si="24"/>
        <v>0</v>
      </c>
      <c r="L115" s="473">
        <f t="shared" si="25"/>
        <v>0</v>
      </c>
      <c r="M115" s="204">
        <f t="shared" si="26"/>
        <v>0</v>
      </c>
      <c r="N115" s="505">
        <f t="shared" si="27"/>
        <v>0</v>
      </c>
      <c r="O115" s="204">
        <f>IF(DG!$A$136&gt;12,0,IF(J115-J114&gt;0,MROUND((L115/12*Q114),1),MROUND(L115/12*P114,1)))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IF(OR(L$73=0,DG!$A$257&gt;16),0,F115+1)</f>
        <v>0</v>
      </c>
      <c r="G116" s="65">
        <f t="shared" si="19"/>
        <v>0</v>
      </c>
      <c r="H116" s="65">
        <f t="shared" si="20"/>
        <v>0</v>
      </c>
      <c r="I116" s="65">
        <f t="shared" si="16"/>
        <v>0</v>
      </c>
      <c r="J116" s="203">
        <f>IF(DG!$A$136&lt;=11,$M$17,0)</f>
        <v>0</v>
      </c>
      <c r="K116" s="65">
        <f t="shared" si="24"/>
        <v>0</v>
      </c>
      <c r="L116" s="473">
        <f t="shared" si="25"/>
        <v>0</v>
      </c>
      <c r="M116" s="204">
        <f t="shared" si="26"/>
        <v>0</v>
      </c>
      <c r="N116" s="505">
        <f t="shared" si="27"/>
        <v>0</v>
      </c>
      <c r="O116" s="204">
        <f>IF(DG!$A$136&gt;12,0,IF(J116-J115&gt;0,MROUND((L116/12*Q115),1),MROUND(L116/12*P115,1)))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IF(OR(L$73=0,DG!$A$257&gt;16),0,F116+1)</f>
        <v>0</v>
      </c>
      <c r="G117" s="65">
        <f t="shared" si="19"/>
        <v>0</v>
      </c>
      <c r="H117" s="65">
        <f t="shared" si="20"/>
        <v>0</v>
      </c>
      <c r="I117" s="65">
        <f t="shared" si="16"/>
        <v>0</v>
      </c>
      <c r="J117" s="203">
        <f>IF(DG!$A$136&lt;=11,$M$17,0)</f>
        <v>0</v>
      </c>
      <c r="K117" s="65">
        <f t="shared" si="24"/>
        <v>0</v>
      </c>
      <c r="L117" s="473">
        <f t="shared" si="25"/>
        <v>0</v>
      </c>
      <c r="M117" s="204">
        <f t="shared" si="26"/>
        <v>0</v>
      </c>
      <c r="N117" s="505">
        <f t="shared" si="27"/>
        <v>0</v>
      </c>
      <c r="O117" s="204">
        <f>IF(DG!$A$136&gt;12,0,IF(J117-J116&gt;0,MROUND((L117/12*Q116),1),MROUND(L117/12*P116,1)))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IF(OR(L$73=0,DG!$A$257&gt;16),0,F117+1)</f>
        <v>0</v>
      </c>
      <c r="G118" s="65">
        <f t="shared" si="19"/>
        <v>0</v>
      </c>
      <c r="H118" s="65">
        <f t="shared" si="20"/>
        <v>0</v>
      </c>
      <c r="I118" s="65">
        <f t="shared" si="16"/>
        <v>0</v>
      </c>
      <c r="J118" s="203">
        <f>IF(DG!$A$136&lt;=11,$M$17,0)</f>
        <v>0</v>
      </c>
      <c r="K118" s="65">
        <f t="shared" si="24"/>
        <v>0</v>
      </c>
      <c r="L118" s="473">
        <f t="shared" si="25"/>
        <v>0</v>
      </c>
      <c r="M118" s="204">
        <f t="shared" si="26"/>
        <v>0</v>
      </c>
      <c r="N118" s="505">
        <f t="shared" si="27"/>
        <v>0</v>
      </c>
      <c r="O118" s="204">
        <f>IF(DG!$A$136&gt;12,0,IF(J118-J117&gt;0,MROUND((L118/12*Q117),1),MROUND(L118/12*P117,1)))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IF(OR(L$73=0,DG!$A$257&gt;16),0,F118+1)</f>
        <v>0</v>
      </c>
      <c r="G119" s="65">
        <f t="shared" si="19"/>
        <v>0</v>
      </c>
      <c r="H119" s="65">
        <f t="shared" si="20"/>
        <v>0</v>
      </c>
      <c r="I119" s="65">
        <f t="shared" si="16"/>
        <v>0</v>
      </c>
      <c r="J119" s="203">
        <f>IF(DG!$A$136&lt;=11,$M$17,0)</f>
        <v>0</v>
      </c>
      <c r="K119" s="65">
        <f t="shared" si="24"/>
        <v>0</v>
      </c>
      <c r="L119" s="473">
        <f t="shared" si="25"/>
        <v>0</v>
      </c>
      <c r="M119" s="204">
        <f t="shared" si="26"/>
        <v>0</v>
      </c>
      <c r="N119" s="505">
        <f t="shared" si="27"/>
        <v>0</v>
      </c>
      <c r="O119" s="204">
        <f>IF(DG!$A$136&gt;12,0,IF(J119-J118&gt;0,MROUND((L119/12*Q118),1),MROUND(L119/12*P118,1)))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IF(OR(L$73=0,DG!$A$257&gt;16),0,F119+1)</f>
        <v>0</v>
      </c>
      <c r="G120" s="65">
        <f t="shared" si="19"/>
        <v>0</v>
      </c>
      <c r="H120" s="65">
        <f t="shared" si="20"/>
        <v>0</v>
      </c>
      <c r="I120" s="65">
        <f t="shared" si="16"/>
        <v>0</v>
      </c>
      <c r="J120" s="203">
        <f>IF(DG!$A$136&lt;=11,$M$17,0)</f>
        <v>0</v>
      </c>
      <c r="K120" s="65">
        <f t="shared" si="24"/>
        <v>0</v>
      </c>
      <c r="L120" s="473">
        <f t="shared" si="25"/>
        <v>0</v>
      </c>
      <c r="M120" s="204">
        <f t="shared" si="26"/>
        <v>0</v>
      </c>
      <c r="N120" s="505">
        <f t="shared" si="27"/>
        <v>0</v>
      </c>
      <c r="O120" s="204">
        <f>IF(DG!$A$136&gt;12,0,IF(J120-J119&gt;0,MROUND((L120/12*Q119),1),MROUND(L120/12*P119,1)))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IF(OR(L$73=0,DG!$A$257&gt;16),0,F120+1)</f>
        <v>0</v>
      </c>
      <c r="G121" s="65">
        <f t="shared" si="19"/>
        <v>0</v>
      </c>
      <c r="H121" s="65">
        <f t="shared" si="20"/>
        <v>0</v>
      </c>
      <c r="I121" s="65">
        <f t="shared" si="16"/>
        <v>0</v>
      </c>
      <c r="J121" s="203">
        <f>IF(DG!$A$136&lt;=11,$M$17,0)</f>
        <v>0</v>
      </c>
      <c r="K121" s="65">
        <f t="shared" si="24"/>
        <v>0</v>
      </c>
      <c r="L121" s="473">
        <f t="shared" si="25"/>
        <v>0</v>
      </c>
      <c r="M121" s="204">
        <f t="shared" si="26"/>
        <v>0</v>
      </c>
      <c r="N121" s="505">
        <f t="shared" si="27"/>
        <v>0</v>
      </c>
      <c r="O121" s="204">
        <f>IF(DG!$A$136&gt;12,0,IF(J121-J120&gt;0,MROUND((L121/12*Q120),1),MROUND(L121/12*P120,1)))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IF(OR(L$73=0,DG!$A$257&gt;16),0,F121+1)</f>
        <v>0</v>
      </c>
      <c r="G122" s="65">
        <f t="shared" si="19"/>
        <v>0</v>
      </c>
      <c r="H122" s="65">
        <f t="shared" si="20"/>
        <v>0</v>
      </c>
      <c r="I122" s="65">
        <f t="shared" si="16"/>
        <v>0</v>
      </c>
      <c r="J122" s="203">
        <f>IF(DG!$A$136&lt;=11,$M$17,0)</f>
        <v>0</v>
      </c>
      <c r="K122" s="65">
        <f t="shared" si="24"/>
        <v>0</v>
      </c>
      <c r="L122" s="473">
        <f t="shared" si="25"/>
        <v>0</v>
      </c>
      <c r="M122" s="204">
        <f t="shared" si="26"/>
        <v>0</v>
      </c>
      <c r="N122" s="505">
        <f t="shared" si="27"/>
        <v>0</v>
      </c>
      <c r="O122" s="204">
        <f>IF(DG!$A$136&gt;12,0,IF(J122-J121&gt;0,MROUND((L122/12*Q121),1),MROUND(L122/12*P121,1)))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IF(OR(L$73=0,DG!$A$257&gt;16),0,F122+1)</f>
        <v>0</v>
      </c>
      <c r="G123" s="65">
        <f t="shared" si="19"/>
        <v>0</v>
      </c>
      <c r="H123" s="65">
        <f t="shared" si="20"/>
        <v>0</v>
      </c>
      <c r="I123" s="65">
        <f t="shared" si="16"/>
        <v>0</v>
      </c>
      <c r="J123" s="203">
        <f>IF(DG!$A$136&lt;=11,$M$17,0)</f>
        <v>0</v>
      </c>
      <c r="K123" s="65">
        <f t="shared" si="24"/>
        <v>0</v>
      </c>
      <c r="L123" s="473">
        <f t="shared" si="25"/>
        <v>0</v>
      </c>
      <c r="M123" s="204">
        <f t="shared" si="26"/>
        <v>0</v>
      </c>
      <c r="N123" s="505">
        <f t="shared" si="27"/>
        <v>0</v>
      </c>
      <c r="O123" s="204">
        <f>IF(DG!$A$136&gt;12,0,IF(J123-J122&gt;0,MROUND((L123/12*Q122),1),MROUND(L123/12*P122,1)))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IF(OR(L$73=0,DG!$A$257&gt;16),0,F123+1)</f>
        <v>0</v>
      </c>
      <c r="G124" s="65">
        <f t="shared" si="19"/>
        <v>0</v>
      </c>
      <c r="H124" s="65">
        <f t="shared" si="20"/>
        <v>0</v>
      </c>
      <c r="I124" s="65">
        <f t="shared" si="16"/>
        <v>0</v>
      </c>
      <c r="J124" s="203">
        <f>IF(DG!$A$136&lt;=11,$M$17,0)</f>
        <v>0</v>
      </c>
      <c r="K124" s="65">
        <f t="shared" si="24"/>
        <v>0</v>
      </c>
      <c r="L124" s="473">
        <f t="shared" si="25"/>
        <v>0</v>
      </c>
      <c r="M124" s="204">
        <f t="shared" si="26"/>
        <v>0</v>
      </c>
      <c r="N124" s="505">
        <f t="shared" si="27"/>
        <v>0</v>
      </c>
      <c r="O124" s="204">
        <f>IF(DG!$A$136&gt;12,0,IF(J124-J123&gt;0,MROUND((L124/12*Q123),1),MROUND(L124/12*P123,1)))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IF(OR(L$73=0,DG!$A$257&gt;16),0,F124+1)</f>
        <v>0</v>
      </c>
      <c r="G125" s="65">
        <f t="shared" si="19"/>
        <v>0</v>
      </c>
      <c r="H125" s="65">
        <f t="shared" si="20"/>
        <v>0</v>
      </c>
      <c r="I125" s="65">
        <f t="shared" si="16"/>
        <v>0</v>
      </c>
      <c r="J125" s="203">
        <f>IF(DG!$A$136&lt;=11,$M$17,0)</f>
        <v>0</v>
      </c>
      <c r="K125" s="65">
        <f t="shared" si="24"/>
        <v>0</v>
      </c>
      <c r="L125" s="473">
        <f t="shared" si="25"/>
        <v>0</v>
      </c>
      <c r="M125" s="204">
        <f t="shared" si="26"/>
        <v>0</v>
      </c>
      <c r="N125" s="505">
        <f t="shared" si="27"/>
        <v>0</v>
      </c>
      <c r="O125" s="204">
        <f>IF(DG!$A$136&gt;12,0,IF(J125-J124&gt;0,MROUND((L125/12*Q124),1),MROUND(L125/12*P124,1)))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IF(OR(L$73=0,DG!$A$257&gt;16),0,F125+1)</f>
        <v>0</v>
      </c>
      <c r="G126" s="65">
        <f t="shared" si="19"/>
        <v>0</v>
      </c>
      <c r="H126" s="65">
        <f t="shared" si="20"/>
        <v>0</v>
      </c>
      <c r="I126" s="65">
        <f t="shared" si="16"/>
        <v>0</v>
      </c>
      <c r="J126" s="203">
        <f>IF(DG!$A$136&lt;=11,$M$17,0)</f>
        <v>0</v>
      </c>
      <c r="K126" s="65">
        <f t="shared" si="24"/>
        <v>0</v>
      </c>
      <c r="L126" s="473">
        <f t="shared" si="25"/>
        <v>0</v>
      </c>
      <c r="M126" s="204">
        <f t="shared" si="26"/>
        <v>0</v>
      </c>
      <c r="N126" s="505">
        <f t="shared" si="27"/>
        <v>0</v>
      </c>
      <c r="O126" s="204">
        <f>IF(DG!$A$136&gt;12,0,IF(J126-J125&gt;0,MROUND((L126/12*Q125),1),MROUND(L126/12*P125,1)))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IF(OR(L$73=0,DG!$A$257&gt;16),0,F126+1)</f>
        <v>0</v>
      </c>
      <c r="G127" s="65">
        <f t="shared" si="19"/>
        <v>0</v>
      </c>
      <c r="H127" s="65">
        <f t="shared" si="20"/>
        <v>0</v>
      </c>
      <c r="I127" s="65">
        <f t="shared" si="16"/>
        <v>0</v>
      </c>
      <c r="J127" s="203">
        <f>IF(DG!$A$136&lt;=11,$M$17,0)</f>
        <v>0</v>
      </c>
      <c r="K127" s="65">
        <f t="shared" si="24"/>
        <v>0</v>
      </c>
      <c r="L127" s="473">
        <f t="shared" si="25"/>
        <v>0</v>
      </c>
      <c r="M127" s="204">
        <f t="shared" si="26"/>
        <v>0</v>
      </c>
      <c r="N127" s="505">
        <f t="shared" si="27"/>
        <v>0</v>
      </c>
      <c r="O127" s="204">
        <f>IF(DG!$A$136&gt;12,0,IF(J127-J126&gt;0,MROUND((L127/12*Q126),1),MROUND(L127/12*P126,1)))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IF(OR(L$73=0,DG!$A$257&gt;16),0,F127+1)</f>
        <v>0</v>
      </c>
      <c r="G128" s="65">
        <f t="shared" si="19"/>
        <v>0</v>
      </c>
      <c r="H128" s="65">
        <f t="shared" si="20"/>
        <v>0</v>
      </c>
      <c r="I128" s="65">
        <f t="shared" si="16"/>
        <v>0</v>
      </c>
      <c r="J128" s="203">
        <f>IF(DG!$A$136&lt;=11,$M$17,0)</f>
        <v>0</v>
      </c>
      <c r="K128" s="65">
        <f t="shared" si="24"/>
        <v>0</v>
      </c>
      <c r="L128" s="473">
        <f t="shared" si="25"/>
        <v>0</v>
      </c>
      <c r="M128" s="204">
        <f t="shared" si="26"/>
        <v>0</v>
      </c>
      <c r="N128" s="505">
        <f t="shared" si="27"/>
        <v>0</v>
      </c>
      <c r="O128" s="204">
        <f>IF(DG!$A$136&gt;12,0,IF(J128-J127&gt;0,MROUND((L128/12*Q127),1),MROUND(L128/12*P127,1)))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IF(OR(L$73=0,DG!$A$257&gt;16),0,F128+1)</f>
        <v>0</v>
      </c>
      <c r="G129" s="65">
        <f t="shared" si="19"/>
        <v>0</v>
      </c>
      <c r="H129" s="65">
        <f t="shared" si="20"/>
        <v>0</v>
      </c>
      <c r="I129" s="65">
        <f t="shared" ref="I129:I192" si="31">IF(OR(G129=1,C129=0),0,IF(K129-C129&lt;$G$269,1,-1))</f>
        <v>0</v>
      </c>
      <c r="J129" s="203">
        <f>IF(DG!$A$136&lt;=11,$M$17,0)</f>
        <v>0</v>
      </c>
      <c r="K129" s="65">
        <f t="shared" si="24"/>
        <v>0</v>
      </c>
      <c r="L129" s="473">
        <f t="shared" si="25"/>
        <v>0</v>
      </c>
      <c r="M129" s="204">
        <f t="shared" si="26"/>
        <v>0</v>
      </c>
      <c r="N129" s="505">
        <f t="shared" si="27"/>
        <v>0</v>
      </c>
      <c r="O129" s="204">
        <f>IF(DG!$A$136&gt;12,0,IF(J129-J128&gt;0,MROUND((L129/12*Q128),1),MROUND(L129/12*P128,1)))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IF(OR(L$73=0,DG!$A$257&gt;16),0,F129+1)</f>
        <v>0</v>
      </c>
      <c r="G130" s="65">
        <f t="shared" si="19"/>
        <v>0</v>
      </c>
      <c r="H130" s="65">
        <f t="shared" si="20"/>
        <v>0</v>
      </c>
      <c r="I130" s="65">
        <f t="shared" si="31"/>
        <v>0</v>
      </c>
      <c r="J130" s="203">
        <f>IF(DG!$A$136&lt;=11,$M$17,0)</f>
        <v>0</v>
      </c>
      <c r="K130" s="65">
        <f t="shared" si="24"/>
        <v>0</v>
      </c>
      <c r="L130" s="473">
        <f t="shared" si="25"/>
        <v>0</v>
      </c>
      <c r="M130" s="204">
        <f t="shared" si="26"/>
        <v>0</v>
      </c>
      <c r="N130" s="505">
        <f t="shared" si="27"/>
        <v>0</v>
      </c>
      <c r="O130" s="204">
        <f>IF(DG!$A$136&gt;12,0,IF(J130-J129&gt;0,MROUND((L130/12*Q129),1),MROUND(L130/12*P129,1)))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IF(OR(L$73=0,DG!$A$257&gt;16),0,F130+1)</f>
        <v>0</v>
      </c>
      <c r="G131" s="65">
        <f t="shared" si="19"/>
        <v>0</v>
      </c>
      <c r="H131" s="65">
        <f t="shared" si="20"/>
        <v>0</v>
      </c>
      <c r="I131" s="65">
        <f t="shared" si="31"/>
        <v>0</v>
      </c>
      <c r="J131" s="203">
        <f>IF(DG!$A$136&lt;=11,$M$17,0)</f>
        <v>0</v>
      </c>
      <c r="K131" s="65">
        <f t="shared" si="24"/>
        <v>0</v>
      </c>
      <c r="L131" s="473">
        <f t="shared" si="25"/>
        <v>0</v>
      </c>
      <c r="M131" s="204">
        <f t="shared" si="26"/>
        <v>0</v>
      </c>
      <c r="N131" s="505">
        <f t="shared" si="27"/>
        <v>0</v>
      </c>
      <c r="O131" s="204">
        <f>IF(DG!$A$136&gt;12,0,IF(J131-J130&gt;0,MROUND((L131/12*Q130),1),MROUND(L131/12*P130,1)))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IF(OR(L$73=0,DG!$A$257&gt;16),0,F131+1)</f>
        <v>0</v>
      </c>
      <c r="G132" s="65">
        <f t="shared" si="19"/>
        <v>0</v>
      </c>
      <c r="H132" s="65">
        <f t="shared" si="20"/>
        <v>0</v>
      </c>
      <c r="I132" s="65">
        <f t="shared" si="31"/>
        <v>0</v>
      </c>
      <c r="J132" s="203">
        <f>IF(DG!$A$136&lt;=11,$M$17,0)</f>
        <v>0</v>
      </c>
      <c r="K132" s="65">
        <f t="shared" si="24"/>
        <v>0</v>
      </c>
      <c r="L132" s="473">
        <f t="shared" si="25"/>
        <v>0</v>
      </c>
      <c r="M132" s="204">
        <f t="shared" si="26"/>
        <v>0</v>
      </c>
      <c r="N132" s="505">
        <f t="shared" si="27"/>
        <v>0</v>
      </c>
      <c r="O132" s="204">
        <f>IF(DG!$A$136&gt;12,0,IF(J132-J131&gt;0,MROUND((L132/12*Q131),1),MROUND(L132/12*P131,1)))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IF(OR(L$73=0,DG!$A$257&gt;16),0,F132+1)</f>
        <v>0</v>
      </c>
      <c r="G133" s="65">
        <f t="shared" si="19"/>
        <v>0</v>
      </c>
      <c r="H133" s="65">
        <f t="shared" si="20"/>
        <v>0</v>
      </c>
      <c r="I133" s="65">
        <f t="shared" si="31"/>
        <v>0</v>
      </c>
      <c r="J133" s="203">
        <f>IF(DG!$A$136&lt;=11,$M$17,0)</f>
        <v>0</v>
      </c>
      <c r="K133" s="65">
        <f t="shared" si="24"/>
        <v>0</v>
      </c>
      <c r="L133" s="473">
        <f t="shared" si="25"/>
        <v>0</v>
      </c>
      <c r="M133" s="204">
        <f t="shared" si="26"/>
        <v>0</v>
      </c>
      <c r="N133" s="505">
        <f t="shared" si="27"/>
        <v>0</v>
      </c>
      <c r="O133" s="204">
        <f>IF(DG!$A$136&gt;12,0,IF(J133-J132&gt;0,MROUND((L133/12*Q132),1),MROUND(L133/12*P132,1)))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IF(OR(L$73=0,DG!$A$257&gt;16),0,F133+1)</f>
        <v>0</v>
      </c>
      <c r="G134" s="65">
        <f t="shared" si="19"/>
        <v>0</v>
      </c>
      <c r="H134" s="65">
        <f t="shared" si="20"/>
        <v>0</v>
      </c>
      <c r="I134" s="65">
        <f t="shared" si="31"/>
        <v>0</v>
      </c>
      <c r="J134" s="203">
        <f>IF(DG!$A$136&lt;=11,$M$17,0)</f>
        <v>0</v>
      </c>
      <c r="K134" s="65">
        <f t="shared" si="24"/>
        <v>0</v>
      </c>
      <c r="L134" s="473">
        <f t="shared" si="25"/>
        <v>0</v>
      </c>
      <c r="M134" s="204">
        <f t="shared" si="26"/>
        <v>0</v>
      </c>
      <c r="N134" s="505">
        <f t="shared" si="27"/>
        <v>0</v>
      </c>
      <c r="O134" s="204">
        <f>IF(DG!$A$136&gt;12,0,IF(J134-J133&gt;0,MROUND((L134/12*Q133),1),MROUND(L134/12*P133,1)))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IF(OR(L$73=0,DG!$A$257&gt;16),0,F134+1)</f>
        <v>0</v>
      </c>
      <c r="G135" s="65">
        <f t="shared" si="19"/>
        <v>0</v>
      </c>
      <c r="H135" s="65">
        <f t="shared" si="20"/>
        <v>0</v>
      </c>
      <c r="I135" s="65">
        <f t="shared" si="31"/>
        <v>0</v>
      </c>
      <c r="J135" s="203">
        <f>IF(DG!$A$136&lt;=11,$M$17,0)</f>
        <v>0</v>
      </c>
      <c r="K135" s="65">
        <f t="shared" si="24"/>
        <v>0</v>
      </c>
      <c r="L135" s="473">
        <f t="shared" si="25"/>
        <v>0</v>
      </c>
      <c r="M135" s="204">
        <f t="shared" si="26"/>
        <v>0</v>
      </c>
      <c r="N135" s="505">
        <f t="shared" si="27"/>
        <v>0</v>
      </c>
      <c r="O135" s="204">
        <f>IF(DG!$A$136&gt;12,0,IF(J135-J134&gt;0,MROUND((L135/12*Q134),1),MROUND(L135/12*P134,1)))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IF(OR(L$73=0,DG!$A$257&gt;16),0,F135+1)</f>
        <v>0</v>
      </c>
      <c r="G136" s="65">
        <f t="shared" si="19"/>
        <v>0</v>
      </c>
      <c r="H136" s="65">
        <f t="shared" si="20"/>
        <v>0</v>
      </c>
      <c r="I136" s="65">
        <f t="shared" si="31"/>
        <v>0</v>
      </c>
      <c r="J136" s="203">
        <f>IF(DG!$A$136&lt;=11,$M$17,0)</f>
        <v>0</v>
      </c>
      <c r="K136" s="65">
        <f t="shared" si="24"/>
        <v>0</v>
      </c>
      <c r="L136" s="473">
        <f t="shared" si="25"/>
        <v>0</v>
      </c>
      <c r="M136" s="204">
        <f t="shared" si="26"/>
        <v>0</v>
      </c>
      <c r="N136" s="505">
        <f t="shared" si="27"/>
        <v>0</v>
      </c>
      <c r="O136" s="204">
        <f>IF(DG!$A$136&gt;12,0,IF(J136-J135&gt;0,MROUND((L136/12*Q135),1),MROUND(L136/12*P135,1)))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IF(OR(L$73=0,DG!$A$257&gt;16),0,F136+1)</f>
        <v>0</v>
      </c>
      <c r="G137" s="65">
        <f t="shared" si="19"/>
        <v>0</v>
      </c>
      <c r="H137" s="65">
        <f t="shared" si="20"/>
        <v>0</v>
      </c>
      <c r="I137" s="65">
        <f t="shared" si="31"/>
        <v>0</v>
      </c>
      <c r="J137" s="203">
        <f>IF(DG!$A$136&lt;=11,$M$17,0)</f>
        <v>0</v>
      </c>
      <c r="K137" s="65">
        <f t="shared" si="24"/>
        <v>0</v>
      </c>
      <c r="L137" s="473">
        <f t="shared" si="25"/>
        <v>0</v>
      </c>
      <c r="M137" s="204">
        <f t="shared" si="26"/>
        <v>0</v>
      </c>
      <c r="N137" s="505">
        <f t="shared" si="27"/>
        <v>0</v>
      </c>
      <c r="O137" s="204">
        <f>IF(DG!$A$136&gt;12,0,IF(J137-J136&gt;0,MROUND((L137/12*Q136),1),MROUND(L137/12*P136,1)))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IF(OR(L$73=0,DG!$A$257&gt;16),0,F137+1)</f>
        <v>0</v>
      </c>
      <c r="G138" s="65">
        <f t="shared" si="19"/>
        <v>0</v>
      </c>
      <c r="H138" s="65">
        <f t="shared" si="20"/>
        <v>0</v>
      </c>
      <c r="I138" s="65">
        <f t="shared" si="31"/>
        <v>0</v>
      </c>
      <c r="J138" s="203">
        <f>IF(DG!$A$136&lt;=11,$M$17,0)</f>
        <v>0</v>
      </c>
      <c r="K138" s="65">
        <f t="shared" si="24"/>
        <v>0</v>
      </c>
      <c r="L138" s="473">
        <f t="shared" si="25"/>
        <v>0</v>
      </c>
      <c r="M138" s="204">
        <f t="shared" si="26"/>
        <v>0</v>
      </c>
      <c r="N138" s="505">
        <f t="shared" si="27"/>
        <v>0</v>
      </c>
      <c r="O138" s="204">
        <f>IF(DG!$A$136&gt;12,0,IF(J138-J137&gt;0,MROUND((L138/12*Q137),1),MROUND(L138/12*P137,1)))</f>
        <v>0</v>
      </c>
      <c r="P138" s="204">
        <f t="shared" si="28"/>
        <v>0</v>
      </c>
      <c r="Q138" s="204">
        <f t="shared" si="21"/>
        <v>0</v>
      </c>
      <c r="R138" s="476">
        <v>0</v>
      </c>
      <c r="S138" s="511">
        <f t="shared" ref="S138:S151" si="32">SUM(N127:N138)</f>
        <v>0</v>
      </c>
    </row>
    <row r="139" spans="1:19" ht="14" thickTop="1" thickBot="1">
      <c r="A139" s="202">
        <f t="shared" si="22"/>
        <v>48731</v>
      </c>
      <c r="B139" s="65">
        <f t="shared" si="18"/>
        <v>0</v>
      </c>
      <c r="C139" s="65">
        <f t="shared" si="30"/>
        <v>0</v>
      </c>
      <c r="D139" s="65">
        <f t="shared" si="29"/>
        <v>114</v>
      </c>
      <c r="E139" s="65">
        <f t="shared" si="23"/>
        <v>0</v>
      </c>
      <c r="F139" s="65">
        <f>IF(OR(L$73=0,DG!$A$257&gt;16),0,F138+1)</f>
        <v>0</v>
      </c>
      <c r="G139" s="65">
        <f t="shared" si="19"/>
        <v>0</v>
      </c>
      <c r="H139" s="65">
        <f t="shared" si="20"/>
        <v>0</v>
      </c>
      <c r="I139" s="65">
        <f t="shared" si="31"/>
        <v>0</v>
      </c>
      <c r="J139" s="203">
        <f>IF(DG!$A$136&lt;=11,$M$17,0)</f>
        <v>0</v>
      </c>
      <c r="K139" s="65">
        <f t="shared" si="24"/>
        <v>0</v>
      </c>
      <c r="L139" s="473">
        <f t="shared" si="25"/>
        <v>0</v>
      </c>
      <c r="M139" s="204">
        <f t="shared" si="26"/>
        <v>0</v>
      </c>
      <c r="N139" s="505">
        <f t="shared" si="27"/>
        <v>0</v>
      </c>
      <c r="O139" s="204">
        <f>IF(DG!$A$136&gt;12,0,IF(J139-J138&gt;0,MROUND((L139/12*Q138),1),MROUND(L139/12*P138,1)))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IF(OR(L$73=0,DG!$A$257&gt;16),0,F139+1)</f>
        <v>0</v>
      </c>
      <c r="G140" s="65">
        <f t="shared" si="19"/>
        <v>0</v>
      </c>
      <c r="H140" s="65">
        <f t="shared" si="20"/>
        <v>0</v>
      </c>
      <c r="I140" s="65">
        <f t="shared" si="31"/>
        <v>0</v>
      </c>
      <c r="J140" s="203">
        <f>IF(DG!$A$136&lt;=11,$M$17,0)</f>
        <v>0</v>
      </c>
      <c r="K140" s="65">
        <f t="shared" si="24"/>
        <v>0</v>
      </c>
      <c r="L140" s="473">
        <f t="shared" si="25"/>
        <v>0</v>
      </c>
      <c r="M140" s="204">
        <f t="shared" si="26"/>
        <v>0</v>
      </c>
      <c r="N140" s="505">
        <f t="shared" si="27"/>
        <v>0</v>
      </c>
      <c r="O140" s="204">
        <f>IF(DG!$A$136&gt;12,0,IF(J140-J139&gt;0,MROUND((L140/12*Q139),1),MROUND(L140/12*P139,1)))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IF(OR(L$73=0,DG!$A$257&gt;16),0,F140+1)</f>
        <v>0</v>
      </c>
      <c r="G141" s="65">
        <f t="shared" si="19"/>
        <v>0</v>
      </c>
      <c r="H141" s="65">
        <f t="shared" si="20"/>
        <v>0</v>
      </c>
      <c r="I141" s="65">
        <f t="shared" si="31"/>
        <v>0</v>
      </c>
      <c r="J141" s="203">
        <f>IF(DG!$A$136&lt;=11,$M$17,0)</f>
        <v>0</v>
      </c>
      <c r="K141" s="65">
        <f t="shared" si="24"/>
        <v>0</v>
      </c>
      <c r="L141" s="473">
        <f t="shared" si="25"/>
        <v>0</v>
      </c>
      <c r="M141" s="204">
        <f t="shared" si="26"/>
        <v>0</v>
      </c>
      <c r="N141" s="505">
        <f t="shared" si="27"/>
        <v>0</v>
      </c>
      <c r="O141" s="204">
        <f>IF(DG!$A$136&gt;12,0,IF(J141-J140&gt;0,MROUND((L141/12*Q140),1),MROUND(L141/12*P140,1)))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IF(OR(L$73=0,DG!$A$257&gt;16),0,F141+1)</f>
        <v>0</v>
      </c>
      <c r="G142" s="65">
        <f t="shared" si="19"/>
        <v>0</v>
      </c>
      <c r="H142" s="65">
        <f t="shared" si="20"/>
        <v>0</v>
      </c>
      <c r="I142" s="65">
        <f t="shared" si="31"/>
        <v>0</v>
      </c>
      <c r="J142" s="203">
        <f>IF(DG!$A$136&lt;=11,$M$17,0)</f>
        <v>0</v>
      </c>
      <c r="K142" s="65">
        <f t="shared" si="24"/>
        <v>0</v>
      </c>
      <c r="L142" s="473">
        <f t="shared" si="25"/>
        <v>0</v>
      </c>
      <c r="M142" s="204">
        <f t="shared" si="26"/>
        <v>0</v>
      </c>
      <c r="N142" s="505">
        <f t="shared" si="27"/>
        <v>0</v>
      </c>
      <c r="O142" s="204">
        <f>IF(DG!$A$136&gt;12,0,IF(J142-J141&gt;0,MROUND((L142/12*Q141),1),MROUND(L142/12*P141,1)))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IF(OR(L$73=0,DG!$A$257&gt;16),0,F142+1)</f>
        <v>0</v>
      </c>
      <c r="G143" s="65">
        <f t="shared" si="19"/>
        <v>0</v>
      </c>
      <c r="H143" s="65">
        <f t="shared" si="20"/>
        <v>0</v>
      </c>
      <c r="I143" s="65">
        <f t="shared" si="31"/>
        <v>0</v>
      </c>
      <c r="J143" s="203">
        <f>IF(DG!$A$136&lt;=11,$M$17,0)</f>
        <v>0</v>
      </c>
      <c r="K143" s="65">
        <f t="shared" si="24"/>
        <v>0</v>
      </c>
      <c r="L143" s="473">
        <f t="shared" si="25"/>
        <v>0</v>
      </c>
      <c r="M143" s="204">
        <f t="shared" si="26"/>
        <v>0</v>
      </c>
      <c r="N143" s="505">
        <f t="shared" si="27"/>
        <v>0</v>
      </c>
      <c r="O143" s="204">
        <f>IF(DG!$A$136&gt;12,0,IF(J143-J142&gt;0,MROUND((L143/12*Q142),1),MROUND(L143/12*P142,1)))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IF(OR(L$73=0,DG!$A$257&gt;16),0,F143+1)</f>
        <v>0</v>
      </c>
      <c r="G144" s="65">
        <f t="shared" si="19"/>
        <v>0</v>
      </c>
      <c r="H144" s="65">
        <f t="shared" si="20"/>
        <v>0</v>
      </c>
      <c r="I144" s="65">
        <f t="shared" si="31"/>
        <v>0</v>
      </c>
      <c r="J144" s="203">
        <f>IF(DG!$A$136&lt;=11,$M$17,0)</f>
        <v>0</v>
      </c>
      <c r="K144" s="65">
        <f t="shared" si="24"/>
        <v>0</v>
      </c>
      <c r="L144" s="473">
        <f t="shared" si="25"/>
        <v>0</v>
      </c>
      <c r="M144" s="204">
        <f t="shared" si="26"/>
        <v>0</v>
      </c>
      <c r="N144" s="505">
        <f t="shared" si="27"/>
        <v>0</v>
      </c>
      <c r="O144" s="204">
        <f>IF(DG!$A$136&gt;12,0,IF(J144-J143&gt;0,MROUND((L144/12*Q143),1),MROUND(L144/12*P143,1)))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IF(OR(L$73=0,DG!$A$257&gt;16),0,F144+1)</f>
        <v>0</v>
      </c>
      <c r="G145" s="65">
        <f t="shared" si="19"/>
        <v>0</v>
      </c>
      <c r="H145" s="65">
        <f t="shared" si="20"/>
        <v>0</v>
      </c>
      <c r="I145" s="65">
        <f t="shared" si="31"/>
        <v>0</v>
      </c>
      <c r="J145" s="203">
        <f>IF(DG!$A$136&lt;=11,$M$17,0)</f>
        <v>0</v>
      </c>
      <c r="K145" s="65">
        <f t="shared" si="24"/>
        <v>0</v>
      </c>
      <c r="L145" s="473">
        <f t="shared" si="25"/>
        <v>0</v>
      </c>
      <c r="M145" s="204">
        <f t="shared" si="26"/>
        <v>0</v>
      </c>
      <c r="N145" s="505">
        <f t="shared" si="27"/>
        <v>0</v>
      </c>
      <c r="O145" s="204">
        <f>IF(DG!$A$136&gt;12,0,IF(J145-J144&gt;0,MROUND((L145/12*Q144),1),MROUND(L145/12*P144,1)))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IF(OR(L$73=0,DG!$A$257&gt;16),0,F145+1)</f>
        <v>0</v>
      </c>
      <c r="G146" s="65">
        <f t="shared" si="19"/>
        <v>0</v>
      </c>
      <c r="H146" s="65">
        <f t="shared" si="20"/>
        <v>0</v>
      </c>
      <c r="I146" s="65">
        <f t="shared" si="31"/>
        <v>0</v>
      </c>
      <c r="J146" s="203">
        <f>IF(DG!$A$136&lt;=11,$M$17,0)</f>
        <v>0</v>
      </c>
      <c r="K146" s="65">
        <f t="shared" si="24"/>
        <v>0</v>
      </c>
      <c r="L146" s="473">
        <f t="shared" si="25"/>
        <v>0</v>
      </c>
      <c r="M146" s="204">
        <f t="shared" si="26"/>
        <v>0</v>
      </c>
      <c r="N146" s="505">
        <f t="shared" si="27"/>
        <v>0</v>
      </c>
      <c r="O146" s="204">
        <f>IF(DG!$A$136&gt;12,0,IF(J146-J145&gt;0,MROUND((L146/12*Q145),1),MROUND(L146/12*P145,1)))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IF(OR(L$73=0,DG!$A$257&gt;16),0,F146+1)</f>
        <v>0</v>
      </c>
      <c r="G147" s="65">
        <f t="shared" si="19"/>
        <v>0</v>
      </c>
      <c r="H147" s="65">
        <f t="shared" si="20"/>
        <v>0</v>
      </c>
      <c r="I147" s="65">
        <f t="shared" si="31"/>
        <v>0</v>
      </c>
      <c r="J147" s="203">
        <f>IF(DG!$A$136&lt;=11,$M$17,0)</f>
        <v>0</v>
      </c>
      <c r="K147" s="65">
        <f t="shared" si="24"/>
        <v>0</v>
      </c>
      <c r="L147" s="473">
        <f t="shared" si="25"/>
        <v>0</v>
      </c>
      <c r="M147" s="204">
        <f t="shared" si="26"/>
        <v>0</v>
      </c>
      <c r="N147" s="505">
        <f t="shared" si="27"/>
        <v>0</v>
      </c>
      <c r="O147" s="204">
        <f>IF(DG!$A$136&gt;12,0,IF(J147-J146&gt;0,MROUND((L147/12*Q146),1),MROUND(L147/12*P146,1)))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IF(OR(L$73=0,DG!$A$257&gt;16),0,F147+1)</f>
        <v>0</v>
      </c>
      <c r="G148" s="65">
        <f t="shared" si="19"/>
        <v>0</v>
      </c>
      <c r="H148" s="65">
        <f t="shared" si="20"/>
        <v>0</v>
      </c>
      <c r="I148" s="65">
        <f t="shared" si="31"/>
        <v>0</v>
      </c>
      <c r="J148" s="203">
        <f>IF(DG!$A$136&lt;=11,$M$17,0)</f>
        <v>0</v>
      </c>
      <c r="K148" s="65">
        <f t="shared" si="24"/>
        <v>0</v>
      </c>
      <c r="L148" s="473">
        <f t="shared" si="25"/>
        <v>0</v>
      </c>
      <c r="M148" s="204">
        <f t="shared" si="26"/>
        <v>0</v>
      </c>
      <c r="N148" s="505">
        <f t="shared" si="27"/>
        <v>0</v>
      </c>
      <c r="O148" s="204">
        <f>IF(DG!$A$136&gt;12,0,IF(J148-J147&gt;0,MROUND((L148/12*Q147),1),MROUND(L148/12*P147,1)))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IF(OR(L$73=0,DG!$A$257&gt;16),0,F148+1)</f>
        <v>0</v>
      </c>
      <c r="G149" s="65">
        <f t="shared" si="19"/>
        <v>0</v>
      </c>
      <c r="H149" s="65">
        <f t="shared" si="20"/>
        <v>0</v>
      </c>
      <c r="I149" s="65">
        <f t="shared" si="31"/>
        <v>0</v>
      </c>
      <c r="J149" s="203">
        <f>IF(DG!$A$136&lt;=11,$M$17,0)</f>
        <v>0</v>
      </c>
      <c r="K149" s="65">
        <f t="shared" si="24"/>
        <v>0</v>
      </c>
      <c r="L149" s="473">
        <f t="shared" si="25"/>
        <v>0</v>
      </c>
      <c r="M149" s="204">
        <f t="shared" si="26"/>
        <v>0</v>
      </c>
      <c r="N149" s="505">
        <f t="shared" si="27"/>
        <v>0</v>
      </c>
      <c r="O149" s="204">
        <f>IF(DG!$A$136&gt;12,0,IF(J149-J148&gt;0,MROUND((L149/12*Q148),1),MROUND(L149/12*P148,1)))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IF(OR(L$73=0,DG!$A$257&gt;16),0,F149+1)</f>
        <v>0</v>
      </c>
      <c r="G150" s="65">
        <f t="shared" si="19"/>
        <v>0</v>
      </c>
      <c r="H150" s="65">
        <f t="shared" si="20"/>
        <v>0</v>
      </c>
      <c r="I150" s="65">
        <f t="shared" si="31"/>
        <v>0</v>
      </c>
      <c r="J150" s="203">
        <f>IF(DG!$A$136&lt;=11,$M$17,0)</f>
        <v>0</v>
      </c>
      <c r="K150" s="65">
        <f t="shared" si="24"/>
        <v>0</v>
      </c>
      <c r="L150" s="473">
        <f t="shared" si="25"/>
        <v>0</v>
      </c>
      <c r="M150" s="204">
        <f t="shared" si="26"/>
        <v>0</v>
      </c>
      <c r="N150" s="505">
        <f t="shared" si="27"/>
        <v>0</v>
      </c>
      <c r="O150" s="204">
        <f>IF(DG!$A$136&gt;12,0,IF(J150-J149&gt;0,MROUND((L150/12*Q149),1),MROUND(L150/12*P149,1)))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IF(OR(L$73=0,DG!$A$257&gt;16),0,F150+1)</f>
        <v>0</v>
      </c>
      <c r="G151" s="65">
        <f t="shared" si="19"/>
        <v>0</v>
      </c>
      <c r="H151" s="65">
        <f>IF(I151&gt;=0,0,H150+1)</f>
        <v>0</v>
      </c>
      <c r="I151" s="65">
        <f t="shared" si="31"/>
        <v>0</v>
      </c>
      <c r="J151" s="203">
        <f>IF(DG!$A$136&lt;=11,$M$17,0)</f>
        <v>0</v>
      </c>
      <c r="K151" s="65">
        <f>K150</f>
        <v>0</v>
      </c>
      <c r="L151" s="473">
        <f t="shared" si="25"/>
        <v>0</v>
      </c>
      <c r="M151" s="204">
        <f t="shared" si="26"/>
        <v>0</v>
      </c>
      <c r="N151" s="505">
        <f t="shared" si="27"/>
        <v>0</v>
      </c>
      <c r="O151" s="204">
        <f>IF(DG!$A$136&gt;12,0,IF(J151-J150&gt;0,MROUND((L151/12*Q150),1),MROUND(L151/12*P150,1)))</f>
        <v>0</v>
      </c>
      <c r="P151" s="204">
        <f t="shared" si="28"/>
        <v>0</v>
      </c>
      <c r="Q151" s="204">
        <f t="shared" si="21"/>
        <v>0</v>
      </c>
      <c r="R151" s="476">
        <v>0</v>
      </c>
      <c r="S151" s="511">
        <f t="shared" si="32"/>
        <v>0</v>
      </c>
    </row>
    <row r="152" spans="1:19" ht="14" thickTop="1" thickBot="1">
      <c r="A152" s="202">
        <f t="shared" si="22"/>
        <v>49126</v>
      </c>
      <c r="B152" s="65">
        <f t="shared" si="33"/>
        <v>0</v>
      </c>
      <c r="C152" s="65">
        <f t="shared" si="30"/>
        <v>0</v>
      </c>
      <c r="D152" s="65">
        <f t="shared" ref="D152:D215" si="34">D151+1</f>
        <v>127</v>
      </c>
      <c r="E152" s="65">
        <f t="shared" si="23"/>
        <v>0</v>
      </c>
      <c r="F152" s="65">
        <f>IF(OR(L$73=0,DG!$A$257&gt;16),0,F151+1)</f>
        <v>0</v>
      </c>
      <c r="G152" s="65">
        <f t="shared" si="19"/>
        <v>0</v>
      </c>
      <c r="H152" s="65">
        <f t="shared" ref="H152:H215" si="35">IF(I152&gt;=0,0,H151+1)</f>
        <v>0</v>
      </c>
      <c r="I152" s="65">
        <f t="shared" si="31"/>
        <v>0</v>
      </c>
      <c r="J152" s="203">
        <f>IF(DG!$A$136&lt;=11,$M$17,0)</f>
        <v>0</v>
      </c>
      <c r="K152" s="65">
        <f t="shared" ref="K152:K215" si="36">K151</f>
        <v>0</v>
      </c>
      <c r="L152" s="473">
        <f t="shared" si="25"/>
        <v>0</v>
      </c>
      <c r="M152" s="204">
        <f t="shared" si="26"/>
        <v>0</v>
      </c>
      <c r="N152" s="505">
        <f t="shared" si="27"/>
        <v>0</v>
      </c>
      <c r="O152" s="204">
        <f>IF(DG!$A$136&gt;12,0,IF(J152-J151&gt;0,MROUND((L152/12*Q151),1),MROUND(L152/12*P151,1)))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IF(OR(L$73=0,DG!$A$257&gt;16),0,F152+1)</f>
        <v>0</v>
      </c>
      <c r="G153" s="65">
        <f t="shared" si="19"/>
        <v>0</v>
      </c>
      <c r="H153" s="65">
        <f t="shared" si="35"/>
        <v>0</v>
      </c>
      <c r="I153" s="65">
        <f t="shared" si="31"/>
        <v>0</v>
      </c>
      <c r="J153" s="203">
        <f>IF(DG!$A$136&lt;=11,$M$17,0)</f>
        <v>0</v>
      </c>
      <c r="K153" s="65">
        <f t="shared" si="36"/>
        <v>0</v>
      </c>
      <c r="L153" s="473">
        <f t="shared" si="25"/>
        <v>0</v>
      </c>
      <c r="M153" s="204">
        <f t="shared" si="26"/>
        <v>0</v>
      </c>
      <c r="N153" s="505">
        <f t="shared" si="27"/>
        <v>0</v>
      </c>
      <c r="O153" s="204">
        <f>IF(DG!$A$136&gt;12,0,IF(J153-J152&gt;0,MROUND((L153/12*Q152),1),MROUND(L153/12*P152,1)))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IF(OR(L$73=0,DG!$A$257&gt;16),0,F153+1)</f>
        <v>0</v>
      </c>
      <c r="G154" s="65">
        <f t="shared" ref="G154:G217" si="38">IF(E154=0,0,IF(D154-E154-F154&gt;=0,1,0))</f>
        <v>0</v>
      </c>
      <c r="H154" s="65">
        <f t="shared" si="35"/>
        <v>0</v>
      </c>
      <c r="I154" s="65">
        <f t="shared" si="31"/>
        <v>0</v>
      </c>
      <c r="J154" s="203">
        <f>IF(DG!$A$136&lt;=11,$M$17,0)</f>
        <v>0</v>
      </c>
      <c r="K154" s="65">
        <f t="shared" si="36"/>
        <v>0</v>
      </c>
      <c r="L154" s="473">
        <f t="shared" si="25"/>
        <v>0</v>
      </c>
      <c r="M154" s="204">
        <f t="shared" si="26"/>
        <v>0</v>
      </c>
      <c r="N154" s="505">
        <f t="shared" si="27"/>
        <v>0</v>
      </c>
      <c r="O154" s="204">
        <f>IF(DG!$A$136&gt;12,0,IF(J154-J153&gt;0,MROUND((L154/12*Q153),1),MROUND(L154/12*P153,1)))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IF(OR(L$73=0,DG!$A$257&gt;16),0,F154+1)</f>
        <v>0</v>
      </c>
      <c r="G155" s="65">
        <f t="shared" si="38"/>
        <v>0</v>
      </c>
      <c r="H155" s="65">
        <f t="shared" si="35"/>
        <v>0</v>
      </c>
      <c r="I155" s="65">
        <f t="shared" si="31"/>
        <v>0</v>
      </c>
      <c r="J155" s="203">
        <f>IF(DG!$A$136&lt;=11,$M$17,0)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IF(DG!$A$136&gt;12,0,IF(J155-J154&gt;0,MROUND((L155/12*Q154),1),MROUND(L155/12*P154,1)))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IF(OR(L$73=0,DG!$A$257&gt;16),0,F155+1)</f>
        <v>0</v>
      </c>
      <c r="G156" s="65">
        <f t="shared" si="38"/>
        <v>0</v>
      </c>
      <c r="H156" s="65">
        <f t="shared" si="35"/>
        <v>0</v>
      </c>
      <c r="I156" s="65">
        <f t="shared" si="31"/>
        <v>0</v>
      </c>
      <c r="J156" s="203">
        <f>IF(DG!$A$136&lt;=11,$M$17,0)</f>
        <v>0</v>
      </c>
      <c r="K156" s="65">
        <f t="shared" si="36"/>
        <v>0</v>
      </c>
      <c r="L156" s="473">
        <f t="shared" si="42"/>
        <v>0</v>
      </c>
      <c r="M156" s="204">
        <f t="shared" si="43"/>
        <v>0</v>
      </c>
      <c r="N156" s="505">
        <f t="shared" si="44"/>
        <v>0</v>
      </c>
      <c r="O156" s="204">
        <f>IF(DG!$A$136&gt;12,0,IF(J156-J155&gt;0,MROUND((L156/12*Q155),1),MROUND(L156/12*P155,1)))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IF(OR(L$73=0,DG!$A$257&gt;16),0,F156+1)</f>
        <v>0</v>
      </c>
      <c r="G157" s="65">
        <f t="shared" si="38"/>
        <v>0</v>
      </c>
      <c r="H157" s="65">
        <f t="shared" si="35"/>
        <v>0</v>
      </c>
      <c r="I157" s="65">
        <f t="shared" si="31"/>
        <v>0</v>
      </c>
      <c r="J157" s="203">
        <f>IF(DG!$A$136&lt;=11,$M$17,0)</f>
        <v>0</v>
      </c>
      <c r="K157" s="65">
        <f t="shared" si="36"/>
        <v>0</v>
      </c>
      <c r="L157" s="473">
        <f t="shared" si="42"/>
        <v>0</v>
      </c>
      <c r="M157" s="204">
        <f t="shared" si="43"/>
        <v>0</v>
      </c>
      <c r="N157" s="505">
        <f t="shared" si="44"/>
        <v>0</v>
      </c>
      <c r="O157" s="204">
        <f>IF(DG!$A$136&gt;12,0,IF(J157-J156&gt;0,MROUND((L157/12*Q156),1),MROUND(L157/12*P156,1)))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IF(OR(L$73=0,DG!$A$257&gt;16),0,F157+1)</f>
        <v>0</v>
      </c>
      <c r="G158" s="65">
        <f t="shared" si="38"/>
        <v>0</v>
      </c>
      <c r="H158" s="65">
        <f t="shared" si="35"/>
        <v>0</v>
      </c>
      <c r="I158" s="65">
        <f t="shared" si="31"/>
        <v>0</v>
      </c>
      <c r="J158" s="203">
        <f>IF(DG!$A$136&lt;=11,$M$17,0)</f>
        <v>0</v>
      </c>
      <c r="K158" s="65">
        <f t="shared" si="36"/>
        <v>0</v>
      </c>
      <c r="L158" s="473">
        <f t="shared" si="42"/>
        <v>0</v>
      </c>
      <c r="M158" s="204">
        <f t="shared" si="43"/>
        <v>0</v>
      </c>
      <c r="N158" s="505">
        <f t="shared" si="44"/>
        <v>0</v>
      </c>
      <c r="O158" s="204">
        <f>IF(DG!$A$136&gt;12,0,IF(J158-J157&gt;0,MROUND((L158/12*Q157),1),MROUND(L158/12*P157,1)))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IF(OR(L$73=0,DG!$A$257&gt;16),0,F158+1)</f>
        <v>0</v>
      </c>
      <c r="G159" s="65">
        <f t="shared" si="38"/>
        <v>0</v>
      </c>
      <c r="H159" s="65">
        <f t="shared" si="35"/>
        <v>0</v>
      </c>
      <c r="I159" s="65">
        <f t="shared" si="31"/>
        <v>0</v>
      </c>
      <c r="J159" s="203">
        <f>IF(DG!$A$136&lt;=11,$M$17,0)</f>
        <v>0</v>
      </c>
      <c r="K159" s="65">
        <f t="shared" si="36"/>
        <v>0</v>
      </c>
      <c r="L159" s="473">
        <f t="shared" si="42"/>
        <v>0</v>
      </c>
      <c r="M159" s="204">
        <f t="shared" si="43"/>
        <v>0</v>
      </c>
      <c r="N159" s="505">
        <f t="shared" si="44"/>
        <v>0</v>
      </c>
      <c r="O159" s="204">
        <f>IF(DG!$A$136&gt;12,0,IF(J159-J158&gt;0,MROUND((L159/12*Q158),1),MROUND(L159/12*P158,1)))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IF(OR(L$73=0,DG!$A$257&gt;16),0,F159+1)</f>
        <v>0</v>
      </c>
      <c r="G160" s="65">
        <f t="shared" si="38"/>
        <v>0</v>
      </c>
      <c r="H160" s="65">
        <f t="shared" si="35"/>
        <v>0</v>
      </c>
      <c r="I160" s="65">
        <f t="shared" si="31"/>
        <v>0</v>
      </c>
      <c r="J160" s="203">
        <f>IF(DG!$A$136&lt;=11,$M$17,0)</f>
        <v>0</v>
      </c>
      <c r="K160" s="65">
        <f t="shared" si="36"/>
        <v>0</v>
      </c>
      <c r="L160" s="473">
        <f t="shared" si="42"/>
        <v>0</v>
      </c>
      <c r="M160" s="204">
        <f t="shared" si="43"/>
        <v>0</v>
      </c>
      <c r="N160" s="505">
        <f t="shared" si="44"/>
        <v>0</v>
      </c>
      <c r="O160" s="204">
        <f>IF(DG!$A$136&gt;12,0,IF(J160-J159&gt;0,MROUND((L160/12*Q159),1),MROUND(L160/12*P159,1)))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IF(OR(L$73=0,DG!$A$257&gt;16),0,F160+1)</f>
        <v>0</v>
      </c>
      <c r="G161" s="65">
        <f t="shared" si="38"/>
        <v>0</v>
      </c>
      <c r="H161" s="65">
        <f t="shared" si="35"/>
        <v>0</v>
      </c>
      <c r="I161" s="65">
        <f t="shared" si="31"/>
        <v>0</v>
      </c>
      <c r="J161" s="203">
        <f>IF(DG!$A$136&lt;=11,$M$17,0)</f>
        <v>0</v>
      </c>
      <c r="K161" s="65">
        <f t="shared" si="36"/>
        <v>0</v>
      </c>
      <c r="L161" s="473">
        <f t="shared" si="42"/>
        <v>0</v>
      </c>
      <c r="M161" s="204">
        <f t="shared" si="43"/>
        <v>0</v>
      </c>
      <c r="N161" s="505">
        <f t="shared" si="44"/>
        <v>0</v>
      </c>
      <c r="O161" s="204">
        <f>IF(DG!$A$136&gt;12,0,IF(J161-J160&gt;0,MROUND((L161/12*Q160),1),MROUND(L161/12*P160,1)))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IF(OR(L$73=0,DG!$A$257&gt;16),0,F161+1)</f>
        <v>0</v>
      </c>
      <c r="G162" s="65">
        <f t="shared" si="38"/>
        <v>0</v>
      </c>
      <c r="H162" s="65">
        <f t="shared" si="35"/>
        <v>0</v>
      </c>
      <c r="I162" s="65">
        <f t="shared" si="31"/>
        <v>0</v>
      </c>
      <c r="J162" s="203">
        <f>IF(DG!$A$136&lt;=11,$M$17,0)</f>
        <v>0</v>
      </c>
      <c r="K162" s="65">
        <f t="shared" si="36"/>
        <v>0</v>
      </c>
      <c r="L162" s="473">
        <f t="shared" si="42"/>
        <v>0</v>
      </c>
      <c r="M162" s="204">
        <f t="shared" si="43"/>
        <v>0</v>
      </c>
      <c r="N162" s="505">
        <f t="shared" si="44"/>
        <v>0</v>
      </c>
      <c r="O162" s="204">
        <f>IF(DG!$A$136&gt;12,0,IF(J162-J161&gt;0,MROUND((L162/12*Q161),1),MROUND(L162/12*P161,1)))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IF(OR(L$73=0,DG!$A$257&gt;16),0,F162+1)</f>
        <v>0</v>
      </c>
      <c r="G163" s="65">
        <f t="shared" si="38"/>
        <v>0</v>
      </c>
      <c r="H163" s="65">
        <f t="shared" si="35"/>
        <v>0</v>
      </c>
      <c r="I163" s="65">
        <f t="shared" si="31"/>
        <v>0</v>
      </c>
      <c r="J163" s="203">
        <f>IF(DG!$A$136&lt;=11,$M$17,0)</f>
        <v>0</v>
      </c>
      <c r="K163" s="65">
        <f t="shared" si="36"/>
        <v>0</v>
      </c>
      <c r="L163" s="473">
        <f t="shared" si="42"/>
        <v>0</v>
      </c>
      <c r="M163" s="204">
        <f t="shared" si="43"/>
        <v>0</v>
      </c>
      <c r="N163" s="505">
        <f t="shared" si="44"/>
        <v>0</v>
      </c>
      <c r="O163" s="204">
        <f>IF(DG!$A$136&gt;12,0,IF(J163-J162&gt;0,MROUND((L163/12*Q162),1),MROUND(L163/12*P162,1)))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IF(OR(L$73=0,DG!$A$257&gt;16),0,F163+1)</f>
        <v>0</v>
      </c>
      <c r="G164" s="65">
        <f t="shared" si="38"/>
        <v>0</v>
      </c>
      <c r="H164" s="65">
        <f t="shared" si="35"/>
        <v>0</v>
      </c>
      <c r="I164" s="65">
        <f t="shared" si="31"/>
        <v>0</v>
      </c>
      <c r="J164" s="203">
        <f>IF(DG!$A$136&lt;=11,$M$17,0)</f>
        <v>0</v>
      </c>
      <c r="K164" s="65">
        <f t="shared" si="36"/>
        <v>0</v>
      </c>
      <c r="L164" s="473">
        <f t="shared" si="42"/>
        <v>0</v>
      </c>
      <c r="M164" s="204">
        <f t="shared" si="43"/>
        <v>0</v>
      </c>
      <c r="N164" s="505">
        <f t="shared" si="44"/>
        <v>0</v>
      </c>
      <c r="O164" s="204">
        <f>IF(DG!$A$136&gt;12,0,IF(J164-J163&gt;0,MROUND((L164/12*Q163),1),MROUND(L164/12*P163,1)))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IF(OR(L$73=0,DG!$A$257&gt;16),0,F164+1)</f>
        <v>0</v>
      </c>
      <c r="G165" s="65">
        <f t="shared" si="38"/>
        <v>0</v>
      </c>
      <c r="H165" s="65">
        <f t="shared" si="35"/>
        <v>0</v>
      </c>
      <c r="I165" s="65">
        <f t="shared" si="31"/>
        <v>0</v>
      </c>
      <c r="J165" s="203">
        <f>IF(DG!$A$136&lt;=11,$M$17,0)</f>
        <v>0</v>
      </c>
      <c r="K165" s="65">
        <f t="shared" si="36"/>
        <v>0</v>
      </c>
      <c r="L165" s="473">
        <f t="shared" si="42"/>
        <v>0</v>
      </c>
      <c r="M165" s="204">
        <f t="shared" si="43"/>
        <v>0</v>
      </c>
      <c r="N165" s="505">
        <f t="shared" si="44"/>
        <v>0</v>
      </c>
      <c r="O165" s="204">
        <f>IF(DG!$A$136&gt;12,0,IF(J165-J164&gt;0,MROUND((L165/12*Q164),1),MROUND(L165/12*P164,1)))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IF(OR(L$73=0,DG!$A$257&gt;16),0,F165+1)</f>
        <v>0</v>
      </c>
      <c r="G166" s="65">
        <f t="shared" si="38"/>
        <v>0</v>
      </c>
      <c r="H166" s="65">
        <f t="shared" si="35"/>
        <v>0</v>
      </c>
      <c r="I166" s="65">
        <f t="shared" si="31"/>
        <v>0</v>
      </c>
      <c r="J166" s="203">
        <f>IF(DG!$A$136&lt;=11,$M$17,0)</f>
        <v>0</v>
      </c>
      <c r="K166" s="65">
        <f t="shared" si="36"/>
        <v>0</v>
      </c>
      <c r="L166" s="473">
        <f t="shared" si="42"/>
        <v>0</v>
      </c>
      <c r="M166" s="204">
        <f t="shared" si="43"/>
        <v>0</v>
      </c>
      <c r="N166" s="505">
        <f t="shared" si="44"/>
        <v>0</v>
      </c>
      <c r="O166" s="204">
        <f>IF(DG!$A$136&gt;12,0,IF(J166-J165&gt;0,MROUND((L166/12*Q165),1),MROUND(L166/12*P165,1)))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IF(OR(L$73=0,DG!$A$257&gt;16),0,F166+1)</f>
        <v>0</v>
      </c>
      <c r="G167" s="65">
        <f t="shared" si="38"/>
        <v>0</v>
      </c>
      <c r="H167" s="65">
        <f t="shared" si="35"/>
        <v>0</v>
      </c>
      <c r="I167" s="65">
        <f t="shared" si="31"/>
        <v>0</v>
      </c>
      <c r="J167" s="203">
        <f>IF(DG!$A$136&lt;=11,$M$17,0)</f>
        <v>0</v>
      </c>
      <c r="K167" s="65">
        <f t="shared" si="36"/>
        <v>0</v>
      </c>
      <c r="L167" s="473">
        <f t="shared" si="42"/>
        <v>0</v>
      </c>
      <c r="M167" s="204">
        <f t="shared" si="43"/>
        <v>0</v>
      </c>
      <c r="N167" s="505">
        <f t="shared" si="44"/>
        <v>0</v>
      </c>
      <c r="O167" s="204">
        <f>IF(DG!$A$136&gt;12,0,IF(J167-J166&gt;0,MROUND((L167/12*Q166),1),MROUND(L167/12*P166,1)))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IF(OR(L$73=0,DG!$A$257&gt;16),0,F167+1)</f>
        <v>0</v>
      </c>
      <c r="G168" s="65">
        <f t="shared" si="38"/>
        <v>0</v>
      </c>
      <c r="H168" s="65">
        <f t="shared" si="35"/>
        <v>0</v>
      </c>
      <c r="I168" s="65">
        <f t="shared" si="31"/>
        <v>0</v>
      </c>
      <c r="J168" s="203">
        <f>IF(DG!$A$136&lt;=11,$M$17,0)</f>
        <v>0</v>
      </c>
      <c r="K168" s="65">
        <f t="shared" si="36"/>
        <v>0</v>
      </c>
      <c r="L168" s="473">
        <f t="shared" si="42"/>
        <v>0</v>
      </c>
      <c r="M168" s="204">
        <f t="shared" si="43"/>
        <v>0</v>
      </c>
      <c r="N168" s="505">
        <f t="shared" si="44"/>
        <v>0</v>
      </c>
      <c r="O168" s="204">
        <f>IF(DG!$A$136&gt;12,0,IF(J168-J167&gt;0,MROUND((L168/12*Q167),1),MROUND(L168/12*P167,1)))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IF(OR(L$73=0,DG!$A$257&gt;16),0,F168+1)</f>
        <v>0</v>
      </c>
      <c r="G169" s="65">
        <f t="shared" si="38"/>
        <v>0</v>
      </c>
      <c r="H169" s="65">
        <f t="shared" si="35"/>
        <v>0</v>
      </c>
      <c r="I169" s="65">
        <f t="shared" si="31"/>
        <v>0</v>
      </c>
      <c r="J169" s="203">
        <f>IF(DG!$A$136&lt;=11,$M$17,0)</f>
        <v>0</v>
      </c>
      <c r="K169" s="65">
        <f t="shared" si="36"/>
        <v>0</v>
      </c>
      <c r="L169" s="473">
        <f t="shared" si="42"/>
        <v>0</v>
      </c>
      <c r="M169" s="204">
        <f t="shared" si="43"/>
        <v>0</v>
      </c>
      <c r="N169" s="505">
        <f t="shared" si="44"/>
        <v>0</v>
      </c>
      <c r="O169" s="204">
        <f>IF(DG!$A$136&gt;12,0,IF(J169-J168&gt;0,MROUND((L169/12*Q168),1),MROUND(L169/12*P168,1)))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IF(OR(L$73=0,DG!$A$257&gt;16),0,F169+1)</f>
        <v>0</v>
      </c>
      <c r="G170" s="65">
        <f t="shared" si="38"/>
        <v>0</v>
      </c>
      <c r="H170" s="65">
        <f t="shared" si="35"/>
        <v>0</v>
      </c>
      <c r="I170" s="65">
        <f t="shared" si="31"/>
        <v>0</v>
      </c>
      <c r="J170" s="203">
        <f>IF(DG!$A$136&lt;=11,$M$17,0)</f>
        <v>0</v>
      </c>
      <c r="K170" s="65">
        <f t="shared" si="36"/>
        <v>0</v>
      </c>
      <c r="L170" s="473">
        <f t="shared" si="42"/>
        <v>0</v>
      </c>
      <c r="M170" s="204">
        <f t="shared" si="43"/>
        <v>0</v>
      </c>
      <c r="N170" s="505">
        <f t="shared" si="44"/>
        <v>0</v>
      </c>
      <c r="O170" s="204">
        <f>IF(DG!$A$136&gt;12,0,IF(J170-J169&gt;0,MROUND((L170/12*Q169),1),MROUND(L170/12*P169,1)))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IF(OR(L$73=0,DG!$A$257&gt;16),0,F170+1)</f>
        <v>0</v>
      </c>
      <c r="G171" s="65">
        <f t="shared" si="38"/>
        <v>0</v>
      </c>
      <c r="H171" s="65">
        <f t="shared" si="35"/>
        <v>0</v>
      </c>
      <c r="I171" s="65">
        <f t="shared" si="31"/>
        <v>0</v>
      </c>
      <c r="J171" s="203">
        <f>IF(DG!$A$136&lt;=11,$M$17,0)</f>
        <v>0</v>
      </c>
      <c r="K171" s="65">
        <f t="shared" si="36"/>
        <v>0</v>
      </c>
      <c r="L171" s="473">
        <f t="shared" si="42"/>
        <v>0</v>
      </c>
      <c r="M171" s="204">
        <f t="shared" si="43"/>
        <v>0</v>
      </c>
      <c r="N171" s="505">
        <f t="shared" si="44"/>
        <v>0</v>
      </c>
      <c r="O171" s="204">
        <f>IF(DG!$A$136&gt;12,0,IF(J171-J170&gt;0,MROUND((L171/12*Q170),1),MROUND(L171/12*P170,1)))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IF(OR(L$73=0,DG!$A$257&gt;16),0,F171+1)</f>
        <v>0</v>
      </c>
      <c r="G172" s="65">
        <f t="shared" si="38"/>
        <v>0</v>
      </c>
      <c r="H172" s="65">
        <f t="shared" si="35"/>
        <v>0</v>
      </c>
      <c r="I172" s="65">
        <f t="shared" si="31"/>
        <v>0</v>
      </c>
      <c r="J172" s="203">
        <f>IF(DG!$A$136&lt;=11,$M$17,0)</f>
        <v>0</v>
      </c>
      <c r="K172" s="65">
        <f t="shared" si="36"/>
        <v>0</v>
      </c>
      <c r="L172" s="473">
        <f t="shared" si="42"/>
        <v>0</v>
      </c>
      <c r="M172" s="204">
        <f t="shared" si="43"/>
        <v>0</v>
      </c>
      <c r="N172" s="505">
        <f t="shared" si="44"/>
        <v>0</v>
      </c>
      <c r="O172" s="204">
        <f>IF(DG!$A$136&gt;12,0,IF(J172-J171&gt;0,MROUND((L172/12*Q171),1),MROUND(L172/12*P171,1)))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IF(OR(L$73=0,DG!$A$257&gt;16),0,F172+1)</f>
        <v>0</v>
      </c>
      <c r="G173" s="65">
        <f t="shared" si="38"/>
        <v>0</v>
      </c>
      <c r="H173" s="65">
        <f t="shared" si="35"/>
        <v>0</v>
      </c>
      <c r="I173" s="65">
        <f t="shared" si="31"/>
        <v>0</v>
      </c>
      <c r="J173" s="203">
        <f>IF(DG!$A$136&lt;=11,$M$17,0)</f>
        <v>0</v>
      </c>
      <c r="K173" s="65">
        <f t="shared" si="36"/>
        <v>0</v>
      </c>
      <c r="L173" s="473">
        <f t="shared" si="42"/>
        <v>0</v>
      </c>
      <c r="M173" s="204">
        <f t="shared" si="43"/>
        <v>0</v>
      </c>
      <c r="N173" s="505">
        <f t="shared" si="44"/>
        <v>0</v>
      </c>
      <c r="O173" s="204">
        <f>IF(DG!$A$136&gt;12,0,IF(J173-J172&gt;0,MROUND((L173/12*Q172),1),MROUND(L173/12*P172,1)))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IF(OR(L$73=0,DG!$A$257&gt;16),0,F173+1)</f>
        <v>0</v>
      </c>
      <c r="G174" s="65">
        <f t="shared" si="38"/>
        <v>0</v>
      </c>
      <c r="H174" s="65">
        <f t="shared" si="35"/>
        <v>0</v>
      </c>
      <c r="I174" s="65">
        <f t="shared" si="31"/>
        <v>0</v>
      </c>
      <c r="J174" s="203">
        <f>IF(DG!$A$136&lt;=11,$M$17,0)</f>
        <v>0</v>
      </c>
      <c r="K174" s="65">
        <f t="shared" si="36"/>
        <v>0</v>
      </c>
      <c r="L174" s="473">
        <f t="shared" si="42"/>
        <v>0</v>
      </c>
      <c r="M174" s="204">
        <f t="shared" si="43"/>
        <v>0</v>
      </c>
      <c r="N174" s="505">
        <f t="shared" si="44"/>
        <v>0</v>
      </c>
      <c r="O174" s="204">
        <f>IF(DG!$A$136&gt;12,0,IF(J174-J173&gt;0,MROUND((L174/12*Q173),1),MROUND(L174/12*P173,1)))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IF(OR(L$73=0,DG!$A$257&gt;16),0,F174+1)</f>
        <v>0</v>
      </c>
      <c r="G175" s="65">
        <f t="shared" si="38"/>
        <v>0</v>
      </c>
      <c r="H175" s="65">
        <f t="shared" si="35"/>
        <v>0</v>
      </c>
      <c r="I175" s="65">
        <f t="shared" si="31"/>
        <v>0</v>
      </c>
      <c r="J175" s="203">
        <f>IF(DG!$A$136&lt;=11,$M$17,0)</f>
        <v>0</v>
      </c>
      <c r="K175" s="65">
        <f t="shared" si="36"/>
        <v>0</v>
      </c>
      <c r="L175" s="473">
        <f t="shared" si="42"/>
        <v>0</v>
      </c>
      <c r="M175" s="204">
        <f t="shared" si="43"/>
        <v>0</v>
      </c>
      <c r="N175" s="505">
        <f t="shared" si="44"/>
        <v>0</v>
      </c>
      <c r="O175" s="204">
        <f>IF(DG!$A$136&gt;12,0,IF(J175-J174&gt;0,MROUND((L175/12*Q174),1),MROUND(L175/12*P174,1)))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IF(OR(L$73=0,DG!$A$257&gt;16),0,F175+1)</f>
        <v>0</v>
      </c>
      <c r="G176" s="65">
        <f t="shared" si="38"/>
        <v>0</v>
      </c>
      <c r="H176" s="65">
        <f t="shared" si="35"/>
        <v>0</v>
      </c>
      <c r="I176" s="65">
        <f t="shared" si="31"/>
        <v>0</v>
      </c>
      <c r="J176" s="203">
        <f>IF(DG!$A$136&lt;=11,$M$17,0)</f>
        <v>0</v>
      </c>
      <c r="K176" s="65">
        <f t="shared" si="36"/>
        <v>0</v>
      </c>
      <c r="L176" s="473">
        <f t="shared" si="42"/>
        <v>0</v>
      </c>
      <c r="M176" s="204">
        <f t="shared" si="43"/>
        <v>0</v>
      </c>
      <c r="N176" s="505">
        <f t="shared" si="44"/>
        <v>0</v>
      </c>
      <c r="O176" s="204">
        <f>IF(DG!$A$136&gt;12,0,IF(J176-J175&gt;0,MROUND((L176/12*Q175),1),MROUND(L176/12*P175,1)))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IF(OR(L$73=0,DG!$A$257&gt;16),0,F176+1)</f>
        <v>0</v>
      </c>
      <c r="G177" s="65">
        <f t="shared" si="38"/>
        <v>0</v>
      </c>
      <c r="H177" s="65">
        <f t="shared" si="35"/>
        <v>0</v>
      </c>
      <c r="I177" s="65">
        <f t="shared" si="31"/>
        <v>0</v>
      </c>
      <c r="J177" s="203">
        <f>IF(DG!$A$136&lt;=11,$M$17,0)</f>
        <v>0</v>
      </c>
      <c r="K177" s="65">
        <f t="shared" si="36"/>
        <v>0</v>
      </c>
      <c r="L177" s="473">
        <f t="shared" si="42"/>
        <v>0</v>
      </c>
      <c r="M177" s="204">
        <f t="shared" si="43"/>
        <v>0</v>
      </c>
      <c r="N177" s="505">
        <f t="shared" si="44"/>
        <v>0</v>
      </c>
      <c r="O177" s="204">
        <f>IF(DG!$A$136&gt;12,0,IF(J177-J176&gt;0,MROUND((L177/12*Q176),1),MROUND(L177/12*P176,1)))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IF(OR(L$73=0,DG!$A$257&gt;16),0,F177+1)</f>
        <v>0</v>
      </c>
      <c r="G178" s="65">
        <f t="shared" si="38"/>
        <v>0</v>
      </c>
      <c r="H178" s="65">
        <f t="shared" si="35"/>
        <v>0</v>
      </c>
      <c r="I178" s="65">
        <f t="shared" si="31"/>
        <v>0</v>
      </c>
      <c r="J178" s="203">
        <f>IF(DG!$A$136&lt;=11,$M$17,0)</f>
        <v>0</v>
      </c>
      <c r="K178" s="65">
        <f t="shared" si="36"/>
        <v>0</v>
      </c>
      <c r="L178" s="473">
        <f t="shared" si="42"/>
        <v>0</v>
      </c>
      <c r="M178" s="204">
        <f t="shared" si="43"/>
        <v>0</v>
      </c>
      <c r="N178" s="505">
        <f t="shared" si="44"/>
        <v>0</v>
      </c>
      <c r="O178" s="204">
        <f>IF(DG!$A$136&gt;12,0,IF(J178-J177&gt;0,MROUND((L178/12*Q177),1),MROUND(L178/12*P177,1)))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IF(OR(L$73=0,DG!$A$257&gt;16),0,F178+1)</f>
        <v>0</v>
      </c>
      <c r="G179" s="65">
        <f t="shared" si="38"/>
        <v>0</v>
      </c>
      <c r="H179" s="65">
        <f t="shared" si="35"/>
        <v>0</v>
      </c>
      <c r="I179" s="65">
        <f t="shared" si="31"/>
        <v>0</v>
      </c>
      <c r="J179" s="203">
        <f>IF(DG!$A$136&lt;=11,$M$17,0)</f>
        <v>0</v>
      </c>
      <c r="K179" s="65">
        <f t="shared" si="36"/>
        <v>0</v>
      </c>
      <c r="L179" s="473">
        <f t="shared" si="42"/>
        <v>0</v>
      </c>
      <c r="M179" s="204">
        <f t="shared" si="43"/>
        <v>0</v>
      </c>
      <c r="N179" s="505">
        <f t="shared" si="44"/>
        <v>0</v>
      </c>
      <c r="O179" s="204">
        <f>IF(DG!$A$136&gt;12,0,IF(J179-J178&gt;0,MROUND((L179/12*Q178),1),MROUND(L179/12*P178,1)))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IF(OR(L$73=0,DG!$A$257&gt;16),0,F179+1)</f>
        <v>0</v>
      </c>
      <c r="G180" s="65">
        <f t="shared" si="38"/>
        <v>0</v>
      </c>
      <c r="H180" s="65">
        <f t="shared" si="35"/>
        <v>0</v>
      </c>
      <c r="I180" s="65">
        <f t="shared" si="31"/>
        <v>0</v>
      </c>
      <c r="J180" s="203">
        <f>IF(DG!$A$136&lt;=11,$M$17,0)</f>
        <v>0</v>
      </c>
      <c r="K180" s="65">
        <f t="shared" si="36"/>
        <v>0</v>
      </c>
      <c r="L180" s="473">
        <f t="shared" si="42"/>
        <v>0</v>
      </c>
      <c r="M180" s="204">
        <f t="shared" si="43"/>
        <v>0</v>
      </c>
      <c r="N180" s="505">
        <f t="shared" si="44"/>
        <v>0</v>
      </c>
      <c r="O180" s="204">
        <f>IF(DG!$A$136&gt;12,0,IF(J180-J179&gt;0,MROUND((L180/12*Q179),1),MROUND(L180/12*P179,1)))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IF(OR(L$73=0,DG!$A$257&gt;16),0,F180+1)</f>
        <v>0</v>
      </c>
      <c r="G181" s="65">
        <f t="shared" si="38"/>
        <v>0</v>
      </c>
      <c r="H181" s="65">
        <f t="shared" si="35"/>
        <v>0</v>
      </c>
      <c r="I181" s="65">
        <f t="shared" si="31"/>
        <v>0</v>
      </c>
      <c r="J181" s="203">
        <f>IF(DG!$A$136&lt;=11,$M$17,0)</f>
        <v>0</v>
      </c>
      <c r="K181" s="65">
        <f t="shared" si="36"/>
        <v>0</v>
      </c>
      <c r="L181" s="473">
        <f t="shared" si="42"/>
        <v>0</v>
      </c>
      <c r="M181" s="204">
        <f t="shared" si="43"/>
        <v>0</v>
      </c>
      <c r="N181" s="505">
        <f t="shared" si="44"/>
        <v>0</v>
      </c>
      <c r="O181" s="204">
        <f>IF(DG!$A$136&gt;12,0,IF(J181-J180&gt;0,MROUND((L181/12*Q180),1),MROUND(L181/12*P180,1)))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IF(OR(L$73=0,DG!$A$257&gt;16),0,F181+1)</f>
        <v>0</v>
      </c>
      <c r="G182" s="65">
        <f t="shared" si="38"/>
        <v>0</v>
      </c>
      <c r="H182" s="65">
        <f t="shared" si="35"/>
        <v>0</v>
      </c>
      <c r="I182" s="65">
        <f t="shared" si="31"/>
        <v>0</v>
      </c>
      <c r="J182" s="203">
        <f>IF(DG!$A$136&lt;=11,$M$17,0)</f>
        <v>0</v>
      </c>
      <c r="K182" s="65">
        <f t="shared" si="36"/>
        <v>0</v>
      </c>
      <c r="L182" s="473">
        <f t="shared" si="42"/>
        <v>0</v>
      </c>
      <c r="M182" s="204">
        <f t="shared" si="43"/>
        <v>0</v>
      </c>
      <c r="N182" s="505">
        <f t="shared" si="44"/>
        <v>0</v>
      </c>
      <c r="O182" s="204">
        <f>IF(DG!$A$136&gt;12,0,IF(J182-J181&gt;0,MROUND((L182/12*Q181),1),MROUND(L182/12*P181,1)))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IF(OR(L$73=0,DG!$A$257&gt;16),0,F182+1)</f>
        <v>0</v>
      </c>
      <c r="G183" s="65">
        <f t="shared" si="38"/>
        <v>0</v>
      </c>
      <c r="H183" s="65">
        <f t="shared" si="35"/>
        <v>0</v>
      </c>
      <c r="I183" s="65">
        <f t="shared" si="31"/>
        <v>0</v>
      </c>
      <c r="J183" s="203">
        <f>IF(DG!$A$136&lt;=11,$M$17,0)</f>
        <v>0</v>
      </c>
      <c r="K183" s="65">
        <f t="shared" si="36"/>
        <v>0</v>
      </c>
      <c r="L183" s="473">
        <f t="shared" si="42"/>
        <v>0</v>
      </c>
      <c r="M183" s="204">
        <f t="shared" si="43"/>
        <v>0</v>
      </c>
      <c r="N183" s="505">
        <f t="shared" si="44"/>
        <v>0</v>
      </c>
      <c r="O183" s="204">
        <f>IF(DG!$A$136&gt;12,0,IF(J183-J182&gt;0,MROUND((L183/12*Q182),1),MROUND(L183/12*P182,1)))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IF(OR(L$73=0,DG!$A$257&gt;16),0,F183+1)</f>
        <v>0</v>
      </c>
      <c r="G184" s="65">
        <f t="shared" si="38"/>
        <v>0</v>
      </c>
      <c r="H184" s="65">
        <f t="shared" si="35"/>
        <v>0</v>
      </c>
      <c r="I184" s="65">
        <f t="shared" si="31"/>
        <v>0</v>
      </c>
      <c r="J184" s="203">
        <f>IF(DG!$A$136&lt;=11,$M$17,0)</f>
        <v>0</v>
      </c>
      <c r="K184" s="65">
        <f t="shared" si="36"/>
        <v>0</v>
      </c>
      <c r="L184" s="473">
        <f t="shared" si="42"/>
        <v>0</v>
      </c>
      <c r="M184" s="204">
        <f t="shared" si="43"/>
        <v>0</v>
      </c>
      <c r="N184" s="505">
        <f t="shared" si="44"/>
        <v>0</v>
      </c>
      <c r="O184" s="204">
        <f>IF(DG!$A$136&gt;12,0,IF(J184-J183&gt;0,MROUND((L184/12*Q183),1),MROUND(L184/12*P183,1)))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IF(OR(L$73=0,DG!$A$257&gt;16),0,F184+1)</f>
        <v>0</v>
      </c>
      <c r="G185" s="65">
        <f t="shared" si="38"/>
        <v>0</v>
      </c>
      <c r="H185" s="65">
        <f t="shared" si="35"/>
        <v>0</v>
      </c>
      <c r="I185" s="65">
        <f t="shared" si="31"/>
        <v>0</v>
      </c>
      <c r="J185" s="203">
        <f>IF(DG!$A$136&lt;=11,$M$17,0)</f>
        <v>0</v>
      </c>
      <c r="K185" s="65">
        <f t="shared" si="36"/>
        <v>0</v>
      </c>
      <c r="L185" s="473">
        <f t="shared" si="42"/>
        <v>0</v>
      </c>
      <c r="M185" s="204">
        <f t="shared" si="43"/>
        <v>0</v>
      </c>
      <c r="N185" s="505">
        <f t="shared" si="44"/>
        <v>0</v>
      </c>
      <c r="O185" s="204">
        <f>IF(DG!$A$136&gt;12,0,IF(J185-J184&gt;0,MROUND((L185/12*Q184),1),MROUND(L185/12*P184,1)))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IF(OR(L$73=0,DG!$A$257&gt;16),0,F185+1)</f>
        <v>0</v>
      </c>
      <c r="G186" s="65">
        <f t="shared" si="38"/>
        <v>0</v>
      </c>
      <c r="H186" s="65">
        <f t="shared" si="35"/>
        <v>0</v>
      </c>
      <c r="I186" s="65">
        <f t="shared" si="31"/>
        <v>0</v>
      </c>
      <c r="J186" s="203">
        <f>IF(DG!$A$136&lt;=11,$M$17,0)</f>
        <v>0</v>
      </c>
      <c r="K186" s="65">
        <f t="shared" si="36"/>
        <v>0</v>
      </c>
      <c r="L186" s="473">
        <f t="shared" si="42"/>
        <v>0</v>
      </c>
      <c r="M186" s="204">
        <f t="shared" si="43"/>
        <v>0</v>
      </c>
      <c r="N186" s="505">
        <f t="shared" si="44"/>
        <v>0</v>
      </c>
      <c r="O186" s="204">
        <f>IF(DG!$A$136&gt;12,0,IF(J186-J185&gt;0,MROUND((L186/12*Q185),1),MROUND(L186/12*P185,1)))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IF(OR(L$73=0,DG!$A$257&gt;16),0,F186+1)</f>
        <v>0</v>
      </c>
      <c r="G187" s="65">
        <f t="shared" si="38"/>
        <v>0</v>
      </c>
      <c r="H187" s="65">
        <f t="shared" si="35"/>
        <v>0</v>
      </c>
      <c r="I187" s="65">
        <f t="shared" si="31"/>
        <v>0</v>
      </c>
      <c r="J187" s="203">
        <f>IF(DG!$A$136&lt;=11,$M$17,0)</f>
        <v>0</v>
      </c>
      <c r="K187" s="65">
        <f t="shared" si="36"/>
        <v>0</v>
      </c>
      <c r="L187" s="473">
        <f t="shared" si="42"/>
        <v>0</v>
      </c>
      <c r="M187" s="204">
        <f t="shared" si="43"/>
        <v>0</v>
      </c>
      <c r="N187" s="505">
        <f t="shared" si="44"/>
        <v>0</v>
      </c>
      <c r="O187" s="204">
        <f>IF(DG!$A$136&gt;12,0,IF(J187-J186&gt;0,MROUND((L187/12*Q186),1),MROUND(L187/12*P186,1)))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IF(OR(L$73=0,DG!$A$257&gt;16),0,F187+1)</f>
        <v>0</v>
      </c>
      <c r="G188" s="65">
        <f t="shared" si="38"/>
        <v>0</v>
      </c>
      <c r="H188" s="65">
        <f t="shared" si="35"/>
        <v>0</v>
      </c>
      <c r="I188" s="65">
        <f t="shared" si="31"/>
        <v>0</v>
      </c>
      <c r="J188" s="203">
        <f>IF(DG!$A$136&lt;=11,$M$17,0)</f>
        <v>0</v>
      </c>
      <c r="K188" s="65">
        <f t="shared" si="36"/>
        <v>0</v>
      </c>
      <c r="L188" s="473">
        <f t="shared" si="42"/>
        <v>0</v>
      </c>
      <c r="M188" s="204">
        <f t="shared" si="43"/>
        <v>0</v>
      </c>
      <c r="N188" s="505">
        <f t="shared" si="44"/>
        <v>0</v>
      </c>
      <c r="O188" s="204">
        <f>IF(DG!$A$136&gt;12,0,IF(J188-J187&gt;0,MROUND((L188/12*Q187),1),MROUND(L188/12*P187,1)))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IF(OR(L$73=0,DG!$A$257&gt;16),0,F188+1)</f>
        <v>0</v>
      </c>
      <c r="G189" s="65">
        <f t="shared" si="38"/>
        <v>0</v>
      </c>
      <c r="H189" s="65">
        <f t="shared" si="35"/>
        <v>0</v>
      </c>
      <c r="I189" s="65">
        <f t="shared" si="31"/>
        <v>0</v>
      </c>
      <c r="J189" s="203">
        <f>IF(DG!$A$136&lt;=11,$M$17,0)</f>
        <v>0</v>
      </c>
      <c r="K189" s="65">
        <f t="shared" si="36"/>
        <v>0</v>
      </c>
      <c r="L189" s="473">
        <f t="shared" si="42"/>
        <v>0</v>
      </c>
      <c r="M189" s="204">
        <f t="shared" si="43"/>
        <v>0</v>
      </c>
      <c r="N189" s="505">
        <f t="shared" si="44"/>
        <v>0</v>
      </c>
      <c r="O189" s="204">
        <f>IF(DG!$A$136&gt;12,0,IF(J189-J188&gt;0,MROUND((L189/12*Q188),1),MROUND(L189/12*P188,1)))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IF(OR(L$73=0,DG!$A$257&gt;16),0,F189+1)</f>
        <v>0</v>
      </c>
      <c r="G190" s="65">
        <f t="shared" si="38"/>
        <v>0</v>
      </c>
      <c r="H190" s="65">
        <f t="shared" si="35"/>
        <v>0</v>
      </c>
      <c r="I190" s="65">
        <f t="shared" si="31"/>
        <v>0</v>
      </c>
      <c r="J190" s="203">
        <f>IF(DG!$A$136&lt;=11,$M$17,0)</f>
        <v>0</v>
      </c>
      <c r="K190" s="65">
        <f t="shared" si="36"/>
        <v>0</v>
      </c>
      <c r="L190" s="473">
        <f t="shared" si="42"/>
        <v>0</v>
      </c>
      <c r="M190" s="204">
        <f t="shared" si="43"/>
        <v>0</v>
      </c>
      <c r="N190" s="505">
        <f t="shared" si="44"/>
        <v>0</v>
      </c>
      <c r="O190" s="204">
        <f>IF(DG!$A$136&gt;12,0,IF(J190-J189&gt;0,MROUND((L190/12*Q189),1),MROUND(L190/12*P189,1)))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IF(OR(L$73=0,DG!$A$257&gt;16),0,F190+1)</f>
        <v>0</v>
      </c>
      <c r="G191" s="65">
        <f t="shared" si="38"/>
        <v>0</v>
      </c>
      <c r="H191" s="65">
        <f t="shared" si="35"/>
        <v>0</v>
      </c>
      <c r="I191" s="65">
        <f t="shared" si="31"/>
        <v>0</v>
      </c>
      <c r="J191" s="203">
        <f>IF(DG!$A$136&lt;=11,$M$17,0)</f>
        <v>0</v>
      </c>
      <c r="K191" s="65">
        <f t="shared" si="36"/>
        <v>0</v>
      </c>
      <c r="L191" s="473">
        <f t="shared" si="42"/>
        <v>0</v>
      </c>
      <c r="M191" s="204">
        <f t="shared" si="43"/>
        <v>0</v>
      </c>
      <c r="N191" s="505">
        <f t="shared" si="44"/>
        <v>0</v>
      </c>
      <c r="O191" s="204">
        <f>IF(DG!$A$136&gt;12,0,IF(J191-J190&gt;0,MROUND((L191/12*Q190),1),MROUND(L191/12*P190,1)))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IF(OR(L$73=0,DG!$A$257&gt;16),0,F191+1)</f>
        <v>0</v>
      </c>
      <c r="G192" s="65">
        <f t="shared" si="38"/>
        <v>0</v>
      </c>
      <c r="H192" s="65">
        <f t="shared" si="35"/>
        <v>0</v>
      </c>
      <c r="I192" s="65">
        <f t="shared" si="31"/>
        <v>0</v>
      </c>
      <c r="J192" s="203">
        <f>IF(DG!$A$136&lt;=11,$M$17,0)</f>
        <v>0</v>
      </c>
      <c r="K192" s="65">
        <f t="shared" si="36"/>
        <v>0</v>
      </c>
      <c r="L192" s="473">
        <f t="shared" si="42"/>
        <v>0</v>
      </c>
      <c r="M192" s="204">
        <f t="shared" si="43"/>
        <v>0</v>
      </c>
      <c r="N192" s="505">
        <f t="shared" si="44"/>
        <v>0</v>
      </c>
      <c r="O192" s="204">
        <f>IF(DG!$A$136&gt;12,0,IF(J192-J191&gt;0,MROUND((L192/12*Q191),1),MROUND(L192/12*P191,1)))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IF(OR(L$73=0,DG!$A$257&gt;16),0,F192+1)</f>
        <v>0</v>
      </c>
      <c r="G193" s="65">
        <f t="shared" si="38"/>
        <v>0</v>
      </c>
      <c r="H193" s="65">
        <f t="shared" si="35"/>
        <v>0</v>
      </c>
      <c r="I193" s="65">
        <f t="shared" ref="I193:I256" si="47">IF(OR(G193=1,C193=0),0,IF(K193-C193&lt;$G$269,1,-1))</f>
        <v>0</v>
      </c>
      <c r="J193" s="203">
        <f>IF(DG!$A$136&lt;=11,$M$17,0)</f>
        <v>0</v>
      </c>
      <c r="K193" s="65">
        <f t="shared" si="36"/>
        <v>0</v>
      </c>
      <c r="L193" s="473">
        <f t="shared" si="42"/>
        <v>0</v>
      </c>
      <c r="M193" s="204">
        <f t="shared" si="43"/>
        <v>0</v>
      </c>
      <c r="N193" s="505">
        <f t="shared" si="44"/>
        <v>0</v>
      </c>
      <c r="O193" s="204">
        <f>IF(DG!$A$136&gt;12,0,IF(J193-J192&gt;0,MROUND((L193/12*Q192),1),MROUND(L193/12*P192,1)))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IF(OR(L$73=0,DG!$A$257&gt;16),0,F193+1)</f>
        <v>0</v>
      </c>
      <c r="G194" s="65">
        <f t="shared" si="38"/>
        <v>0</v>
      </c>
      <c r="H194" s="65">
        <f t="shared" si="35"/>
        <v>0</v>
      </c>
      <c r="I194" s="65">
        <f t="shared" si="47"/>
        <v>0</v>
      </c>
      <c r="J194" s="203">
        <f>IF(DG!$A$136&lt;=11,$M$17,0)</f>
        <v>0</v>
      </c>
      <c r="K194" s="65">
        <f t="shared" si="36"/>
        <v>0</v>
      </c>
      <c r="L194" s="473">
        <f t="shared" si="42"/>
        <v>0</v>
      </c>
      <c r="M194" s="204">
        <f t="shared" si="43"/>
        <v>0</v>
      </c>
      <c r="N194" s="505">
        <f t="shared" si="44"/>
        <v>0</v>
      </c>
      <c r="O194" s="204">
        <f>IF(DG!$A$136&gt;12,0,IF(J194-J193&gt;0,MROUND((L194/12*Q193),1),MROUND(L194/12*P193,1)))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IF(OR(L$73=0,DG!$A$257&gt;16),0,F194+1)</f>
        <v>0</v>
      </c>
      <c r="G195" s="65">
        <f t="shared" si="38"/>
        <v>0</v>
      </c>
      <c r="H195" s="65">
        <f t="shared" si="35"/>
        <v>0</v>
      </c>
      <c r="I195" s="65">
        <f t="shared" si="47"/>
        <v>0</v>
      </c>
      <c r="J195" s="203">
        <f>IF(DG!$A$136&lt;=11,$M$17,0)</f>
        <v>0</v>
      </c>
      <c r="K195" s="65">
        <f t="shared" si="36"/>
        <v>0</v>
      </c>
      <c r="L195" s="473">
        <f t="shared" si="42"/>
        <v>0</v>
      </c>
      <c r="M195" s="204">
        <f t="shared" si="43"/>
        <v>0</v>
      </c>
      <c r="N195" s="505">
        <f t="shared" si="44"/>
        <v>0</v>
      </c>
      <c r="O195" s="204">
        <f>IF(DG!$A$136&gt;12,0,IF(J195-J194&gt;0,MROUND((L195/12*Q194),1),MROUND(L195/12*P194,1)))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IF(OR(L$73=0,DG!$A$257&gt;16),0,F195+1)</f>
        <v>0</v>
      </c>
      <c r="G196" s="65">
        <f t="shared" si="38"/>
        <v>0</v>
      </c>
      <c r="H196" s="65">
        <f t="shared" si="35"/>
        <v>0</v>
      </c>
      <c r="I196" s="65">
        <f t="shared" si="47"/>
        <v>0</v>
      </c>
      <c r="J196" s="203">
        <f>IF(DG!$A$136&lt;=11,$M$17,0)</f>
        <v>0</v>
      </c>
      <c r="K196" s="65">
        <f t="shared" si="36"/>
        <v>0</v>
      </c>
      <c r="L196" s="473">
        <f t="shared" si="42"/>
        <v>0</v>
      </c>
      <c r="M196" s="204">
        <f t="shared" si="43"/>
        <v>0</v>
      </c>
      <c r="N196" s="505">
        <f t="shared" si="44"/>
        <v>0</v>
      </c>
      <c r="O196" s="204">
        <f>IF(DG!$A$136&gt;12,0,IF(J196-J195&gt;0,MROUND((L196/12*Q195),1),MROUND(L196/12*P195,1)))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IF(OR(L$73=0,DG!$A$257&gt;16),0,F196+1)</f>
        <v>0</v>
      </c>
      <c r="G197" s="65">
        <f t="shared" si="38"/>
        <v>0</v>
      </c>
      <c r="H197" s="65">
        <f t="shared" si="35"/>
        <v>0</v>
      </c>
      <c r="I197" s="65">
        <f t="shared" si="47"/>
        <v>0</v>
      </c>
      <c r="J197" s="203">
        <f>IF(DG!$A$136&lt;=11,$M$17,0)</f>
        <v>0</v>
      </c>
      <c r="K197" s="65">
        <f t="shared" si="36"/>
        <v>0</v>
      </c>
      <c r="L197" s="473">
        <f t="shared" si="42"/>
        <v>0</v>
      </c>
      <c r="M197" s="204">
        <f t="shared" si="43"/>
        <v>0</v>
      </c>
      <c r="N197" s="505">
        <f t="shared" si="44"/>
        <v>0</v>
      </c>
      <c r="O197" s="204">
        <f>IF(DG!$A$136&gt;12,0,IF(J197-J196&gt;0,MROUND((L197/12*Q196),1),MROUND(L197/12*P196,1)))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IF(OR(L$73=0,DG!$A$257&gt;16),0,F197+1)</f>
        <v>0</v>
      </c>
      <c r="G198" s="65">
        <f t="shared" si="38"/>
        <v>0</v>
      </c>
      <c r="H198" s="65">
        <f t="shared" si="35"/>
        <v>0</v>
      </c>
      <c r="I198" s="65">
        <f t="shared" si="47"/>
        <v>0</v>
      </c>
      <c r="J198" s="203">
        <f>IF(DG!$A$136&lt;=11,$M$17,0)</f>
        <v>0</v>
      </c>
      <c r="K198" s="65">
        <f t="shared" si="36"/>
        <v>0</v>
      </c>
      <c r="L198" s="473">
        <f t="shared" si="42"/>
        <v>0</v>
      </c>
      <c r="M198" s="204">
        <f t="shared" si="43"/>
        <v>0</v>
      </c>
      <c r="N198" s="505">
        <f t="shared" si="44"/>
        <v>0</v>
      </c>
      <c r="O198" s="204">
        <f>IF(DG!$A$136&gt;12,0,IF(J198-J197&gt;0,MROUND((L198/12*Q197),1),MROUND(L198/12*P197,1)))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IF(OR(L$73=0,DG!$A$257&gt;16),0,F198+1)</f>
        <v>0</v>
      </c>
      <c r="G199" s="65">
        <f t="shared" si="38"/>
        <v>0</v>
      </c>
      <c r="H199" s="65">
        <f t="shared" si="35"/>
        <v>0</v>
      </c>
      <c r="I199" s="65">
        <f t="shared" si="47"/>
        <v>0</v>
      </c>
      <c r="J199" s="203">
        <f>IF(DG!$A$136&lt;=11,$M$17,0)</f>
        <v>0</v>
      </c>
      <c r="K199" s="65">
        <f t="shared" si="36"/>
        <v>0</v>
      </c>
      <c r="L199" s="473">
        <f t="shared" si="42"/>
        <v>0</v>
      </c>
      <c r="M199" s="204">
        <f t="shared" si="43"/>
        <v>0</v>
      </c>
      <c r="N199" s="505">
        <f t="shared" si="44"/>
        <v>0</v>
      </c>
      <c r="O199" s="204">
        <f>IF(DG!$A$136&gt;12,0,IF(J199-J198&gt;0,MROUND((L199/12*Q198),1),MROUND(L199/12*P198,1)))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IF(OR(L$73=0,DG!$A$257&gt;16),0,F199+1)</f>
        <v>0</v>
      </c>
      <c r="G200" s="65">
        <f t="shared" si="38"/>
        <v>0</v>
      </c>
      <c r="H200" s="65">
        <f t="shared" si="35"/>
        <v>0</v>
      </c>
      <c r="I200" s="65">
        <f t="shared" si="47"/>
        <v>0</v>
      </c>
      <c r="J200" s="203">
        <f>IF(DG!$A$136&lt;=11,$M$17,0)</f>
        <v>0</v>
      </c>
      <c r="K200" s="65">
        <f t="shared" si="36"/>
        <v>0</v>
      </c>
      <c r="L200" s="473">
        <f t="shared" si="42"/>
        <v>0</v>
      </c>
      <c r="M200" s="204">
        <f t="shared" si="43"/>
        <v>0</v>
      </c>
      <c r="N200" s="505">
        <f t="shared" si="44"/>
        <v>0</v>
      </c>
      <c r="O200" s="204">
        <f>IF(DG!$A$136&gt;12,0,IF(J200-J199&gt;0,MROUND((L200/12*Q199),1),MROUND(L200/12*P199,1)))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IF(OR(L$73=0,DG!$A$257&gt;16),0,F200+1)</f>
        <v>0</v>
      </c>
      <c r="G201" s="65">
        <f t="shared" si="38"/>
        <v>0</v>
      </c>
      <c r="H201" s="65">
        <f t="shared" si="35"/>
        <v>0</v>
      </c>
      <c r="I201" s="65">
        <f t="shared" si="47"/>
        <v>0</v>
      </c>
      <c r="J201" s="203">
        <f>IF(DG!$A$136&lt;=11,$M$17,0)</f>
        <v>0</v>
      </c>
      <c r="K201" s="65">
        <f t="shared" si="36"/>
        <v>0</v>
      </c>
      <c r="L201" s="473">
        <f t="shared" si="42"/>
        <v>0</v>
      </c>
      <c r="M201" s="204">
        <f t="shared" si="43"/>
        <v>0</v>
      </c>
      <c r="N201" s="505">
        <f t="shared" si="44"/>
        <v>0</v>
      </c>
      <c r="O201" s="204">
        <f>IF(DG!$A$136&gt;12,0,IF(J201-J200&gt;0,MROUND((L201/12*Q200),1),MROUND(L201/12*P200,1)))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IF(OR(L$73=0,DG!$A$257&gt;16),0,F201+1)</f>
        <v>0</v>
      </c>
      <c r="G202" s="65">
        <f t="shared" si="38"/>
        <v>0</v>
      </c>
      <c r="H202" s="65">
        <f t="shared" si="35"/>
        <v>0</v>
      </c>
      <c r="I202" s="65">
        <f t="shared" si="47"/>
        <v>0</v>
      </c>
      <c r="J202" s="203">
        <f>IF(DG!$A$136&lt;=11,$M$17,0)</f>
        <v>0</v>
      </c>
      <c r="K202" s="65">
        <f t="shared" si="36"/>
        <v>0</v>
      </c>
      <c r="L202" s="473">
        <f t="shared" si="42"/>
        <v>0</v>
      </c>
      <c r="M202" s="204">
        <f t="shared" si="43"/>
        <v>0</v>
      </c>
      <c r="N202" s="505">
        <f t="shared" si="44"/>
        <v>0</v>
      </c>
      <c r="O202" s="204">
        <f>IF(DG!$A$136&gt;12,0,IF(J202-J201&gt;0,MROUND((L202/12*Q201),1),MROUND(L202/12*P201,1)))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IF(OR(L$73=0,DG!$A$257&gt;16),0,F202+1)</f>
        <v>0</v>
      </c>
      <c r="G203" s="65">
        <f t="shared" si="38"/>
        <v>0</v>
      </c>
      <c r="H203" s="65">
        <f t="shared" si="35"/>
        <v>0</v>
      </c>
      <c r="I203" s="65">
        <f t="shared" si="47"/>
        <v>0</v>
      </c>
      <c r="J203" s="203">
        <f>IF(DG!$A$136&lt;=11,$M$17,0)</f>
        <v>0</v>
      </c>
      <c r="K203" s="65">
        <f t="shared" si="36"/>
        <v>0</v>
      </c>
      <c r="L203" s="473">
        <f t="shared" si="42"/>
        <v>0</v>
      </c>
      <c r="M203" s="204">
        <f t="shared" si="43"/>
        <v>0</v>
      </c>
      <c r="N203" s="505">
        <f t="shared" si="44"/>
        <v>0</v>
      </c>
      <c r="O203" s="204">
        <f>IF(DG!$A$136&gt;12,0,IF(J203-J202&gt;0,MROUND((L203/12*Q202),1),MROUND(L203/12*P202,1)))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IF(OR(L$73=0,DG!$A$257&gt;16),0,F203+1)</f>
        <v>0</v>
      </c>
      <c r="G204" s="65">
        <f t="shared" si="38"/>
        <v>0</v>
      </c>
      <c r="H204" s="65">
        <f t="shared" si="35"/>
        <v>0</v>
      </c>
      <c r="I204" s="65">
        <f t="shared" si="47"/>
        <v>0</v>
      </c>
      <c r="J204" s="203">
        <f>IF(DG!$A$136&lt;=11,$M$17,0)</f>
        <v>0</v>
      </c>
      <c r="K204" s="65">
        <f t="shared" si="36"/>
        <v>0</v>
      </c>
      <c r="L204" s="473">
        <f t="shared" si="42"/>
        <v>0</v>
      </c>
      <c r="M204" s="204">
        <f t="shared" si="43"/>
        <v>0</v>
      </c>
      <c r="N204" s="505">
        <f t="shared" si="44"/>
        <v>0</v>
      </c>
      <c r="O204" s="204">
        <f>IF(DG!$A$136&gt;12,0,IF(J204-J203&gt;0,MROUND((L204/12*Q203),1),MROUND(L204/12*P203,1)))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IF(OR(L$73=0,DG!$A$257&gt;16),0,F204+1)</f>
        <v>0</v>
      </c>
      <c r="G205" s="65">
        <f t="shared" si="38"/>
        <v>0</v>
      </c>
      <c r="H205" s="65">
        <f t="shared" si="35"/>
        <v>0</v>
      </c>
      <c r="I205" s="65">
        <f t="shared" si="47"/>
        <v>0</v>
      </c>
      <c r="J205" s="203">
        <f>IF(DG!$A$136&lt;=11,$M$17,0)</f>
        <v>0</v>
      </c>
      <c r="K205" s="65">
        <f t="shared" si="36"/>
        <v>0</v>
      </c>
      <c r="L205" s="473">
        <f t="shared" si="42"/>
        <v>0</v>
      </c>
      <c r="M205" s="204">
        <f t="shared" si="43"/>
        <v>0</v>
      </c>
      <c r="N205" s="505">
        <f t="shared" si="44"/>
        <v>0</v>
      </c>
      <c r="O205" s="204">
        <f>IF(DG!$A$136&gt;12,0,IF(J205-J204&gt;0,MROUND((L205/12*Q204),1),MROUND(L205/12*P204,1)))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IF(OR(L$73=0,DG!$A$257&gt;16),0,F205+1)</f>
        <v>0</v>
      </c>
      <c r="G206" s="65">
        <f t="shared" si="38"/>
        <v>0</v>
      </c>
      <c r="H206" s="65">
        <f t="shared" si="35"/>
        <v>0</v>
      </c>
      <c r="I206" s="65">
        <f t="shared" si="47"/>
        <v>0</v>
      </c>
      <c r="J206" s="203">
        <f>IF(DG!$A$136&lt;=11,$M$17,0)</f>
        <v>0</v>
      </c>
      <c r="K206" s="65">
        <f t="shared" si="36"/>
        <v>0</v>
      </c>
      <c r="L206" s="473">
        <f t="shared" si="42"/>
        <v>0</v>
      </c>
      <c r="M206" s="204">
        <f t="shared" si="43"/>
        <v>0</v>
      </c>
      <c r="N206" s="505">
        <f t="shared" si="44"/>
        <v>0</v>
      </c>
      <c r="O206" s="204">
        <f>IF(DG!$A$136&gt;12,0,IF(J206-J205&gt;0,MROUND((L206/12*Q205),1),MROUND(L206/12*P205,1)))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IF(OR(L$73=0,DG!$A$257&gt;16),0,F206+1)</f>
        <v>0</v>
      </c>
      <c r="G207" s="65">
        <f t="shared" si="38"/>
        <v>0</v>
      </c>
      <c r="H207" s="65">
        <f t="shared" si="35"/>
        <v>0</v>
      </c>
      <c r="I207" s="65">
        <f t="shared" si="47"/>
        <v>0</v>
      </c>
      <c r="J207" s="203">
        <f>IF(DG!$A$136&lt;=11,$M$17,0)</f>
        <v>0</v>
      </c>
      <c r="K207" s="65">
        <f t="shared" si="36"/>
        <v>0</v>
      </c>
      <c r="L207" s="473">
        <f t="shared" si="42"/>
        <v>0</v>
      </c>
      <c r="M207" s="204">
        <f t="shared" si="43"/>
        <v>0</v>
      </c>
      <c r="N207" s="505">
        <f t="shared" si="44"/>
        <v>0</v>
      </c>
      <c r="O207" s="204">
        <f>IF(DG!$A$136&gt;12,0,IF(J207-J206&gt;0,MROUND((L207/12*Q206),1),MROUND(L207/12*P206,1)))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IF(OR(L$73=0,DG!$A$257&gt;16),0,F207+1)</f>
        <v>0</v>
      </c>
      <c r="G208" s="65">
        <f t="shared" si="38"/>
        <v>0</v>
      </c>
      <c r="H208" s="65">
        <f t="shared" si="35"/>
        <v>0</v>
      </c>
      <c r="I208" s="65">
        <f t="shared" si="47"/>
        <v>0</v>
      </c>
      <c r="J208" s="203">
        <f>IF(DG!$A$136&lt;=11,$M$17,0)</f>
        <v>0</v>
      </c>
      <c r="K208" s="65">
        <f t="shared" si="36"/>
        <v>0</v>
      </c>
      <c r="L208" s="473">
        <f t="shared" si="42"/>
        <v>0</v>
      </c>
      <c r="M208" s="204">
        <f t="shared" si="43"/>
        <v>0</v>
      </c>
      <c r="N208" s="505">
        <f t="shared" si="44"/>
        <v>0</v>
      </c>
      <c r="O208" s="204">
        <f>IF(DG!$A$136&gt;12,0,IF(J208-J207&gt;0,MROUND((L208/12*Q207),1),MROUND(L208/12*P207,1)))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IF(OR(L$73=0,DG!$A$257&gt;16),0,F208+1)</f>
        <v>0</v>
      </c>
      <c r="G209" s="65">
        <f t="shared" si="38"/>
        <v>0</v>
      </c>
      <c r="H209" s="65">
        <f t="shared" si="35"/>
        <v>0</v>
      </c>
      <c r="I209" s="65">
        <f t="shared" si="47"/>
        <v>0</v>
      </c>
      <c r="J209" s="203">
        <f>IF(DG!$A$136&lt;=11,$M$17,0)</f>
        <v>0</v>
      </c>
      <c r="K209" s="65">
        <f t="shared" si="36"/>
        <v>0</v>
      </c>
      <c r="L209" s="473">
        <f t="shared" si="42"/>
        <v>0</v>
      </c>
      <c r="M209" s="204">
        <f t="shared" si="43"/>
        <v>0</v>
      </c>
      <c r="N209" s="505">
        <f t="shared" si="44"/>
        <v>0</v>
      </c>
      <c r="O209" s="204">
        <f>IF(DG!$A$136&gt;12,0,IF(J209-J208&gt;0,MROUND((L209/12*Q208),1),MROUND(L209/12*P208,1)))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IF(OR(L$73=0,DG!$A$257&gt;16),0,F209+1)</f>
        <v>0</v>
      </c>
      <c r="G210" s="65">
        <f t="shared" si="38"/>
        <v>0</v>
      </c>
      <c r="H210" s="65">
        <f t="shared" si="35"/>
        <v>0</v>
      </c>
      <c r="I210" s="65">
        <f t="shared" si="47"/>
        <v>0</v>
      </c>
      <c r="J210" s="203">
        <f>IF(DG!$A$136&lt;=11,$M$17,0)</f>
        <v>0</v>
      </c>
      <c r="K210" s="65">
        <f t="shared" si="36"/>
        <v>0</v>
      </c>
      <c r="L210" s="473">
        <f t="shared" si="42"/>
        <v>0</v>
      </c>
      <c r="M210" s="204">
        <f t="shared" si="43"/>
        <v>0</v>
      </c>
      <c r="N210" s="505">
        <f t="shared" si="44"/>
        <v>0</v>
      </c>
      <c r="O210" s="204">
        <f>IF(DG!$A$136&gt;12,0,IF(J210-J209&gt;0,MROUND((L210/12*Q209),1),MROUND(L210/12*P209,1)))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IF(OR(L$73=0,DG!$A$257&gt;16),0,F210+1)</f>
        <v>0</v>
      </c>
      <c r="G211" s="65">
        <f t="shared" si="38"/>
        <v>0</v>
      </c>
      <c r="H211" s="65">
        <f t="shared" si="35"/>
        <v>0</v>
      </c>
      <c r="I211" s="65">
        <f t="shared" si="47"/>
        <v>0</v>
      </c>
      <c r="J211" s="203">
        <f>IF(DG!$A$136&lt;=11,$M$17,0)</f>
        <v>0</v>
      </c>
      <c r="K211" s="65">
        <f t="shared" si="36"/>
        <v>0</v>
      </c>
      <c r="L211" s="473">
        <f t="shared" si="42"/>
        <v>0</v>
      </c>
      <c r="M211" s="204">
        <f t="shared" si="43"/>
        <v>0</v>
      </c>
      <c r="N211" s="505">
        <f t="shared" si="44"/>
        <v>0</v>
      </c>
      <c r="O211" s="204">
        <f>IF(DG!$A$136&gt;12,0,IF(J211-J210&gt;0,MROUND((L211/12*Q210),1),MROUND(L211/12*P210,1)))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IF(OR(L$73=0,DG!$A$257&gt;16),0,F211+1)</f>
        <v>0</v>
      </c>
      <c r="G212" s="65">
        <f t="shared" si="38"/>
        <v>0</v>
      </c>
      <c r="H212" s="65">
        <f t="shared" si="35"/>
        <v>0</v>
      </c>
      <c r="I212" s="65">
        <f t="shared" si="47"/>
        <v>0</v>
      </c>
      <c r="J212" s="203">
        <f>IF(DG!$A$136&lt;=11,$M$17,0)</f>
        <v>0</v>
      </c>
      <c r="K212" s="65">
        <f t="shared" si="36"/>
        <v>0</v>
      </c>
      <c r="L212" s="473">
        <f t="shared" si="42"/>
        <v>0</v>
      </c>
      <c r="M212" s="204">
        <f t="shared" si="43"/>
        <v>0</v>
      </c>
      <c r="N212" s="505">
        <f t="shared" si="44"/>
        <v>0</v>
      </c>
      <c r="O212" s="204">
        <f>IF(DG!$A$136&gt;12,0,IF(J212-J211&gt;0,MROUND((L212/12*Q211),1),MROUND(L212/12*P211,1)))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IF(OR(L$73=0,DG!$A$257&gt;16),0,F212+1)</f>
        <v>0</v>
      </c>
      <c r="G213" s="65">
        <f t="shared" si="38"/>
        <v>0</v>
      </c>
      <c r="H213" s="65">
        <f t="shared" si="35"/>
        <v>0</v>
      </c>
      <c r="I213" s="65">
        <f t="shared" si="47"/>
        <v>0</v>
      </c>
      <c r="J213" s="203">
        <f>IF(DG!$A$136&lt;=11,$M$17,0)</f>
        <v>0</v>
      </c>
      <c r="K213" s="65">
        <f t="shared" si="36"/>
        <v>0</v>
      </c>
      <c r="L213" s="473">
        <f t="shared" si="42"/>
        <v>0</v>
      </c>
      <c r="M213" s="204">
        <f t="shared" si="43"/>
        <v>0</v>
      </c>
      <c r="N213" s="505">
        <f t="shared" si="44"/>
        <v>0</v>
      </c>
      <c r="O213" s="204">
        <f>IF(DG!$A$136&gt;12,0,IF(J213-J212&gt;0,MROUND((L213/12*Q212),1),MROUND(L213/12*P212,1)))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IF(OR(L$73=0,DG!$A$257&gt;16),0,F213+1)</f>
        <v>0</v>
      </c>
      <c r="G214" s="65">
        <f t="shared" si="38"/>
        <v>0</v>
      </c>
      <c r="H214" s="65">
        <f t="shared" si="35"/>
        <v>0</v>
      </c>
      <c r="I214" s="65">
        <f t="shared" si="47"/>
        <v>0</v>
      </c>
      <c r="J214" s="203">
        <f>IF(DG!$A$136&lt;=11,$M$17,0)</f>
        <v>0</v>
      </c>
      <c r="K214" s="65">
        <f t="shared" si="36"/>
        <v>0</v>
      </c>
      <c r="L214" s="473">
        <f t="shared" si="42"/>
        <v>0</v>
      </c>
      <c r="M214" s="204">
        <f t="shared" si="43"/>
        <v>0</v>
      </c>
      <c r="N214" s="505">
        <f t="shared" si="44"/>
        <v>0</v>
      </c>
      <c r="O214" s="204">
        <f>IF(DG!$A$136&gt;12,0,IF(J214-J213&gt;0,MROUND((L214/12*Q213),1),MROUND(L214/12*P213,1)))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IF(OR(L$73=0,DG!$A$257&gt;16),0,F214+1)</f>
        <v>0</v>
      </c>
      <c r="G215" s="65">
        <f t="shared" si="38"/>
        <v>0</v>
      </c>
      <c r="H215" s="65">
        <f t="shared" si="35"/>
        <v>0</v>
      </c>
      <c r="I215" s="65">
        <f t="shared" si="47"/>
        <v>0</v>
      </c>
      <c r="J215" s="203">
        <f>IF(DG!$A$136&lt;=11,$M$17,0)</f>
        <v>0</v>
      </c>
      <c r="K215" s="65">
        <f t="shared" si="36"/>
        <v>0</v>
      </c>
      <c r="L215" s="473">
        <f t="shared" si="42"/>
        <v>0</v>
      </c>
      <c r="M215" s="204">
        <f t="shared" si="43"/>
        <v>0</v>
      </c>
      <c r="N215" s="505">
        <f t="shared" si="44"/>
        <v>0</v>
      </c>
      <c r="O215" s="204">
        <f>IF(DG!$A$136&gt;12,0,IF(J215-J214&gt;0,MROUND((L215/12*Q214),1),MROUND(L215/12*P214,1)))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IF(OR(L$73=0,DG!$A$257&gt;16),0,F215+1)</f>
        <v>0</v>
      </c>
      <c r="G216" s="65">
        <f t="shared" si="38"/>
        <v>0</v>
      </c>
      <c r="H216" s="65">
        <f t="shared" ref="H216:H265" si="50">IF(I216&gt;=0,0,H215+1)</f>
        <v>0</v>
      </c>
      <c r="I216" s="65">
        <f t="shared" si="47"/>
        <v>0</v>
      </c>
      <c r="J216" s="203">
        <f>IF(DG!$A$136&lt;=11,$M$17,0)</f>
        <v>0</v>
      </c>
      <c r="K216" s="65">
        <f t="shared" ref="K216:K265" si="51">K215</f>
        <v>0</v>
      </c>
      <c r="L216" s="473">
        <f t="shared" si="42"/>
        <v>0</v>
      </c>
      <c r="M216" s="204">
        <f t="shared" si="43"/>
        <v>0</v>
      </c>
      <c r="N216" s="505">
        <f t="shared" si="44"/>
        <v>0</v>
      </c>
      <c r="O216" s="204">
        <f>IF(DG!$A$136&gt;12,0,IF(J216-J215&gt;0,MROUND((L216/12*Q215),1),MROUND(L216/12*P215,1)))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IF(OR(L$73=0,DG!$A$257&gt;16),0,F216+1)</f>
        <v>0</v>
      </c>
      <c r="G217" s="65">
        <f t="shared" si="38"/>
        <v>0</v>
      </c>
      <c r="H217" s="65">
        <f t="shared" si="50"/>
        <v>0</v>
      </c>
      <c r="I217" s="65">
        <f t="shared" si="47"/>
        <v>0</v>
      </c>
      <c r="J217" s="203">
        <f>IF(DG!$A$136&lt;=11,$M$17,0)</f>
        <v>0</v>
      </c>
      <c r="K217" s="65">
        <f t="shared" si="51"/>
        <v>0</v>
      </c>
      <c r="L217" s="473">
        <f t="shared" si="42"/>
        <v>0</v>
      </c>
      <c r="M217" s="204">
        <f t="shared" si="43"/>
        <v>0</v>
      </c>
      <c r="N217" s="505">
        <f t="shared" si="44"/>
        <v>0</v>
      </c>
      <c r="O217" s="204">
        <f>IF(DG!$A$136&gt;12,0,IF(J217-J216&gt;0,MROUND((L217/12*Q216),1),MROUND(L217/12*P216,1)))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IF(OR(L$73=0,DG!$A$257&gt;16),0,F217+1)</f>
        <v>0</v>
      </c>
      <c r="G218" s="65">
        <f t="shared" ref="G218:G265" si="53">IF(E218=0,0,IF(D218-E218-F218&gt;=0,1,0))</f>
        <v>0</v>
      </c>
      <c r="H218" s="65">
        <f t="shared" si="50"/>
        <v>0</v>
      </c>
      <c r="I218" s="65">
        <f t="shared" si="47"/>
        <v>0</v>
      </c>
      <c r="J218" s="203">
        <f>IF(DG!$A$136&lt;=11,$M$17,0)</f>
        <v>0</v>
      </c>
      <c r="K218" s="65">
        <f t="shared" si="51"/>
        <v>0</v>
      </c>
      <c r="L218" s="473">
        <f t="shared" si="42"/>
        <v>0</v>
      </c>
      <c r="M218" s="204">
        <f t="shared" si="43"/>
        <v>0</v>
      </c>
      <c r="N218" s="505">
        <f t="shared" si="44"/>
        <v>0</v>
      </c>
      <c r="O218" s="204">
        <f>IF(DG!$A$136&gt;12,0,IF(J218-J217&gt;0,MROUND((L218/12*Q217),1),MROUND(L218/12*P217,1)))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IF(OR(L$73=0,DG!$A$257&gt;16),0,F218+1)</f>
        <v>0</v>
      </c>
      <c r="G219" s="65">
        <f t="shared" si="53"/>
        <v>0</v>
      </c>
      <c r="H219" s="65">
        <f t="shared" si="50"/>
        <v>0</v>
      </c>
      <c r="I219" s="65">
        <f t="shared" si="47"/>
        <v>0</v>
      </c>
      <c r="J219" s="203">
        <f>IF(DG!$A$136&lt;=11,$M$17,0)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IF(DG!$A$136&gt;12,0,IF(J219-J218&gt;0,MROUND((L219/12*Q218),1),MROUND(L219/12*P218,1)))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IF(OR(L$73=0,DG!$A$257&gt;16),0,F219+1)</f>
        <v>0</v>
      </c>
      <c r="G220" s="65">
        <f t="shared" si="53"/>
        <v>0</v>
      </c>
      <c r="H220" s="65">
        <f t="shared" si="50"/>
        <v>0</v>
      </c>
      <c r="I220" s="65">
        <f t="shared" si="47"/>
        <v>0</v>
      </c>
      <c r="J220" s="203">
        <f>IF(DG!$A$136&lt;=11,$M$17,0)</f>
        <v>0</v>
      </c>
      <c r="K220" s="65">
        <f t="shared" si="51"/>
        <v>0</v>
      </c>
      <c r="L220" s="473">
        <f t="shared" si="57"/>
        <v>0</v>
      </c>
      <c r="M220" s="204">
        <f t="shared" si="58"/>
        <v>0</v>
      </c>
      <c r="N220" s="505">
        <f t="shared" si="59"/>
        <v>0</v>
      </c>
      <c r="O220" s="204">
        <f>IF(DG!$A$136&gt;12,0,IF(J220-J219&gt;0,MROUND((L220/12*Q219),1),MROUND(L220/12*P219,1)))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IF(OR(L$73=0,DG!$A$257&gt;16),0,F220+1)</f>
        <v>0</v>
      </c>
      <c r="G221" s="65">
        <f t="shared" si="53"/>
        <v>0</v>
      </c>
      <c r="H221" s="65">
        <f t="shared" si="50"/>
        <v>0</v>
      </c>
      <c r="I221" s="65">
        <f t="shared" si="47"/>
        <v>0</v>
      </c>
      <c r="J221" s="203">
        <f>IF(DG!$A$136&lt;=11,$M$17,0)</f>
        <v>0</v>
      </c>
      <c r="K221" s="65">
        <f t="shared" si="51"/>
        <v>0</v>
      </c>
      <c r="L221" s="473">
        <f t="shared" si="57"/>
        <v>0</v>
      </c>
      <c r="M221" s="204">
        <f t="shared" si="58"/>
        <v>0</v>
      </c>
      <c r="N221" s="505">
        <f t="shared" si="59"/>
        <v>0</v>
      </c>
      <c r="O221" s="204">
        <f>IF(DG!$A$136&gt;12,0,IF(J221-J220&gt;0,MROUND((L221/12*Q220),1),MROUND(L221/12*P220,1)))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IF(OR(L$73=0,DG!$A$257&gt;16),0,F221+1)</f>
        <v>0</v>
      </c>
      <c r="G222" s="65">
        <f t="shared" si="53"/>
        <v>0</v>
      </c>
      <c r="H222" s="65">
        <f t="shared" si="50"/>
        <v>0</v>
      </c>
      <c r="I222" s="65">
        <f t="shared" si="47"/>
        <v>0</v>
      </c>
      <c r="J222" s="203">
        <f>IF(DG!$A$136&lt;=11,$M$17,0)</f>
        <v>0</v>
      </c>
      <c r="K222" s="65">
        <f t="shared" si="51"/>
        <v>0</v>
      </c>
      <c r="L222" s="473">
        <f t="shared" si="57"/>
        <v>0</v>
      </c>
      <c r="M222" s="204">
        <f t="shared" si="58"/>
        <v>0</v>
      </c>
      <c r="N222" s="505">
        <f t="shared" si="59"/>
        <v>0</v>
      </c>
      <c r="O222" s="204">
        <f>IF(DG!$A$136&gt;12,0,IF(J222-J221&gt;0,MROUND((L222/12*Q221),1),MROUND(L222/12*P221,1)))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IF(OR(L$73=0,DG!$A$257&gt;16),0,F222+1)</f>
        <v>0</v>
      </c>
      <c r="G223" s="65">
        <f t="shared" si="53"/>
        <v>0</v>
      </c>
      <c r="H223" s="65">
        <f t="shared" si="50"/>
        <v>0</v>
      </c>
      <c r="I223" s="65">
        <f t="shared" si="47"/>
        <v>0</v>
      </c>
      <c r="J223" s="203">
        <f>IF(DG!$A$136&lt;=11,$M$17,0)</f>
        <v>0</v>
      </c>
      <c r="K223" s="65">
        <f t="shared" si="51"/>
        <v>0</v>
      </c>
      <c r="L223" s="473">
        <f t="shared" si="57"/>
        <v>0</v>
      </c>
      <c r="M223" s="204">
        <f t="shared" si="58"/>
        <v>0</v>
      </c>
      <c r="N223" s="505">
        <f t="shared" si="59"/>
        <v>0</v>
      </c>
      <c r="O223" s="204">
        <f>IF(DG!$A$136&gt;12,0,IF(J223-J222&gt;0,MROUND((L223/12*Q222),1),MROUND(L223/12*P222,1)))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IF(OR(L$73=0,DG!$A$257&gt;16),0,F223+1)</f>
        <v>0</v>
      </c>
      <c r="G224" s="65">
        <f t="shared" si="53"/>
        <v>0</v>
      </c>
      <c r="H224" s="65">
        <f t="shared" si="50"/>
        <v>0</v>
      </c>
      <c r="I224" s="65">
        <f t="shared" si="47"/>
        <v>0</v>
      </c>
      <c r="J224" s="203">
        <f>IF(DG!$A$136&lt;=11,$M$17,0)</f>
        <v>0</v>
      </c>
      <c r="K224" s="65">
        <f t="shared" si="51"/>
        <v>0</v>
      </c>
      <c r="L224" s="473">
        <f t="shared" si="57"/>
        <v>0</v>
      </c>
      <c r="M224" s="204">
        <f t="shared" si="58"/>
        <v>0</v>
      </c>
      <c r="N224" s="505">
        <f t="shared" si="59"/>
        <v>0</v>
      </c>
      <c r="O224" s="204">
        <f>IF(DG!$A$136&gt;12,0,IF(J224-J223&gt;0,MROUND((L224/12*Q223),1),MROUND(L224/12*P223,1)))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IF(OR(L$73=0,DG!$A$257&gt;16),0,F224+1)</f>
        <v>0</v>
      </c>
      <c r="G225" s="65">
        <f t="shared" si="53"/>
        <v>0</v>
      </c>
      <c r="H225" s="65">
        <f t="shared" si="50"/>
        <v>0</v>
      </c>
      <c r="I225" s="65">
        <f t="shared" si="47"/>
        <v>0</v>
      </c>
      <c r="J225" s="203">
        <f>IF(DG!$A$136&lt;=11,$M$17,0)</f>
        <v>0</v>
      </c>
      <c r="K225" s="65">
        <f t="shared" si="51"/>
        <v>0</v>
      </c>
      <c r="L225" s="473">
        <f t="shared" si="57"/>
        <v>0</v>
      </c>
      <c r="M225" s="204">
        <f t="shared" si="58"/>
        <v>0</v>
      </c>
      <c r="N225" s="505">
        <f t="shared" si="59"/>
        <v>0</v>
      </c>
      <c r="O225" s="204">
        <f>IF(DG!$A$136&gt;12,0,IF(J225-J224&gt;0,MROUND((L225/12*Q224),1),MROUND(L225/12*P224,1)))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IF(OR(L$73=0,DG!$A$257&gt;16),0,F225+1)</f>
        <v>0</v>
      </c>
      <c r="G226" s="65">
        <f t="shared" si="53"/>
        <v>0</v>
      </c>
      <c r="H226" s="65">
        <f t="shared" si="50"/>
        <v>0</v>
      </c>
      <c r="I226" s="65">
        <f t="shared" si="47"/>
        <v>0</v>
      </c>
      <c r="J226" s="203">
        <f>IF(DG!$A$136&lt;=11,$M$17,0)</f>
        <v>0</v>
      </c>
      <c r="K226" s="65">
        <f t="shared" si="51"/>
        <v>0</v>
      </c>
      <c r="L226" s="473">
        <f t="shared" si="57"/>
        <v>0</v>
      </c>
      <c r="M226" s="204">
        <f t="shared" si="58"/>
        <v>0</v>
      </c>
      <c r="N226" s="505">
        <f t="shared" si="59"/>
        <v>0</v>
      </c>
      <c r="O226" s="204">
        <f>IF(DG!$A$136&gt;12,0,IF(J226-J225&gt;0,MROUND((L226/12*Q225),1),MROUND(L226/12*P225,1)))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IF(OR(L$73=0,DG!$A$257&gt;16),0,F226+1)</f>
        <v>0</v>
      </c>
      <c r="G227" s="65">
        <f t="shared" si="53"/>
        <v>0</v>
      </c>
      <c r="H227" s="65">
        <f t="shared" si="50"/>
        <v>0</v>
      </c>
      <c r="I227" s="65">
        <f t="shared" si="47"/>
        <v>0</v>
      </c>
      <c r="J227" s="203">
        <f>IF(DG!$A$136&lt;=11,$M$17,0)</f>
        <v>0</v>
      </c>
      <c r="K227" s="65">
        <f t="shared" si="51"/>
        <v>0</v>
      </c>
      <c r="L227" s="473">
        <f t="shared" si="57"/>
        <v>0</v>
      </c>
      <c r="M227" s="204">
        <f t="shared" si="58"/>
        <v>0</v>
      </c>
      <c r="N227" s="505">
        <f t="shared" si="59"/>
        <v>0</v>
      </c>
      <c r="O227" s="204">
        <f>IF(DG!$A$136&gt;12,0,IF(J227-J226&gt;0,MROUND((L227/12*Q226),1),MROUND(L227/12*P226,1)))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IF(OR(L$73=0,DG!$A$257&gt;16),0,F227+1)</f>
        <v>0</v>
      </c>
      <c r="G228" s="65">
        <f t="shared" si="53"/>
        <v>0</v>
      </c>
      <c r="H228" s="65">
        <f t="shared" si="50"/>
        <v>0</v>
      </c>
      <c r="I228" s="65">
        <f t="shared" si="47"/>
        <v>0</v>
      </c>
      <c r="J228" s="203">
        <f>IF(DG!$A$136&lt;=11,$M$17,0)</f>
        <v>0</v>
      </c>
      <c r="K228" s="65">
        <f t="shared" si="51"/>
        <v>0</v>
      </c>
      <c r="L228" s="473">
        <f t="shared" si="57"/>
        <v>0</v>
      </c>
      <c r="M228" s="204">
        <f t="shared" si="58"/>
        <v>0</v>
      </c>
      <c r="N228" s="505">
        <f t="shared" si="59"/>
        <v>0</v>
      </c>
      <c r="O228" s="204">
        <f>IF(DG!$A$136&gt;12,0,IF(J228-J227&gt;0,MROUND((L228/12*Q227),1),MROUND(L228/12*P227,1)))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IF(OR(L$73=0,DG!$A$257&gt;16),0,F228+1)</f>
        <v>0</v>
      </c>
      <c r="G229" s="65">
        <f t="shared" si="53"/>
        <v>0</v>
      </c>
      <c r="H229" s="65">
        <f t="shared" si="50"/>
        <v>0</v>
      </c>
      <c r="I229" s="65">
        <f t="shared" si="47"/>
        <v>0</v>
      </c>
      <c r="J229" s="203">
        <f>IF(DG!$A$136&lt;=11,$M$17,0)</f>
        <v>0</v>
      </c>
      <c r="K229" s="65">
        <f t="shared" si="51"/>
        <v>0</v>
      </c>
      <c r="L229" s="473">
        <f t="shared" si="57"/>
        <v>0</v>
      </c>
      <c r="M229" s="204">
        <f t="shared" si="58"/>
        <v>0</v>
      </c>
      <c r="N229" s="505">
        <f t="shared" si="59"/>
        <v>0</v>
      </c>
      <c r="O229" s="204">
        <f>IF(DG!$A$136&gt;12,0,IF(J229-J228&gt;0,MROUND((L229/12*Q228),1),MROUND(L229/12*P228,1)))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IF(OR(L$73=0,DG!$A$257&gt;16),0,F229+1)</f>
        <v>0</v>
      </c>
      <c r="G230" s="65">
        <f t="shared" si="53"/>
        <v>0</v>
      </c>
      <c r="H230" s="65">
        <f t="shared" si="50"/>
        <v>0</v>
      </c>
      <c r="I230" s="65">
        <f t="shared" si="47"/>
        <v>0</v>
      </c>
      <c r="J230" s="203">
        <f>IF(DG!$A$136&lt;=11,$M$17,0)</f>
        <v>0</v>
      </c>
      <c r="K230" s="65">
        <f t="shared" si="51"/>
        <v>0</v>
      </c>
      <c r="L230" s="473">
        <f t="shared" si="57"/>
        <v>0</v>
      </c>
      <c r="M230" s="204">
        <f t="shared" si="58"/>
        <v>0</v>
      </c>
      <c r="N230" s="505">
        <f t="shared" si="59"/>
        <v>0</v>
      </c>
      <c r="O230" s="204">
        <f>IF(DG!$A$136&gt;12,0,IF(J230-J229&gt;0,MROUND((L230/12*Q229),1),MROUND(L230/12*P229,1)))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IF(OR(L$73=0,DG!$A$257&gt;16),0,F230+1)</f>
        <v>0</v>
      </c>
      <c r="G231" s="65">
        <f t="shared" si="53"/>
        <v>0</v>
      </c>
      <c r="H231" s="65">
        <f t="shared" si="50"/>
        <v>0</v>
      </c>
      <c r="I231" s="65">
        <f t="shared" si="47"/>
        <v>0</v>
      </c>
      <c r="J231" s="203">
        <f>IF(DG!$A$136&lt;=11,$M$17,0)</f>
        <v>0</v>
      </c>
      <c r="K231" s="65">
        <f t="shared" si="51"/>
        <v>0</v>
      </c>
      <c r="L231" s="473">
        <f t="shared" si="57"/>
        <v>0</v>
      </c>
      <c r="M231" s="204">
        <f t="shared" si="58"/>
        <v>0</v>
      </c>
      <c r="N231" s="505">
        <f t="shared" si="59"/>
        <v>0</v>
      </c>
      <c r="O231" s="204">
        <f>IF(DG!$A$136&gt;12,0,IF(J231-J230&gt;0,MROUND((L231/12*Q230),1),MROUND(L231/12*P230,1)))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IF(OR(L$73=0,DG!$A$257&gt;16),0,F231+1)</f>
        <v>0</v>
      </c>
      <c r="G232" s="65">
        <f t="shared" si="53"/>
        <v>0</v>
      </c>
      <c r="H232" s="65">
        <f t="shared" si="50"/>
        <v>0</v>
      </c>
      <c r="I232" s="65">
        <f t="shared" si="47"/>
        <v>0</v>
      </c>
      <c r="J232" s="203">
        <f>IF(DG!$A$136&lt;=11,$M$17,0)</f>
        <v>0</v>
      </c>
      <c r="K232" s="65">
        <f t="shared" si="51"/>
        <v>0</v>
      </c>
      <c r="L232" s="473">
        <f t="shared" si="57"/>
        <v>0</v>
      </c>
      <c r="M232" s="204">
        <f t="shared" si="58"/>
        <v>0</v>
      </c>
      <c r="N232" s="505">
        <f t="shared" si="59"/>
        <v>0</v>
      </c>
      <c r="O232" s="204">
        <f>IF(DG!$A$136&gt;12,0,IF(J232-J231&gt;0,MROUND((L232/12*Q231),1),MROUND(L232/12*P231,1)))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IF(OR(L$73=0,DG!$A$257&gt;16),0,F232+1)</f>
        <v>0</v>
      </c>
      <c r="G233" s="65">
        <f t="shared" si="53"/>
        <v>0</v>
      </c>
      <c r="H233" s="65">
        <f t="shared" si="50"/>
        <v>0</v>
      </c>
      <c r="I233" s="65">
        <f t="shared" si="47"/>
        <v>0</v>
      </c>
      <c r="J233" s="203">
        <f>IF(DG!$A$136&lt;=11,$M$17,0)</f>
        <v>0</v>
      </c>
      <c r="K233" s="65">
        <f t="shared" si="51"/>
        <v>0</v>
      </c>
      <c r="L233" s="473">
        <f t="shared" si="57"/>
        <v>0</v>
      </c>
      <c r="M233" s="204">
        <f t="shared" si="58"/>
        <v>0</v>
      </c>
      <c r="N233" s="505">
        <f t="shared" si="59"/>
        <v>0</v>
      </c>
      <c r="O233" s="204">
        <f>IF(DG!$A$136&gt;12,0,IF(J233-J232&gt;0,MROUND((L233/12*Q232),1),MROUND(L233/12*P232,1)))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IF(OR(L$73=0,DG!$A$257&gt;16),0,F233+1)</f>
        <v>0</v>
      </c>
      <c r="G234" s="65">
        <f t="shared" si="53"/>
        <v>0</v>
      </c>
      <c r="H234" s="65">
        <f t="shared" si="50"/>
        <v>0</v>
      </c>
      <c r="I234" s="65">
        <f t="shared" si="47"/>
        <v>0</v>
      </c>
      <c r="J234" s="203">
        <f>IF(DG!$A$136&lt;=11,$M$17,0)</f>
        <v>0</v>
      </c>
      <c r="K234" s="65">
        <f t="shared" si="51"/>
        <v>0</v>
      </c>
      <c r="L234" s="473">
        <f t="shared" si="57"/>
        <v>0</v>
      </c>
      <c r="M234" s="204">
        <f t="shared" si="58"/>
        <v>0</v>
      </c>
      <c r="N234" s="505">
        <f t="shared" si="59"/>
        <v>0</v>
      </c>
      <c r="O234" s="204">
        <f>IF(DG!$A$136&gt;12,0,IF(J234-J233&gt;0,MROUND((L234/12*Q233),1),MROUND(L234/12*P233,1)))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IF(OR(L$73=0,DG!$A$257&gt;16),0,F234+1)</f>
        <v>0</v>
      </c>
      <c r="G235" s="65">
        <f t="shared" si="53"/>
        <v>0</v>
      </c>
      <c r="H235" s="65">
        <f t="shared" si="50"/>
        <v>0</v>
      </c>
      <c r="I235" s="65">
        <f t="shared" si="47"/>
        <v>0</v>
      </c>
      <c r="J235" s="203">
        <f>IF(DG!$A$136&lt;=11,$M$17,0)</f>
        <v>0</v>
      </c>
      <c r="K235" s="65">
        <f t="shared" si="51"/>
        <v>0</v>
      </c>
      <c r="L235" s="473">
        <f t="shared" si="57"/>
        <v>0</v>
      </c>
      <c r="M235" s="204">
        <f t="shared" si="58"/>
        <v>0</v>
      </c>
      <c r="N235" s="505">
        <f t="shared" si="59"/>
        <v>0</v>
      </c>
      <c r="O235" s="204">
        <f>IF(DG!$A$136&gt;12,0,IF(J235-J234&gt;0,MROUND((L235/12*Q234),1),MROUND(L235/12*P234,1)))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IF(OR(L$73=0,DG!$A$257&gt;16),0,F235+1)</f>
        <v>0</v>
      </c>
      <c r="G236" s="65">
        <f t="shared" si="53"/>
        <v>0</v>
      </c>
      <c r="H236" s="65">
        <f t="shared" si="50"/>
        <v>0</v>
      </c>
      <c r="I236" s="65">
        <f t="shared" si="47"/>
        <v>0</v>
      </c>
      <c r="J236" s="203">
        <f>IF(DG!$A$136&lt;=11,$M$17,0)</f>
        <v>0</v>
      </c>
      <c r="K236" s="65">
        <f t="shared" si="51"/>
        <v>0</v>
      </c>
      <c r="L236" s="473">
        <f t="shared" si="57"/>
        <v>0</v>
      </c>
      <c r="M236" s="204">
        <f t="shared" si="58"/>
        <v>0</v>
      </c>
      <c r="N236" s="505">
        <f t="shared" si="59"/>
        <v>0</v>
      </c>
      <c r="O236" s="204">
        <f>IF(DG!$A$136&gt;12,0,IF(J236-J235&gt;0,MROUND((L236/12*Q235),1),MROUND(L236/12*P235,1)))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IF(OR(L$73=0,DG!$A$257&gt;16),0,F236+1)</f>
        <v>0</v>
      </c>
      <c r="G237" s="65">
        <f t="shared" si="53"/>
        <v>0</v>
      </c>
      <c r="H237" s="65">
        <f t="shared" si="50"/>
        <v>0</v>
      </c>
      <c r="I237" s="65">
        <f t="shared" si="47"/>
        <v>0</v>
      </c>
      <c r="J237" s="203">
        <f>IF(DG!$A$136&lt;=11,$M$17,0)</f>
        <v>0</v>
      </c>
      <c r="K237" s="65">
        <f t="shared" si="51"/>
        <v>0</v>
      </c>
      <c r="L237" s="473">
        <f t="shared" si="57"/>
        <v>0</v>
      </c>
      <c r="M237" s="204">
        <f t="shared" si="58"/>
        <v>0</v>
      </c>
      <c r="N237" s="505">
        <f t="shared" si="59"/>
        <v>0</v>
      </c>
      <c r="O237" s="204">
        <f>IF(DG!$A$136&gt;12,0,IF(J237-J236&gt;0,MROUND((L237/12*Q236),1),MROUND(L237/12*P236,1)))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IF(OR(L$73=0,DG!$A$257&gt;16),0,F237+1)</f>
        <v>0</v>
      </c>
      <c r="G238" s="65">
        <f t="shared" si="53"/>
        <v>0</v>
      </c>
      <c r="H238" s="65">
        <f t="shared" si="50"/>
        <v>0</v>
      </c>
      <c r="I238" s="65">
        <f t="shared" si="47"/>
        <v>0</v>
      </c>
      <c r="J238" s="203">
        <f>IF(DG!$A$136&lt;=11,$M$17,0)</f>
        <v>0</v>
      </c>
      <c r="K238" s="65">
        <f t="shared" si="51"/>
        <v>0</v>
      </c>
      <c r="L238" s="473">
        <f t="shared" si="57"/>
        <v>0</v>
      </c>
      <c r="M238" s="204">
        <f t="shared" si="58"/>
        <v>0</v>
      </c>
      <c r="N238" s="505">
        <f t="shared" si="59"/>
        <v>0</v>
      </c>
      <c r="O238" s="204">
        <f>IF(DG!$A$136&gt;12,0,IF(J238-J237&gt;0,MROUND((L238/12*Q237),1),MROUND(L238/12*P237,1)))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IF(OR(L$73=0,DG!$A$257&gt;16),0,F238+1)</f>
        <v>0</v>
      </c>
      <c r="G239" s="65">
        <f t="shared" si="53"/>
        <v>0</v>
      </c>
      <c r="H239" s="65">
        <f t="shared" si="50"/>
        <v>0</v>
      </c>
      <c r="I239" s="65">
        <f t="shared" si="47"/>
        <v>0</v>
      </c>
      <c r="J239" s="203">
        <f>IF(DG!$A$136&lt;=11,$M$17,0)</f>
        <v>0</v>
      </c>
      <c r="K239" s="65">
        <f t="shared" si="51"/>
        <v>0</v>
      </c>
      <c r="L239" s="473">
        <f t="shared" si="57"/>
        <v>0</v>
      </c>
      <c r="M239" s="204">
        <f t="shared" si="58"/>
        <v>0</v>
      </c>
      <c r="N239" s="505">
        <f t="shared" si="59"/>
        <v>0</v>
      </c>
      <c r="O239" s="204">
        <f>IF(DG!$A$136&gt;12,0,IF(J239-J238&gt;0,MROUND((L239/12*Q238),1),MROUND(L239/12*P238,1)))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IF(OR(L$73=0,DG!$A$257&gt;16),0,F239+1)</f>
        <v>0</v>
      </c>
      <c r="G240" s="65">
        <f t="shared" si="53"/>
        <v>0</v>
      </c>
      <c r="H240" s="65">
        <f t="shared" si="50"/>
        <v>0</v>
      </c>
      <c r="I240" s="65">
        <f t="shared" si="47"/>
        <v>0</v>
      </c>
      <c r="J240" s="203">
        <f>IF(DG!$A$136&lt;=11,$M$17,0)</f>
        <v>0</v>
      </c>
      <c r="K240" s="65">
        <f t="shared" si="51"/>
        <v>0</v>
      </c>
      <c r="L240" s="473">
        <f t="shared" si="57"/>
        <v>0</v>
      </c>
      <c r="M240" s="204">
        <f t="shared" si="58"/>
        <v>0</v>
      </c>
      <c r="N240" s="505">
        <f t="shared" si="59"/>
        <v>0</v>
      </c>
      <c r="O240" s="204">
        <f>IF(DG!$A$136&gt;12,0,IF(J240-J239&gt;0,MROUND((L240/12*Q239),1),MROUND(L240/12*P239,1)))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IF(OR(L$73=0,DG!$A$257&gt;16),0,F240+1)</f>
        <v>0</v>
      </c>
      <c r="G241" s="65">
        <f t="shared" si="53"/>
        <v>0</v>
      </c>
      <c r="H241" s="65">
        <f t="shared" si="50"/>
        <v>0</v>
      </c>
      <c r="I241" s="65">
        <f t="shared" si="47"/>
        <v>0</v>
      </c>
      <c r="J241" s="203">
        <f>IF(DG!$A$136&lt;=11,$M$17,0)</f>
        <v>0</v>
      </c>
      <c r="K241" s="65">
        <f t="shared" si="51"/>
        <v>0</v>
      </c>
      <c r="L241" s="473">
        <f t="shared" si="57"/>
        <v>0</v>
      </c>
      <c r="M241" s="204">
        <f t="shared" si="58"/>
        <v>0</v>
      </c>
      <c r="N241" s="505">
        <f t="shared" si="59"/>
        <v>0</v>
      </c>
      <c r="O241" s="204">
        <f>IF(DG!$A$136&gt;12,0,IF(J241-J240&gt;0,MROUND((L241/12*Q240),1),MROUND(L241/12*P240,1)))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IF(OR(L$73=0,DG!$A$257&gt;16),0,F241+1)</f>
        <v>0</v>
      </c>
      <c r="G242" s="65">
        <f t="shared" si="53"/>
        <v>0</v>
      </c>
      <c r="H242" s="65">
        <f t="shared" si="50"/>
        <v>0</v>
      </c>
      <c r="I242" s="65">
        <f t="shared" si="47"/>
        <v>0</v>
      </c>
      <c r="J242" s="203">
        <f>IF(DG!$A$136&lt;=11,$M$17,0)</f>
        <v>0</v>
      </c>
      <c r="K242" s="65">
        <f t="shared" si="51"/>
        <v>0</v>
      </c>
      <c r="L242" s="473">
        <f t="shared" si="57"/>
        <v>0</v>
      </c>
      <c r="M242" s="204">
        <f t="shared" si="58"/>
        <v>0</v>
      </c>
      <c r="N242" s="505">
        <f t="shared" si="59"/>
        <v>0</v>
      </c>
      <c r="O242" s="204">
        <f>IF(DG!$A$136&gt;12,0,IF(J242-J241&gt;0,MROUND((L242/12*Q241),1),MROUND(L242/12*P241,1)))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IF(OR(L$73=0,DG!$A$257&gt;16),0,F242+1)</f>
        <v>0</v>
      </c>
      <c r="G243" s="65">
        <f t="shared" si="53"/>
        <v>0</v>
      </c>
      <c r="H243" s="65">
        <f t="shared" si="50"/>
        <v>0</v>
      </c>
      <c r="I243" s="65">
        <f t="shared" si="47"/>
        <v>0</v>
      </c>
      <c r="J243" s="203">
        <f>IF(DG!$A$136&lt;=11,$M$17,0)</f>
        <v>0</v>
      </c>
      <c r="K243" s="65">
        <f t="shared" si="51"/>
        <v>0</v>
      </c>
      <c r="L243" s="473">
        <f t="shared" si="57"/>
        <v>0</v>
      </c>
      <c r="M243" s="204">
        <f t="shared" si="58"/>
        <v>0</v>
      </c>
      <c r="N243" s="505">
        <f t="shared" si="59"/>
        <v>0</v>
      </c>
      <c r="O243" s="204">
        <f>IF(DG!$A$136&gt;12,0,IF(J243-J242&gt;0,MROUND((L243/12*Q242),1),MROUND(L243/12*P242,1)))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IF(OR(L$73=0,DG!$A$257&gt;16),0,F243+1)</f>
        <v>0</v>
      </c>
      <c r="G244" s="65">
        <f t="shared" si="53"/>
        <v>0</v>
      </c>
      <c r="H244" s="65">
        <f t="shared" si="50"/>
        <v>0</v>
      </c>
      <c r="I244" s="65">
        <f t="shared" si="47"/>
        <v>0</v>
      </c>
      <c r="J244" s="203">
        <f>IF(DG!$A$136&lt;=11,$M$17,0)</f>
        <v>0</v>
      </c>
      <c r="K244" s="65">
        <f t="shared" si="51"/>
        <v>0</v>
      </c>
      <c r="L244" s="473">
        <f t="shared" si="57"/>
        <v>0</v>
      </c>
      <c r="M244" s="204">
        <f t="shared" si="58"/>
        <v>0</v>
      </c>
      <c r="N244" s="505">
        <f t="shared" si="59"/>
        <v>0</v>
      </c>
      <c r="O244" s="204">
        <f>IF(DG!$A$136&gt;12,0,IF(J244-J243&gt;0,MROUND((L244/12*Q243),1),MROUND(L244/12*P243,1)))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IF(OR(L$73=0,DG!$A$257&gt;16),0,F244+1)</f>
        <v>0</v>
      </c>
      <c r="G245" s="65">
        <f t="shared" si="53"/>
        <v>0</v>
      </c>
      <c r="H245" s="65">
        <f t="shared" si="50"/>
        <v>0</v>
      </c>
      <c r="I245" s="65">
        <f t="shared" si="47"/>
        <v>0</v>
      </c>
      <c r="J245" s="203">
        <f>IF(DG!$A$136&lt;=11,$M$17,0)</f>
        <v>0</v>
      </c>
      <c r="K245" s="65">
        <f t="shared" si="51"/>
        <v>0</v>
      </c>
      <c r="L245" s="473">
        <f t="shared" si="57"/>
        <v>0</v>
      </c>
      <c r="M245" s="204">
        <f t="shared" si="58"/>
        <v>0</v>
      </c>
      <c r="N245" s="505">
        <f t="shared" si="59"/>
        <v>0</v>
      </c>
      <c r="O245" s="204">
        <f>IF(DG!$A$136&gt;12,0,IF(J245-J244&gt;0,MROUND((L245/12*Q244),1),MROUND(L245/12*P244,1)))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IF(OR(L$73=0,DG!$A$257&gt;16),0,F245+1)</f>
        <v>0</v>
      </c>
      <c r="G246" s="65">
        <f t="shared" si="53"/>
        <v>0</v>
      </c>
      <c r="H246" s="65">
        <f t="shared" si="50"/>
        <v>0</v>
      </c>
      <c r="I246" s="65">
        <f t="shared" si="47"/>
        <v>0</v>
      </c>
      <c r="J246" s="203">
        <f>IF(DG!$A$136&lt;=11,$M$17,0)</f>
        <v>0</v>
      </c>
      <c r="K246" s="65">
        <f t="shared" si="51"/>
        <v>0</v>
      </c>
      <c r="L246" s="473">
        <f t="shared" si="57"/>
        <v>0</v>
      </c>
      <c r="M246" s="204">
        <f t="shared" si="58"/>
        <v>0</v>
      </c>
      <c r="N246" s="505">
        <f t="shared" si="59"/>
        <v>0</v>
      </c>
      <c r="O246" s="204">
        <f>IF(DG!$A$136&gt;12,0,IF(J246-J245&gt;0,MROUND((L246/12*Q245),1),MROUND(L246/12*P245,1)))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IF(OR(L$73=0,DG!$A$257&gt;16),0,F246+1)</f>
        <v>0</v>
      </c>
      <c r="G247" s="65">
        <f t="shared" si="53"/>
        <v>0</v>
      </c>
      <c r="H247" s="65">
        <f t="shared" si="50"/>
        <v>0</v>
      </c>
      <c r="I247" s="65">
        <f t="shared" si="47"/>
        <v>0</v>
      </c>
      <c r="J247" s="203">
        <f>IF(DG!$A$136&lt;=11,$M$17,0)</f>
        <v>0</v>
      </c>
      <c r="K247" s="65">
        <f t="shared" si="51"/>
        <v>0</v>
      </c>
      <c r="L247" s="473">
        <f t="shared" si="57"/>
        <v>0</v>
      </c>
      <c r="M247" s="204">
        <f t="shared" si="58"/>
        <v>0</v>
      </c>
      <c r="N247" s="505">
        <f t="shared" si="59"/>
        <v>0</v>
      </c>
      <c r="O247" s="204">
        <f>IF(DG!$A$136&gt;12,0,IF(J247-J246&gt;0,MROUND((L247/12*Q246),1),MROUND(L247/12*P246,1)))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IF(OR(L$73=0,DG!$A$257&gt;16),0,F247+1)</f>
        <v>0</v>
      </c>
      <c r="G248" s="65">
        <f t="shared" si="53"/>
        <v>0</v>
      </c>
      <c r="H248" s="65">
        <f t="shared" si="50"/>
        <v>0</v>
      </c>
      <c r="I248" s="65">
        <f t="shared" si="47"/>
        <v>0</v>
      </c>
      <c r="J248" s="203">
        <f>IF(DG!$A$136&lt;=11,$M$17,0)</f>
        <v>0</v>
      </c>
      <c r="K248" s="65">
        <f t="shared" si="51"/>
        <v>0</v>
      </c>
      <c r="L248" s="473">
        <f t="shared" si="57"/>
        <v>0</v>
      </c>
      <c r="M248" s="204">
        <f t="shared" si="58"/>
        <v>0</v>
      </c>
      <c r="N248" s="505">
        <f t="shared" si="59"/>
        <v>0</v>
      </c>
      <c r="O248" s="204">
        <f>IF(DG!$A$136&gt;12,0,IF(J248-J247&gt;0,MROUND((L248/12*Q247),1),MROUND(L248/12*P247,1)))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IF(OR(L$73=0,DG!$A$257&gt;16),0,F248+1)</f>
        <v>0</v>
      </c>
      <c r="G249" s="65">
        <f t="shared" si="53"/>
        <v>0</v>
      </c>
      <c r="H249" s="65">
        <f t="shared" si="50"/>
        <v>0</v>
      </c>
      <c r="I249" s="65">
        <f t="shared" si="47"/>
        <v>0</v>
      </c>
      <c r="J249" s="203">
        <f>IF(DG!$A$136&lt;=11,$M$17,0)</f>
        <v>0</v>
      </c>
      <c r="K249" s="65">
        <f t="shared" si="51"/>
        <v>0</v>
      </c>
      <c r="L249" s="473">
        <f t="shared" si="57"/>
        <v>0</v>
      </c>
      <c r="M249" s="204">
        <f t="shared" si="58"/>
        <v>0</v>
      </c>
      <c r="N249" s="505">
        <f t="shared" si="59"/>
        <v>0</v>
      </c>
      <c r="O249" s="204">
        <f>IF(DG!$A$136&gt;12,0,IF(J249-J248&gt;0,MROUND((L249/12*Q248),1),MROUND(L249/12*P248,1)))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IF(OR(L$73=0,DG!$A$257&gt;16),0,F249+1)</f>
        <v>0</v>
      </c>
      <c r="G250" s="65">
        <f t="shared" si="53"/>
        <v>0</v>
      </c>
      <c r="H250" s="65">
        <f t="shared" si="50"/>
        <v>0</v>
      </c>
      <c r="I250" s="65">
        <f t="shared" si="47"/>
        <v>0</v>
      </c>
      <c r="J250" s="203">
        <f>IF(DG!$A$136&lt;=11,$M$17,0)</f>
        <v>0</v>
      </c>
      <c r="K250" s="65">
        <f t="shared" si="51"/>
        <v>0</v>
      </c>
      <c r="L250" s="473">
        <f t="shared" si="57"/>
        <v>0</v>
      </c>
      <c r="M250" s="204">
        <f t="shared" si="58"/>
        <v>0</v>
      </c>
      <c r="N250" s="505">
        <f t="shared" si="59"/>
        <v>0</v>
      </c>
      <c r="O250" s="204">
        <f>IF(DG!$A$136&gt;12,0,IF(J250-J249&gt;0,MROUND((L250/12*Q249),1),MROUND(L250/12*P249,1)))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IF(OR(L$73=0,DG!$A$257&gt;16),0,F250+1)</f>
        <v>0</v>
      </c>
      <c r="G251" s="65">
        <f t="shared" si="53"/>
        <v>0</v>
      </c>
      <c r="H251" s="65">
        <f t="shared" si="50"/>
        <v>0</v>
      </c>
      <c r="I251" s="65">
        <f t="shared" si="47"/>
        <v>0</v>
      </c>
      <c r="J251" s="203">
        <f>IF(DG!$A$136&lt;=11,$M$17,0)</f>
        <v>0</v>
      </c>
      <c r="K251" s="65">
        <f t="shared" si="51"/>
        <v>0</v>
      </c>
      <c r="L251" s="473">
        <f t="shared" si="57"/>
        <v>0</v>
      </c>
      <c r="M251" s="204">
        <f t="shared" si="58"/>
        <v>0</v>
      </c>
      <c r="N251" s="505">
        <f t="shared" si="59"/>
        <v>0</v>
      </c>
      <c r="O251" s="204">
        <f>IF(DG!$A$136&gt;12,0,IF(J251-J250&gt;0,MROUND((L251/12*Q250),1),MROUND(L251/12*P250,1)))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IF(OR(L$73=0,DG!$A$257&gt;16),0,F251+1)</f>
        <v>0</v>
      </c>
      <c r="G252" s="65">
        <f t="shared" si="53"/>
        <v>0</v>
      </c>
      <c r="H252" s="65">
        <f t="shared" si="50"/>
        <v>0</v>
      </c>
      <c r="I252" s="65">
        <f t="shared" si="47"/>
        <v>0</v>
      </c>
      <c r="J252" s="203">
        <f>IF(DG!$A$136&lt;=11,$M$17,0)</f>
        <v>0</v>
      </c>
      <c r="K252" s="65">
        <f t="shared" si="51"/>
        <v>0</v>
      </c>
      <c r="L252" s="473">
        <f t="shared" si="57"/>
        <v>0</v>
      </c>
      <c r="M252" s="204">
        <f t="shared" si="58"/>
        <v>0</v>
      </c>
      <c r="N252" s="505">
        <f t="shared" si="59"/>
        <v>0</v>
      </c>
      <c r="O252" s="204">
        <f>IF(DG!$A$136&gt;12,0,IF(J252-J251&gt;0,MROUND((L252/12*Q251),1),MROUND(L252/12*P251,1)))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IF(OR(L$73=0,DG!$A$257&gt;16),0,F252+1)</f>
        <v>0</v>
      </c>
      <c r="G253" s="65">
        <f t="shared" si="53"/>
        <v>0</v>
      </c>
      <c r="H253" s="65">
        <f t="shared" si="50"/>
        <v>0</v>
      </c>
      <c r="I253" s="65">
        <f t="shared" si="47"/>
        <v>0</v>
      </c>
      <c r="J253" s="203">
        <f>IF(DG!$A$136&lt;=11,$M$17,0)</f>
        <v>0</v>
      </c>
      <c r="K253" s="65">
        <f t="shared" si="51"/>
        <v>0</v>
      </c>
      <c r="L253" s="473">
        <f t="shared" si="57"/>
        <v>0</v>
      </c>
      <c r="M253" s="204">
        <f t="shared" si="58"/>
        <v>0</v>
      </c>
      <c r="N253" s="505">
        <f t="shared" si="59"/>
        <v>0</v>
      </c>
      <c r="O253" s="204">
        <f>IF(DG!$A$136&gt;12,0,IF(J253-J252&gt;0,MROUND((L253/12*Q252),1),MROUND(L253/12*P252,1)))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IF(OR(L$73=0,DG!$A$257&gt;16),0,F253+1)</f>
        <v>0</v>
      </c>
      <c r="G254" s="65">
        <f t="shared" si="53"/>
        <v>0</v>
      </c>
      <c r="H254" s="65">
        <f t="shared" si="50"/>
        <v>0</v>
      </c>
      <c r="I254" s="65">
        <f t="shared" si="47"/>
        <v>0</v>
      </c>
      <c r="J254" s="203">
        <f>IF(DG!$A$136&lt;=11,$M$17,0)</f>
        <v>0</v>
      </c>
      <c r="K254" s="65">
        <f t="shared" si="51"/>
        <v>0</v>
      </c>
      <c r="L254" s="473">
        <f t="shared" si="57"/>
        <v>0</v>
      </c>
      <c r="M254" s="204">
        <f t="shared" si="58"/>
        <v>0</v>
      </c>
      <c r="N254" s="505">
        <f t="shared" si="59"/>
        <v>0</v>
      </c>
      <c r="O254" s="204">
        <f>IF(DG!$A$136&gt;12,0,IF(J254-J253&gt;0,MROUND((L254/12*Q253),1),MROUND(L254/12*P253,1)))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IF(OR(L$73=0,DG!$A$257&gt;16),0,F254+1)</f>
        <v>0</v>
      </c>
      <c r="G255" s="65">
        <f t="shared" si="53"/>
        <v>0</v>
      </c>
      <c r="H255" s="65">
        <f t="shared" si="50"/>
        <v>0</v>
      </c>
      <c r="I255" s="65">
        <f t="shared" si="47"/>
        <v>0</v>
      </c>
      <c r="J255" s="203">
        <f>IF(DG!$A$136&lt;=11,$M$17,0)</f>
        <v>0</v>
      </c>
      <c r="K255" s="65">
        <f t="shared" si="51"/>
        <v>0</v>
      </c>
      <c r="L255" s="473">
        <f t="shared" si="57"/>
        <v>0</v>
      </c>
      <c r="M255" s="204">
        <f t="shared" si="58"/>
        <v>0</v>
      </c>
      <c r="N255" s="505">
        <f t="shared" si="59"/>
        <v>0</v>
      </c>
      <c r="O255" s="204">
        <f>IF(DG!$A$136&gt;12,0,IF(J255-J254&gt;0,MROUND((L255/12*Q254),1),MROUND(L255/12*P254,1)))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IF(OR(L$73=0,DG!$A$257&gt;16),0,F255+1)</f>
        <v>0</v>
      </c>
      <c r="G256" s="65">
        <f t="shared" si="53"/>
        <v>0</v>
      </c>
      <c r="H256" s="65">
        <f t="shared" si="50"/>
        <v>0</v>
      </c>
      <c r="I256" s="65">
        <f t="shared" si="47"/>
        <v>0</v>
      </c>
      <c r="J256" s="203">
        <f>IF(DG!$A$136&lt;=11,$M$17,0)</f>
        <v>0</v>
      </c>
      <c r="K256" s="65">
        <f t="shared" si="51"/>
        <v>0</v>
      </c>
      <c r="L256" s="473">
        <f t="shared" si="57"/>
        <v>0</v>
      </c>
      <c r="M256" s="204">
        <f t="shared" si="58"/>
        <v>0</v>
      </c>
      <c r="N256" s="505">
        <f t="shared" si="59"/>
        <v>0</v>
      </c>
      <c r="O256" s="204">
        <f>IF(DG!$A$136&gt;12,0,IF(J256-J255&gt;0,MROUND((L256/12*Q255),1),MROUND(L256/12*P255,1)))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IF(OR(L$73=0,DG!$A$257&gt;16),0,F256+1)</f>
        <v>0</v>
      </c>
      <c r="G257" s="65">
        <f t="shared" si="53"/>
        <v>0</v>
      </c>
      <c r="H257" s="65">
        <f t="shared" si="50"/>
        <v>0</v>
      </c>
      <c r="I257" s="65">
        <f t="shared" ref="I257:I265" si="62">IF(OR(G257=1,C257=0),0,IF(K257-C257&lt;$G$269,1,-1))</f>
        <v>0</v>
      </c>
      <c r="J257" s="203">
        <f>IF(DG!$A$136&lt;=11,$M$17,0)</f>
        <v>0</v>
      </c>
      <c r="K257" s="65">
        <f t="shared" si="51"/>
        <v>0</v>
      </c>
      <c r="L257" s="473">
        <f t="shared" si="57"/>
        <v>0</v>
      </c>
      <c r="M257" s="204">
        <f t="shared" si="58"/>
        <v>0</v>
      </c>
      <c r="N257" s="505">
        <f t="shared" si="59"/>
        <v>0</v>
      </c>
      <c r="O257" s="204">
        <f>IF(DG!$A$136&gt;12,0,IF(J257-J256&gt;0,MROUND((L257/12*Q256),1),MROUND(L257/12*P256,1)))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IF(OR(L$73=0,DG!$A$257&gt;16),0,F257+1)</f>
        <v>0</v>
      </c>
      <c r="G258" s="65">
        <f t="shared" si="53"/>
        <v>0</v>
      </c>
      <c r="H258" s="65">
        <f t="shared" si="50"/>
        <v>0</v>
      </c>
      <c r="I258" s="65">
        <f t="shared" si="62"/>
        <v>0</v>
      </c>
      <c r="J258" s="203">
        <f>IF(DG!$A$136&lt;=11,$M$17,0)</f>
        <v>0</v>
      </c>
      <c r="K258" s="65">
        <f t="shared" si="51"/>
        <v>0</v>
      </c>
      <c r="L258" s="473">
        <f t="shared" si="57"/>
        <v>0</v>
      </c>
      <c r="M258" s="204">
        <f t="shared" si="58"/>
        <v>0</v>
      </c>
      <c r="N258" s="505">
        <f t="shared" si="59"/>
        <v>0</v>
      </c>
      <c r="O258" s="204">
        <f>IF(DG!$A$136&gt;12,0,IF(J258-J257&gt;0,MROUND((L258/12*Q257),1),MROUND(L258/12*P257,1)))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IF(OR(L$73=0,DG!$A$257&gt;16),0,F258+1)</f>
        <v>0</v>
      </c>
      <c r="G259" s="65">
        <f t="shared" si="53"/>
        <v>0</v>
      </c>
      <c r="H259" s="65">
        <f t="shared" si="50"/>
        <v>0</v>
      </c>
      <c r="I259" s="65">
        <f t="shared" si="62"/>
        <v>0</v>
      </c>
      <c r="J259" s="203">
        <f>IF(DG!$A$136&lt;=11,$M$17,0)</f>
        <v>0</v>
      </c>
      <c r="K259" s="65">
        <f t="shared" si="51"/>
        <v>0</v>
      </c>
      <c r="L259" s="473">
        <f t="shared" si="57"/>
        <v>0</v>
      </c>
      <c r="M259" s="204">
        <f t="shared" si="58"/>
        <v>0</v>
      </c>
      <c r="N259" s="505">
        <f t="shared" si="59"/>
        <v>0</v>
      </c>
      <c r="O259" s="204">
        <f>IF(DG!$A$136&gt;12,0,IF(J259-J258&gt;0,MROUND((L259/12*Q258),1),MROUND(L259/12*P258,1)))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IF(OR(L$73=0,DG!$A$257&gt;16),0,F259+1)</f>
        <v>0</v>
      </c>
      <c r="G260" s="65">
        <f t="shared" si="53"/>
        <v>0</v>
      </c>
      <c r="H260" s="65">
        <f t="shared" si="50"/>
        <v>0</v>
      </c>
      <c r="I260" s="65">
        <f t="shared" si="62"/>
        <v>0</v>
      </c>
      <c r="J260" s="203">
        <f>IF(DG!$A$136&lt;=11,$M$17,0)</f>
        <v>0</v>
      </c>
      <c r="K260" s="65">
        <f t="shared" si="51"/>
        <v>0</v>
      </c>
      <c r="L260" s="473">
        <f t="shared" si="57"/>
        <v>0</v>
      </c>
      <c r="M260" s="204">
        <f t="shared" si="58"/>
        <v>0</v>
      </c>
      <c r="N260" s="505">
        <f t="shared" si="59"/>
        <v>0</v>
      </c>
      <c r="O260" s="204">
        <f>IF(DG!$A$136&gt;12,0,IF(J260-J259&gt;0,MROUND((L260/12*Q259),1),MROUND(L260/12*P259,1)))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IF(OR(L$73=0,DG!$A$257&gt;16),0,F260+1)</f>
        <v>0</v>
      </c>
      <c r="G261" s="65">
        <f t="shared" si="53"/>
        <v>0</v>
      </c>
      <c r="H261" s="65">
        <f t="shared" si="50"/>
        <v>0</v>
      </c>
      <c r="I261" s="65">
        <f t="shared" si="62"/>
        <v>0</v>
      </c>
      <c r="J261" s="203">
        <f>IF(DG!$A$136&lt;=11,$M$17,0)</f>
        <v>0</v>
      </c>
      <c r="K261" s="65">
        <f t="shared" si="51"/>
        <v>0</v>
      </c>
      <c r="L261" s="473">
        <f t="shared" si="57"/>
        <v>0</v>
      </c>
      <c r="M261" s="204">
        <f t="shared" si="58"/>
        <v>0</v>
      </c>
      <c r="N261" s="505">
        <f t="shared" si="59"/>
        <v>0</v>
      </c>
      <c r="O261" s="204">
        <f>IF(DG!$A$136&gt;12,0,IF(J261-J260&gt;0,MROUND((L261/12*Q260),1),MROUND(L261/12*P260,1)))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IF(OR(L$73=0,DG!$A$257&gt;16),0,F261+1)</f>
        <v>0</v>
      </c>
      <c r="G262" s="65">
        <f t="shared" si="53"/>
        <v>0</v>
      </c>
      <c r="H262" s="65">
        <f t="shared" si="50"/>
        <v>0</v>
      </c>
      <c r="I262" s="65">
        <f t="shared" si="62"/>
        <v>0</v>
      </c>
      <c r="J262" s="203">
        <f>IF(DG!$A$136&lt;=11,$M$17,0)</f>
        <v>0</v>
      </c>
      <c r="K262" s="65">
        <f t="shared" si="51"/>
        <v>0</v>
      </c>
      <c r="L262" s="473">
        <f t="shared" si="57"/>
        <v>0</v>
      </c>
      <c r="M262" s="204">
        <f t="shared" si="58"/>
        <v>0</v>
      </c>
      <c r="N262" s="505">
        <f t="shared" si="59"/>
        <v>0</v>
      </c>
      <c r="O262" s="204">
        <f>IF(DG!$A$136&gt;12,0,IF(J262-J261&gt;0,MROUND((L262/12*Q261),1),MROUND(L262/12*P261,1)))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IF(OR(L$73=0,DG!$A$257&gt;16),0,F262+1)</f>
        <v>0</v>
      </c>
      <c r="G263" s="65">
        <f t="shared" si="53"/>
        <v>0</v>
      </c>
      <c r="H263" s="65">
        <f t="shared" si="50"/>
        <v>0</v>
      </c>
      <c r="I263" s="65">
        <f t="shared" si="62"/>
        <v>0</v>
      </c>
      <c r="J263" s="203">
        <f>IF(DG!$A$136&lt;=11,$M$17,0)</f>
        <v>0</v>
      </c>
      <c r="K263" s="65">
        <f t="shared" si="51"/>
        <v>0</v>
      </c>
      <c r="L263" s="473">
        <f t="shared" si="57"/>
        <v>0</v>
      </c>
      <c r="M263" s="204">
        <f t="shared" si="58"/>
        <v>0</v>
      </c>
      <c r="N263" s="505">
        <f t="shared" si="59"/>
        <v>0</v>
      </c>
      <c r="O263" s="204">
        <f>IF(DG!$A$136&gt;12,0,IF(J263-J262&gt;0,MROUND((L263/12*Q262),1),MROUND(L263/12*P262,1)))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IF(OR(L$73=0,DG!$A$257&gt;16),0,F263+1)</f>
        <v>0</v>
      </c>
      <c r="G264" s="65">
        <f t="shared" si="53"/>
        <v>0</v>
      </c>
      <c r="H264" s="65">
        <f t="shared" si="50"/>
        <v>0</v>
      </c>
      <c r="I264" s="65">
        <f t="shared" si="62"/>
        <v>0</v>
      </c>
      <c r="J264" s="203">
        <f>IF(DG!$A$136&lt;=11,$M$17,0)</f>
        <v>0</v>
      </c>
      <c r="K264" s="65">
        <f t="shared" si="51"/>
        <v>0</v>
      </c>
      <c r="L264" s="473">
        <f t="shared" si="57"/>
        <v>0</v>
      </c>
      <c r="M264" s="204">
        <f t="shared" si="58"/>
        <v>0</v>
      </c>
      <c r="N264" s="505">
        <f t="shared" si="59"/>
        <v>0</v>
      </c>
      <c r="O264" s="204">
        <f>IF(DG!$A$136&gt;12,0,IF(J264-J263&gt;0,MROUND((L264/12*Q263),1),MROUND(L264/12*P263,1)))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IF(OR(L$73=0,DG!$A$257&gt;16),0,F264+1)</f>
        <v>0</v>
      </c>
      <c r="G265" s="65">
        <f t="shared" si="53"/>
        <v>0</v>
      </c>
      <c r="H265" s="65">
        <f t="shared" si="50"/>
        <v>0</v>
      </c>
      <c r="I265" s="65">
        <f t="shared" si="62"/>
        <v>0</v>
      </c>
      <c r="J265" s="203">
        <f>IF(DG!$A$136&lt;=11,$M$17,0)</f>
        <v>0</v>
      </c>
      <c r="K265" s="65">
        <f t="shared" si="51"/>
        <v>0</v>
      </c>
      <c r="L265" s="473">
        <f t="shared" si="57"/>
        <v>0</v>
      </c>
      <c r="M265" s="204">
        <f t="shared" si="58"/>
        <v>0</v>
      </c>
      <c r="N265" s="505">
        <f t="shared" si="59"/>
        <v>0</v>
      </c>
      <c r="O265" s="204">
        <f>IF(DG!$A$136&gt;12,0,IF(J265-J264&gt;0,MROUND((L265/12*Q264),1),MROUND(L265/12*P264,1)))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IF(DG!$A$136&gt;12,0,IF(J266-J265&gt;0,MROUND((L266/12*Q265),1),MROUND(L266/12*P265,1)))</f>
        <v>0</v>
      </c>
    </row>
    <row r="267" spans="1:19">
      <c r="H267" s="65">
        <f>IF(B267&gt;0,1,0)</f>
        <v>0</v>
      </c>
      <c r="I267" s="65">
        <f>SUM(E267:H267)</f>
        <v>0</v>
      </c>
      <c r="M267" s="205"/>
      <c r="N267" s="505">
        <f t="shared" si="59"/>
        <v>0</v>
      </c>
      <c r="O267" s="204">
        <f>IF(DG!$A$136&gt;12,0,IF(J267-J266&gt;0,MROUND((L267/12*Q266),1),MROUND(L267/12*P266,1)))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 guid="{4F3169C3-3348-49DE-A6DC-8AA4D2A9D7A1}"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8" r:id="rId4" name="Drop Down 4">
              <controlPr defaultSize="0" autoFill="0" autoLine="0" autoPict="0">
                <anchor moveWithCells="1">
                  <from>
                    <xdr:col>15</xdr:col>
                    <xdr:colOff>0</xdr:colOff>
                    <xdr:row>15</xdr:row>
                    <xdr:rowOff>63500</xdr:rowOff>
                  </from>
                  <to>
                    <xdr:col>16</xdr:col>
                    <xdr:colOff>63500</xdr:colOff>
                    <xdr:row>17</xdr:row>
                    <xdr:rowOff>38100</xdr:rowOff>
                  </to>
                </anchor>
              </controlPr>
            </control>
          </mc:Choice>
        </mc:AlternateContent>
        <mc:AlternateContent xmlns:mc="http://schemas.openxmlformats.org/markup-compatibility/2006">
          <mc:Choice Requires="x14">
            <control shapeId="57350" r:id="rId5" name="Drop Down 6">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57353" r:id="rId6" name="Drop Down 9">
              <controlPr defaultSize="0" autoFill="0" autoLine="0" autoPict="0">
                <anchor moveWithCells="1">
                  <from>
                    <xdr:col>15</xdr:col>
                    <xdr:colOff>0</xdr:colOff>
                    <xdr:row>12</xdr:row>
                    <xdr:rowOff>0</xdr:rowOff>
                  </from>
                  <to>
                    <xdr:col>16</xdr:col>
                    <xdr:colOff>63500</xdr:colOff>
                    <xdr:row>13</xdr:row>
                    <xdr:rowOff>50800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29">
    <pageSetUpPr fitToPage="1"/>
  </sheetPr>
  <dimension ref="A8:S269"/>
  <sheetViews>
    <sheetView showGridLines="0" showOutlineSymbols="0" zoomScale="120" zoomScaleNormal="120" workbookViewId="0">
      <selection activeCell="M9" sqref="M9"/>
    </sheetView>
  </sheetViews>
  <sheetFormatPr baseColWidth="10" defaultColWidth="0" defaultRowHeight="13"/>
  <cols>
    <col min="1" max="1" width="18.6328125" style="43" customWidth="1"/>
    <col min="2" max="2" width="18.6328125" style="43" hidden="1" customWidth="1"/>
    <col min="3" max="9" width="5" style="43" hidden="1" customWidth="1"/>
    <col min="10" max="11" width="18.6328125" style="43" hidden="1" customWidth="1"/>
    <col min="12" max="12" width="5.6328125" style="43" customWidth="1"/>
    <col min="13" max="13" width="21.453125" style="43" customWidth="1"/>
    <col min="14" max="14" width="12.81640625" style="43" customWidth="1"/>
    <col min="15" max="15" width="15.6328125" style="43" bestFit="1" customWidth="1"/>
    <col min="16" max="18" width="12.81640625" style="43" customWidth="1"/>
    <col min="19" max="19" width="11.453125" style="43" hidden="1" customWidth="1"/>
    <col min="20" max="16384" width="0" style="43" hidden="1"/>
  </cols>
  <sheetData>
    <row r="8" spans="1:18" ht="25">
      <c r="A8" s="194" t="str">
        <f>RG!D17</f>
        <v>Jhon Wesly inc.</v>
      </c>
    </row>
    <row r="10" spans="1:18" s="58" customFormat="1" ht="15" customHeight="1">
      <c r="A10" s="195" t="s">
        <v>97</v>
      </c>
      <c r="B10" s="196"/>
      <c r="C10" s="196"/>
      <c r="D10" s="196"/>
      <c r="E10" s="196"/>
      <c r="F10" s="196"/>
      <c r="G10" s="196"/>
      <c r="H10" s="196"/>
      <c r="I10" s="196"/>
      <c r="J10" s="196"/>
      <c r="K10" s="196"/>
      <c r="L10" s="196"/>
      <c r="M10" s="196"/>
    </row>
    <row r="11" spans="1:18" s="58" customFormat="1" ht="15" customHeight="1">
      <c r="A11" s="195"/>
      <c r="B11" s="196"/>
      <c r="C11" s="196"/>
      <c r="D11" s="196"/>
      <c r="E11" s="196"/>
      <c r="F11" s="196"/>
      <c r="G11" s="196"/>
      <c r="H11" s="196"/>
      <c r="I11" s="196"/>
      <c r="J11" s="196"/>
      <c r="K11" s="196"/>
      <c r="L11" s="196"/>
      <c r="M11" s="196"/>
    </row>
    <row r="12" spans="1:18" ht="15" customHeight="1" thickBot="1">
      <c r="A12" s="197"/>
      <c r="B12" s="197"/>
      <c r="C12" s="197"/>
      <c r="D12" s="197"/>
      <c r="E12" s="197"/>
      <c r="F12" s="197"/>
      <c r="G12" s="197"/>
      <c r="H12" s="197"/>
      <c r="I12" s="197"/>
      <c r="J12" s="197"/>
      <c r="K12" s="197"/>
      <c r="L12" s="197"/>
      <c r="M12" s="197"/>
    </row>
    <row r="13" spans="1:18" ht="13.5" thickBot="1">
      <c r="A13" s="43" t="s">
        <v>288</v>
      </c>
      <c r="M13" s="1226" t="s">
        <v>149</v>
      </c>
      <c r="N13" s="1228"/>
      <c r="O13" s="643" t="s">
        <v>154</v>
      </c>
      <c r="P13" s="508"/>
      <c r="Q13" s="508"/>
      <c r="R13" s="343">
        <v>2</v>
      </c>
    </row>
    <row r="14" spans="1:18" ht="13.5" thickBot="1"/>
    <row r="15" spans="1:18" ht="13.5" thickBot="1">
      <c r="A15" s="43" t="s">
        <v>593</v>
      </c>
      <c r="M15" s="1226" t="s">
        <v>302</v>
      </c>
      <c r="N15" s="1227"/>
      <c r="O15" s="1227"/>
      <c r="P15" s="1228"/>
      <c r="Q15" s="508"/>
    </row>
    <row r="16" spans="1:18" ht="6" customHeight="1" thickBot="1">
      <c r="L16" s="198"/>
      <c r="M16" s="198"/>
      <c r="N16" s="198"/>
      <c r="O16" s="198"/>
    </row>
    <row r="17" spans="1:18" ht="13.5" thickBot="1">
      <c r="A17" s="43" t="s">
        <v>594</v>
      </c>
      <c r="M17" s="383">
        <v>0</v>
      </c>
      <c r="N17" s="1230" t="s">
        <v>254</v>
      </c>
      <c r="O17" s="1231"/>
    </row>
    <row r="18" spans="1:18" ht="6" customHeight="1" thickBot="1">
      <c r="M18" s="199"/>
    </row>
    <row r="19" spans="1:18" ht="13.5" thickBot="1">
      <c r="A19" s="43" t="s">
        <v>595</v>
      </c>
      <c r="M19" s="382">
        <v>0</v>
      </c>
      <c r="N19" s="1230" t="s">
        <v>107</v>
      </c>
      <c r="O19" s="1231"/>
    </row>
    <row r="20" spans="1:18" ht="6" customHeight="1" thickBot="1">
      <c r="M20" s="200"/>
    </row>
    <row r="21" spans="1:18" ht="13.5" thickBot="1">
      <c r="A21" s="43" t="s">
        <v>596</v>
      </c>
      <c r="M21" s="381">
        <v>0</v>
      </c>
      <c r="N21" s="48" t="s">
        <v>597</v>
      </c>
    </row>
    <row r="22" spans="1:18" ht="13.5" thickBot="1">
      <c r="O22" s="43" t="s">
        <v>876</v>
      </c>
      <c r="P22" s="383">
        <f>M26</f>
        <v>0</v>
      </c>
    </row>
    <row r="23" spans="1:18" ht="13.5" thickBot="1">
      <c r="A23" s="43" t="s">
        <v>183</v>
      </c>
      <c r="M23" s="537"/>
      <c r="N23" s="43" t="s">
        <v>17</v>
      </c>
    </row>
    <row r="24" spans="1:18" ht="13.5" thickBot="1">
      <c r="A24" s="201" t="s">
        <v>451</v>
      </c>
      <c r="B24" s="201"/>
      <c r="C24" s="201"/>
      <c r="D24" s="201"/>
      <c r="E24" s="201" t="s">
        <v>53</v>
      </c>
      <c r="F24" s="201" t="s">
        <v>52</v>
      </c>
      <c r="G24" s="201"/>
      <c r="H24" s="201"/>
      <c r="I24" s="201" t="s">
        <v>54</v>
      </c>
      <c r="J24" s="201" t="s">
        <v>452</v>
      </c>
      <c r="K24" s="201" t="s">
        <v>453</v>
      </c>
      <c r="L24" s="201" t="s">
        <v>454</v>
      </c>
      <c r="M24" s="201" t="s">
        <v>455</v>
      </c>
      <c r="N24" s="201" t="s">
        <v>456</v>
      </c>
      <c r="O24" s="201" t="s">
        <v>457</v>
      </c>
      <c r="P24" s="201" t="s">
        <v>458</v>
      </c>
      <c r="Q24" s="201"/>
      <c r="R24" s="475" t="s">
        <v>101</v>
      </c>
    </row>
    <row r="25" spans="1:18" ht="14" thickTop="1" thickBot="1">
      <c r="A25" s="202">
        <f>IF($M$23=0,EDATE(RG!$D$27,-1),$M$23)</f>
        <v>45261</v>
      </c>
      <c r="B25" s="65">
        <v>0</v>
      </c>
      <c r="C25" s="65"/>
      <c r="D25" s="65"/>
      <c r="E25" s="65"/>
      <c r="F25" s="65">
        <v>0</v>
      </c>
      <c r="G25" s="65"/>
      <c r="H25" s="65"/>
      <c r="I25" s="65"/>
      <c r="J25" s="65"/>
      <c r="K25" s="65"/>
      <c r="L25" s="65"/>
      <c r="M25" s="69"/>
      <c r="N25" s="65"/>
      <c r="O25" s="65"/>
      <c r="P25" s="507">
        <f>IF(J26&gt;0,J26,0)</f>
        <v>0</v>
      </c>
      <c r="Q25" s="509">
        <f>P26</f>
        <v>0</v>
      </c>
    </row>
    <row r="26" spans="1:18" ht="14" thickTop="1" thickBot="1">
      <c r="A26" s="202">
        <f>EDATE(A25,1)</f>
        <v>45292</v>
      </c>
      <c r="B26" s="65">
        <f>IF(OR(J$26=0,DG!$A$137&gt;1),0,B25+1)</f>
        <v>0</v>
      </c>
      <c r="C26" s="65">
        <f t="shared" ref="C26:C49" si="0">IF(F26-$E$269&gt;0,F26-$E$269,0)</f>
        <v>0</v>
      </c>
      <c r="D26" s="65">
        <v>1</v>
      </c>
      <c r="E26" s="65">
        <f>B26</f>
        <v>0</v>
      </c>
      <c r="F26" s="65">
        <f>IF(OR(L$26=0,DG!$A$258&gt;1),0,F25+1)</f>
        <v>0</v>
      </c>
      <c r="G26" s="65">
        <f t="shared" ref="G26:G89" si="1">IF(E26=0,0,IF(D26-E26-F26&gt;=0,1,0))</f>
        <v>0</v>
      </c>
      <c r="H26" s="65">
        <f t="shared" ref="H26:H89" si="2">IF(I26&gt;=0,0,H25+1)</f>
        <v>0</v>
      </c>
      <c r="I26" s="65">
        <f t="shared" ref="I26:I63" si="3">IF(OR(G26=1,C26=0),0,IF(K26-C26&lt;$G$269,1,-1))</f>
        <v>0</v>
      </c>
      <c r="J26" s="203">
        <f>IF(DG!$A$137&lt;=1,$M$17,0)</f>
        <v>0</v>
      </c>
      <c r="K26" s="65">
        <f>M21</f>
        <v>0</v>
      </c>
      <c r="L26" s="473">
        <f>IF($M$17&gt;0,$M$19+0.0000001,0)</f>
        <v>0</v>
      </c>
      <c r="M26" s="204">
        <f>IF(H26=0,0,IF($R$13=1,N26+O26,IF(N26=0,O26,-PMT(L26/12,K26-$G$269,J26))))</f>
        <v>0</v>
      </c>
      <c r="N26" s="505">
        <f>IF(OR(H26-K26&gt;0,I26&gt;=0),0,MROUND(-PPMT(L26/12,H26,K26-G269,J26),1)+R26)</f>
        <v>0</v>
      </c>
      <c r="O26" s="204">
        <f>IF(DG!$A$137&gt;1,0,IF(J26-J25&gt;0,MROUND((L26/12*Q25),1),MROUND(L26/12*P25,1)))</f>
        <v>0</v>
      </c>
      <c r="P26" s="204">
        <f>IF(OR(G26+H26=0,J26-N26&lt;1),0,IF(P25&gt;1,P25-N26,J27-N26))</f>
        <v>0</v>
      </c>
      <c r="Q26" s="204">
        <f t="shared" ref="Q26:Q89" si="4">IF(AND(P26=0,P27&gt;0),J27,P26)</f>
        <v>0</v>
      </c>
      <c r="R26" s="748">
        <v>0</v>
      </c>
    </row>
    <row r="27" spans="1:18" ht="14" thickTop="1" thickBot="1">
      <c r="A27" s="202">
        <f t="shared" ref="A27:A90" si="5">EDATE(A26,1)</f>
        <v>45323</v>
      </c>
      <c r="B27" s="65">
        <f>IF(OR(J$27=0,DG!$A$137&gt;1),0,B26+1)</f>
        <v>0</v>
      </c>
      <c r="C27" s="65">
        <f t="shared" si="0"/>
        <v>0</v>
      </c>
      <c r="D27" s="65">
        <f>D26+1</f>
        <v>2</v>
      </c>
      <c r="E27" s="65">
        <f t="shared" ref="E27:E90" si="6">B27</f>
        <v>0</v>
      </c>
      <c r="F27" s="65">
        <f>IF(OR(L$27=0,DG!$A$258&gt;1),0,F26+1)</f>
        <v>0</v>
      </c>
      <c r="G27" s="65">
        <f t="shared" si="1"/>
        <v>0</v>
      </c>
      <c r="H27" s="65">
        <f t="shared" si="2"/>
        <v>0</v>
      </c>
      <c r="I27" s="65">
        <f t="shared" si="3"/>
        <v>0</v>
      </c>
      <c r="J27" s="203">
        <f>IF(DG!$A$137&lt;=1,$M$17,0)</f>
        <v>0</v>
      </c>
      <c r="K27" s="65">
        <f t="shared" ref="K27:K90" si="7">K26</f>
        <v>0</v>
      </c>
      <c r="L27" s="473">
        <f t="shared" ref="L27:L90" si="8">IF($M$17&gt;0,$M$19+0.0000001,0)</f>
        <v>0</v>
      </c>
      <c r="M27" s="204">
        <f t="shared" ref="M27:M90" si="9">IF(H27=0,0,IF($R$13=1,N27+O27,IF(N27=0,O27,-PMT(L27/12,K27-$G$269,J27))))</f>
        <v>0</v>
      </c>
      <c r="N27" s="505">
        <f t="shared" ref="N27:N90" si="10">IF(OR(H27-K27&gt;0,I27&gt;=0),0,MROUND(-PPMT(L27/12,H27,K27-G270,J27),1)+R27)</f>
        <v>0</v>
      </c>
      <c r="O27" s="204">
        <f>IF(DG!$A$137&gt;1,0,IF(J27-J26&gt;0,MROUND((L27/12*Q26),1),MROUND(L27/12*P26,1)))</f>
        <v>0</v>
      </c>
      <c r="P27" s="204">
        <f t="shared" ref="P27:P90" si="11">IF(OR(G27+H27=0,J27-N27&lt;1),0,IF(P26&gt;1,P26-N27,J28-N27))</f>
        <v>0</v>
      </c>
      <c r="Q27" s="204">
        <f t="shared" si="4"/>
        <v>0</v>
      </c>
      <c r="R27" s="748">
        <v>0</v>
      </c>
    </row>
    <row r="28" spans="1:18" ht="14" thickTop="1" thickBot="1">
      <c r="A28" s="202">
        <f t="shared" si="5"/>
        <v>45352</v>
      </c>
      <c r="B28" s="65">
        <f>IF(OR(J$28=0,DG!$A$137&gt;1),0,B27+1)</f>
        <v>0</v>
      </c>
      <c r="C28" s="65">
        <f t="shared" si="0"/>
        <v>0</v>
      </c>
      <c r="D28" s="65">
        <f t="shared" ref="D28:D91" si="12">D27+1</f>
        <v>3</v>
      </c>
      <c r="E28" s="65">
        <f t="shared" si="6"/>
        <v>0</v>
      </c>
      <c r="F28" s="65">
        <f>IF(OR(L$28=0,DG!$A$258&gt;1),0,F27+1)</f>
        <v>0</v>
      </c>
      <c r="G28" s="65">
        <f t="shared" si="1"/>
        <v>0</v>
      </c>
      <c r="H28" s="65">
        <f t="shared" si="2"/>
        <v>0</v>
      </c>
      <c r="I28" s="65">
        <f t="shared" si="3"/>
        <v>0</v>
      </c>
      <c r="J28" s="203">
        <f>IF(DG!$A$137&lt;=1,$M$17,0)</f>
        <v>0</v>
      </c>
      <c r="K28" s="65">
        <f t="shared" si="7"/>
        <v>0</v>
      </c>
      <c r="L28" s="473">
        <f t="shared" si="8"/>
        <v>0</v>
      </c>
      <c r="M28" s="204">
        <f t="shared" si="9"/>
        <v>0</v>
      </c>
      <c r="N28" s="505">
        <f t="shared" si="10"/>
        <v>0</v>
      </c>
      <c r="O28" s="204">
        <f>IF(DG!$A$137&gt;1,0,IF(J28-J27&gt;0,MROUND((L28/12*Q27),1),MROUND(L28/12*P27,1)))</f>
        <v>0</v>
      </c>
      <c r="P28" s="204">
        <f t="shared" si="11"/>
        <v>0</v>
      </c>
      <c r="Q28" s="204">
        <f t="shared" si="4"/>
        <v>0</v>
      </c>
      <c r="R28" s="748">
        <v>0</v>
      </c>
    </row>
    <row r="29" spans="1:18" ht="14" thickTop="1" thickBot="1">
      <c r="A29" s="202">
        <f t="shared" si="5"/>
        <v>45383</v>
      </c>
      <c r="B29" s="65">
        <f>IF(OR(J$29=0,DG!$A$137&gt;2),0,B28+1)</f>
        <v>0</v>
      </c>
      <c r="C29" s="65">
        <f t="shared" si="0"/>
        <v>0</v>
      </c>
      <c r="D29" s="65">
        <f t="shared" si="12"/>
        <v>4</v>
      </c>
      <c r="E29" s="65">
        <f t="shared" si="6"/>
        <v>0</v>
      </c>
      <c r="F29" s="65">
        <f>IF(OR(L$29=0,DG!$A$258&gt;2),0,F28+1)</f>
        <v>0</v>
      </c>
      <c r="G29" s="65">
        <f t="shared" si="1"/>
        <v>0</v>
      </c>
      <c r="H29" s="65">
        <f t="shared" si="2"/>
        <v>0</v>
      </c>
      <c r="I29" s="65">
        <f t="shared" si="3"/>
        <v>0</v>
      </c>
      <c r="J29" s="203">
        <f>IF(DG!$A$137&lt;=2,$M$17,0)</f>
        <v>0</v>
      </c>
      <c r="K29" s="65">
        <f t="shared" si="7"/>
        <v>0</v>
      </c>
      <c r="L29" s="473">
        <f t="shared" si="8"/>
        <v>0</v>
      </c>
      <c r="M29" s="204">
        <f t="shared" si="9"/>
        <v>0</v>
      </c>
      <c r="N29" s="505">
        <f t="shared" si="10"/>
        <v>0</v>
      </c>
      <c r="O29" s="204">
        <f>IF(DG!$A$137&gt;2,0,IF(J29-J28&gt;0,MROUND((L29/12*Q28),1),MROUND(L29/12*P28,1)))</f>
        <v>0</v>
      </c>
      <c r="P29" s="204">
        <f t="shared" si="11"/>
        <v>0</v>
      </c>
      <c r="Q29" s="204">
        <f t="shared" si="4"/>
        <v>0</v>
      </c>
      <c r="R29" s="748">
        <v>0</v>
      </c>
    </row>
    <row r="30" spans="1:18" ht="14" thickTop="1" thickBot="1">
      <c r="A30" s="202">
        <f t="shared" si="5"/>
        <v>45413</v>
      </c>
      <c r="B30" s="65">
        <f>IF(OR(J$30=0,DG!$A$137&gt;2),0,B29+1)</f>
        <v>0</v>
      </c>
      <c r="C30" s="65">
        <f t="shared" si="0"/>
        <v>0</v>
      </c>
      <c r="D30" s="65">
        <f t="shared" si="12"/>
        <v>5</v>
      </c>
      <c r="E30" s="65">
        <f t="shared" si="6"/>
        <v>0</v>
      </c>
      <c r="F30" s="65">
        <f>IF(OR(L$30=0,DG!$A$258&gt;2),0,F29+1)</f>
        <v>0</v>
      </c>
      <c r="G30" s="65">
        <f t="shared" si="1"/>
        <v>0</v>
      </c>
      <c r="H30" s="65">
        <f t="shared" si="2"/>
        <v>0</v>
      </c>
      <c r="I30" s="65">
        <f t="shared" si="3"/>
        <v>0</v>
      </c>
      <c r="J30" s="203">
        <f>IF(DG!$A$137&lt;=2,$M$17,0)</f>
        <v>0</v>
      </c>
      <c r="K30" s="65">
        <f t="shared" si="7"/>
        <v>0</v>
      </c>
      <c r="L30" s="473">
        <f t="shared" si="8"/>
        <v>0</v>
      </c>
      <c r="M30" s="204">
        <f t="shared" si="9"/>
        <v>0</v>
      </c>
      <c r="N30" s="505">
        <f t="shared" si="10"/>
        <v>0</v>
      </c>
      <c r="O30" s="204">
        <f>IF(DG!$A$137&gt;2,0,IF(J30-J29&gt;0,MROUND((L30/12*Q29),1),MROUND(L30/12*P29,1)))</f>
        <v>0</v>
      </c>
      <c r="P30" s="204">
        <f t="shared" si="11"/>
        <v>0</v>
      </c>
      <c r="Q30" s="204">
        <f t="shared" si="4"/>
        <v>0</v>
      </c>
      <c r="R30" s="748">
        <v>0</v>
      </c>
    </row>
    <row r="31" spans="1:18" ht="14" thickTop="1" thickBot="1">
      <c r="A31" s="202">
        <f t="shared" si="5"/>
        <v>45444</v>
      </c>
      <c r="B31" s="65">
        <f>IF(OR(J$31=0,DG!$A$137&gt;2),0,B30+1)</f>
        <v>0</v>
      </c>
      <c r="C31" s="65">
        <f t="shared" si="0"/>
        <v>0</v>
      </c>
      <c r="D31" s="65">
        <f t="shared" si="12"/>
        <v>6</v>
      </c>
      <c r="E31" s="65">
        <f t="shared" si="6"/>
        <v>0</v>
      </c>
      <c r="F31" s="65">
        <f>IF(OR(L$31=0,DG!$A$258&gt;2),0,F30+1)</f>
        <v>0</v>
      </c>
      <c r="G31" s="65">
        <f t="shared" si="1"/>
        <v>0</v>
      </c>
      <c r="H31" s="65">
        <f t="shared" si="2"/>
        <v>0</v>
      </c>
      <c r="I31" s="65">
        <f t="shared" si="3"/>
        <v>0</v>
      </c>
      <c r="J31" s="203">
        <f>IF(DG!$A$137&lt;=2,$M$17,0)</f>
        <v>0</v>
      </c>
      <c r="K31" s="65">
        <f t="shared" si="7"/>
        <v>0</v>
      </c>
      <c r="L31" s="473">
        <f t="shared" si="8"/>
        <v>0</v>
      </c>
      <c r="M31" s="204">
        <f t="shared" si="9"/>
        <v>0</v>
      </c>
      <c r="N31" s="505">
        <f t="shared" si="10"/>
        <v>0</v>
      </c>
      <c r="O31" s="204">
        <f>IF(DG!$A$137&gt;2,0,IF(J31-J30&gt;0,MROUND((L31/12*Q30),1),MROUND(L31/12*P30,1)))</f>
        <v>0</v>
      </c>
      <c r="P31" s="204">
        <f t="shared" si="11"/>
        <v>0</v>
      </c>
      <c r="Q31" s="204">
        <f t="shared" si="4"/>
        <v>0</v>
      </c>
      <c r="R31" s="748">
        <v>0</v>
      </c>
    </row>
    <row r="32" spans="1:18" ht="14" thickTop="1" thickBot="1">
      <c r="A32" s="202">
        <f t="shared" si="5"/>
        <v>45474</v>
      </c>
      <c r="B32" s="65">
        <f>IF(OR(J$32=0,DG!$A$137&gt;3),0,B31+1)</f>
        <v>0</v>
      </c>
      <c r="C32" s="65">
        <f t="shared" si="0"/>
        <v>0</v>
      </c>
      <c r="D32" s="65">
        <f t="shared" si="12"/>
        <v>7</v>
      </c>
      <c r="E32" s="65">
        <f t="shared" si="6"/>
        <v>0</v>
      </c>
      <c r="F32" s="65">
        <f>IF(OR(L$32=0,DG!$A$258&gt;3),0,F31+1)</f>
        <v>0</v>
      </c>
      <c r="G32" s="65">
        <f t="shared" si="1"/>
        <v>0</v>
      </c>
      <c r="H32" s="65">
        <f t="shared" si="2"/>
        <v>0</v>
      </c>
      <c r="I32" s="65">
        <f t="shared" si="3"/>
        <v>0</v>
      </c>
      <c r="J32" s="203">
        <f>IF(DG!$A$137&lt;=3,$M$17,0)</f>
        <v>0</v>
      </c>
      <c r="K32" s="65">
        <f t="shared" si="7"/>
        <v>0</v>
      </c>
      <c r="L32" s="473">
        <f t="shared" si="8"/>
        <v>0</v>
      </c>
      <c r="M32" s="204">
        <f t="shared" si="9"/>
        <v>0</v>
      </c>
      <c r="N32" s="505">
        <f t="shared" si="10"/>
        <v>0</v>
      </c>
      <c r="O32" s="204">
        <f>IF(DG!$A$137&gt;3,0,IF(J32-J31&gt;0,MROUND((L32/12*Q31),1),MROUND(L32/12*P31,1)))</f>
        <v>0</v>
      </c>
      <c r="P32" s="204">
        <f t="shared" si="11"/>
        <v>0</v>
      </c>
      <c r="Q32" s="204">
        <f t="shared" si="4"/>
        <v>0</v>
      </c>
      <c r="R32" s="748">
        <v>0</v>
      </c>
    </row>
    <row r="33" spans="1:19" ht="14" thickTop="1" thickBot="1">
      <c r="A33" s="202">
        <f t="shared" si="5"/>
        <v>45505</v>
      </c>
      <c r="B33" s="65">
        <f>IF(OR(J$33=0,DG!$A$137&gt;3),0,B32+1)</f>
        <v>0</v>
      </c>
      <c r="C33" s="65">
        <f t="shared" si="0"/>
        <v>0</v>
      </c>
      <c r="D33" s="65">
        <f t="shared" si="12"/>
        <v>8</v>
      </c>
      <c r="E33" s="65">
        <f t="shared" si="6"/>
        <v>0</v>
      </c>
      <c r="F33" s="65">
        <f>IF(OR(L$33=0,DG!$A$258&gt;3),0,F32+1)</f>
        <v>0</v>
      </c>
      <c r="G33" s="65">
        <f t="shared" si="1"/>
        <v>0</v>
      </c>
      <c r="H33" s="65">
        <f t="shared" si="2"/>
        <v>0</v>
      </c>
      <c r="I33" s="65">
        <f t="shared" si="3"/>
        <v>0</v>
      </c>
      <c r="J33" s="203">
        <f>IF(DG!$A$137&lt;=3,$M$17,0)</f>
        <v>0</v>
      </c>
      <c r="K33" s="65">
        <f t="shared" si="7"/>
        <v>0</v>
      </c>
      <c r="L33" s="473">
        <f t="shared" si="8"/>
        <v>0</v>
      </c>
      <c r="M33" s="204">
        <f t="shared" si="9"/>
        <v>0</v>
      </c>
      <c r="N33" s="505">
        <f t="shared" si="10"/>
        <v>0</v>
      </c>
      <c r="O33" s="204">
        <f>IF(DG!$A$137&gt;3,0,IF(J33-J32&gt;0,MROUND((L33/12*Q32),1),MROUND(L33/12*P32,1)))</f>
        <v>0</v>
      </c>
      <c r="P33" s="204">
        <f t="shared" si="11"/>
        <v>0</v>
      </c>
      <c r="Q33" s="204">
        <f t="shared" si="4"/>
        <v>0</v>
      </c>
      <c r="R33" s="748">
        <v>0</v>
      </c>
    </row>
    <row r="34" spans="1:19" ht="14" thickTop="1" thickBot="1">
      <c r="A34" s="202">
        <f t="shared" si="5"/>
        <v>45536</v>
      </c>
      <c r="B34" s="65">
        <f>IF(OR(J$34=0,DG!$A$137&gt;3),0,B33+1)</f>
        <v>0</v>
      </c>
      <c r="C34" s="65">
        <f t="shared" si="0"/>
        <v>0</v>
      </c>
      <c r="D34" s="65">
        <f t="shared" si="12"/>
        <v>9</v>
      </c>
      <c r="E34" s="65">
        <f t="shared" si="6"/>
        <v>0</v>
      </c>
      <c r="F34" s="65">
        <f>IF(OR(L$34=0,DG!$A$258&gt;3),0,F33+1)</f>
        <v>0</v>
      </c>
      <c r="G34" s="65">
        <f t="shared" si="1"/>
        <v>0</v>
      </c>
      <c r="H34" s="65">
        <f t="shared" si="2"/>
        <v>0</v>
      </c>
      <c r="I34" s="65">
        <f t="shared" si="3"/>
        <v>0</v>
      </c>
      <c r="J34" s="203">
        <f>IF(DG!$A$137&lt;=3,$M$17,0)</f>
        <v>0</v>
      </c>
      <c r="K34" s="65">
        <f t="shared" si="7"/>
        <v>0</v>
      </c>
      <c r="L34" s="473">
        <f t="shared" si="8"/>
        <v>0</v>
      </c>
      <c r="M34" s="204">
        <f t="shared" si="9"/>
        <v>0</v>
      </c>
      <c r="N34" s="505">
        <f t="shared" si="10"/>
        <v>0</v>
      </c>
      <c r="O34" s="204">
        <f>IF(DG!$A$137&gt;3,0,IF(J34-J33&gt;0,MROUND((L34/12*Q33),1),MROUND(L34/12*P33,1)))</f>
        <v>0</v>
      </c>
      <c r="P34" s="204">
        <f t="shared" si="11"/>
        <v>0</v>
      </c>
      <c r="Q34" s="204">
        <f t="shared" si="4"/>
        <v>0</v>
      </c>
      <c r="R34" s="748">
        <v>0</v>
      </c>
    </row>
    <row r="35" spans="1:19" ht="14" thickTop="1" thickBot="1">
      <c r="A35" s="202">
        <f t="shared" si="5"/>
        <v>45566</v>
      </c>
      <c r="B35" s="65">
        <f>IF(OR(J$35=0,DG!$A$137&gt;4),0,B34+1)</f>
        <v>0</v>
      </c>
      <c r="C35" s="65">
        <f t="shared" si="0"/>
        <v>0</v>
      </c>
      <c r="D35" s="65">
        <f t="shared" si="12"/>
        <v>10</v>
      </c>
      <c r="E35" s="65">
        <f t="shared" si="6"/>
        <v>0</v>
      </c>
      <c r="F35" s="65">
        <f>IF(OR(L$35=0,DG!$A$258&gt;4),0,F34+1)</f>
        <v>0</v>
      </c>
      <c r="G35" s="65">
        <f t="shared" si="1"/>
        <v>0</v>
      </c>
      <c r="H35" s="65">
        <f t="shared" si="2"/>
        <v>0</v>
      </c>
      <c r="I35" s="65">
        <f t="shared" si="3"/>
        <v>0</v>
      </c>
      <c r="J35" s="203">
        <f>IF(DG!$A$137&lt;=4,$M$17,0)</f>
        <v>0</v>
      </c>
      <c r="K35" s="65">
        <f t="shared" si="7"/>
        <v>0</v>
      </c>
      <c r="L35" s="473">
        <f t="shared" si="8"/>
        <v>0</v>
      </c>
      <c r="M35" s="204">
        <f t="shared" si="9"/>
        <v>0</v>
      </c>
      <c r="N35" s="505">
        <f t="shared" si="10"/>
        <v>0</v>
      </c>
      <c r="O35" s="204">
        <f>IF(DG!$A$137&gt;4,0,IF(J35-J34&gt;0,MROUND((L35/12*Q34),1),MROUND(L35/12*P34,1)))</f>
        <v>0</v>
      </c>
      <c r="P35" s="204">
        <f t="shared" si="11"/>
        <v>0</v>
      </c>
      <c r="Q35" s="204">
        <f t="shared" si="4"/>
        <v>0</v>
      </c>
      <c r="R35" s="748">
        <v>0</v>
      </c>
    </row>
    <row r="36" spans="1:19" ht="14" thickTop="1" thickBot="1">
      <c r="A36" s="202">
        <f t="shared" si="5"/>
        <v>45597</v>
      </c>
      <c r="B36" s="65">
        <f>IF(OR(J$36=0,DG!$A$137&gt;4),0,B35+1)</f>
        <v>0</v>
      </c>
      <c r="C36" s="65">
        <f t="shared" si="0"/>
        <v>0</v>
      </c>
      <c r="D36" s="65">
        <f t="shared" si="12"/>
        <v>11</v>
      </c>
      <c r="E36" s="65">
        <f t="shared" si="6"/>
        <v>0</v>
      </c>
      <c r="F36" s="65">
        <f>IF(OR(L$36=0,DG!$A$258&gt;4),0,F35+1)</f>
        <v>0</v>
      </c>
      <c r="G36" s="65">
        <f t="shared" si="1"/>
        <v>0</v>
      </c>
      <c r="H36" s="65">
        <f t="shared" si="2"/>
        <v>0</v>
      </c>
      <c r="I36" s="65">
        <f t="shared" si="3"/>
        <v>0</v>
      </c>
      <c r="J36" s="203">
        <f>IF(DG!$A$137&lt;=4,$M$17,0)</f>
        <v>0</v>
      </c>
      <c r="K36" s="65">
        <f t="shared" si="7"/>
        <v>0</v>
      </c>
      <c r="L36" s="473">
        <f t="shared" si="8"/>
        <v>0</v>
      </c>
      <c r="M36" s="204">
        <f t="shared" si="9"/>
        <v>0</v>
      </c>
      <c r="N36" s="505">
        <f t="shared" si="10"/>
        <v>0</v>
      </c>
      <c r="O36" s="204">
        <f>IF(DG!$A$137&gt;4,0,IF(J36-J35&gt;0,MROUND((L36/12*Q35),1),MROUND(L36/12*P35,1)))</f>
        <v>0</v>
      </c>
      <c r="P36" s="204">
        <f t="shared" si="11"/>
        <v>0</v>
      </c>
      <c r="Q36" s="204">
        <f t="shared" si="4"/>
        <v>0</v>
      </c>
      <c r="R36" s="748">
        <v>0</v>
      </c>
    </row>
    <row r="37" spans="1:19" ht="14" thickTop="1" thickBot="1">
      <c r="A37" s="202">
        <f t="shared" si="5"/>
        <v>45627</v>
      </c>
      <c r="B37" s="65">
        <f>IF(OR(J$37=0,DG!$A$137&gt;4),0,B36+1)</f>
        <v>0</v>
      </c>
      <c r="C37" s="65">
        <f t="shared" si="0"/>
        <v>0</v>
      </c>
      <c r="D37" s="65">
        <f t="shared" si="12"/>
        <v>12</v>
      </c>
      <c r="E37" s="65">
        <f t="shared" si="6"/>
        <v>0</v>
      </c>
      <c r="F37" s="65">
        <f>IF(OR(L$37=0,DG!$A$258&gt;4),0,F36+1)</f>
        <v>0</v>
      </c>
      <c r="G37" s="65">
        <f t="shared" si="1"/>
        <v>0</v>
      </c>
      <c r="H37" s="65">
        <f t="shared" si="2"/>
        <v>0</v>
      </c>
      <c r="I37" s="65">
        <f t="shared" si="3"/>
        <v>0</v>
      </c>
      <c r="J37" s="203">
        <f>IF(DG!$A$137&lt;=4,$M$17,0)</f>
        <v>0</v>
      </c>
      <c r="K37" s="65">
        <f t="shared" si="7"/>
        <v>0</v>
      </c>
      <c r="L37" s="473">
        <f t="shared" si="8"/>
        <v>0</v>
      </c>
      <c r="M37" s="204">
        <f t="shared" si="9"/>
        <v>0</v>
      </c>
      <c r="N37" s="505">
        <f t="shared" si="10"/>
        <v>0</v>
      </c>
      <c r="O37" s="204">
        <f>IF(DG!$A$137&gt;4,0,IF(J37-J36&gt;0,MROUND((L37/12*Q36),1),MROUND(L37/12*P36,1)))</f>
        <v>0</v>
      </c>
      <c r="P37" s="204">
        <f t="shared" si="11"/>
        <v>0</v>
      </c>
      <c r="Q37" s="204">
        <f t="shared" si="4"/>
        <v>0</v>
      </c>
      <c r="R37" s="748">
        <v>0</v>
      </c>
      <c r="S37" s="511">
        <f>SUM(N26:N37)</f>
        <v>0</v>
      </c>
    </row>
    <row r="38" spans="1:19" ht="14" thickTop="1" thickBot="1">
      <c r="A38" s="202">
        <f t="shared" si="5"/>
        <v>45658</v>
      </c>
      <c r="B38" s="65">
        <f>IF(OR(J$38=0,DG!$A$137&gt;5),0,B37+1)</f>
        <v>0</v>
      </c>
      <c r="C38" s="65">
        <f t="shared" si="0"/>
        <v>0</v>
      </c>
      <c r="D38" s="65">
        <f t="shared" si="12"/>
        <v>13</v>
      </c>
      <c r="E38" s="65">
        <f t="shared" si="6"/>
        <v>0</v>
      </c>
      <c r="F38" s="65">
        <f>IF(OR(L$38=0,DG!$A$258&gt;5),0,F37+1)</f>
        <v>0</v>
      </c>
      <c r="G38" s="65">
        <f t="shared" si="1"/>
        <v>0</v>
      </c>
      <c r="H38" s="65">
        <f t="shared" si="2"/>
        <v>0</v>
      </c>
      <c r="I38" s="65">
        <f t="shared" si="3"/>
        <v>0</v>
      </c>
      <c r="J38" s="203">
        <f>IF(DG!$A$137&lt;=5,$M$17,0)</f>
        <v>0</v>
      </c>
      <c r="K38" s="65">
        <f t="shared" si="7"/>
        <v>0</v>
      </c>
      <c r="L38" s="473">
        <f t="shared" si="8"/>
        <v>0</v>
      </c>
      <c r="M38" s="204">
        <f t="shared" si="9"/>
        <v>0</v>
      </c>
      <c r="N38" s="505">
        <f t="shared" si="10"/>
        <v>0</v>
      </c>
      <c r="O38" s="204">
        <f>IF(DG!$A$137&gt;5,0,IF(J38-J37&gt;0,MROUND((L38/12*Q37),1),MROUND(L38/12*P37,1)))</f>
        <v>0</v>
      </c>
      <c r="P38" s="204">
        <f t="shared" si="11"/>
        <v>0</v>
      </c>
      <c r="Q38" s="204">
        <f t="shared" si="4"/>
        <v>0</v>
      </c>
      <c r="R38" s="748">
        <v>0</v>
      </c>
    </row>
    <row r="39" spans="1:19" ht="14" thickTop="1" thickBot="1">
      <c r="A39" s="202">
        <f t="shared" si="5"/>
        <v>45689</v>
      </c>
      <c r="B39" s="65">
        <f>IF(OR(J$39=0,DG!$A$137&gt;5),0,B38+1)</f>
        <v>0</v>
      </c>
      <c r="C39" s="65">
        <f t="shared" si="0"/>
        <v>0</v>
      </c>
      <c r="D39" s="65">
        <f t="shared" si="12"/>
        <v>14</v>
      </c>
      <c r="E39" s="65">
        <f t="shared" si="6"/>
        <v>0</v>
      </c>
      <c r="F39" s="65">
        <f>IF(OR(L$39=0,DG!$A$258&gt;5),0,F38+1)</f>
        <v>0</v>
      </c>
      <c r="G39" s="65">
        <f t="shared" si="1"/>
        <v>0</v>
      </c>
      <c r="H39" s="65">
        <f t="shared" si="2"/>
        <v>0</v>
      </c>
      <c r="I39" s="65">
        <f t="shared" si="3"/>
        <v>0</v>
      </c>
      <c r="J39" s="203">
        <f>IF(DG!$A$137&lt;=5,$M$17,0)</f>
        <v>0</v>
      </c>
      <c r="K39" s="65">
        <f t="shared" si="7"/>
        <v>0</v>
      </c>
      <c r="L39" s="473">
        <f t="shared" si="8"/>
        <v>0</v>
      </c>
      <c r="M39" s="204">
        <f t="shared" si="9"/>
        <v>0</v>
      </c>
      <c r="N39" s="505">
        <f t="shared" si="10"/>
        <v>0</v>
      </c>
      <c r="O39" s="204">
        <f>IF(DG!$A$137&gt;5,0,IF(J39-J38&gt;0,MROUND((L39/12*Q38),1),MROUND(L39/12*P38,1)))</f>
        <v>0</v>
      </c>
      <c r="P39" s="204">
        <f t="shared" si="11"/>
        <v>0</v>
      </c>
      <c r="Q39" s="204">
        <f t="shared" si="4"/>
        <v>0</v>
      </c>
      <c r="R39" s="748">
        <v>0</v>
      </c>
    </row>
    <row r="40" spans="1:19" ht="14" thickTop="1" thickBot="1">
      <c r="A40" s="202">
        <f t="shared" si="5"/>
        <v>45717</v>
      </c>
      <c r="B40" s="65">
        <f>IF(OR(J$40=0,DG!$A$137&gt;5),0,B39+1)</f>
        <v>0</v>
      </c>
      <c r="C40" s="65">
        <f t="shared" si="0"/>
        <v>0</v>
      </c>
      <c r="D40" s="65">
        <f t="shared" si="12"/>
        <v>15</v>
      </c>
      <c r="E40" s="65">
        <f t="shared" si="6"/>
        <v>0</v>
      </c>
      <c r="F40" s="65">
        <f>IF(OR(L$40=0,DG!$A$258&gt;5),0,F39+1)</f>
        <v>0</v>
      </c>
      <c r="G40" s="65">
        <f t="shared" si="1"/>
        <v>0</v>
      </c>
      <c r="H40" s="65">
        <f t="shared" si="2"/>
        <v>0</v>
      </c>
      <c r="I40" s="65">
        <f t="shared" si="3"/>
        <v>0</v>
      </c>
      <c r="J40" s="203">
        <f>IF(DG!$A$137&lt;=5,$M$17,0)</f>
        <v>0</v>
      </c>
      <c r="K40" s="65">
        <f t="shared" si="7"/>
        <v>0</v>
      </c>
      <c r="L40" s="473">
        <f t="shared" si="8"/>
        <v>0</v>
      </c>
      <c r="M40" s="204">
        <f t="shared" si="9"/>
        <v>0</v>
      </c>
      <c r="N40" s="505">
        <f t="shared" si="10"/>
        <v>0</v>
      </c>
      <c r="O40" s="204">
        <f>IF(DG!$A$137&gt;5,0,IF(J40-J39&gt;0,MROUND((L40/12*Q39),1),MROUND(L40/12*P39,1)))</f>
        <v>0</v>
      </c>
      <c r="P40" s="204">
        <f t="shared" si="11"/>
        <v>0</v>
      </c>
      <c r="Q40" s="204">
        <f t="shared" si="4"/>
        <v>0</v>
      </c>
      <c r="R40" s="748">
        <v>0</v>
      </c>
    </row>
    <row r="41" spans="1:19" ht="14" thickTop="1" thickBot="1">
      <c r="A41" s="202">
        <f t="shared" si="5"/>
        <v>45748</v>
      </c>
      <c r="B41" s="65">
        <f>IF(OR(J$41=0,DG!$A$137&gt;6),0,B40+1)</f>
        <v>0</v>
      </c>
      <c r="C41" s="65">
        <f t="shared" si="0"/>
        <v>0</v>
      </c>
      <c r="D41" s="65">
        <f t="shared" si="12"/>
        <v>16</v>
      </c>
      <c r="E41" s="65">
        <f t="shared" si="6"/>
        <v>0</v>
      </c>
      <c r="F41" s="65">
        <f>IF(OR(L$41=0,DG!$A$258&gt;6),0,F40+1)</f>
        <v>0</v>
      </c>
      <c r="G41" s="65">
        <f t="shared" si="1"/>
        <v>0</v>
      </c>
      <c r="H41" s="65">
        <f t="shared" si="2"/>
        <v>0</v>
      </c>
      <c r="I41" s="65">
        <f t="shared" si="3"/>
        <v>0</v>
      </c>
      <c r="J41" s="203">
        <f>IF(DG!$A$137&lt;=6,$M$17,0)</f>
        <v>0</v>
      </c>
      <c r="K41" s="65">
        <f t="shared" si="7"/>
        <v>0</v>
      </c>
      <c r="L41" s="473">
        <f t="shared" si="8"/>
        <v>0</v>
      </c>
      <c r="M41" s="204">
        <f t="shared" si="9"/>
        <v>0</v>
      </c>
      <c r="N41" s="505">
        <f t="shared" si="10"/>
        <v>0</v>
      </c>
      <c r="O41" s="204">
        <f>IF(DG!$A$137&gt;6,0,IF(J41-J40&gt;0,MROUND((L41/12*Q40),1),MROUND(L41/12*P40,1)))</f>
        <v>0</v>
      </c>
      <c r="P41" s="204">
        <f t="shared" si="11"/>
        <v>0</v>
      </c>
      <c r="Q41" s="204">
        <f t="shared" si="4"/>
        <v>0</v>
      </c>
      <c r="R41" s="748">
        <v>0</v>
      </c>
    </row>
    <row r="42" spans="1:19" ht="14" thickTop="1" thickBot="1">
      <c r="A42" s="202">
        <f t="shared" si="5"/>
        <v>45778</v>
      </c>
      <c r="B42" s="65">
        <f>IF(OR(J$42=0,DG!$A$137&gt;6),0,B41+1)</f>
        <v>0</v>
      </c>
      <c r="C42" s="65">
        <f t="shared" si="0"/>
        <v>0</v>
      </c>
      <c r="D42" s="65">
        <f t="shared" si="12"/>
        <v>17</v>
      </c>
      <c r="E42" s="65">
        <f t="shared" si="6"/>
        <v>0</v>
      </c>
      <c r="F42" s="65">
        <f>IF(OR(L$42=0,DG!$A$258&gt;6),0,F41+1)</f>
        <v>0</v>
      </c>
      <c r="G42" s="65">
        <f t="shared" si="1"/>
        <v>0</v>
      </c>
      <c r="H42" s="65">
        <f t="shared" si="2"/>
        <v>0</v>
      </c>
      <c r="I42" s="65">
        <f t="shared" si="3"/>
        <v>0</v>
      </c>
      <c r="J42" s="203">
        <f>IF(DG!$A$137&lt;=6,$M$17,0)</f>
        <v>0</v>
      </c>
      <c r="K42" s="65">
        <f t="shared" si="7"/>
        <v>0</v>
      </c>
      <c r="L42" s="473">
        <f t="shared" si="8"/>
        <v>0</v>
      </c>
      <c r="M42" s="204">
        <f t="shared" si="9"/>
        <v>0</v>
      </c>
      <c r="N42" s="505">
        <f t="shared" si="10"/>
        <v>0</v>
      </c>
      <c r="O42" s="204">
        <f>IF(DG!$A$137&gt;6,0,IF(J42-J41&gt;0,MROUND((L42/12*Q41),1),MROUND(L42/12*P41,1)))</f>
        <v>0</v>
      </c>
      <c r="P42" s="204">
        <f t="shared" si="11"/>
        <v>0</v>
      </c>
      <c r="Q42" s="204">
        <f t="shared" si="4"/>
        <v>0</v>
      </c>
      <c r="R42" s="748">
        <v>0</v>
      </c>
    </row>
    <row r="43" spans="1:19" ht="14" thickTop="1" thickBot="1">
      <c r="A43" s="202">
        <f t="shared" si="5"/>
        <v>45809</v>
      </c>
      <c r="B43" s="65">
        <f>IF(OR(J$43=0,DG!$A$137&gt;6),0,B42+1)</f>
        <v>0</v>
      </c>
      <c r="C43" s="65">
        <f t="shared" si="0"/>
        <v>0</v>
      </c>
      <c r="D43" s="65">
        <f t="shared" si="12"/>
        <v>18</v>
      </c>
      <c r="E43" s="65">
        <f t="shared" si="6"/>
        <v>0</v>
      </c>
      <c r="F43" s="65">
        <f>IF(OR(L$43=0,DG!$A$258&gt;6),0,F42+1)</f>
        <v>0</v>
      </c>
      <c r="G43" s="65">
        <f t="shared" si="1"/>
        <v>0</v>
      </c>
      <c r="H43" s="65">
        <f t="shared" si="2"/>
        <v>0</v>
      </c>
      <c r="I43" s="65">
        <f t="shared" si="3"/>
        <v>0</v>
      </c>
      <c r="J43" s="203">
        <f>IF(DG!$A$137&lt;=6,$M$17,0)</f>
        <v>0</v>
      </c>
      <c r="K43" s="65">
        <f t="shared" si="7"/>
        <v>0</v>
      </c>
      <c r="L43" s="473">
        <f t="shared" si="8"/>
        <v>0</v>
      </c>
      <c r="M43" s="204">
        <f t="shared" si="9"/>
        <v>0</v>
      </c>
      <c r="N43" s="505">
        <f t="shared" si="10"/>
        <v>0</v>
      </c>
      <c r="O43" s="204">
        <f>IF(DG!$A$137&gt;6,0,IF(J43-J42&gt;0,MROUND((L43/12*Q42),1),MROUND(L43/12*P42,1)))</f>
        <v>0</v>
      </c>
      <c r="P43" s="204">
        <f t="shared" si="11"/>
        <v>0</v>
      </c>
      <c r="Q43" s="204">
        <f t="shared" si="4"/>
        <v>0</v>
      </c>
      <c r="R43" s="748">
        <v>0</v>
      </c>
    </row>
    <row r="44" spans="1:19" ht="14" thickTop="1" thickBot="1">
      <c r="A44" s="202">
        <f t="shared" si="5"/>
        <v>45839</v>
      </c>
      <c r="B44" s="65">
        <f>IF(OR(J$44=0,DG!$A$137&gt;7),0,B43+1)</f>
        <v>0</v>
      </c>
      <c r="C44" s="65">
        <f t="shared" si="0"/>
        <v>0</v>
      </c>
      <c r="D44" s="65">
        <f t="shared" si="12"/>
        <v>19</v>
      </c>
      <c r="E44" s="65">
        <f t="shared" si="6"/>
        <v>0</v>
      </c>
      <c r="F44" s="65">
        <f>IF(OR(L$44=0,DG!$A$258&gt;7),0,F43+1)</f>
        <v>0</v>
      </c>
      <c r="G44" s="65">
        <f t="shared" si="1"/>
        <v>0</v>
      </c>
      <c r="H44" s="65">
        <f t="shared" si="2"/>
        <v>0</v>
      </c>
      <c r="I44" s="65">
        <f t="shared" si="3"/>
        <v>0</v>
      </c>
      <c r="J44" s="203">
        <f>IF(DG!$A$137&lt;=7,$M$17,0)</f>
        <v>0</v>
      </c>
      <c r="K44" s="65">
        <f t="shared" si="7"/>
        <v>0</v>
      </c>
      <c r="L44" s="473">
        <f t="shared" si="8"/>
        <v>0</v>
      </c>
      <c r="M44" s="204">
        <f t="shared" si="9"/>
        <v>0</v>
      </c>
      <c r="N44" s="505">
        <f t="shared" si="10"/>
        <v>0</v>
      </c>
      <c r="O44" s="204">
        <f>IF(DG!$A$137&gt;7,0,IF(J44-J43&gt;0,MROUND((L44/12*Q43),1),MROUND(L44/12*P43,1)))</f>
        <v>0</v>
      </c>
      <c r="P44" s="204">
        <f t="shared" si="11"/>
        <v>0</v>
      </c>
      <c r="Q44" s="204">
        <f t="shared" si="4"/>
        <v>0</v>
      </c>
      <c r="R44" s="748">
        <v>0</v>
      </c>
    </row>
    <row r="45" spans="1:19" ht="14" thickTop="1" thickBot="1">
      <c r="A45" s="202">
        <f t="shared" si="5"/>
        <v>45870</v>
      </c>
      <c r="B45" s="65">
        <f>IF(OR(J$45=0,DG!$A$137&gt;7),0,B44+1)</f>
        <v>0</v>
      </c>
      <c r="C45" s="65">
        <f t="shared" si="0"/>
        <v>0</v>
      </c>
      <c r="D45" s="65">
        <f t="shared" si="12"/>
        <v>20</v>
      </c>
      <c r="E45" s="65">
        <f t="shared" si="6"/>
        <v>0</v>
      </c>
      <c r="F45" s="65">
        <f>IF(OR(L$45=0,DG!$A$258&gt;7),0,F44+1)</f>
        <v>0</v>
      </c>
      <c r="G45" s="65">
        <f t="shared" si="1"/>
        <v>0</v>
      </c>
      <c r="H45" s="65">
        <f t="shared" si="2"/>
        <v>0</v>
      </c>
      <c r="I45" s="65">
        <f t="shared" si="3"/>
        <v>0</v>
      </c>
      <c r="J45" s="203">
        <f>IF(DG!$A$137&lt;=7,$M$17,0)</f>
        <v>0</v>
      </c>
      <c r="K45" s="65">
        <f t="shared" si="7"/>
        <v>0</v>
      </c>
      <c r="L45" s="473">
        <f t="shared" si="8"/>
        <v>0</v>
      </c>
      <c r="M45" s="204">
        <f t="shared" si="9"/>
        <v>0</v>
      </c>
      <c r="N45" s="505">
        <f t="shared" si="10"/>
        <v>0</v>
      </c>
      <c r="O45" s="204">
        <f>IF(DG!$A$137&gt;7,0,IF(J45-J44&gt;0,MROUND((L45/12*Q44),1),MROUND(L45/12*P44,1)))</f>
        <v>0</v>
      </c>
      <c r="P45" s="204">
        <f t="shared" si="11"/>
        <v>0</v>
      </c>
      <c r="Q45" s="204">
        <f t="shared" si="4"/>
        <v>0</v>
      </c>
      <c r="R45" s="748">
        <v>0</v>
      </c>
    </row>
    <row r="46" spans="1:19" ht="14" thickTop="1" thickBot="1">
      <c r="A46" s="202">
        <f t="shared" si="5"/>
        <v>45901</v>
      </c>
      <c r="B46" s="65">
        <f>IF(OR(J$46=0,DG!$A$137&gt;7),0,B45+1)</f>
        <v>0</v>
      </c>
      <c r="C46" s="65">
        <f t="shared" si="0"/>
        <v>0</v>
      </c>
      <c r="D46" s="65">
        <f t="shared" si="12"/>
        <v>21</v>
      </c>
      <c r="E46" s="65">
        <f t="shared" si="6"/>
        <v>0</v>
      </c>
      <c r="F46" s="65">
        <f>IF(OR(L$46=0,DG!$A$258&gt;7),0,F45+1)</f>
        <v>0</v>
      </c>
      <c r="G46" s="65">
        <f t="shared" si="1"/>
        <v>0</v>
      </c>
      <c r="H46" s="65">
        <f t="shared" si="2"/>
        <v>0</v>
      </c>
      <c r="I46" s="65">
        <f t="shared" si="3"/>
        <v>0</v>
      </c>
      <c r="J46" s="203">
        <f>IF(DG!$A$137&lt;=7,$M$17,0)</f>
        <v>0</v>
      </c>
      <c r="K46" s="65">
        <f t="shared" si="7"/>
        <v>0</v>
      </c>
      <c r="L46" s="473">
        <f t="shared" si="8"/>
        <v>0</v>
      </c>
      <c r="M46" s="204">
        <f t="shared" si="9"/>
        <v>0</v>
      </c>
      <c r="N46" s="505">
        <f t="shared" si="10"/>
        <v>0</v>
      </c>
      <c r="O46" s="204">
        <f>IF(DG!$A$137&gt;7,0,IF(J46-J45&gt;0,MROUND((L46/12*Q45),1),MROUND(L46/12*P45,1)))</f>
        <v>0</v>
      </c>
      <c r="P46" s="204">
        <f t="shared" si="11"/>
        <v>0</v>
      </c>
      <c r="Q46" s="204">
        <f t="shared" si="4"/>
        <v>0</v>
      </c>
      <c r="R46" s="748">
        <v>0</v>
      </c>
    </row>
    <row r="47" spans="1:19" ht="14" thickTop="1" thickBot="1">
      <c r="A47" s="202">
        <f t="shared" si="5"/>
        <v>45931</v>
      </c>
      <c r="B47" s="65">
        <f>IF(OR(J$47=0,DG!$A$137&gt;8),0,B46+1)</f>
        <v>0</v>
      </c>
      <c r="C47" s="65">
        <f t="shared" si="0"/>
        <v>0</v>
      </c>
      <c r="D47" s="65">
        <f t="shared" si="12"/>
        <v>22</v>
      </c>
      <c r="E47" s="65">
        <f t="shared" si="6"/>
        <v>0</v>
      </c>
      <c r="F47" s="65">
        <f>IF(OR(L$47=0,DG!$A$258&gt;8),0,F46+1)</f>
        <v>0</v>
      </c>
      <c r="G47" s="65">
        <f t="shared" si="1"/>
        <v>0</v>
      </c>
      <c r="H47" s="65">
        <f t="shared" si="2"/>
        <v>0</v>
      </c>
      <c r="I47" s="65">
        <f t="shared" si="3"/>
        <v>0</v>
      </c>
      <c r="J47" s="203">
        <f>IF(DG!$A$137&lt;=8,$M$17,0)</f>
        <v>0</v>
      </c>
      <c r="K47" s="65">
        <f t="shared" si="7"/>
        <v>0</v>
      </c>
      <c r="L47" s="473">
        <f t="shared" si="8"/>
        <v>0</v>
      </c>
      <c r="M47" s="204">
        <f t="shared" si="9"/>
        <v>0</v>
      </c>
      <c r="N47" s="505">
        <f t="shared" si="10"/>
        <v>0</v>
      </c>
      <c r="O47" s="204">
        <f>IF(DG!$A$137&gt;8,0,IF(J47-J46&gt;0,MROUND((L47/12*Q46),1),MROUND(L47/12*P46,1)))</f>
        <v>0</v>
      </c>
      <c r="P47" s="204">
        <f t="shared" si="11"/>
        <v>0</v>
      </c>
      <c r="Q47" s="204">
        <f t="shared" si="4"/>
        <v>0</v>
      </c>
      <c r="R47" s="748">
        <v>0</v>
      </c>
    </row>
    <row r="48" spans="1:19" ht="14" thickTop="1" thickBot="1">
      <c r="A48" s="202">
        <f t="shared" si="5"/>
        <v>45962</v>
      </c>
      <c r="B48" s="65">
        <f>IF(OR(J$48=0,DG!$A$137&gt;8),0,B47+1)</f>
        <v>0</v>
      </c>
      <c r="C48" s="65">
        <f t="shared" si="0"/>
        <v>0</v>
      </c>
      <c r="D48" s="65">
        <f t="shared" si="12"/>
        <v>23</v>
      </c>
      <c r="E48" s="65">
        <f t="shared" si="6"/>
        <v>0</v>
      </c>
      <c r="F48" s="65">
        <f>IF(OR(L$48=0,DG!$A$258&gt;8),0,F47+1)</f>
        <v>0</v>
      </c>
      <c r="G48" s="65">
        <f t="shared" si="1"/>
        <v>0</v>
      </c>
      <c r="H48" s="65">
        <f t="shared" si="2"/>
        <v>0</v>
      </c>
      <c r="I48" s="65">
        <f t="shared" si="3"/>
        <v>0</v>
      </c>
      <c r="J48" s="203">
        <f>IF(DG!$A$137&lt;=8,$M$17,0)</f>
        <v>0</v>
      </c>
      <c r="K48" s="65">
        <f t="shared" si="7"/>
        <v>0</v>
      </c>
      <c r="L48" s="473">
        <f t="shared" si="8"/>
        <v>0</v>
      </c>
      <c r="M48" s="204">
        <f t="shared" si="9"/>
        <v>0</v>
      </c>
      <c r="N48" s="505">
        <f t="shared" si="10"/>
        <v>0</v>
      </c>
      <c r="O48" s="204">
        <f>IF(DG!$A$137&gt;8,0,IF(J48-J47&gt;0,MROUND((L48/12*Q47),1),MROUND(L48/12*P47,1)))</f>
        <v>0</v>
      </c>
      <c r="P48" s="204">
        <f t="shared" si="11"/>
        <v>0</v>
      </c>
      <c r="Q48" s="204">
        <f t="shared" si="4"/>
        <v>0</v>
      </c>
      <c r="R48" s="748">
        <v>0</v>
      </c>
    </row>
    <row r="49" spans="1:19" ht="14" thickTop="1" thickBot="1">
      <c r="A49" s="202">
        <f t="shared" si="5"/>
        <v>45992</v>
      </c>
      <c r="B49" s="65">
        <f>IF(OR(J$49=0,DG!$A$137&gt;8),0,B48+1)</f>
        <v>0</v>
      </c>
      <c r="C49" s="65">
        <f t="shared" si="0"/>
        <v>0</v>
      </c>
      <c r="D49" s="65">
        <f t="shared" si="12"/>
        <v>24</v>
      </c>
      <c r="E49" s="65">
        <f t="shared" si="6"/>
        <v>0</v>
      </c>
      <c r="F49" s="65">
        <f>IF(OR(L$49=0,DG!$A$258&gt;8),0,F48+1)</f>
        <v>0</v>
      </c>
      <c r="G49" s="65">
        <f t="shared" si="1"/>
        <v>0</v>
      </c>
      <c r="H49" s="65">
        <f t="shared" si="2"/>
        <v>0</v>
      </c>
      <c r="I49" s="65">
        <f t="shared" si="3"/>
        <v>0</v>
      </c>
      <c r="J49" s="203">
        <f>IF(DG!$A$137&lt;=8,$M$17,0)</f>
        <v>0</v>
      </c>
      <c r="K49" s="65">
        <f t="shared" si="7"/>
        <v>0</v>
      </c>
      <c r="L49" s="473">
        <f t="shared" si="8"/>
        <v>0</v>
      </c>
      <c r="M49" s="204">
        <f t="shared" si="9"/>
        <v>0</v>
      </c>
      <c r="N49" s="505">
        <f t="shared" si="10"/>
        <v>0</v>
      </c>
      <c r="O49" s="204">
        <f>IF(DG!$A$137&gt;8,0,IF(J49-J48&gt;0,MROUND((L49/12*Q48),1),MROUND(L49/12*P48,1)))</f>
        <v>0</v>
      </c>
      <c r="P49" s="204">
        <f t="shared" si="11"/>
        <v>0</v>
      </c>
      <c r="Q49" s="204">
        <f t="shared" si="4"/>
        <v>0</v>
      </c>
      <c r="R49" s="748">
        <v>0</v>
      </c>
      <c r="S49" s="511">
        <f>SUM(N38:N49)</f>
        <v>0</v>
      </c>
    </row>
    <row r="50" spans="1:19" ht="14" thickTop="1" thickBot="1">
      <c r="A50" s="202">
        <f t="shared" si="5"/>
        <v>46023</v>
      </c>
      <c r="B50" s="65">
        <f>IF(OR(J$50=0,DG!$A$137&gt;9),0,B49+1)</f>
        <v>0</v>
      </c>
      <c r="C50" s="65">
        <f>IF(F50-$E$269&gt;0,F50-$E$269,0)</f>
        <v>0</v>
      </c>
      <c r="D50" s="65">
        <f t="shared" si="12"/>
        <v>25</v>
      </c>
      <c r="E50" s="65">
        <f t="shared" si="6"/>
        <v>0</v>
      </c>
      <c r="F50" s="65">
        <f>IF(OR(L$50=0,DG!$A$258&gt;9),0,F49+1)</f>
        <v>0</v>
      </c>
      <c r="G50" s="65">
        <f t="shared" si="1"/>
        <v>0</v>
      </c>
      <c r="H50" s="65">
        <f t="shared" si="2"/>
        <v>0</v>
      </c>
      <c r="I50" s="65">
        <f t="shared" si="3"/>
        <v>0</v>
      </c>
      <c r="J50" s="203">
        <f>IF(DG!$A$137&lt;=9,$M$17,0)</f>
        <v>0</v>
      </c>
      <c r="K50" s="65">
        <f t="shared" si="7"/>
        <v>0</v>
      </c>
      <c r="L50" s="473">
        <f t="shared" si="8"/>
        <v>0</v>
      </c>
      <c r="M50" s="204">
        <f t="shared" si="9"/>
        <v>0</v>
      </c>
      <c r="N50" s="505">
        <f t="shared" si="10"/>
        <v>0</v>
      </c>
      <c r="O50" s="204">
        <f>IF(DG!$A$137&gt;9,0,IF(J50-J49&gt;0,MROUND((L50/12*Q49),1),MROUND(L50/12*P49,1)))</f>
        <v>0</v>
      </c>
      <c r="P50" s="204">
        <f t="shared" si="11"/>
        <v>0</v>
      </c>
      <c r="Q50" s="204">
        <f t="shared" si="4"/>
        <v>0</v>
      </c>
      <c r="R50" s="748">
        <v>0</v>
      </c>
    </row>
    <row r="51" spans="1:19" ht="14" thickTop="1" thickBot="1">
      <c r="A51" s="202">
        <f t="shared" si="5"/>
        <v>46054</v>
      </c>
      <c r="B51" s="65">
        <f>IF(OR(J$50=0,DG!$A$137&gt;10),0,B50+1)</f>
        <v>0</v>
      </c>
      <c r="C51" s="65">
        <f t="shared" ref="C51:C114" si="13">IF(F51-$E$269&gt;0,F51-$E$269,0)</f>
        <v>0</v>
      </c>
      <c r="D51" s="65">
        <f t="shared" si="12"/>
        <v>26</v>
      </c>
      <c r="E51" s="65">
        <f t="shared" si="6"/>
        <v>0</v>
      </c>
      <c r="F51" s="65">
        <f>IF(OR(L$51=0,DG!$A$258&gt;9),0,F50+1)</f>
        <v>0</v>
      </c>
      <c r="G51" s="65">
        <f t="shared" si="1"/>
        <v>0</v>
      </c>
      <c r="H51" s="65">
        <f t="shared" si="2"/>
        <v>0</v>
      </c>
      <c r="I51" s="65">
        <f t="shared" si="3"/>
        <v>0</v>
      </c>
      <c r="J51" s="203">
        <f>IF(DG!$A$137&lt;=10,$M$17,0)</f>
        <v>0</v>
      </c>
      <c r="K51" s="65">
        <f t="shared" si="7"/>
        <v>0</v>
      </c>
      <c r="L51" s="473">
        <f t="shared" si="8"/>
        <v>0</v>
      </c>
      <c r="M51" s="204">
        <f t="shared" si="9"/>
        <v>0</v>
      </c>
      <c r="N51" s="505">
        <f t="shared" si="10"/>
        <v>0</v>
      </c>
      <c r="O51" s="204">
        <f>IF(DG!$A$137&gt;9,0,IF(J51-J50&gt;0,MROUND((L51/12*Q50),1),MROUND(L51/12*P50,1)))</f>
        <v>0</v>
      </c>
      <c r="P51" s="204">
        <f t="shared" si="11"/>
        <v>0</v>
      </c>
      <c r="Q51" s="204">
        <f t="shared" si="4"/>
        <v>0</v>
      </c>
      <c r="R51" s="748">
        <v>0</v>
      </c>
    </row>
    <row r="52" spans="1:19" ht="14" thickTop="1" thickBot="1">
      <c r="A52" s="202">
        <f t="shared" si="5"/>
        <v>46082</v>
      </c>
      <c r="B52" s="65">
        <f t="shared" ref="B52:B61" si="14">IF(J$51=0,0,B51+1)</f>
        <v>0</v>
      </c>
      <c r="C52" s="65">
        <f t="shared" si="13"/>
        <v>0</v>
      </c>
      <c r="D52" s="65">
        <f t="shared" si="12"/>
        <v>27</v>
      </c>
      <c r="E52" s="65">
        <f t="shared" si="6"/>
        <v>0</v>
      </c>
      <c r="F52" s="65">
        <f>IF(OR(L$52=0,DG!$A$258&gt;9),0,F51+1)</f>
        <v>0</v>
      </c>
      <c r="G52" s="65">
        <f t="shared" si="1"/>
        <v>0</v>
      </c>
      <c r="H52" s="65">
        <f t="shared" si="2"/>
        <v>0</v>
      </c>
      <c r="I52" s="65">
        <f t="shared" si="3"/>
        <v>0</v>
      </c>
      <c r="J52" s="203">
        <f>IF(DG!$A$137&lt;=10,$M$17,0)</f>
        <v>0</v>
      </c>
      <c r="K52" s="65">
        <f t="shared" si="7"/>
        <v>0</v>
      </c>
      <c r="L52" s="473">
        <f t="shared" si="8"/>
        <v>0</v>
      </c>
      <c r="M52" s="204">
        <f t="shared" si="9"/>
        <v>0</v>
      </c>
      <c r="N52" s="505">
        <f t="shared" si="10"/>
        <v>0</v>
      </c>
      <c r="O52" s="204">
        <f>IF(DG!$A$137&gt;9,0,IF(J52-J51&gt;0,MROUND((L52/12*Q51),1),MROUND(L52/12*P51,1)))</f>
        <v>0</v>
      </c>
      <c r="P52" s="204">
        <f t="shared" si="11"/>
        <v>0</v>
      </c>
      <c r="Q52" s="204">
        <f t="shared" si="4"/>
        <v>0</v>
      </c>
      <c r="R52" s="748">
        <v>0</v>
      </c>
    </row>
    <row r="53" spans="1:19" ht="14" thickTop="1" thickBot="1">
      <c r="A53" s="202">
        <f t="shared" si="5"/>
        <v>46113</v>
      </c>
      <c r="B53" s="65">
        <f t="shared" si="14"/>
        <v>0</v>
      </c>
      <c r="C53" s="65">
        <f t="shared" si="13"/>
        <v>0</v>
      </c>
      <c r="D53" s="65">
        <f t="shared" si="12"/>
        <v>28</v>
      </c>
      <c r="E53" s="65">
        <f t="shared" si="6"/>
        <v>0</v>
      </c>
      <c r="F53" s="65">
        <f>IF(OR(L$53=0,DG!$A$258&gt;10),0,F52+1)</f>
        <v>0</v>
      </c>
      <c r="G53" s="65">
        <f t="shared" si="1"/>
        <v>0</v>
      </c>
      <c r="H53" s="65">
        <f t="shared" si="2"/>
        <v>0</v>
      </c>
      <c r="I53" s="65">
        <f t="shared" si="3"/>
        <v>0</v>
      </c>
      <c r="J53" s="203">
        <f>IF(DG!$A$137&lt;=10,$M$17,0)</f>
        <v>0</v>
      </c>
      <c r="K53" s="65">
        <f t="shared" si="7"/>
        <v>0</v>
      </c>
      <c r="L53" s="473">
        <f t="shared" si="8"/>
        <v>0</v>
      </c>
      <c r="M53" s="204">
        <f t="shared" si="9"/>
        <v>0</v>
      </c>
      <c r="N53" s="505">
        <f t="shared" si="10"/>
        <v>0</v>
      </c>
      <c r="O53" s="204">
        <f>IF(DG!$A$137&gt;10,0,IF(J53-J52&gt;0,MROUND((L53/12*Q52),1),MROUND(L53/12*P52,1)))</f>
        <v>0</v>
      </c>
      <c r="P53" s="204">
        <f t="shared" si="11"/>
        <v>0</v>
      </c>
      <c r="Q53" s="204">
        <f t="shared" si="4"/>
        <v>0</v>
      </c>
      <c r="R53" s="748">
        <v>0</v>
      </c>
    </row>
    <row r="54" spans="1:19" ht="14" thickTop="1" thickBot="1">
      <c r="A54" s="202">
        <f t="shared" si="5"/>
        <v>46143</v>
      </c>
      <c r="B54" s="65">
        <f t="shared" si="14"/>
        <v>0</v>
      </c>
      <c r="C54" s="65">
        <f t="shared" si="13"/>
        <v>0</v>
      </c>
      <c r="D54" s="65">
        <f t="shared" si="12"/>
        <v>29</v>
      </c>
      <c r="E54" s="65">
        <f t="shared" si="6"/>
        <v>0</v>
      </c>
      <c r="F54" s="65">
        <f>IF(OR(L$54=0,DG!$A$258&gt;10),0,F53+1)</f>
        <v>0</v>
      </c>
      <c r="G54" s="65">
        <f t="shared" si="1"/>
        <v>0</v>
      </c>
      <c r="H54" s="65">
        <f t="shared" si="2"/>
        <v>0</v>
      </c>
      <c r="I54" s="65">
        <f t="shared" si="3"/>
        <v>0</v>
      </c>
      <c r="J54" s="203">
        <f>IF(DG!$A$137&lt;=10,$M$17,0)</f>
        <v>0</v>
      </c>
      <c r="K54" s="65">
        <f t="shared" si="7"/>
        <v>0</v>
      </c>
      <c r="L54" s="473">
        <f t="shared" si="8"/>
        <v>0</v>
      </c>
      <c r="M54" s="204">
        <f t="shared" si="9"/>
        <v>0</v>
      </c>
      <c r="N54" s="505">
        <f t="shared" si="10"/>
        <v>0</v>
      </c>
      <c r="O54" s="204">
        <f>IF(DG!$A$137&gt;10,0,IF(J54-J53&gt;0,MROUND((L54/12*Q53),1),MROUND(L54/12*P53,1)))</f>
        <v>0</v>
      </c>
      <c r="P54" s="204">
        <f t="shared" si="11"/>
        <v>0</v>
      </c>
      <c r="Q54" s="204">
        <f t="shared" si="4"/>
        <v>0</v>
      </c>
      <c r="R54" s="748">
        <v>0</v>
      </c>
    </row>
    <row r="55" spans="1:19" ht="14" thickTop="1" thickBot="1">
      <c r="A55" s="202">
        <f t="shared" si="5"/>
        <v>46174</v>
      </c>
      <c r="B55" s="65">
        <f t="shared" si="14"/>
        <v>0</v>
      </c>
      <c r="C55" s="65">
        <f t="shared" si="13"/>
        <v>0</v>
      </c>
      <c r="D55" s="65">
        <f t="shared" si="12"/>
        <v>30</v>
      </c>
      <c r="E55" s="65">
        <f t="shared" si="6"/>
        <v>0</v>
      </c>
      <c r="F55" s="65">
        <f>IF(OR(L$55=0,DG!$A$258&gt;10),0,F54+1)</f>
        <v>0</v>
      </c>
      <c r="G55" s="65">
        <f t="shared" si="1"/>
        <v>0</v>
      </c>
      <c r="H55" s="65">
        <f t="shared" si="2"/>
        <v>0</v>
      </c>
      <c r="I55" s="65">
        <f t="shared" si="3"/>
        <v>0</v>
      </c>
      <c r="J55" s="203">
        <f>IF(DG!$A$137&lt;=10,$M$17,0)</f>
        <v>0</v>
      </c>
      <c r="K55" s="65">
        <f t="shared" si="7"/>
        <v>0</v>
      </c>
      <c r="L55" s="473">
        <f t="shared" si="8"/>
        <v>0</v>
      </c>
      <c r="M55" s="204">
        <f t="shared" si="9"/>
        <v>0</v>
      </c>
      <c r="N55" s="505">
        <f t="shared" si="10"/>
        <v>0</v>
      </c>
      <c r="O55" s="204">
        <f>IF(DG!$A$137&gt;10,0,IF(J55-J54&gt;0,MROUND((L55/12*Q54),1),MROUND(L55/12*P54,1)))</f>
        <v>0</v>
      </c>
      <c r="P55" s="204">
        <f t="shared" si="11"/>
        <v>0</v>
      </c>
      <c r="Q55" s="204">
        <f t="shared" si="4"/>
        <v>0</v>
      </c>
      <c r="R55" s="748">
        <v>0</v>
      </c>
    </row>
    <row r="56" spans="1:19" ht="14" thickTop="1" thickBot="1">
      <c r="A56" s="202">
        <f t="shared" si="5"/>
        <v>46204</v>
      </c>
      <c r="B56" s="65">
        <f t="shared" si="14"/>
        <v>0</v>
      </c>
      <c r="C56" s="65">
        <f t="shared" si="13"/>
        <v>0</v>
      </c>
      <c r="D56" s="65">
        <f t="shared" si="12"/>
        <v>31</v>
      </c>
      <c r="E56" s="65">
        <f t="shared" si="6"/>
        <v>0</v>
      </c>
      <c r="F56" s="65">
        <f>IF(OR(L$56=0,DG!$A$258&gt;11),0,F55+1)</f>
        <v>0</v>
      </c>
      <c r="G56" s="65">
        <f t="shared" si="1"/>
        <v>0</v>
      </c>
      <c r="H56" s="65">
        <f t="shared" si="2"/>
        <v>0</v>
      </c>
      <c r="I56" s="65">
        <f t="shared" si="3"/>
        <v>0</v>
      </c>
      <c r="J56" s="203">
        <f>IF(DG!$A$137&lt;=10,$M$17,0)</f>
        <v>0</v>
      </c>
      <c r="K56" s="65">
        <f t="shared" si="7"/>
        <v>0</v>
      </c>
      <c r="L56" s="473">
        <f t="shared" si="8"/>
        <v>0</v>
      </c>
      <c r="M56" s="204">
        <f t="shared" si="9"/>
        <v>0</v>
      </c>
      <c r="N56" s="505">
        <f t="shared" si="10"/>
        <v>0</v>
      </c>
      <c r="O56" s="204">
        <f>IF(DG!$A$137&gt;10,0,IF(J56-J55&gt;0,MROUND((L56/12*Q55),1),MROUND(L56/12*P55,1)))</f>
        <v>0</v>
      </c>
      <c r="P56" s="204">
        <f t="shared" si="11"/>
        <v>0</v>
      </c>
      <c r="Q56" s="204">
        <f t="shared" si="4"/>
        <v>0</v>
      </c>
      <c r="R56" s="748">
        <v>0</v>
      </c>
    </row>
    <row r="57" spans="1:19" ht="14" thickTop="1" thickBot="1">
      <c r="A57" s="202">
        <f t="shared" si="5"/>
        <v>46235</v>
      </c>
      <c r="B57" s="65">
        <f t="shared" si="14"/>
        <v>0</v>
      </c>
      <c r="C57" s="65">
        <f t="shared" si="13"/>
        <v>0</v>
      </c>
      <c r="D57" s="65">
        <f t="shared" si="12"/>
        <v>32</v>
      </c>
      <c r="E57" s="65">
        <f t="shared" si="6"/>
        <v>0</v>
      </c>
      <c r="F57" s="65">
        <f>IF(OR(L$57=0,DG!$A$258&gt;11),0,F56+1)</f>
        <v>0</v>
      </c>
      <c r="G57" s="65">
        <f t="shared" si="1"/>
        <v>0</v>
      </c>
      <c r="H57" s="65">
        <f t="shared" si="2"/>
        <v>0</v>
      </c>
      <c r="I57" s="65">
        <f t="shared" si="3"/>
        <v>0</v>
      </c>
      <c r="J57" s="203">
        <f>IF(DG!$A$137&lt;=10,$M$17,0)</f>
        <v>0</v>
      </c>
      <c r="K57" s="65">
        <f t="shared" si="7"/>
        <v>0</v>
      </c>
      <c r="L57" s="473">
        <f t="shared" si="8"/>
        <v>0</v>
      </c>
      <c r="M57" s="204">
        <f t="shared" si="9"/>
        <v>0</v>
      </c>
      <c r="N57" s="505">
        <f t="shared" si="10"/>
        <v>0</v>
      </c>
      <c r="O57" s="204">
        <f>IF(DG!$A$137&gt;10,0,IF(J57-J56&gt;0,MROUND((L57/12*Q56),1),MROUND(L57/12*P56,1)))</f>
        <v>0</v>
      </c>
      <c r="P57" s="204">
        <f t="shared" si="11"/>
        <v>0</v>
      </c>
      <c r="Q57" s="204">
        <f t="shared" si="4"/>
        <v>0</v>
      </c>
      <c r="R57" s="748">
        <v>0</v>
      </c>
    </row>
    <row r="58" spans="1:19" ht="14" thickTop="1" thickBot="1">
      <c r="A58" s="202">
        <f t="shared" si="5"/>
        <v>46266</v>
      </c>
      <c r="B58" s="65">
        <f t="shared" si="14"/>
        <v>0</v>
      </c>
      <c r="C58" s="65">
        <f t="shared" si="13"/>
        <v>0</v>
      </c>
      <c r="D58" s="65">
        <f t="shared" si="12"/>
        <v>33</v>
      </c>
      <c r="E58" s="65">
        <f t="shared" si="6"/>
        <v>0</v>
      </c>
      <c r="F58" s="65">
        <f>IF(OR(L$58=0,DG!$A$258&gt;11),0,F57+1)</f>
        <v>0</v>
      </c>
      <c r="G58" s="65">
        <f t="shared" si="1"/>
        <v>0</v>
      </c>
      <c r="H58" s="65">
        <f t="shared" si="2"/>
        <v>0</v>
      </c>
      <c r="I58" s="65">
        <f t="shared" si="3"/>
        <v>0</v>
      </c>
      <c r="J58" s="203">
        <f>IF(DG!$A$137&lt;=10,$M$17,0)</f>
        <v>0</v>
      </c>
      <c r="K58" s="65">
        <f t="shared" si="7"/>
        <v>0</v>
      </c>
      <c r="L58" s="473">
        <f t="shared" si="8"/>
        <v>0</v>
      </c>
      <c r="M58" s="204">
        <f t="shared" si="9"/>
        <v>0</v>
      </c>
      <c r="N58" s="505">
        <f t="shared" si="10"/>
        <v>0</v>
      </c>
      <c r="O58" s="204">
        <f>IF(DG!$A$137&gt;10,0,IF(J58-J57&gt;0,MROUND((L58/12*Q57),1),MROUND(L58/12*P57,1)))</f>
        <v>0</v>
      </c>
      <c r="P58" s="204">
        <f t="shared" si="11"/>
        <v>0</v>
      </c>
      <c r="Q58" s="204">
        <f t="shared" si="4"/>
        <v>0</v>
      </c>
      <c r="R58" s="748">
        <v>0</v>
      </c>
    </row>
    <row r="59" spans="1:19" ht="14" thickTop="1" thickBot="1">
      <c r="A59" s="202">
        <f t="shared" si="5"/>
        <v>46296</v>
      </c>
      <c r="B59" s="65">
        <f t="shared" si="14"/>
        <v>0</v>
      </c>
      <c r="C59" s="65">
        <f t="shared" si="13"/>
        <v>0</v>
      </c>
      <c r="D59" s="65">
        <f t="shared" si="12"/>
        <v>34</v>
      </c>
      <c r="E59" s="65">
        <f t="shared" si="6"/>
        <v>0</v>
      </c>
      <c r="F59" s="65">
        <f>IF(OR(L$59=0,DG!$A$258&gt;12),0,F58+1)</f>
        <v>0</v>
      </c>
      <c r="G59" s="65">
        <f t="shared" si="1"/>
        <v>0</v>
      </c>
      <c r="H59" s="65">
        <f t="shared" si="2"/>
        <v>0</v>
      </c>
      <c r="I59" s="65">
        <f t="shared" si="3"/>
        <v>0</v>
      </c>
      <c r="J59" s="203">
        <f>IF(DG!$A$137&lt;=10,$M$17,0)</f>
        <v>0</v>
      </c>
      <c r="K59" s="65">
        <f t="shared" si="7"/>
        <v>0</v>
      </c>
      <c r="L59" s="473">
        <f t="shared" si="8"/>
        <v>0</v>
      </c>
      <c r="M59" s="204">
        <f t="shared" si="9"/>
        <v>0</v>
      </c>
      <c r="N59" s="505">
        <f t="shared" si="10"/>
        <v>0</v>
      </c>
      <c r="O59" s="204">
        <f>IF(DG!$A$137&gt;10,0,IF(J59-J58&gt;0,MROUND((L59/12*Q58),1),MROUND(L59/12*P58,1)))</f>
        <v>0</v>
      </c>
      <c r="P59" s="204">
        <f t="shared" si="11"/>
        <v>0</v>
      </c>
      <c r="Q59" s="204">
        <f t="shared" si="4"/>
        <v>0</v>
      </c>
      <c r="R59" s="748">
        <v>0</v>
      </c>
    </row>
    <row r="60" spans="1:19" ht="14" thickTop="1" thickBot="1">
      <c r="A60" s="202">
        <f t="shared" si="5"/>
        <v>46327</v>
      </c>
      <c r="B60" s="65">
        <f t="shared" si="14"/>
        <v>0</v>
      </c>
      <c r="C60" s="65">
        <f t="shared" si="13"/>
        <v>0</v>
      </c>
      <c r="D60" s="65">
        <f t="shared" si="12"/>
        <v>35</v>
      </c>
      <c r="E60" s="65">
        <f t="shared" si="6"/>
        <v>0</v>
      </c>
      <c r="F60" s="65">
        <f>IF(OR(L$60=0,DG!$A$258&gt;12),0,F59+1)</f>
        <v>0</v>
      </c>
      <c r="G60" s="65">
        <f t="shared" si="1"/>
        <v>0</v>
      </c>
      <c r="H60" s="65">
        <f t="shared" si="2"/>
        <v>0</v>
      </c>
      <c r="I60" s="65">
        <f t="shared" si="3"/>
        <v>0</v>
      </c>
      <c r="J60" s="203">
        <f>IF(DG!$A$137&lt;=10,$M$17,0)</f>
        <v>0</v>
      </c>
      <c r="K60" s="65">
        <f t="shared" si="7"/>
        <v>0</v>
      </c>
      <c r="L60" s="473">
        <f t="shared" si="8"/>
        <v>0</v>
      </c>
      <c r="M60" s="204">
        <f t="shared" si="9"/>
        <v>0</v>
      </c>
      <c r="N60" s="505">
        <f t="shared" si="10"/>
        <v>0</v>
      </c>
      <c r="O60" s="204">
        <f>IF(DG!$A$137&gt;10,0,IF(J60-J59&gt;0,MROUND((L60/12*Q59),1),MROUND(L60/12*P59,1)))</f>
        <v>0</v>
      </c>
      <c r="P60" s="204">
        <f t="shared" si="11"/>
        <v>0</v>
      </c>
      <c r="Q60" s="204">
        <f t="shared" si="4"/>
        <v>0</v>
      </c>
      <c r="R60" s="748">
        <v>0</v>
      </c>
    </row>
    <row r="61" spans="1:19" ht="14" thickTop="1" thickBot="1">
      <c r="A61" s="202">
        <f t="shared" si="5"/>
        <v>46357</v>
      </c>
      <c r="B61" s="65">
        <f t="shared" si="14"/>
        <v>0</v>
      </c>
      <c r="C61" s="65">
        <f t="shared" si="13"/>
        <v>0</v>
      </c>
      <c r="D61" s="65">
        <f t="shared" si="12"/>
        <v>36</v>
      </c>
      <c r="E61" s="65">
        <f t="shared" si="6"/>
        <v>0</v>
      </c>
      <c r="F61" s="65">
        <f>IF(OR(L$61=0,DG!$A$258&gt;12),0,F60+1)</f>
        <v>0</v>
      </c>
      <c r="G61" s="65">
        <f t="shared" si="1"/>
        <v>0</v>
      </c>
      <c r="H61" s="65">
        <f t="shared" si="2"/>
        <v>0</v>
      </c>
      <c r="I61" s="65">
        <f t="shared" si="3"/>
        <v>0</v>
      </c>
      <c r="J61" s="203">
        <f>IF(DG!$A$137&lt;=10,$M$17,0)</f>
        <v>0</v>
      </c>
      <c r="K61" s="65">
        <f t="shared" si="7"/>
        <v>0</v>
      </c>
      <c r="L61" s="473">
        <f t="shared" si="8"/>
        <v>0</v>
      </c>
      <c r="M61" s="204">
        <f t="shared" si="9"/>
        <v>0</v>
      </c>
      <c r="N61" s="505">
        <f t="shared" si="10"/>
        <v>0</v>
      </c>
      <c r="O61" s="204">
        <f>IF(DG!$A$137&gt;10,0,IF(J61-J60&gt;0,MROUND((L61/12*Q60),1),MROUND(L61/12*P60,1)))</f>
        <v>0</v>
      </c>
      <c r="P61" s="204">
        <f t="shared" si="11"/>
        <v>0</v>
      </c>
      <c r="Q61" s="204">
        <f t="shared" si="4"/>
        <v>0</v>
      </c>
      <c r="R61" s="748">
        <v>0</v>
      </c>
      <c r="S61" s="511">
        <f>SUM(N50:N61)</f>
        <v>0</v>
      </c>
    </row>
    <row r="62" spans="1:19" ht="14" thickTop="1" thickBot="1">
      <c r="A62" s="202">
        <f t="shared" si="5"/>
        <v>46388</v>
      </c>
      <c r="B62" s="65">
        <f>IF(OR(J$62=0,DG!$A$137&gt;11),0,B61+1)</f>
        <v>0</v>
      </c>
      <c r="C62" s="65">
        <f t="shared" si="13"/>
        <v>0</v>
      </c>
      <c r="D62" s="65">
        <f t="shared" si="12"/>
        <v>37</v>
      </c>
      <c r="E62" s="65">
        <f t="shared" si="6"/>
        <v>0</v>
      </c>
      <c r="F62" s="65">
        <f>IF(OR(L$62=0,DG!$A$258&gt;13),0,F61+1)</f>
        <v>0</v>
      </c>
      <c r="G62" s="65">
        <f t="shared" si="1"/>
        <v>0</v>
      </c>
      <c r="H62" s="65">
        <f t="shared" si="2"/>
        <v>0</v>
      </c>
      <c r="I62" s="65">
        <f t="shared" si="3"/>
        <v>0</v>
      </c>
      <c r="J62" s="203">
        <f>IF(DG!$A$137&lt;=11,$M$17,0)</f>
        <v>0</v>
      </c>
      <c r="K62" s="65">
        <f t="shared" si="7"/>
        <v>0</v>
      </c>
      <c r="L62" s="473">
        <f t="shared" si="8"/>
        <v>0</v>
      </c>
      <c r="M62" s="204">
        <f t="shared" si="9"/>
        <v>0</v>
      </c>
      <c r="N62" s="505">
        <f t="shared" si="10"/>
        <v>0</v>
      </c>
      <c r="O62" s="204">
        <f>IF(DG!$A$137&gt;10,0,IF(J62-J61&gt;0,MROUND((L62/12*Q61),1),MROUND(L62/12*P61,1)))</f>
        <v>0</v>
      </c>
      <c r="P62" s="204">
        <f t="shared" si="11"/>
        <v>0</v>
      </c>
      <c r="Q62" s="204">
        <f t="shared" si="4"/>
        <v>0</v>
      </c>
      <c r="R62" s="748">
        <v>0</v>
      </c>
    </row>
    <row r="63" spans="1:19" ht="14" thickTop="1" thickBot="1">
      <c r="A63" s="202">
        <f t="shared" si="5"/>
        <v>46419</v>
      </c>
      <c r="B63" s="65">
        <f>IF(J$63=0,0,B62+1)</f>
        <v>0</v>
      </c>
      <c r="C63" s="65">
        <f t="shared" si="13"/>
        <v>0</v>
      </c>
      <c r="D63" s="65">
        <f t="shared" si="12"/>
        <v>38</v>
      </c>
      <c r="E63" s="65">
        <f t="shared" si="6"/>
        <v>0</v>
      </c>
      <c r="F63" s="65">
        <f>IF(OR(L$63=0,DG!$A$258&gt;13),0,F62+1)</f>
        <v>0</v>
      </c>
      <c r="G63" s="65">
        <f t="shared" si="1"/>
        <v>0</v>
      </c>
      <c r="H63" s="65">
        <f t="shared" si="2"/>
        <v>0</v>
      </c>
      <c r="I63" s="65">
        <f t="shared" si="3"/>
        <v>0</v>
      </c>
      <c r="J63" s="203">
        <f>IF(DG!$A$137&lt;=11,$M$17,0)</f>
        <v>0</v>
      </c>
      <c r="K63" s="65">
        <f t="shared" si="7"/>
        <v>0</v>
      </c>
      <c r="L63" s="473">
        <f t="shared" si="8"/>
        <v>0</v>
      </c>
      <c r="M63" s="204">
        <f t="shared" si="9"/>
        <v>0</v>
      </c>
      <c r="N63" s="505">
        <f t="shared" si="10"/>
        <v>0</v>
      </c>
      <c r="O63" s="204">
        <f>IF(DG!$A$137&gt;10,0,IF(J63-J62&gt;0,MROUND((L63/12*Q62),1),MROUND(L63/12*P62,1)))</f>
        <v>0</v>
      </c>
      <c r="P63" s="204">
        <f t="shared" si="11"/>
        <v>0</v>
      </c>
      <c r="Q63" s="204">
        <f t="shared" si="4"/>
        <v>0</v>
      </c>
      <c r="R63" s="748">
        <v>0</v>
      </c>
    </row>
    <row r="64" spans="1:19" ht="14" thickTop="1" thickBot="1">
      <c r="A64" s="202">
        <f t="shared" si="5"/>
        <v>46447</v>
      </c>
      <c r="B64" s="65">
        <f t="shared" ref="B64:B73" si="15">IF(J$63=0,0,B63+1)</f>
        <v>0</v>
      </c>
      <c r="C64" s="65">
        <f t="shared" si="13"/>
        <v>0</v>
      </c>
      <c r="D64" s="65">
        <f t="shared" si="12"/>
        <v>39</v>
      </c>
      <c r="E64" s="65">
        <f t="shared" si="6"/>
        <v>0</v>
      </c>
      <c r="F64" s="65">
        <f>IF(OR(L$64=0,DG!$A$258&gt;13),0,F63+1)</f>
        <v>0</v>
      </c>
      <c r="G64" s="65">
        <f t="shared" si="1"/>
        <v>0</v>
      </c>
      <c r="H64" s="65">
        <f t="shared" si="2"/>
        <v>0</v>
      </c>
      <c r="I64" s="65">
        <f>IF(OR(G64=1,C64=0),0,IF(K64-C64&lt;$G$269,1,-1))</f>
        <v>0</v>
      </c>
      <c r="J64" s="203">
        <f>IF(DG!$A$137&lt;=11,$M$17,0)</f>
        <v>0</v>
      </c>
      <c r="K64" s="65">
        <f t="shared" si="7"/>
        <v>0</v>
      </c>
      <c r="L64" s="473">
        <f t="shared" si="8"/>
        <v>0</v>
      </c>
      <c r="M64" s="204">
        <f t="shared" si="9"/>
        <v>0</v>
      </c>
      <c r="N64" s="505">
        <f t="shared" si="10"/>
        <v>0</v>
      </c>
      <c r="O64" s="204">
        <f>IF(DG!$A$137&gt;10,0,IF(J64-J63&gt;0,MROUND((L64/12*Q63),1),MROUND(L64/12*P63,1)))</f>
        <v>0</v>
      </c>
      <c r="P64" s="204">
        <f t="shared" si="11"/>
        <v>0</v>
      </c>
      <c r="Q64" s="204">
        <f t="shared" si="4"/>
        <v>0</v>
      </c>
      <c r="R64" s="748">
        <v>0</v>
      </c>
    </row>
    <row r="65" spans="1:19" ht="14" thickTop="1" thickBot="1">
      <c r="A65" s="202">
        <f t="shared" si="5"/>
        <v>46478</v>
      </c>
      <c r="B65" s="65">
        <f t="shared" si="15"/>
        <v>0</v>
      </c>
      <c r="C65" s="65">
        <f t="shared" si="13"/>
        <v>0</v>
      </c>
      <c r="D65" s="65">
        <f t="shared" si="12"/>
        <v>40</v>
      </c>
      <c r="E65" s="65">
        <f t="shared" si="6"/>
        <v>0</v>
      </c>
      <c r="F65" s="65">
        <f>IF(OR(L$65=0,DG!$A$258&gt;14),0,F64+1)</f>
        <v>0</v>
      </c>
      <c r="G65" s="65">
        <f t="shared" si="1"/>
        <v>0</v>
      </c>
      <c r="H65" s="65">
        <f t="shared" si="2"/>
        <v>0</v>
      </c>
      <c r="I65" s="65">
        <f t="shared" ref="I65:I128" si="16">IF(OR(G65=1,C65=0),0,IF(K65-C65&lt;$G$269,1,-1))</f>
        <v>0</v>
      </c>
      <c r="J65" s="203">
        <f>IF(DG!$A$137&lt;=11,$M$17,0)</f>
        <v>0</v>
      </c>
      <c r="K65" s="65">
        <f t="shared" si="7"/>
        <v>0</v>
      </c>
      <c r="L65" s="473">
        <f t="shared" si="8"/>
        <v>0</v>
      </c>
      <c r="M65" s="204">
        <f t="shared" si="9"/>
        <v>0</v>
      </c>
      <c r="N65" s="505">
        <f t="shared" si="10"/>
        <v>0</v>
      </c>
      <c r="O65" s="204">
        <f>IF(DG!$A$137&gt;11,0,IF(J65-J64&gt;0,MROUND((L65/12*Q64),1),MROUND(L65/12*P64,1)))</f>
        <v>0</v>
      </c>
      <c r="P65" s="204">
        <f t="shared" si="11"/>
        <v>0</v>
      </c>
      <c r="Q65" s="204">
        <f t="shared" si="4"/>
        <v>0</v>
      </c>
      <c r="R65" s="748">
        <v>0</v>
      </c>
    </row>
    <row r="66" spans="1:19" ht="14" thickTop="1" thickBot="1">
      <c r="A66" s="202">
        <f t="shared" si="5"/>
        <v>46508</v>
      </c>
      <c r="B66" s="65">
        <f t="shared" si="15"/>
        <v>0</v>
      </c>
      <c r="C66" s="65">
        <f t="shared" si="13"/>
        <v>0</v>
      </c>
      <c r="D66" s="65">
        <f t="shared" si="12"/>
        <v>41</v>
      </c>
      <c r="E66" s="65">
        <f t="shared" si="6"/>
        <v>0</v>
      </c>
      <c r="F66" s="65">
        <f>IF(OR(L$66=0,DG!$A$258&gt;14),0,F65+1)</f>
        <v>0</v>
      </c>
      <c r="G66" s="65">
        <f t="shared" si="1"/>
        <v>0</v>
      </c>
      <c r="H66" s="65">
        <f t="shared" si="2"/>
        <v>0</v>
      </c>
      <c r="I66" s="65">
        <f t="shared" si="16"/>
        <v>0</v>
      </c>
      <c r="J66" s="203">
        <f>IF(DG!$A$137&lt;=11,$M$17,0)</f>
        <v>0</v>
      </c>
      <c r="K66" s="65">
        <f t="shared" si="7"/>
        <v>0</v>
      </c>
      <c r="L66" s="473">
        <f t="shared" si="8"/>
        <v>0</v>
      </c>
      <c r="M66" s="204">
        <f t="shared" si="9"/>
        <v>0</v>
      </c>
      <c r="N66" s="505">
        <f t="shared" si="10"/>
        <v>0</v>
      </c>
      <c r="O66" s="204">
        <f>IF(DG!$A$137&gt;11,0,IF(J66-J65&gt;0,MROUND((L66/12*Q65),1),MROUND(L66/12*P65,1)))</f>
        <v>0</v>
      </c>
      <c r="P66" s="204">
        <f t="shared" si="11"/>
        <v>0</v>
      </c>
      <c r="Q66" s="204">
        <f t="shared" si="4"/>
        <v>0</v>
      </c>
      <c r="R66" s="748">
        <v>0</v>
      </c>
    </row>
    <row r="67" spans="1:19" ht="14" thickTop="1" thickBot="1">
      <c r="A67" s="202">
        <f t="shared" si="5"/>
        <v>46539</v>
      </c>
      <c r="B67" s="65">
        <f t="shared" si="15"/>
        <v>0</v>
      </c>
      <c r="C67" s="65">
        <f t="shared" si="13"/>
        <v>0</v>
      </c>
      <c r="D67" s="65">
        <f t="shared" si="12"/>
        <v>42</v>
      </c>
      <c r="E67" s="65">
        <f t="shared" si="6"/>
        <v>0</v>
      </c>
      <c r="F67" s="65">
        <f>IF(OR(L$67=0,DG!$A$258&gt;14),0,F66+1)</f>
        <v>0</v>
      </c>
      <c r="G67" s="65">
        <f t="shared" si="1"/>
        <v>0</v>
      </c>
      <c r="H67" s="65">
        <f t="shared" si="2"/>
        <v>0</v>
      </c>
      <c r="I67" s="65">
        <f t="shared" si="16"/>
        <v>0</v>
      </c>
      <c r="J67" s="203">
        <f>IF(DG!$A$137&lt;=11,$M$17,0)</f>
        <v>0</v>
      </c>
      <c r="K67" s="65">
        <f t="shared" si="7"/>
        <v>0</v>
      </c>
      <c r="L67" s="473">
        <f t="shared" si="8"/>
        <v>0</v>
      </c>
      <c r="M67" s="204">
        <f t="shared" si="9"/>
        <v>0</v>
      </c>
      <c r="N67" s="505">
        <f t="shared" si="10"/>
        <v>0</v>
      </c>
      <c r="O67" s="204">
        <f>IF(DG!$A$137&gt;11,0,IF(J67-J66&gt;0,MROUND((L67/12*Q66),1),MROUND(L67/12*P66,1)))</f>
        <v>0</v>
      </c>
      <c r="P67" s="204">
        <f t="shared" si="11"/>
        <v>0</v>
      </c>
      <c r="Q67" s="204">
        <f t="shared" si="4"/>
        <v>0</v>
      </c>
      <c r="R67" s="748">
        <v>0</v>
      </c>
    </row>
    <row r="68" spans="1:19" ht="14" thickTop="1" thickBot="1">
      <c r="A68" s="202">
        <f t="shared" si="5"/>
        <v>46569</v>
      </c>
      <c r="B68" s="65">
        <f t="shared" si="15"/>
        <v>0</v>
      </c>
      <c r="C68" s="65">
        <f t="shared" si="13"/>
        <v>0</v>
      </c>
      <c r="D68" s="65">
        <f t="shared" si="12"/>
        <v>43</v>
      </c>
      <c r="E68" s="65">
        <f t="shared" si="6"/>
        <v>0</v>
      </c>
      <c r="F68" s="65">
        <f>IF(OR(L$68=0,DG!$A$258&gt;15),0,F67+1)</f>
        <v>0</v>
      </c>
      <c r="G68" s="65">
        <f t="shared" si="1"/>
        <v>0</v>
      </c>
      <c r="H68" s="65">
        <f t="shared" si="2"/>
        <v>0</v>
      </c>
      <c r="I68" s="65">
        <f t="shared" si="16"/>
        <v>0</v>
      </c>
      <c r="J68" s="203">
        <f>IF(DG!$A$137&lt;=11,$M$17,0)</f>
        <v>0</v>
      </c>
      <c r="K68" s="65">
        <f t="shared" si="7"/>
        <v>0</v>
      </c>
      <c r="L68" s="473">
        <f t="shared" si="8"/>
        <v>0</v>
      </c>
      <c r="M68" s="204">
        <f t="shared" si="9"/>
        <v>0</v>
      </c>
      <c r="N68" s="505">
        <f t="shared" si="10"/>
        <v>0</v>
      </c>
      <c r="O68" s="204">
        <f>IF(DG!$A$137&gt;11,0,IF(J68-J67&gt;0,MROUND((L68/12*Q67),1),MROUND(L68/12*P67,1)))</f>
        <v>0</v>
      </c>
      <c r="P68" s="204">
        <f t="shared" si="11"/>
        <v>0</v>
      </c>
      <c r="Q68" s="204">
        <f t="shared" si="4"/>
        <v>0</v>
      </c>
      <c r="R68" s="748">
        <v>0</v>
      </c>
    </row>
    <row r="69" spans="1:19" ht="14" thickTop="1" thickBot="1">
      <c r="A69" s="202">
        <f t="shared" si="5"/>
        <v>46600</v>
      </c>
      <c r="B69" s="65">
        <f t="shared" si="15"/>
        <v>0</v>
      </c>
      <c r="C69" s="65">
        <f t="shared" si="13"/>
        <v>0</v>
      </c>
      <c r="D69" s="65">
        <f t="shared" si="12"/>
        <v>44</v>
      </c>
      <c r="E69" s="65">
        <f t="shared" si="6"/>
        <v>0</v>
      </c>
      <c r="F69" s="65">
        <f>IF(OR(L$69=0,DG!$A$258&gt;15),0,F68+1)</f>
        <v>0</v>
      </c>
      <c r="G69" s="65">
        <f t="shared" si="1"/>
        <v>0</v>
      </c>
      <c r="H69" s="65">
        <f t="shared" si="2"/>
        <v>0</v>
      </c>
      <c r="I69" s="65">
        <f t="shared" si="16"/>
        <v>0</v>
      </c>
      <c r="J69" s="203">
        <f>IF(DG!$A$137&lt;=11,$M$17,0)</f>
        <v>0</v>
      </c>
      <c r="K69" s="65">
        <f t="shared" si="7"/>
        <v>0</v>
      </c>
      <c r="L69" s="473">
        <f t="shared" si="8"/>
        <v>0</v>
      </c>
      <c r="M69" s="204">
        <f t="shared" si="9"/>
        <v>0</v>
      </c>
      <c r="N69" s="505">
        <f t="shared" si="10"/>
        <v>0</v>
      </c>
      <c r="O69" s="204">
        <f>IF(DG!$A$137&gt;11,0,IF(J69-J68&gt;0,MROUND((L69/12*Q68),1),MROUND(L69/12*P68,1)))</f>
        <v>0</v>
      </c>
      <c r="P69" s="204">
        <f t="shared" si="11"/>
        <v>0</v>
      </c>
      <c r="Q69" s="204">
        <f t="shared" si="4"/>
        <v>0</v>
      </c>
      <c r="R69" s="748">
        <v>0</v>
      </c>
    </row>
    <row r="70" spans="1:19" ht="14" thickTop="1" thickBot="1">
      <c r="A70" s="202">
        <f t="shared" si="5"/>
        <v>46631</v>
      </c>
      <c r="B70" s="65">
        <f t="shared" si="15"/>
        <v>0</v>
      </c>
      <c r="C70" s="65">
        <f t="shared" si="13"/>
        <v>0</v>
      </c>
      <c r="D70" s="65">
        <f t="shared" si="12"/>
        <v>45</v>
      </c>
      <c r="E70" s="65">
        <f t="shared" si="6"/>
        <v>0</v>
      </c>
      <c r="F70" s="65">
        <f>IF(OR(L$70=0,DG!$A$258&gt;15),0,F69+1)</f>
        <v>0</v>
      </c>
      <c r="G70" s="65">
        <f t="shared" si="1"/>
        <v>0</v>
      </c>
      <c r="H70" s="65">
        <f t="shared" si="2"/>
        <v>0</v>
      </c>
      <c r="I70" s="65">
        <f t="shared" si="16"/>
        <v>0</v>
      </c>
      <c r="J70" s="203">
        <f>IF(DG!$A$137&lt;=11,$M$17,0)</f>
        <v>0</v>
      </c>
      <c r="K70" s="65">
        <f t="shared" si="7"/>
        <v>0</v>
      </c>
      <c r="L70" s="473">
        <f t="shared" si="8"/>
        <v>0</v>
      </c>
      <c r="M70" s="204">
        <f t="shared" si="9"/>
        <v>0</v>
      </c>
      <c r="N70" s="505">
        <f t="shared" si="10"/>
        <v>0</v>
      </c>
      <c r="O70" s="204">
        <f>IF(DG!$A$137&gt;11,0,IF(J70-J69&gt;0,MROUND((L70/12*Q69),1),MROUND(L70/12*P69,1)))</f>
        <v>0</v>
      </c>
      <c r="P70" s="204">
        <f t="shared" si="11"/>
        <v>0</v>
      </c>
      <c r="Q70" s="204">
        <f t="shared" si="4"/>
        <v>0</v>
      </c>
      <c r="R70" s="748">
        <v>0</v>
      </c>
    </row>
    <row r="71" spans="1:19" ht="14" thickTop="1" thickBot="1">
      <c r="A71" s="202">
        <f t="shared" si="5"/>
        <v>46661</v>
      </c>
      <c r="B71" s="65">
        <f t="shared" si="15"/>
        <v>0</v>
      </c>
      <c r="C71" s="65">
        <f t="shared" si="13"/>
        <v>0</v>
      </c>
      <c r="D71" s="65">
        <f t="shared" si="12"/>
        <v>46</v>
      </c>
      <c r="E71" s="65">
        <f t="shared" si="6"/>
        <v>0</v>
      </c>
      <c r="F71" s="65">
        <f>IF(OR(L$71=0,DG!$A$258&gt;16),0,F70+1)</f>
        <v>0</v>
      </c>
      <c r="G71" s="65">
        <f t="shared" si="1"/>
        <v>0</v>
      </c>
      <c r="H71" s="65">
        <f t="shared" si="2"/>
        <v>0</v>
      </c>
      <c r="I71" s="65">
        <f t="shared" si="16"/>
        <v>0</v>
      </c>
      <c r="J71" s="203">
        <f>IF(DG!$A$137&lt;=11,$M$17,0)</f>
        <v>0</v>
      </c>
      <c r="K71" s="65">
        <f t="shared" si="7"/>
        <v>0</v>
      </c>
      <c r="L71" s="473">
        <f t="shared" si="8"/>
        <v>0</v>
      </c>
      <c r="M71" s="204">
        <f t="shared" si="9"/>
        <v>0</v>
      </c>
      <c r="N71" s="505">
        <f t="shared" si="10"/>
        <v>0</v>
      </c>
      <c r="O71" s="204">
        <f>IF(DG!$A$137&gt;11,0,IF(J71-J70&gt;0,MROUND((L71/12*Q70),1),MROUND(L71/12*P70,1)))</f>
        <v>0</v>
      </c>
      <c r="P71" s="204">
        <f t="shared" si="11"/>
        <v>0</v>
      </c>
      <c r="Q71" s="204">
        <f t="shared" si="4"/>
        <v>0</v>
      </c>
      <c r="R71" s="748">
        <v>0</v>
      </c>
    </row>
    <row r="72" spans="1:19" ht="14" thickTop="1" thickBot="1">
      <c r="A72" s="202">
        <f t="shared" si="5"/>
        <v>46692</v>
      </c>
      <c r="B72" s="65">
        <f t="shared" si="15"/>
        <v>0</v>
      </c>
      <c r="C72" s="65">
        <f t="shared" si="13"/>
        <v>0</v>
      </c>
      <c r="D72" s="65">
        <f t="shared" si="12"/>
        <v>47</v>
      </c>
      <c r="E72" s="65">
        <f t="shared" si="6"/>
        <v>0</v>
      </c>
      <c r="F72" s="65">
        <f>IF(OR(L$72=0,DG!$A$258&gt;16),0,F71+1)</f>
        <v>0</v>
      </c>
      <c r="G72" s="65">
        <f t="shared" si="1"/>
        <v>0</v>
      </c>
      <c r="H72" s="65">
        <f t="shared" si="2"/>
        <v>0</v>
      </c>
      <c r="I72" s="65">
        <f t="shared" si="16"/>
        <v>0</v>
      </c>
      <c r="J72" s="203">
        <f>IF(DG!$A$137&lt;=11,$M$17,0)</f>
        <v>0</v>
      </c>
      <c r="K72" s="65">
        <f t="shared" si="7"/>
        <v>0</v>
      </c>
      <c r="L72" s="473">
        <f t="shared" si="8"/>
        <v>0</v>
      </c>
      <c r="M72" s="204">
        <f t="shared" si="9"/>
        <v>0</v>
      </c>
      <c r="N72" s="505">
        <f t="shared" si="10"/>
        <v>0</v>
      </c>
      <c r="O72" s="204">
        <f>IF(DG!$A$137&gt;11,0,IF(J72-J71&gt;0,MROUND((L72/12*Q71),1),MROUND(L72/12*P71,1)))</f>
        <v>0</v>
      </c>
      <c r="P72" s="204">
        <f t="shared" si="11"/>
        <v>0</v>
      </c>
      <c r="Q72" s="204">
        <f t="shared" si="4"/>
        <v>0</v>
      </c>
      <c r="R72" s="748">
        <v>0</v>
      </c>
    </row>
    <row r="73" spans="1:19" ht="14" thickTop="1" thickBot="1">
      <c r="A73" s="202">
        <f t="shared" si="5"/>
        <v>46722</v>
      </c>
      <c r="B73" s="65">
        <f t="shared" si="15"/>
        <v>0</v>
      </c>
      <c r="C73" s="65">
        <f t="shared" si="13"/>
        <v>0</v>
      </c>
      <c r="D73" s="65">
        <f t="shared" si="12"/>
        <v>48</v>
      </c>
      <c r="E73" s="65">
        <f t="shared" si="6"/>
        <v>0</v>
      </c>
      <c r="F73" s="65">
        <f>IF(OR(L$73=0,DG!$A$258&gt;16),0,F72+1)</f>
        <v>0</v>
      </c>
      <c r="G73" s="65">
        <f t="shared" si="1"/>
        <v>0</v>
      </c>
      <c r="H73" s="65">
        <f t="shared" si="2"/>
        <v>0</v>
      </c>
      <c r="I73" s="65">
        <f t="shared" si="16"/>
        <v>0</v>
      </c>
      <c r="J73" s="203">
        <f>IF(DG!$A$137&lt;=11,$M$17,0)</f>
        <v>0</v>
      </c>
      <c r="K73" s="65">
        <f t="shared" si="7"/>
        <v>0</v>
      </c>
      <c r="L73" s="473">
        <f t="shared" si="8"/>
        <v>0</v>
      </c>
      <c r="M73" s="204">
        <f t="shared" si="9"/>
        <v>0</v>
      </c>
      <c r="N73" s="505">
        <f t="shared" si="10"/>
        <v>0</v>
      </c>
      <c r="O73" s="204">
        <f>IF(DG!$A$137&gt;11,0,IF(J73-J72&gt;0,MROUND((L73/12*Q72),1),MROUND(L73/12*P72,1)))</f>
        <v>0</v>
      </c>
      <c r="P73" s="204">
        <f t="shared" si="11"/>
        <v>0</v>
      </c>
      <c r="Q73" s="204">
        <f t="shared" si="4"/>
        <v>0</v>
      </c>
      <c r="R73" s="748">
        <v>0</v>
      </c>
      <c r="S73" s="511">
        <f>SUM(N62:N73)</f>
        <v>0</v>
      </c>
    </row>
    <row r="74" spans="1:19" ht="14" thickTop="1" thickBot="1">
      <c r="A74" s="202">
        <f t="shared" si="5"/>
        <v>46753</v>
      </c>
      <c r="B74" s="65">
        <f>IF(OR(J$73=0,DG!$A$137&gt;12),0,B73+1)</f>
        <v>0</v>
      </c>
      <c r="C74" s="65">
        <f t="shared" si="13"/>
        <v>0</v>
      </c>
      <c r="D74" s="65">
        <f t="shared" si="12"/>
        <v>49</v>
      </c>
      <c r="E74" s="65">
        <f t="shared" si="6"/>
        <v>0</v>
      </c>
      <c r="F74" s="65">
        <f>IF(OR(L$73=0,DG!$A$258&gt;16),0,F73+1)</f>
        <v>0</v>
      </c>
      <c r="G74" s="65">
        <f t="shared" si="1"/>
        <v>0</v>
      </c>
      <c r="H74" s="65">
        <f t="shared" si="2"/>
        <v>0</v>
      </c>
      <c r="I74" s="65">
        <f t="shared" si="16"/>
        <v>0</v>
      </c>
      <c r="J74" s="203">
        <f>IF(DG!$A$137&lt;=12,$M$17,0)</f>
        <v>0</v>
      </c>
      <c r="K74" s="65">
        <f t="shared" si="7"/>
        <v>0</v>
      </c>
      <c r="L74" s="473">
        <f t="shared" si="8"/>
        <v>0</v>
      </c>
      <c r="M74" s="204">
        <f t="shared" si="9"/>
        <v>0</v>
      </c>
      <c r="N74" s="505">
        <f t="shared" si="10"/>
        <v>0</v>
      </c>
      <c r="O74" s="204">
        <f>IF(DG!$A$137&gt;11,0,IF(J74-J73&gt;0,MROUND((L74/12*Q73),1),MROUND(L74/12*P73,1)))</f>
        <v>0</v>
      </c>
      <c r="P74" s="204">
        <f t="shared" si="11"/>
        <v>0</v>
      </c>
      <c r="Q74" s="204">
        <f t="shared" si="4"/>
        <v>0</v>
      </c>
      <c r="R74" s="748">
        <v>0</v>
      </c>
      <c r="S74" s="511">
        <f t="shared" ref="S74:S137" si="17">SUM(N63:N74)</f>
        <v>0</v>
      </c>
    </row>
    <row r="75" spans="1:19" ht="14" thickTop="1" thickBot="1">
      <c r="A75" s="202">
        <f t="shared" si="5"/>
        <v>46784</v>
      </c>
      <c r="B75" s="65">
        <f>IF(J$73=0,0,B74+1)</f>
        <v>0</v>
      </c>
      <c r="C75" s="65">
        <f t="shared" si="13"/>
        <v>0</v>
      </c>
      <c r="D75" s="65">
        <f t="shared" si="12"/>
        <v>50</v>
      </c>
      <c r="E75" s="65">
        <f t="shared" si="6"/>
        <v>0</v>
      </c>
      <c r="F75" s="65">
        <f>IF(OR(L$73=0,DG!$A$258&gt;16),0,F74+1)</f>
        <v>0</v>
      </c>
      <c r="G75" s="65">
        <f t="shared" si="1"/>
        <v>0</v>
      </c>
      <c r="H75" s="65">
        <f t="shared" si="2"/>
        <v>0</v>
      </c>
      <c r="I75" s="65">
        <f t="shared" si="16"/>
        <v>0</v>
      </c>
      <c r="J75" s="203">
        <f>IF(DG!$A$137&lt;=12,$M$17,0)</f>
        <v>0</v>
      </c>
      <c r="K75" s="65">
        <f t="shared" si="7"/>
        <v>0</v>
      </c>
      <c r="L75" s="473">
        <f t="shared" si="8"/>
        <v>0</v>
      </c>
      <c r="M75" s="204">
        <f t="shared" si="9"/>
        <v>0</v>
      </c>
      <c r="N75" s="505">
        <f t="shared" si="10"/>
        <v>0</v>
      </c>
      <c r="O75" s="204">
        <f>IF(DG!$A$137&gt;11,0,IF(J75-J74&gt;0,MROUND((L75/12*Q74),1),MROUND(L75/12*P74,1)))</f>
        <v>0</v>
      </c>
      <c r="P75" s="204">
        <f t="shared" si="11"/>
        <v>0</v>
      </c>
      <c r="Q75" s="204">
        <f t="shared" si="4"/>
        <v>0</v>
      </c>
      <c r="R75" s="748">
        <v>0</v>
      </c>
      <c r="S75" s="511">
        <f t="shared" si="17"/>
        <v>0</v>
      </c>
    </row>
    <row r="76" spans="1:19" ht="14" thickTop="1" thickBot="1">
      <c r="A76" s="202">
        <f t="shared" si="5"/>
        <v>46813</v>
      </c>
      <c r="B76" s="65">
        <f t="shared" ref="B76:B139" si="18">IF(J$73=0,0,B75+1)</f>
        <v>0</v>
      </c>
      <c r="C76" s="65">
        <f t="shared" si="13"/>
        <v>0</v>
      </c>
      <c r="D76" s="65">
        <f t="shared" si="12"/>
        <v>51</v>
      </c>
      <c r="E76" s="65">
        <f t="shared" si="6"/>
        <v>0</v>
      </c>
      <c r="F76" s="65">
        <f>IF(OR(L$73=0,DG!$A$258&gt;16),0,F75+1)</f>
        <v>0</v>
      </c>
      <c r="G76" s="65">
        <f t="shared" si="1"/>
        <v>0</v>
      </c>
      <c r="H76" s="65">
        <f t="shared" si="2"/>
        <v>0</v>
      </c>
      <c r="I76" s="65">
        <f t="shared" si="16"/>
        <v>0</v>
      </c>
      <c r="J76" s="203">
        <f>IF(DG!$A$137&lt;=11,$M$17,0)</f>
        <v>0</v>
      </c>
      <c r="K76" s="65">
        <f t="shared" si="7"/>
        <v>0</v>
      </c>
      <c r="L76" s="473">
        <f t="shared" si="8"/>
        <v>0</v>
      </c>
      <c r="M76" s="204">
        <f t="shared" si="9"/>
        <v>0</v>
      </c>
      <c r="N76" s="505">
        <f t="shared" si="10"/>
        <v>0</v>
      </c>
      <c r="O76" s="204">
        <f>IF(DG!$A$137&gt;11,0,IF(J76-J75&gt;0,MROUND((L76/12*Q75),1),MROUND(L76/12*P75,1)))</f>
        <v>0</v>
      </c>
      <c r="P76" s="204">
        <f t="shared" si="11"/>
        <v>0</v>
      </c>
      <c r="Q76" s="204">
        <f t="shared" si="4"/>
        <v>0</v>
      </c>
      <c r="R76" s="748">
        <v>0</v>
      </c>
      <c r="S76" s="511">
        <f t="shared" si="17"/>
        <v>0</v>
      </c>
    </row>
    <row r="77" spans="1:19" ht="14" thickTop="1" thickBot="1">
      <c r="A77" s="202">
        <f t="shared" si="5"/>
        <v>46844</v>
      </c>
      <c r="B77" s="65">
        <f t="shared" si="18"/>
        <v>0</v>
      </c>
      <c r="C77" s="65">
        <f t="shared" si="13"/>
        <v>0</v>
      </c>
      <c r="D77" s="65">
        <f t="shared" si="12"/>
        <v>52</v>
      </c>
      <c r="E77" s="65">
        <f t="shared" si="6"/>
        <v>0</v>
      </c>
      <c r="F77" s="65">
        <f>IF(OR(L$73=0,DG!$A$258&gt;16),0,F76+1)</f>
        <v>0</v>
      </c>
      <c r="G77" s="65">
        <f t="shared" si="1"/>
        <v>0</v>
      </c>
      <c r="H77" s="65">
        <f t="shared" si="2"/>
        <v>0</v>
      </c>
      <c r="I77" s="65">
        <f t="shared" si="16"/>
        <v>0</v>
      </c>
      <c r="J77" s="203">
        <f>IF(DG!$A$137&lt;=11,$M$17,0)</f>
        <v>0</v>
      </c>
      <c r="K77" s="65">
        <f t="shared" si="7"/>
        <v>0</v>
      </c>
      <c r="L77" s="473">
        <f t="shared" si="8"/>
        <v>0</v>
      </c>
      <c r="M77" s="204">
        <f t="shared" si="9"/>
        <v>0</v>
      </c>
      <c r="N77" s="505">
        <f t="shared" si="10"/>
        <v>0</v>
      </c>
      <c r="O77" s="204">
        <f>IF(DG!$A$137&gt;12,0,IF(J77-J76&gt;0,MROUND((L77/12*Q76),1),MROUND(L77/12*P76,1)))</f>
        <v>0</v>
      </c>
      <c r="P77" s="204">
        <f t="shared" si="11"/>
        <v>0</v>
      </c>
      <c r="Q77" s="204">
        <f t="shared" si="4"/>
        <v>0</v>
      </c>
      <c r="R77" s="748">
        <v>0</v>
      </c>
      <c r="S77" s="511">
        <f t="shared" si="17"/>
        <v>0</v>
      </c>
    </row>
    <row r="78" spans="1:19" ht="14" thickTop="1" thickBot="1">
      <c r="A78" s="202">
        <f t="shared" si="5"/>
        <v>46874</v>
      </c>
      <c r="B78" s="65">
        <f t="shared" si="18"/>
        <v>0</v>
      </c>
      <c r="C78" s="65">
        <f t="shared" si="13"/>
        <v>0</v>
      </c>
      <c r="D78" s="65">
        <f t="shared" si="12"/>
        <v>53</v>
      </c>
      <c r="E78" s="65">
        <f t="shared" si="6"/>
        <v>0</v>
      </c>
      <c r="F78" s="65">
        <f>IF(OR(L$73=0,DG!$A$258&gt;16),0,F77+1)</f>
        <v>0</v>
      </c>
      <c r="G78" s="65">
        <f t="shared" si="1"/>
        <v>0</v>
      </c>
      <c r="H78" s="65">
        <f t="shared" si="2"/>
        <v>0</v>
      </c>
      <c r="I78" s="65">
        <f t="shared" si="16"/>
        <v>0</v>
      </c>
      <c r="J78" s="203">
        <f>IF(DG!$A$137&lt;=11,$M$17,0)</f>
        <v>0</v>
      </c>
      <c r="K78" s="65">
        <f t="shared" si="7"/>
        <v>0</v>
      </c>
      <c r="L78" s="473">
        <f t="shared" si="8"/>
        <v>0</v>
      </c>
      <c r="M78" s="204">
        <f t="shared" si="9"/>
        <v>0</v>
      </c>
      <c r="N78" s="505">
        <f t="shared" si="10"/>
        <v>0</v>
      </c>
      <c r="O78" s="204">
        <f>IF(DG!$A$137&gt;12,0,IF(J78-J77&gt;0,MROUND((L78/12*Q77),1),MROUND(L78/12*P77,1)))</f>
        <v>0</v>
      </c>
      <c r="P78" s="204">
        <f t="shared" si="11"/>
        <v>0</v>
      </c>
      <c r="Q78" s="204">
        <f t="shared" si="4"/>
        <v>0</v>
      </c>
      <c r="R78" s="748">
        <v>0</v>
      </c>
      <c r="S78" s="511">
        <f t="shared" si="17"/>
        <v>0</v>
      </c>
    </row>
    <row r="79" spans="1:19" ht="14" thickTop="1" thickBot="1">
      <c r="A79" s="202">
        <f t="shared" si="5"/>
        <v>46905</v>
      </c>
      <c r="B79" s="65">
        <f t="shared" si="18"/>
        <v>0</v>
      </c>
      <c r="C79" s="65">
        <f t="shared" si="13"/>
        <v>0</v>
      </c>
      <c r="D79" s="65">
        <f t="shared" si="12"/>
        <v>54</v>
      </c>
      <c r="E79" s="65">
        <f t="shared" si="6"/>
        <v>0</v>
      </c>
      <c r="F79" s="65">
        <f>IF(OR(L$73=0,DG!$A$258&gt;16),0,F78+1)</f>
        <v>0</v>
      </c>
      <c r="G79" s="65">
        <f t="shared" si="1"/>
        <v>0</v>
      </c>
      <c r="H79" s="65">
        <f t="shared" si="2"/>
        <v>0</v>
      </c>
      <c r="I79" s="65">
        <f t="shared" si="16"/>
        <v>0</v>
      </c>
      <c r="J79" s="203">
        <f>IF(DG!$A$137&lt;=11,$M$17,0)</f>
        <v>0</v>
      </c>
      <c r="K79" s="65">
        <f t="shared" si="7"/>
        <v>0</v>
      </c>
      <c r="L79" s="473">
        <f t="shared" si="8"/>
        <v>0</v>
      </c>
      <c r="M79" s="204">
        <f t="shared" si="9"/>
        <v>0</v>
      </c>
      <c r="N79" s="505">
        <f t="shared" si="10"/>
        <v>0</v>
      </c>
      <c r="O79" s="204">
        <f>IF(DG!$A$137&gt;12,0,IF(J79-J78&gt;0,MROUND((L79/12*Q78),1),MROUND(L79/12*P78,1)))</f>
        <v>0</v>
      </c>
      <c r="P79" s="204">
        <f t="shared" si="11"/>
        <v>0</v>
      </c>
      <c r="Q79" s="204">
        <f t="shared" si="4"/>
        <v>0</v>
      </c>
      <c r="R79" s="748">
        <v>0</v>
      </c>
      <c r="S79" s="511">
        <f t="shared" si="17"/>
        <v>0</v>
      </c>
    </row>
    <row r="80" spans="1:19" ht="14" thickTop="1" thickBot="1">
      <c r="A80" s="202">
        <f t="shared" si="5"/>
        <v>46935</v>
      </c>
      <c r="B80" s="65">
        <f t="shared" si="18"/>
        <v>0</v>
      </c>
      <c r="C80" s="65">
        <f t="shared" si="13"/>
        <v>0</v>
      </c>
      <c r="D80" s="65">
        <f t="shared" si="12"/>
        <v>55</v>
      </c>
      <c r="E80" s="65">
        <f t="shared" si="6"/>
        <v>0</v>
      </c>
      <c r="F80" s="65">
        <f>IF(OR(L$73=0,DG!$A$258&gt;16),0,F79+1)</f>
        <v>0</v>
      </c>
      <c r="G80" s="65">
        <f t="shared" si="1"/>
        <v>0</v>
      </c>
      <c r="H80" s="65">
        <f t="shared" si="2"/>
        <v>0</v>
      </c>
      <c r="I80" s="65">
        <f t="shared" si="16"/>
        <v>0</v>
      </c>
      <c r="J80" s="203">
        <f>IF(DG!$A$137&lt;=11,$M$17,0)</f>
        <v>0</v>
      </c>
      <c r="K80" s="65">
        <f t="shared" si="7"/>
        <v>0</v>
      </c>
      <c r="L80" s="473">
        <f t="shared" si="8"/>
        <v>0</v>
      </c>
      <c r="M80" s="204">
        <f t="shared" si="9"/>
        <v>0</v>
      </c>
      <c r="N80" s="505">
        <f t="shared" si="10"/>
        <v>0</v>
      </c>
      <c r="O80" s="204">
        <f>IF(DG!$A$137&gt;12,0,IF(J80-J79&gt;0,MROUND((L80/12*Q79),1),MROUND(L80/12*P79,1)))</f>
        <v>0</v>
      </c>
      <c r="P80" s="204">
        <f t="shared" si="11"/>
        <v>0</v>
      </c>
      <c r="Q80" s="204">
        <f t="shared" si="4"/>
        <v>0</v>
      </c>
      <c r="R80" s="748">
        <v>0</v>
      </c>
      <c r="S80" s="511">
        <f t="shared" si="17"/>
        <v>0</v>
      </c>
    </row>
    <row r="81" spans="1:19" ht="14" thickTop="1" thickBot="1">
      <c r="A81" s="202">
        <f t="shared" si="5"/>
        <v>46966</v>
      </c>
      <c r="B81" s="65">
        <f t="shared" si="18"/>
        <v>0</v>
      </c>
      <c r="C81" s="65">
        <f t="shared" si="13"/>
        <v>0</v>
      </c>
      <c r="D81" s="65">
        <f t="shared" si="12"/>
        <v>56</v>
      </c>
      <c r="E81" s="65">
        <f t="shared" si="6"/>
        <v>0</v>
      </c>
      <c r="F81" s="65">
        <f>IF(OR(L$73=0,DG!$A$258&gt;16),0,F80+1)</f>
        <v>0</v>
      </c>
      <c r="G81" s="65">
        <f t="shared" si="1"/>
        <v>0</v>
      </c>
      <c r="H81" s="65">
        <f t="shared" si="2"/>
        <v>0</v>
      </c>
      <c r="I81" s="65">
        <f t="shared" si="16"/>
        <v>0</v>
      </c>
      <c r="J81" s="203">
        <f>IF(DG!$A$137&lt;=11,$M$17,0)</f>
        <v>0</v>
      </c>
      <c r="K81" s="65">
        <f t="shared" si="7"/>
        <v>0</v>
      </c>
      <c r="L81" s="473">
        <f t="shared" si="8"/>
        <v>0</v>
      </c>
      <c r="M81" s="204">
        <f t="shared" si="9"/>
        <v>0</v>
      </c>
      <c r="N81" s="505">
        <f t="shared" si="10"/>
        <v>0</v>
      </c>
      <c r="O81" s="204">
        <f>IF(DG!$A$137&gt;12,0,IF(J81-J80&gt;0,MROUND((L81/12*Q80),1),MROUND(L81/12*P80,1)))</f>
        <v>0</v>
      </c>
      <c r="P81" s="204">
        <f t="shared" si="11"/>
        <v>0</v>
      </c>
      <c r="Q81" s="204">
        <f t="shared" si="4"/>
        <v>0</v>
      </c>
      <c r="R81" s="748">
        <v>0</v>
      </c>
      <c r="S81" s="511">
        <f t="shared" si="17"/>
        <v>0</v>
      </c>
    </row>
    <row r="82" spans="1:19" ht="14" thickTop="1" thickBot="1">
      <c r="A82" s="202">
        <f t="shared" si="5"/>
        <v>46997</v>
      </c>
      <c r="B82" s="65">
        <f t="shared" si="18"/>
        <v>0</v>
      </c>
      <c r="C82" s="65">
        <f t="shared" si="13"/>
        <v>0</v>
      </c>
      <c r="D82" s="65">
        <f t="shared" si="12"/>
        <v>57</v>
      </c>
      <c r="E82" s="65">
        <f t="shared" si="6"/>
        <v>0</v>
      </c>
      <c r="F82" s="65">
        <f>IF(OR(L$73=0,DG!$A$258&gt;16),0,F81+1)</f>
        <v>0</v>
      </c>
      <c r="G82" s="65">
        <f t="shared" si="1"/>
        <v>0</v>
      </c>
      <c r="H82" s="65">
        <f t="shared" si="2"/>
        <v>0</v>
      </c>
      <c r="I82" s="65">
        <f t="shared" si="16"/>
        <v>0</v>
      </c>
      <c r="J82" s="203">
        <f>IF(DG!$A$137&lt;=11,$M$17,0)</f>
        <v>0</v>
      </c>
      <c r="K82" s="65">
        <f t="shared" si="7"/>
        <v>0</v>
      </c>
      <c r="L82" s="473">
        <f t="shared" si="8"/>
        <v>0</v>
      </c>
      <c r="M82" s="204">
        <f t="shared" si="9"/>
        <v>0</v>
      </c>
      <c r="N82" s="505">
        <f t="shared" si="10"/>
        <v>0</v>
      </c>
      <c r="O82" s="204">
        <f>IF(DG!$A$137&gt;12,0,IF(J82-J81&gt;0,MROUND((L82/12*Q81),1),MROUND(L82/12*P81,1)))</f>
        <v>0</v>
      </c>
      <c r="P82" s="204">
        <f t="shared" si="11"/>
        <v>0</v>
      </c>
      <c r="Q82" s="204">
        <f t="shared" si="4"/>
        <v>0</v>
      </c>
      <c r="R82" s="748">
        <v>0</v>
      </c>
      <c r="S82" s="511">
        <f t="shared" si="17"/>
        <v>0</v>
      </c>
    </row>
    <row r="83" spans="1:19" ht="14" thickTop="1" thickBot="1">
      <c r="A83" s="202">
        <f t="shared" si="5"/>
        <v>47027</v>
      </c>
      <c r="B83" s="65">
        <f t="shared" si="18"/>
        <v>0</v>
      </c>
      <c r="C83" s="65">
        <f t="shared" si="13"/>
        <v>0</v>
      </c>
      <c r="D83" s="65">
        <f t="shared" si="12"/>
        <v>58</v>
      </c>
      <c r="E83" s="65">
        <f t="shared" si="6"/>
        <v>0</v>
      </c>
      <c r="F83" s="65">
        <f>IF(OR(L$73=0,DG!$A$258&gt;16),0,F82+1)</f>
        <v>0</v>
      </c>
      <c r="G83" s="65">
        <f t="shared" si="1"/>
        <v>0</v>
      </c>
      <c r="H83" s="65">
        <f t="shared" si="2"/>
        <v>0</v>
      </c>
      <c r="I83" s="65">
        <f t="shared" si="16"/>
        <v>0</v>
      </c>
      <c r="J83" s="203">
        <f>IF(DG!$A$137&lt;=11,$M$17,0)</f>
        <v>0</v>
      </c>
      <c r="K83" s="65">
        <f t="shared" si="7"/>
        <v>0</v>
      </c>
      <c r="L83" s="473">
        <f t="shared" si="8"/>
        <v>0</v>
      </c>
      <c r="M83" s="204">
        <f t="shared" si="9"/>
        <v>0</v>
      </c>
      <c r="N83" s="505">
        <f t="shared" si="10"/>
        <v>0</v>
      </c>
      <c r="O83" s="204">
        <f>IF(DG!$A$137&gt;12,0,IF(J83-J82&gt;0,MROUND((L83/12*Q82),1),MROUND(L83/12*P82,1)))</f>
        <v>0</v>
      </c>
      <c r="P83" s="204">
        <f t="shared" si="11"/>
        <v>0</v>
      </c>
      <c r="Q83" s="204">
        <f t="shared" si="4"/>
        <v>0</v>
      </c>
      <c r="R83" s="748">
        <v>0</v>
      </c>
      <c r="S83" s="511">
        <f t="shared" si="17"/>
        <v>0</v>
      </c>
    </row>
    <row r="84" spans="1:19" ht="14" thickTop="1" thickBot="1">
      <c r="A84" s="202">
        <f t="shared" si="5"/>
        <v>47058</v>
      </c>
      <c r="B84" s="65">
        <f t="shared" si="18"/>
        <v>0</v>
      </c>
      <c r="C84" s="65">
        <f t="shared" si="13"/>
        <v>0</v>
      </c>
      <c r="D84" s="65">
        <f t="shared" si="12"/>
        <v>59</v>
      </c>
      <c r="E84" s="65">
        <f t="shared" si="6"/>
        <v>0</v>
      </c>
      <c r="F84" s="65">
        <f>IF(OR(L$73=0,DG!$A$258&gt;16),0,F83+1)</f>
        <v>0</v>
      </c>
      <c r="G84" s="65">
        <f t="shared" si="1"/>
        <v>0</v>
      </c>
      <c r="H84" s="65">
        <f t="shared" si="2"/>
        <v>0</v>
      </c>
      <c r="I84" s="65">
        <f t="shared" si="16"/>
        <v>0</v>
      </c>
      <c r="J84" s="203">
        <f>IF(DG!$A$137&lt;=11,$M$17,0)</f>
        <v>0</v>
      </c>
      <c r="K84" s="65">
        <f t="shared" si="7"/>
        <v>0</v>
      </c>
      <c r="L84" s="473">
        <f t="shared" si="8"/>
        <v>0</v>
      </c>
      <c r="M84" s="204">
        <f t="shared" si="9"/>
        <v>0</v>
      </c>
      <c r="N84" s="505">
        <f t="shared" si="10"/>
        <v>0</v>
      </c>
      <c r="O84" s="204">
        <f>IF(DG!$A$137&gt;12,0,IF(J84-J83&gt;0,MROUND((L84/12*Q83),1),MROUND(L84/12*P83,1)))</f>
        <v>0</v>
      </c>
      <c r="P84" s="204">
        <f t="shared" si="11"/>
        <v>0</v>
      </c>
      <c r="Q84" s="204">
        <f t="shared" si="4"/>
        <v>0</v>
      </c>
      <c r="R84" s="748">
        <v>0</v>
      </c>
      <c r="S84" s="511">
        <f t="shared" si="17"/>
        <v>0</v>
      </c>
    </row>
    <row r="85" spans="1:19" ht="14" thickTop="1" thickBot="1">
      <c r="A85" s="202">
        <f t="shared" si="5"/>
        <v>47088</v>
      </c>
      <c r="B85" s="65">
        <f t="shared" si="18"/>
        <v>0</v>
      </c>
      <c r="C85" s="65">
        <f t="shared" si="13"/>
        <v>0</v>
      </c>
      <c r="D85" s="65">
        <f t="shared" si="12"/>
        <v>60</v>
      </c>
      <c r="E85" s="65">
        <f t="shared" si="6"/>
        <v>0</v>
      </c>
      <c r="F85" s="65">
        <f>IF(OR(L$73=0,DG!$A$258&gt;16),0,F84+1)</f>
        <v>0</v>
      </c>
      <c r="G85" s="65">
        <f t="shared" si="1"/>
        <v>0</v>
      </c>
      <c r="H85" s="65">
        <f t="shared" si="2"/>
        <v>0</v>
      </c>
      <c r="I85" s="65">
        <f t="shared" si="16"/>
        <v>0</v>
      </c>
      <c r="J85" s="203">
        <f>IF(DG!$A$137&lt;=11,$M$17,0)</f>
        <v>0</v>
      </c>
      <c r="K85" s="65">
        <f t="shared" si="7"/>
        <v>0</v>
      </c>
      <c r="L85" s="473">
        <f t="shared" si="8"/>
        <v>0</v>
      </c>
      <c r="M85" s="204">
        <f t="shared" si="9"/>
        <v>0</v>
      </c>
      <c r="N85" s="505">
        <f t="shared" si="10"/>
        <v>0</v>
      </c>
      <c r="O85" s="204">
        <f>IF(DG!$A$137&gt;12,0,IF(J85-J84&gt;0,MROUND((L85/12*Q84),1),MROUND(L85/12*P84,1)))</f>
        <v>0</v>
      </c>
      <c r="P85" s="204">
        <f t="shared" si="11"/>
        <v>0</v>
      </c>
      <c r="Q85" s="204">
        <f t="shared" si="4"/>
        <v>0</v>
      </c>
      <c r="R85" s="748">
        <v>0</v>
      </c>
      <c r="S85" s="511">
        <f t="shared" si="17"/>
        <v>0</v>
      </c>
    </row>
    <row r="86" spans="1:19" ht="14" thickTop="1" thickBot="1">
      <c r="A86" s="202">
        <f t="shared" si="5"/>
        <v>47119</v>
      </c>
      <c r="B86" s="65">
        <f t="shared" si="18"/>
        <v>0</v>
      </c>
      <c r="C86" s="65">
        <f t="shared" si="13"/>
        <v>0</v>
      </c>
      <c r="D86" s="65">
        <f t="shared" si="12"/>
        <v>61</v>
      </c>
      <c r="E86" s="65">
        <f t="shared" si="6"/>
        <v>0</v>
      </c>
      <c r="F86" s="65">
        <f>IF(OR(L$73=0,DG!$A$258&gt;16),0,F85+1)</f>
        <v>0</v>
      </c>
      <c r="G86" s="65">
        <f t="shared" si="1"/>
        <v>0</v>
      </c>
      <c r="H86" s="65">
        <f t="shared" si="2"/>
        <v>0</v>
      </c>
      <c r="I86" s="65">
        <f t="shared" si="16"/>
        <v>0</v>
      </c>
      <c r="J86" s="203">
        <f>IF(DG!$A$137&lt;=11,$M$17,0)</f>
        <v>0</v>
      </c>
      <c r="K86" s="65">
        <f t="shared" si="7"/>
        <v>0</v>
      </c>
      <c r="L86" s="473">
        <f t="shared" si="8"/>
        <v>0</v>
      </c>
      <c r="M86" s="204">
        <f t="shared" si="9"/>
        <v>0</v>
      </c>
      <c r="N86" s="505">
        <f t="shared" si="10"/>
        <v>0</v>
      </c>
      <c r="O86" s="204">
        <f>IF(DG!$A$137&gt;12,0,IF(J86-J85&gt;0,MROUND((L86/12*Q85),1),MROUND(L86/12*P85,1)))</f>
        <v>0</v>
      </c>
      <c r="P86" s="204">
        <f t="shared" si="11"/>
        <v>0</v>
      </c>
      <c r="Q86" s="204">
        <f t="shared" si="4"/>
        <v>0</v>
      </c>
      <c r="R86" s="748">
        <v>0</v>
      </c>
      <c r="S86" s="511">
        <f t="shared" si="17"/>
        <v>0</v>
      </c>
    </row>
    <row r="87" spans="1:19" ht="14" thickTop="1" thickBot="1">
      <c r="A87" s="202">
        <f t="shared" si="5"/>
        <v>47150</v>
      </c>
      <c r="B87" s="65">
        <f t="shared" si="18"/>
        <v>0</v>
      </c>
      <c r="C87" s="65">
        <f t="shared" si="13"/>
        <v>0</v>
      </c>
      <c r="D87" s="65">
        <f t="shared" si="12"/>
        <v>62</v>
      </c>
      <c r="E87" s="65">
        <f t="shared" si="6"/>
        <v>0</v>
      </c>
      <c r="F87" s="65">
        <f>IF(OR(L$73=0,DG!$A$258&gt;16),0,F86+1)</f>
        <v>0</v>
      </c>
      <c r="G87" s="65">
        <f t="shared" si="1"/>
        <v>0</v>
      </c>
      <c r="H87" s="65">
        <f t="shared" si="2"/>
        <v>0</v>
      </c>
      <c r="I87" s="65">
        <f t="shared" si="16"/>
        <v>0</v>
      </c>
      <c r="J87" s="203">
        <f>IF(DG!$A$137&lt;=11,$M$17,0)</f>
        <v>0</v>
      </c>
      <c r="K87" s="65">
        <f t="shared" si="7"/>
        <v>0</v>
      </c>
      <c r="L87" s="473">
        <f t="shared" si="8"/>
        <v>0</v>
      </c>
      <c r="M87" s="204">
        <f t="shared" si="9"/>
        <v>0</v>
      </c>
      <c r="N87" s="505">
        <f t="shared" si="10"/>
        <v>0</v>
      </c>
      <c r="O87" s="204">
        <f>IF(DG!$A$137&gt;12,0,IF(J87-J86&gt;0,MROUND((L87/12*Q86),1),MROUND(L87/12*P86,1)))</f>
        <v>0</v>
      </c>
      <c r="P87" s="204">
        <f t="shared" si="11"/>
        <v>0</v>
      </c>
      <c r="Q87" s="204">
        <f t="shared" si="4"/>
        <v>0</v>
      </c>
      <c r="R87" s="748">
        <v>0</v>
      </c>
      <c r="S87" s="511">
        <f t="shared" si="17"/>
        <v>0</v>
      </c>
    </row>
    <row r="88" spans="1:19" ht="14" thickTop="1" thickBot="1">
      <c r="A88" s="202">
        <f t="shared" si="5"/>
        <v>47178</v>
      </c>
      <c r="B88" s="65">
        <f t="shared" si="18"/>
        <v>0</v>
      </c>
      <c r="C88" s="65">
        <f t="shared" si="13"/>
        <v>0</v>
      </c>
      <c r="D88" s="65">
        <f t="shared" si="12"/>
        <v>63</v>
      </c>
      <c r="E88" s="65">
        <f t="shared" si="6"/>
        <v>0</v>
      </c>
      <c r="F88" s="65">
        <f>IF(OR(L$73=0,DG!$A$258&gt;16),0,F87+1)</f>
        <v>0</v>
      </c>
      <c r="G88" s="65">
        <f t="shared" si="1"/>
        <v>0</v>
      </c>
      <c r="H88" s="65">
        <f t="shared" si="2"/>
        <v>0</v>
      </c>
      <c r="I88" s="65">
        <f t="shared" si="16"/>
        <v>0</v>
      </c>
      <c r="J88" s="203">
        <f>IF(DG!$A$137&lt;=11,$M$17,0)</f>
        <v>0</v>
      </c>
      <c r="K88" s="65">
        <f t="shared" si="7"/>
        <v>0</v>
      </c>
      <c r="L88" s="473">
        <f t="shared" si="8"/>
        <v>0</v>
      </c>
      <c r="M88" s="204">
        <f t="shared" si="9"/>
        <v>0</v>
      </c>
      <c r="N88" s="505">
        <f t="shared" si="10"/>
        <v>0</v>
      </c>
      <c r="O88" s="204">
        <f>IF(DG!$A$137&gt;12,0,IF(J88-J87&gt;0,MROUND((L88/12*Q87),1),MROUND(L88/12*P87,1)))</f>
        <v>0</v>
      </c>
      <c r="P88" s="204">
        <f t="shared" si="11"/>
        <v>0</v>
      </c>
      <c r="Q88" s="204">
        <f t="shared" si="4"/>
        <v>0</v>
      </c>
      <c r="R88" s="748">
        <v>0</v>
      </c>
      <c r="S88" s="511">
        <f t="shared" si="17"/>
        <v>0</v>
      </c>
    </row>
    <row r="89" spans="1:19" ht="14" thickTop="1" thickBot="1">
      <c r="A89" s="202">
        <f t="shared" si="5"/>
        <v>47209</v>
      </c>
      <c r="B89" s="65">
        <f t="shared" si="18"/>
        <v>0</v>
      </c>
      <c r="C89" s="65">
        <f t="shared" si="13"/>
        <v>0</v>
      </c>
      <c r="D89" s="65">
        <f t="shared" si="12"/>
        <v>64</v>
      </c>
      <c r="E89" s="65">
        <f t="shared" si="6"/>
        <v>0</v>
      </c>
      <c r="F89" s="65">
        <f>IF(OR(L$73=0,DG!$A$258&gt;16),0,F88+1)</f>
        <v>0</v>
      </c>
      <c r="G89" s="65">
        <f t="shared" si="1"/>
        <v>0</v>
      </c>
      <c r="H89" s="65">
        <f t="shared" si="2"/>
        <v>0</v>
      </c>
      <c r="I89" s="65">
        <f t="shared" si="16"/>
        <v>0</v>
      </c>
      <c r="J89" s="203">
        <f>IF(DG!$A$137&lt;=11,$M$17,0)</f>
        <v>0</v>
      </c>
      <c r="K89" s="65">
        <f t="shared" si="7"/>
        <v>0</v>
      </c>
      <c r="L89" s="473">
        <f t="shared" si="8"/>
        <v>0</v>
      </c>
      <c r="M89" s="204">
        <f t="shared" si="9"/>
        <v>0</v>
      </c>
      <c r="N89" s="505">
        <f t="shared" si="10"/>
        <v>0</v>
      </c>
      <c r="O89" s="204">
        <f>IF(DG!$A$137&gt;12,0,IF(J89-J88&gt;0,MROUND((L89/12*Q88),1),MROUND(L89/12*P88,1)))</f>
        <v>0</v>
      </c>
      <c r="P89" s="204">
        <f t="shared" si="11"/>
        <v>0</v>
      </c>
      <c r="Q89" s="204">
        <f t="shared" si="4"/>
        <v>0</v>
      </c>
      <c r="R89" s="748">
        <v>0</v>
      </c>
      <c r="S89" s="511">
        <f t="shared" si="17"/>
        <v>0</v>
      </c>
    </row>
    <row r="90" spans="1:19" ht="14" thickTop="1" thickBot="1">
      <c r="A90" s="202">
        <f t="shared" si="5"/>
        <v>47239</v>
      </c>
      <c r="B90" s="65">
        <f t="shared" si="18"/>
        <v>0</v>
      </c>
      <c r="C90" s="65">
        <f t="shared" si="13"/>
        <v>0</v>
      </c>
      <c r="D90" s="65">
        <f t="shared" si="12"/>
        <v>65</v>
      </c>
      <c r="E90" s="65">
        <f t="shared" si="6"/>
        <v>0</v>
      </c>
      <c r="F90" s="65">
        <f>IF(OR(L$73=0,DG!$A$258&gt;16),0,F89+1)</f>
        <v>0</v>
      </c>
      <c r="G90" s="65">
        <f t="shared" ref="G90:G153" si="19">IF(E90=0,0,IF(D90-E90-F90&gt;=0,1,0))</f>
        <v>0</v>
      </c>
      <c r="H90" s="65">
        <f t="shared" ref="H90:H150" si="20">IF(I90&gt;=0,0,H89+1)</f>
        <v>0</v>
      </c>
      <c r="I90" s="65">
        <f t="shared" si="16"/>
        <v>0</v>
      </c>
      <c r="J90" s="203">
        <f>IF(DG!$A$137&lt;=11,$M$17,0)</f>
        <v>0</v>
      </c>
      <c r="K90" s="65">
        <f t="shared" si="7"/>
        <v>0</v>
      </c>
      <c r="L90" s="473">
        <f t="shared" si="8"/>
        <v>0</v>
      </c>
      <c r="M90" s="204">
        <f t="shared" si="9"/>
        <v>0</v>
      </c>
      <c r="N90" s="505">
        <f t="shared" si="10"/>
        <v>0</v>
      </c>
      <c r="O90" s="204">
        <f>IF(DG!$A$137&gt;12,0,IF(J90-J89&gt;0,MROUND((L90/12*Q89),1),MROUND(L90/12*P89,1)))</f>
        <v>0</v>
      </c>
      <c r="P90" s="204">
        <f t="shared" si="11"/>
        <v>0</v>
      </c>
      <c r="Q90" s="204">
        <f t="shared" ref="Q90:Q153" si="21">IF(AND(P90=0,P91&gt;0),J91,P90)</f>
        <v>0</v>
      </c>
      <c r="R90" s="748">
        <v>0</v>
      </c>
      <c r="S90" s="511">
        <f t="shared" si="17"/>
        <v>0</v>
      </c>
    </row>
    <row r="91" spans="1:19" ht="14" thickTop="1" thickBot="1">
      <c r="A91" s="202">
        <f t="shared" ref="A91:A154" si="22">EDATE(A90,1)</f>
        <v>47270</v>
      </c>
      <c r="B91" s="65">
        <f t="shared" si="18"/>
        <v>0</v>
      </c>
      <c r="C91" s="65">
        <f t="shared" si="13"/>
        <v>0</v>
      </c>
      <c r="D91" s="65">
        <f t="shared" si="12"/>
        <v>66</v>
      </c>
      <c r="E91" s="65">
        <f t="shared" ref="E91:E154" si="23">B91</f>
        <v>0</v>
      </c>
      <c r="F91" s="65">
        <f>IF(OR(L$73=0,DG!$A$258&gt;16),0,F90+1)</f>
        <v>0</v>
      </c>
      <c r="G91" s="65">
        <f t="shared" si="19"/>
        <v>0</v>
      </c>
      <c r="H91" s="65">
        <f t="shared" si="20"/>
        <v>0</v>
      </c>
      <c r="I91" s="65">
        <f t="shared" si="16"/>
        <v>0</v>
      </c>
      <c r="J91" s="203">
        <f>IF(DG!$A$137&lt;=11,$M$17,0)</f>
        <v>0</v>
      </c>
      <c r="K91" s="65">
        <f t="shared" ref="K91:K150" si="24">K90</f>
        <v>0</v>
      </c>
      <c r="L91" s="473">
        <f t="shared" ref="L91:L154" si="25">IF($M$17&gt;0,$M$19+0.0000001,0)</f>
        <v>0</v>
      </c>
      <c r="M91" s="204">
        <f t="shared" ref="M91:M154" si="26">IF(H91=0,0,IF($R$13=1,N91+O91,IF(N91=0,O91,-PMT(L91/12,K91-$G$269,J91))))</f>
        <v>0</v>
      </c>
      <c r="N91" s="505">
        <f t="shared" ref="N91:N154" si="27">IF(OR(H91-K91&gt;0,I91&gt;=0),0,MROUND(-PPMT(L91/12,H91,K91-G334,J91),1)+R91)</f>
        <v>0</v>
      </c>
      <c r="O91" s="204">
        <f>IF(DG!$A$137&gt;12,0,IF(J91-J90&gt;0,MROUND((L91/12*Q90),1),MROUND(L91/12*P90,1)))</f>
        <v>0</v>
      </c>
      <c r="P91" s="204">
        <f t="shared" ref="P91:P154" si="28">IF(OR(G91+H91=0,J91-N91&lt;1),0,IF(P90&gt;1,P90-N91,J92-N91))</f>
        <v>0</v>
      </c>
      <c r="Q91" s="204">
        <f t="shared" si="21"/>
        <v>0</v>
      </c>
      <c r="R91" s="748">
        <v>0</v>
      </c>
      <c r="S91" s="511">
        <f t="shared" si="17"/>
        <v>0</v>
      </c>
    </row>
    <row r="92" spans="1:19" ht="14" thickTop="1" thickBot="1">
      <c r="A92" s="202">
        <f t="shared" si="22"/>
        <v>47300</v>
      </c>
      <c r="B92" s="65">
        <f t="shared" si="18"/>
        <v>0</v>
      </c>
      <c r="C92" s="65">
        <f t="shared" si="13"/>
        <v>0</v>
      </c>
      <c r="D92" s="65">
        <f t="shared" ref="D92:D150" si="29">D91+1</f>
        <v>67</v>
      </c>
      <c r="E92" s="65">
        <f t="shared" si="23"/>
        <v>0</v>
      </c>
      <c r="F92" s="65">
        <f>IF(OR(L$73=0,DG!$A$258&gt;16),0,F91+1)</f>
        <v>0</v>
      </c>
      <c r="G92" s="65">
        <f t="shared" si="19"/>
        <v>0</v>
      </c>
      <c r="H92" s="65">
        <f t="shared" si="20"/>
        <v>0</v>
      </c>
      <c r="I92" s="65">
        <f t="shared" si="16"/>
        <v>0</v>
      </c>
      <c r="J92" s="203">
        <f>IF(DG!$A$137&lt;=11,$M$17,0)</f>
        <v>0</v>
      </c>
      <c r="K92" s="65">
        <f t="shared" si="24"/>
        <v>0</v>
      </c>
      <c r="L92" s="473">
        <f t="shared" si="25"/>
        <v>0</v>
      </c>
      <c r="M92" s="204">
        <f t="shared" si="26"/>
        <v>0</v>
      </c>
      <c r="N92" s="505">
        <f t="shared" si="27"/>
        <v>0</v>
      </c>
      <c r="O92" s="204">
        <f>IF(DG!$A$137&gt;12,0,IF(J92-J91&gt;0,MROUND((L92/12*Q91),1),MROUND(L92/12*P91,1)))</f>
        <v>0</v>
      </c>
      <c r="P92" s="204">
        <f t="shared" si="28"/>
        <v>0</v>
      </c>
      <c r="Q92" s="204">
        <f t="shared" si="21"/>
        <v>0</v>
      </c>
      <c r="R92" s="748">
        <v>0</v>
      </c>
      <c r="S92" s="511">
        <f t="shared" si="17"/>
        <v>0</v>
      </c>
    </row>
    <row r="93" spans="1:19" ht="14" thickTop="1" thickBot="1">
      <c r="A93" s="202">
        <f t="shared" si="22"/>
        <v>47331</v>
      </c>
      <c r="B93" s="65">
        <f t="shared" si="18"/>
        <v>0</v>
      </c>
      <c r="C93" s="65">
        <f t="shared" si="13"/>
        <v>0</v>
      </c>
      <c r="D93" s="65">
        <f t="shared" si="29"/>
        <v>68</v>
      </c>
      <c r="E93" s="65">
        <f t="shared" si="23"/>
        <v>0</v>
      </c>
      <c r="F93" s="65">
        <f>IF(OR(L$73=0,DG!$A$258&gt;16),0,F92+1)</f>
        <v>0</v>
      </c>
      <c r="G93" s="65">
        <f t="shared" si="19"/>
        <v>0</v>
      </c>
      <c r="H93" s="65">
        <f t="shared" si="20"/>
        <v>0</v>
      </c>
      <c r="I93" s="65">
        <f t="shared" si="16"/>
        <v>0</v>
      </c>
      <c r="J93" s="203">
        <f>IF(DG!$A$137&lt;=11,$M$17,0)</f>
        <v>0</v>
      </c>
      <c r="K93" s="65">
        <f t="shared" si="24"/>
        <v>0</v>
      </c>
      <c r="L93" s="473">
        <f t="shared" si="25"/>
        <v>0</v>
      </c>
      <c r="M93" s="204">
        <f t="shared" si="26"/>
        <v>0</v>
      </c>
      <c r="N93" s="505">
        <f t="shared" si="27"/>
        <v>0</v>
      </c>
      <c r="O93" s="204">
        <f>IF(DG!$A$137&gt;12,0,IF(J93-J92&gt;0,MROUND((L93/12*Q92),1),MROUND(L93/12*P92,1)))</f>
        <v>0</v>
      </c>
      <c r="P93" s="204">
        <f t="shared" si="28"/>
        <v>0</v>
      </c>
      <c r="Q93" s="204">
        <f t="shared" si="21"/>
        <v>0</v>
      </c>
      <c r="R93" s="748">
        <v>0</v>
      </c>
      <c r="S93" s="511">
        <f t="shared" si="17"/>
        <v>0</v>
      </c>
    </row>
    <row r="94" spans="1:19" ht="14" thickTop="1" thickBot="1">
      <c r="A94" s="202">
        <f t="shared" si="22"/>
        <v>47362</v>
      </c>
      <c r="B94" s="65">
        <f t="shared" si="18"/>
        <v>0</v>
      </c>
      <c r="C94" s="65">
        <f t="shared" si="13"/>
        <v>0</v>
      </c>
      <c r="D94" s="65">
        <f t="shared" si="29"/>
        <v>69</v>
      </c>
      <c r="E94" s="65">
        <f t="shared" si="23"/>
        <v>0</v>
      </c>
      <c r="F94" s="65">
        <f>IF(OR(L$73=0,DG!$A$258&gt;16),0,F93+1)</f>
        <v>0</v>
      </c>
      <c r="G94" s="65">
        <f t="shared" si="19"/>
        <v>0</v>
      </c>
      <c r="H94" s="65">
        <f t="shared" si="20"/>
        <v>0</v>
      </c>
      <c r="I94" s="65">
        <f t="shared" si="16"/>
        <v>0</v>
      </c>
      <c r="J94" s="203">
        <f>IF(DG!$A$137&lt;=11,$M$17,0)</f>
        <v>0</v>
      </c>
      <c r="K94" s="65">
        <f t="shared" si="24"/>
        <v>0</v>
      </c>
      <c r="L94" s="473">
        <f t="shared" si="25"/>
        <v>0</v>
      </c>
      <c r="M94" s="204">
        <f t="shared" si="26"/>
        <v>0</v>
      </c>
      <c r="N94" s="505">
        <f t="shared" si="27"/>
        <v>0</v>
      </c>
      <c r="O94" s="204">
        <f>IF(DG!$A$137&gt;12,0,IF(J94-J93&gt;0,MROUND((L94/12*Q93),1),MROUND(L94/12*P93,1)))</f>
        <v>0</v>
      </c>
      <c r="P94" s="204">
        <f t="shared" si="28"/>
        <v>0</v>
      </c>
      <c r="Q94" s="204">
        <f t="shared" si="21"/>
        <v>0</v>
      </c>
      <c r="R94" s="748">
        <v>0</v>
      </c>
      <c r="S94" s="511">
        <f t="shared" si="17"/>
        <v>0</v>
      </c>
    </row>
    <row r="95" spans="1:19" ht="14" thickTop="1" thickBot="1">
      <c r="A95" s="202">
        <f t="shared" si="22"/>
        <v>47392</v>
      </c>
      <c r="B95" s="65">
        <f t="shared" si="18"/>
        <v>0</v>
      </c>
      <c r="C95" s="65">
        <f t="shared" si="13"/>
        <v>0</v>
      </c>
      <c r="D95" s="65">
        <f t="shared" si="29"/>
        <v>70</v>
      </c>
      <c r="E95" s="65">
        <f t="shared" si="23"/>
        <v>0</v>
      </c>
      <c r="F95" s="65">
        <f>IF(OR(L$73=0,DG!$A$258&gt;16),0,F94+1)</f>
        <v>0</v>
      </c>
      <c r="G95" s="65">
        <f t="shared" si="19"/>
        <v>0</v>
      </c>
      <c r="H95" s="65">
        <f t="shared" si="20"/>
        <v>0</v>
      </c>
      <c r="I95" s="65">
        <f t="shared" si="16"/>
        <v>0</v>
      </c>
      <c r="J95" s="203">
        <f>IF(DG!$A$137&lt;=11,$M$17,0)</f>
        <v>0</v>
      </c>
      <c r="K95" s="65">
        <f t="shared" si="24"/>
        <v>0</v>
      </c>
      <c r="L95" s="473">
        <f t="shared" si="25"/>
        <v>0</v>
      </c>
      <c r="M95" s="204">
        <f t="shared" si="26"/>
        <v>0</v>
      </c>
      <c r="N95" s="505">
        <f t="shared" si="27"/>
        <v>0</v>
      </c>
      <c r="O95" s="204">
        <f>IF(DG!$A$137&gt;12,0,IF(J95-J94&gt;0,MROUND((L95/12*Q94),1),MROUND(L95/12*P94,1)))</f>
        <v>0</v>
      </c>
      <c r="P95" s="204">
        <f t="shared" si="28"/>
        <v>0</v>
      </c>
      <c r="Q95" s="204">
        <f t="shared" si="21"/>
        <v>0</v>
      </c>
      <c r="R95" s="748">
        <v>0</v>
      </c>
      <c r="S95" s="511">
        <f t="shared" si="17"/>
        <v>0</v>
      </c>
    </row>
    <row r="96" spans="1:19" ht="14" thickTop="1" thickBot="1">
      <c r="A96" s="202">
        <f t="shared" si="22"/>
        <v>47423</v>
      </c>
      <c r="B96" s="65">
        <f t="shared" si="18"/>
        <v>0</v>
      </c>
      <c r="C96" s="65">
        <f t="shared" si="13"/>
        <v>0</v>
      </c>
      <c r="D96" s="65">
        <f t="shared" si="29"/>
        <v>71</v>
      </c>
      <c r="E96" s="65">
        <f t="shared" si="23"/>
        <v>0</v>
      </c>
      <c r="F96" s="65">
        <f>IF(OR(L$73=0,DG!$A$258&gt;16),0,F95+1)</f>
        <v>0</v>
      </c>
      <c r="G96" s="65">
        <f t="shared" si="19"/>
        <v>0</v>
      </c>
      <c r="H96" s="65">
        <f t="shared" si="20"/>
        <v>0</v>
      </c>
      <c r="I96" s="65">
        <f t="shared" si="16"/>
        <v>0</v>
      </c>
      <c r="J96" s="203">
        <f>IF(DG!$A$137&lt;=11,$M$17,0)</f>
        <v>0</v>
      </c>
      <c r="K96" s="65">
        <f t="shared" si="24"/>
        <v>0</v>
      </c>
      <c r="L96" s="473">
        <f t="shared" si="25"/>
        <v>0</v>
      </c>
      <c r="M96" s="204">
        <f t="shared" si="26"/>
        <v>0</v>
      </c>
      <c r="N96" s="505">
        <f t="shared" si="27"/>
        <v>0</v>
      </c>
      <c r="O96" s="204">
        <f>IF(DG!$A$137&gt;12,0,IF(J96-J95&gt;0,MROUND((L96/12*Q95),1),MROUND(L96/12*P95,1)))</f>
        <v>0</v>
      </c>
      <c r="P96" s="204">
        <f t="shared" si="28"/>
        <v>0</v>
      </c>
      <c r="Q96" s="204">
        <f t="shared" si="21"/>
        <v>0</v>
      </c>
      <c r="R96" s="748">
        <v>0</v>
      </c>
      <c r="S96" s="511">
        <f t="shared" si="17"/>
        <v>0</v>
      </c>
    </row>
    <row r="97" spans="1:19" ht="14" thickTop="1" thickBot="1">
      <c r="A97" s="202">
        <f t="shared" si="22"/>
        <v>47453</v>
      </c>
      <c r="B97" s="65">
        <f t="shared" si="18"/>
        <v>0</v>
      </c>
      <c r="C97" s="65">
        <f t="shared" si="13"/>
        <v>0</v>
      </c>
      <c r="D97" s="65">
        <f t="shared" si="29"/>
        <v>72</v>
      </c>
      <c r="E97" s="65">
        <f t="shared" si="23"/>
        <v>0</v>
      </c>
      <c r="F97" s="65">
        <f>IF(OR(L$73=0,DG!$A$258&gt;16),0,F96+1)</f>
        <v>0</v>
      </c>
      <c r="G97" s="65">
        <f t="shared" si="19"/>
        <v>0</v>
      </c>
      <c r="H97" s="65">
        <f t="shared" si="20"/>
        <v>0</v>
      </c>
      <c r="I97" s="65">
        <f t="shared" si="16"/>
        <v>0</v>
      </c>
      <c r="J97" s="203">
        <f>IF(DG!$A$137&lt;=11,$M$17,0)</f>
        <v>0</v>
      </c>
      <c r="K97" s="65">
        <f t="shared" si="24"/>
        <v>0</v>
      </c>
      <c r="L97" s="473">
        <f t="shared" si="25"/>
        <v>0</v>
      </c>
      <c r="M97" s="204">
        <f t="shared" si="26"/>
        <v>0</v>
      </c>
      <c r="N97" s="505">
        <f t="shared" si="27"/>
        <v>0</v>
      </c>
      <c r="O97" s="204">
        <f>IF(DG!$A$137&gt;12,0,IF(J97-J96&gt;0,MROUND((L97/12*Q96),1),MROUND(L97/12*P96,1)))</f>
        <v>0</v>
      </c>
      <c r="P97" s="204">
        <f t="shared" si="28"/>
        <v>0</v>
      </c>
      <c r="Q97" s="204">
        <f t="shared" si="21"/>
        <v>0</v>
      </c>
      <c r="R97" s="748">
        <v>0</v>
      </c>
      <c r="S97" s="511">
        <f t="shared" si="17"/>
        <v>0</v>
      </c>
    </row>
    <row r="98" spans="1:19" ht="14" thickTop="1" thickBot="1">
      <c r="A98" s="202">
        <f t="shared" si="22"/>
        <v>47484</v>
      </c>
      <c r="B98" s="65">
        <f t="shared" si="18"/>
        <v>0</v>
      </c>
      <c r="C98" s="65">
        <f t="shared" si="13"/>
        <v>0</v>
      </c>
      <c r="D98" s="65">
        <f t="shared" si="29"/>
        <v>73</v>
      </c>
      <c r="E98" s="65">
        <f t="shared" si="23"/>
        <v>0</v>
      </c>
      <c r="F98" s="65">
        <f>IF(OR(L$73=0,DG!$A$258&gt;16),0,F97+1)</f>
        <v>0</v>
      </c>
      <c r="G98" s="65">
        <f t="shared" si="19"/>
        <v>0</v>
      </c>
      <c r="H98" s="65">
        <f t="shared" si="20"/>
        <v>0</v>
      </c>
      <c r="I98" s="65">
        <f t="shared" si="16"/>
        <v>0</v>
      </c>
      <c r="J98" s="203">
        <f>IF(DG!$A$137&lt;=11,$M$17,0)</f>
        <v>0</v>
      </c>
      <c r="K98" s="65">
        <f t="shared" si="24"/>
        <v>0</v>
      </c>
      <c r="L98" s="473">
        <f t="shared" si="25"/>
        <v>0</v>
      </c>
      <c r="M98" s="204">
        <f t="shared" si="26"/>
        <v>0</v>
      </c>
      <c r="N98" s="505">
        <f t="shared" si="27"/>
        <v>0</v>
      </c>
      <c r="O98" s="204">
        <f>IF(DG!$A$137&gt;12,0,IF(J98-J97&gt;0,MROUND((L98/12*Q97),1),MROUND(L98/12*P97,1)))</f>
        <v>0</v>
      </c>
      <c r="P98" s="204">
        <f t="shared" si="28"/>
        <v>0</v>
      </c>
      <c r="Q98" s="204">
        <f t="shared" si="21"/>
        <v>0</v>
      </c>
      <c r="R98" s="748">
        <v>0</v>
      </c>
      <c r="S98" s="511">
        <f t="shared" si="17"/>
        <v>0</v>
      </c>
    </row>
    <row r="99" spans="1:19" ht="14" thickTop="1" thickBot="1">
      <c r="A99" s="202">
        <f t="shared" si="22"/>
        <v>47515</v>
      </c>
      <c r="B99" s="65">
        <f t="shared" si="18"/>
        <v>0</v>
      </c>
      <c r="C99" s="65">
        <f t="shared" si="13"/>
        <v>0</v>
      </c>
      <c r="D99" s="65">
        <f t="shared" si="29"/>
        <v>74</v>
      </c>
      <c r="E99" s="65">
        <f t="shared" si="23"/>
        <v>0</v>
      </c>
      <c r="F99" s="65">
        <f>IF(OR(L$73=0,DG!$A$258&gt;16),0,F98+1)</f>
        <v>0</v>
      </c>
      <c r="G99" s="65">
        <f t="shared" si="19"/>
        <v>0</v>
      </c>
      <c r="H99" s="65">
        <f t="shared" si="20"/>
        <v>0</v>
      </c>
      <c r="I99" s="65">
        <f t="shared" si="16"/>
        <v>0</v>
      </c>
      <c r="J99" s="203">
        <f>IF(DG!$A$137&lt;=11,$M$17,0)</f>
        <v>0</v>
      </c>
      <c r="K99" s="65">
        <f t="shared" si="24"/>
        <v>0</v>
      </c>
      <c r="L99" s="473">
        <f t="shared" si="25"/>
        <v>0</v>
      </c>
      <c r="M99" s="204">
        <f t="shared" si="26"/>
        <v>0</v>
      </c>
      <c r="N99" s="505">
        <f t="shared" si="27"/>
        <v>0</v>
      </c>
      <c r="O99" s="204">
        <f>IF(DG!$A$137&gt;12,0,IF(J99-J98&gt;0,MROUND((L99/12*Q98),1),MROUND(L99/12*P98,1)))</f>
        <v>0</v>
      </c>
      <c r="P99" s="204">
        <f t="shared" si="28"/>
        <v>0</v>
      </c>
      <c r="Q99" s="204">
        <f t="shared" si="21"/>
        <v>0</v>
      </c>
      <c r="R99" s="748">
        <v>0</v>
      </c>
      <c r="S99" s="511">
        <f t="shared" si="17"/>
        <v>0</v>
      </c>
    </row>
    <row r="100" spans="1:19" ht="14" thickTop="1" thickBot="1">
      <c r="A100" s="202">
        <f t="shared" si="22"/>
        <v>47543</v>
      </c>
      <c r="B100" s="65">
        <f t="shared" si="18"/>
        <v>0</v>
      </c>
      <c r="C100" s="65">
        <f t="shared" si="13"/>
        <v>0</v>
      </c>
      <c r="D100" s="65">
        <f t="shared" si="29"/>
        <v>75</v>
      </c>
      <c r="E100" s="65">
        <f t="shared" si="23"/>
        <v>0</v>
      </c>
      <c r="F100" s="65">
        <f>IF(OR(L$73=0,DG!$A$258&gt;16),0,F99+1)</f>
        <v>0</v>
      </c>
      <c r="G100" s="65">
        <f t="shared" si="19"/>
        <v>0</v>
      </c>
      <c r="H100" s="65">
        <f t="shared" si="20"/>
        <v>0</v>
      </c>
      <c r="I100" s="65">
        <f t="shared" si="16"/>
        <v>0</v>
      </c>
      <c r="J100" s="203">
        <f>IF(DG!$A$137&lt;=11,$M$17,0)</f>
        <v>0</v>
      </c>
      <c r="K100" s="65">
        <f t="shared" si="24"/>
        <v>0</v>
      </c>
      <c r="L100" s="473">
        <f t="shared" si="25"/>
        <v>0</v>
      </c>
      <c r="M100" s="204">
        <f t="shared" si="26"/>
        <v>0</v>
      </c>
      <c r="N100" s="505">
        <f t="shared" si="27"/>
        <v>0</v>
      </c>
      <c r="O100" s="204">
        <f>IF(DG!$A$137&gt;12,0,IF(J100-J99&gt;0,MROUND((L100/12*Q99),1),MROUND(L100/12*P99,1)))</f>
        <v>0</v>
      </c>
      <c r="P100" s="204">
        <f t="shared" si="28"/>
        <v>0</v>
      </c>
      <c r="Q100" s="204">
        <f t="shared" si="21"/>
        <v>0</v>
      </c>
      <c r="R100" s="748">
        <v>0</v>
      </c>
      <c r="S100" s="511">
        <f t="shared" si="17"/>
        <v>0</v>
      </c>
    </row>
    <row r="101" spans="1:19" ht="14" thickTop="1" thickBot="1">
      <c r="A101" s="202">
        <f t="shared" si="22"/>
        <v>47574</v>
      </c>
      <c r="B101" s="65">
        <f t="shared" si="18"/>
        <v>0</v>
      </c>
      <c r="C101" s="65">
        <f t="shared" si="13"/>
        <v>0</v>
      </c>
      <c r="D101" s="65">
        <f t="shared" si="29"/>
        <v>76</v>
      </c>
      <c r="E101" s="65">
        <f t="shared" si="23"/>
        <v>0</v>
      </c>
      <c r="F101" s="65">
        <f>IF(OR(L$73=0,DG!$A$258&gt;16),0,F100+1)</f>
        <v>0</v>
      </c>
      <c r="G101" s="65">
        <f t="shared" si="19"/>
        <v>0</v>
      </c>
      <c r="H101" s="65">
        <f t="shared" si="20"/>
        <v>0</v>
      </c>
      <c r="I101" s="65">
        <f t="shared" si="16"/>
        <v>0</v>
      </c>
      <c r="J101" s="203">
        <f>IF(DG!$A$137&lt;=11,$M$17,0)</f>
        <v>0</v>
      </c>
      <c r="K101" s="65">
        <f t="shared" si="24"/>
        <v>0</v>
      </c>
      <c r="L101" s="473">
        <f t="shared" si="25"/>
        <v>0</v>
      </c>
      <c r="M101" s="204">
        <f t="shared" si="26"/>
        <v>0</v>
      </c>
      <c r="N101" s="505">
        <f t="shared" si="27"/>
        <v>0</v>
      </c>
      <c r="O101" s="204">
        <f>IF(DG!$A$137&gt;12,0,IF(J101-J100&gt;0,MROUND((L101/12*Q100),1),MROUND(L101/12*P100,1)))</f>
        <v>0</v>
      </c>
      <c r="P101" s="204">
        <f t="shared" si="28"/>
        <v>0</v>
      </c>
      <c r="Q101" s="204">
        <f t="shared" si="21"/>
        <v>0</v>
      </c>
      <c r="R101" s="748">
        <v>0</v>
      </c>
      <c r="S101" s="511">
        <f t="shared" si="17"/>
        <v>0</v>
      </c>
    </row>
    <row r="102" spans="1:19" ht="14" thickTop="1" thickBot="1">
      <c r="A102" s="202">
        <f t="shared" si="22"/>
        <v>47604</v>
      </c>
      <c r="B102" s="65">
        <f t="shared" si="18"/>
        <v>0</v>
      </c>
      <c r="C102" s="65">
        <f t="shared" si="13"/>
        <v>0</v>
      </c>
      <c r="D102" s="65">
        <f t="shared" si="29"/>
        <v>77</v>
      </c>
      <c r="E102" s="65">
        <f t="shared" si="23"/>
        <v>0</v>
      </c>
      <c r="F102" s="65">
        <f>IF(OR(L$73=0,DG!$A$258&gt;16),0,F101+1)</f>
        <v>0</v>
      </c>
      <c r="G102" s="65">
        <f t="shared" si="19"/>
        <v>0</v>
      </c>
      <c r="H102" s="65">
        <f t="shared" si="20"/>
        <v>0</v>
      </c>
      <c r="I102" s="65">
        <f t="shared" si="16"/>
        <v>0</v>
      </c>
      <c r="J102" s="203">
        <f>IF(DG!$A$137&lt;=11,$M$17,0)</f>
        <v>0</v>
      </c>
      <c r="K102" s="65">
        <f t="shared" si="24"/>
        <v>0</v>
      </c>
      <c r="L102" s="473">
        <f t="shared" si="25"/>
        <v>0</v>
      </c>
      <c r="M102" s="204">
        <f t="shared" si="26"/>
        <v>0</v>
      </c>
      <c r="N102" s="505">
        <f t="shared" si="27"/>
        <v>0</v>
      </c>
      <c r="O102" s="204">
        <f>IF(DG!$A$137&gt;12,0,IF(J102-J101&gt;0,MROUND((L102/12*Q101),1),MROUND(L102/12*P101,1)))</f>
        <v>0</v>
      </c>
      <c r="P102" s="204">
        <f t="shared" si="28"/>
        <v>0</v>
      </c>
      <c r="Q102" s="204">
        <f t="shared" si="21"/>
        <v>0</v>
      </c>
      <c r="R102" s="748">
        <v>0</v>
      </c>
      <c r="S102" s="511">
        <f t="shared" si="17"/>
        <v>0</v>
      </c>
    </row>
    <row r="103" spans="1:19" ht="14" thickTop="1" thickBot="1">
      <c r="A103" s="202">
        <f t="shared" si="22"/>
        <v>47635</v>
      </c>
      <c r="B103" s="65">
        <f t="shared" si="18"/>
        <v>0</v>
      </c>
      <c r="C103" s="65">
        <f t="shared" si="13"/>
        <v>0</v>
      </c>
      <c r="D103" s="65">
        <f t="shared" si="29"/>
        <v>78</v>
      </c>
      <c r="E103" s="65">
        <f t="shared" si="23"/>
        <v>0</v>
      </c>
      <c r="F103" s="65">
        <f>IF(OR(L$73=0,DG!$A$258&gt;16),0,F102+1)</f>
        <v>0</v>
      </c>
      <c r="G103" s="65">
        <f t="shared" si="19"/>
        <v>0</v>
      </c>
      <c r="H103" s="65">
        <f t="shared" si="20"/>
        <v>0</v>
      </c>
      <c r="I103" s="65">
        <f t="shared" si="16"/>
        <v>0</v>
      </c>
      <c r="J103" s="203">
        <f>IF(DG!$A$137&lt;=11,$M$17,0)</f>
        <v>0</v>
      </c>
      <c r="K103" s="65">
        <f t="shared" si="24"/>
        <v>0</v>
      </c>
      <c r="L103" s="473">
        <f t="shared" si="25"/>
        <v>0</v>
      </c>
      <c r="M103" s="204">
        <f t="shared" si="26"/>
        <v>0</v>
      </c>
      <c r="N103" s="505">
        <f t="shared" si="27"/>
        <v>0</v>
      </c>
      <c r="O103" s="204">
        <f>IF(DG!$A$137&gt;12,0,IF(J103-J102&gt;0,MROUND((L103/12*Q102),1),MROUND(L103/12*P102,1)))</f>
        <v>0</v>
      </c>
      <c r="P103" s="204">
        <f t="shared" si="28"/>
        <v>0</v>
      </c>
      <c r="Q103" s="204">
        <f t="shared" si="21"/>
        <v>0</v>
      </c>
      <c r="R103" s="748">
        <v>0</v>
      </c>
      <c r="S103" s="511">
        <f t="shared" si="17"/>
        <v>0</v>
      </c>
    </row>
    <row r="104" spans="1:19" ht="14" thickTop="1" thickBot="1">
      <c r="A104" s="202">
        <f t="shared" si="22"/>
        <v>47665</v>
      </c>
      <c r="B104" s="65">
        <f t="shared" si="18"/>
        <v>0</v>
      </c>
      <c r="C104" s="65">
        <f t="shared" si="13"/>
        <v>0</v>
      </c>
      <c r="D104" s="65">
        <f t="shared" si="29"/>
        <v>79</v>
      </c>
      <c r="E104" s="65">
        <f t="shared" si="23"/>
        <v>0</v>
      </c>
      <c r="F104" s="65">
        <f>IF(OR(L$73=0,DG!$A$258&gt;16),0,F103+1)</f>
        <v>0</v>
      </c>
      <c r="G104" s="65">
        <f t="shared" si="19"/>
        <v>0</v>
      </c>
      <c r="H104" s="65">
        <f t="shared" si="20"/>
        <v>0</v>
      </c>
      <c r="I104" s="65">
        <f t="shared" si="16"/>
        <v>0</v>
      </c>
      <c r="J104" s="203">
        <f>IF(DG!$A$137&lt;=11,$M$17,0)</f>
        <v>0</v>
      </c>
      <c r="K104" s="65">
        <f t="shared" si="24"/>
        <v>0</v>
      </c>
      <c r="L104" s="473">
        <f t="shared" si="25"/>
        <v>0</v>
      </c>
      <c r="M104" s="204">
        <f t="shared" si="26"/>
        <v>0</v>
      </c>
      <c r="N104" s="505">
        <f t="shared" si="27"/>
        <v>0</v>
      </c>
      <c r="O104" s="204">
        <f>IF(DG!$A$137&gt;12,0,IF(J104-J103&gt;0,MROUND((L104/12*Q103),1),MROUND(L104/12*P103,1)))</f>
        <v>0</v>
      </c>
      <c r="P104" s="204">
        <f t="shared" si="28"/>
        <v>0</v>
      </c>
      <c r="Q104" s="204">
        <f t="shared" si="21"/>
        <v>0</v>
      </c>
      <c r="R104" s="748">
        <v>0</v>
      </c>
      <c r="S104" s="511">
        <f t="shared" si="17"/>
        <v>0</v>
      </c>
    </row>
    <row r="105" spans="1:19" ht="14" thickTop="1" thickBot="1">
      <c r="A105" s="202">
        <f t="shared" si="22"/>
        <v>47696</v>
      </c>
      <c r="B105" s="65">
        <f t="shared" si="18"/>
        <v>0</v>
      </c>
      <c r="C105" s="65">
        <f t="shared" si="13"/>
        <v>0</v>
      </c>
      <c r="D105" s="65">
        <f t="shared" si="29"/>
        <v>80</v>
      </c>
      <c r="E105" s="65">
        <f t="shared" si="23"/>
        <v>0</v>
      </c>
      <c r="F105" s="65">
        <f>IF(OR(L$73=0,DG!$A$258&gt;16),0,F104+1)</f>
        <v>0</v>
      </c>
      <c r="G105" s="65">
        <f t="shared" si="19"/>
        <v>0</v>
      </c>
      <c r="H105" s="65">
        <f t="shared" si="20"/>
        <v>0</v>
      </c>
      <c r="I105" s="65">
        <f t="shared" si="16"/>
        <v>0</v>
      </c>
      <c r="J105" s="203">
        <f>IF(DG!$A$137&lt;=11,$M$17,0)</f>
        <v>0</v>
      </c>
      <c r="K105" s="65">
        <f t="shared" si="24"/>
        <v>0</v>
      </c>
      <c r="L105" s="473">
        <f t="shared" si="25"/>
        <v>0</v>
      </c>
      <c r="M105" s="204">
        <f t="shared" si="26"/>
        <v>0</v>
      </c>
      <c r="N105" s="505">
        <f t="shared" si="27"/>
        <v>0</v>
      </c>
      <c r="O105" s="204">
        <f>IF(DG!$A$137&gt;12,0,IF(J105-J104&gt;0,MROUND((L105/12*Q104),1),MROUND(L105/12*P104,1)))</f>
        <v>0</v>
      </c>
      <c r="P105" s="204">
        <f t="shared" si="28"/>
        <v>0</v>
      </c>
      <c r="Q105" s="204">
        <f t="shared" si="21"/>
        <v>0</v>
      </c>
      <c r="R105" s="748">
        <v>0</v>
      </c>
      <c r="S105" s="511">
        <f t="shared" si="17"/>
        <v>0</v>
      </c>
    </row>
    <row r="106" spans="1:19" ht="14" thickTop="1" thickBot="1">
      <c r="A106" s="202">
        <f t="shared" si="22"/>
        <v>47727</v>
      </c>
      <c r="B106" s="65">
        <f t="shared" si="18"/>
        <v>0</v>
      </c>
      <c r="C106" s="65">
        <f t="shared" si="13"/>
        <v>0</v>
      </c>
      <c r="D106" s="65">
        <f t="shared" si="29"/>
        <v>81</v>
      </c>
      <c r="E106" s="65">
        <f t="shared" si="23"/>
        <v>0</v>
      </c>
      <c r="F106" s="65">
        <f>IF(OR(L$73=0,DG!$A$258&gt;16),0,F105+1)</f>
        <v>0</v>
      </c>
      <c r="G106" s="65">
        <f t="shared" si="19"/>
        <v>0</v>
      </c>
      <c r="H106" s="65">
        <f t="shared" si="20"/>
        <v>0</v>
      </c>
      <c r="I106" s="65">
        <f t="shared" si="16"/>
        <v>0</v>
      </c>
      <c r="J106" s="203">
        <f>IF(DG!$A$137&lt;=11,$M$17,0)</f>
        <v>0</v>
      </c>
      <c r="K106" s="65">
        <f t="shared" si="24"/>
        <v>0</v>
      </c>
      <c r="L106" s="473">
        <f t="shared" si="25"/>
        <v>0</v>
      </c>
      <c r="M106" s="204">
        <f t="shared" si="26"/>
        <v>0</v>
      </c>
      <c r="N106" s="505">
        <f t="shared" si="27"/>
        <v>0</v>
      </c>
      <c r="O106" s="204">
        <f>IF(DG!$A$137&gt;12,0,IF(J106-J105&gt;0,MROUND((L106/12*Q105),1),MROUND(L106/12*P105,1)))</f>
        <v>0</v>
      </c>
      <c r="P106" s="204">
        <f t="shared" si="28"/>
        <v>0</v>
      </c>
      <c r="Q106" s="204">
        <f t="shared" si="21"/>
        <v>0</v>
      </c>
      <c r="R106" s="748">
        <v>0</v>
      </c>
      <c r="S106" s="511">
        <f t="shared" si="17"/>
        <v>0</v>
      </c>
    </row>
    <row r="107" spans="1:19" ht="14" thickTop="1" thickBot="1">
      <c r="A107" s="202">
        <f t="shared" si="22"/>
        <v>47757</v>
      </c>
      <c r="B107" s="65">
        <f t="shared" si="18"/>
        <v>0</v>
      </c>
      <c r="C107" s="65">
        <f t="shared" si="13"/>
        <v>0</v>
      </c>
      <c r="D107" s="65">
        <f t="shared" si="29"/>
        <v>82</v>
      </c>
      <c r="E107" s="65">
        <f t="shared" si="23"/>
        <v>0</v>
      </c>
      <c r="F107" s="65">
        <f>IF(OR(L$73=0,DG!$A$258&gt;16),0,F106+1)</f>
        <v>0</v>
      </c>
      <c r="G107" s="65">
        <f t="shared" si="19"/>
        <v>0</v>
      </c>
      <c r="H107" s="65">
        <f t="shared" si="20"/>
        <v>0</v>
      </c>
      <c r="I107" s="65">
        <f t="shared" si="16"/>
        <v>0</v>
      </c>
      <c r="J107" s="203">
        <f>IF(DG!$A$137&lt;=11,$M$17,0)</f>
        <v>0</v>
      </c>
      <c r="K107" s="65">
        <f t="shared" si="24"/>
        <v>0</v>
      </c>
      <c r="L107" s="473">
        <f t="shared" si="25"/>
        <v>0</v>
      </c>
      <c r="M107" s="204">
        <f t="shared" si="26"/>
        <v>0</v>
      </c>
      <c r="N107" s="505">
        <f t="shared" si="27"/>
        <v>0</v>
      </c>
      <c r="O107" s="204">
        <f>IF(DG!$A$137&gt;12,0,IF(J107-J106&gt;0,MROUND((L107/12*Q106),1),MROUND(L107/12*P106,1)))</f>
        <v>0</v>
      </c>
      <c r="P107" s="204">
        <f t="shared" si="28"/>
        <v>0</v>
      </c>
      <c r="Q107" s="204">
        <f t="shared" si="21"/>
        <v>0</v>
      </c>
      <c r="R107" s="748">
        <v>0</v>
      </c>
      <c r="S107" s="511">
        <f t="shared" si="17"/>
        <v>0</v>
      </c>
    </row>
    <row r="108" spans="1:19" ht="14" thickTop="1" thickBot="1">
      <c r="A108" s="202">
        <f t="shared" si="22"/>
        <v>47788</v>
      </c>
      <c r="B108" s="65">
        <f t="shared" si="18"/>
        <v>0</v>
      </c>
      <c r="C108" s="65">
        <f t="shared" si="13"/>
        <v>0</v>
      </c>
      <c r="D108" s="65">
        <f t="shared" si="29"/>
        <v>83</v>
      </c>
      <c r="E108" s="65">
        <f t="shared" si="23"/>
        <v>0</v>
      </c>
      <c r="F108" s="65">
        <f>IF(OR(L$73=0,DG!$A$258&gt;16),0,F107+1)</f>
        <v>0</v>
      </c>
      <c r="G108" s="65">
        <f t="shared" si="19"/>
        <v>0</v>
      </c>
      <c r="H108" s="65">
        <f t="shared" si="20"/>
        <v>0</v>
      </c>
      <c r="I108" s="65">
        <f t="shared" si="16"/>
        <v>0</v>
      </c>
      <c r="J108" s="203">
        <f>IF(DG!$A$137&lt;=11,$M$17,0)</f>
        <v>0</v>
      </c>
      <c r="K108" s="65">
        <f t="shared" si="24"/>
        <v>0</v>
      </c>
      <c r="L108" s="473">
        <f t="shared" si="25"/>
        <v>0</v>
      </c>
      <c r="M108" s="204">
        <f t="shared" si="26"/>
        <v>0</v>
      </c>
      <c r="N108" s="505">
        <f t="shared" si="27"/>
        <v>0</v>
      </c>
      <c r="O108" s="204">
        <f>IF(DG!$A$137&gt;12,0,IF(J108-J107&gt;0,MROUND((L108/12*Q107),1),MROUND(L108/12*P107,1)))</f>
        <v>0</v>
      </c>
      <c r="P108" s="204">
        <f t="shared" si="28"/>
        <v>0</v>
      </c>
      <c r="Q108" s="204">
        <f t="shared" si="21"/>
        <v>0</v>
      </c>
      <c r="R108" s="748">
        <v>0</v>
      </c>
      <c r="S108" s="511">
        <f t="shared" si="17"/>
        <v>0</v>
      </c>
    </row>
    <row r="109" spans="1:19" ht="14" thickTop="1" thickBot="1">
      <c r="A109" s="202">
        <f t="shared" si="22"/>
        <v>47818</v>
      </c>
      <c r="B109" s="65">
        <f t="shared" si="18"/>
        <v>0</v>
      </c>
      <c r="C109" s="65">
        <f t="shared" si="13"/>
        <v>0</v>
      </c>
      <c r="D109" s="65">
        <f t="shared" si="29"/>
        <v>84</v>
      </c>
      <c r="E109" s="65">
        <f t="shared" si="23"/>
        <v>0</v>
      </c>
      <c r="F109" s="65">
        <f>IF(OR(L$73=0,DG!$A$258&gt;16),0,F108+1)</f>
        <v>0</v>
      </c>
      <c r="G109" s="65">
        <f t="shared" si="19"/>
        <v>0</v>
      </c>
      <c r="H109" s="65">
        <f t="shared" si="20"/>
        <v>0</v>
      </c>
      <c r="I109" s="65">
        <f t="shared" si="16"/>
        <v>0</v>
      </c>
      <c r="J109" s="203">
        <f>IF(DG!$A$137&lt;=11,$M$17,0)</f>
        <v>0</v>
      </c>
      <c r="K109" s="65">
        <f t="shared" si="24"/>
        <v>0</v>
      </c>
      <c r="L109" s="473">
        <f t="shared" si="25"/>
        <v>0</v>
      </c>
      <c r="M109" s="204">
        <f t="shared" si="26"/>
        <v>0</v>
      </c>
      <c r="N109" s="505">
        <f t="shared" si="27"/>
        <v>0</v>
      </c>
      <c r="O109" s="204">
        <f>IF(DG!$A$137&gt;12,0,IF(J109-J108&gt;0,MROUND((L109/12*Q108),1),MROUND(L109/12*P108,1)))</f>
        <v>0</v>
      </c>
      <c r="P109" s="204">
        <f t="shared" si="28"/>
        <v>0</v>
      </c>
      <c r="Q109" s="204">
        <f t="shared" si="21"/>
        <v>0</v>
      </c>
      <c r="R109" s="748">
        <v>0</v>
      </c>
      <c r="S109" s="511">
        <f t="shared" si="17"/>
        <v>0</v>
      </c>
    </row>
    <row r="110" spans="1:19" ht="14" thickTop="1" thickBot="1">
      <c r="A110" s="202">
        <f t="shared" si="22"/>
        <v>47849</v>
      </c>
      <c r="B110" s="65">
        <f t="shared" si="18"/>
        <v>0</v>
      </c>
      <c r="C110" s="65">
        <f t="shared" si="13"/>
        <v>0</v>
      </c>
      <c r="D110" s="65">
        <f t="shared" si="29"/>
        <v>85</v>
      </c>
      <c r="E110" s="65">
        <f t="shared" si="23"/>
        <v>0</v>
      </c>
      <c r="F110" s="65">
        <f>IF(OR(L$73=0,DG!$A$258&gt;16),0,F109+1)</f>
        <v>0</v>
      </c>
      <c r="G110" s="65">
        <f t="shared" si="19"/>
        <v>0</v>
      </c>
      <c r="H110" s="65">
        <f t="shared" si="20"/>
        <v>0</v>
      </c>
      <c r="I110" s="65">
        <f t="shared" si="16"/>
        <v>0</v>
      </c>
      <c r="J110" s="203">
        <f>IF(DG!$A$137&lt;=11,$M$17,0)</f>
        <v>0</v>
      </c>
      <c r="K110" s="65">
        <f t="shared" si="24"/>
        <v>0</v>
      </c>
      <c r="L110" s="473">
        <f t="shared" si="25"/>
        <v>0</v>
      </c>
      <c r="M110" s="204">
        <f t="shared" si="26"/>
        <v>0</v>
      </c>
      <c r="N110" s="505">
        <f t="shared" si="27"/>
        <v>0</v>
      </c>
      <c r="O110" s="204">
        <f>IF(DG!$A$137&gt;12,0,IF(J110-J109&gt;0,MROUND((L110/12*Q109),1),MROUND(L110/12*P109,1)))</f>
        <v>0</v>
      </c>
      <c r="P110" s="204">
        <f t="shared" si="28"/>
        <v>0</v>
      </c>
      <c r="Q110" s="204">
        <f t="shared" si="21"/>
        <v>0</v>
      </c>
      <c r="R110" s="748">
        <v>0</v>
      </c>
      <c r="S110" s="511">
        <f t="shared" si="17"/>
        <v>0</v>
      </c>
    </row>
    <row r="111" spans="1:19" ht="14" thickTop="1" thickBot="1">
      <c r="A111" s="202">
        <f t="shared" si="22"/>
        <v>47880</v>
      </c>
      <c r="B111" s="65">
        <f t="shared" si="18"/>
        <v>0</v>
      </c>
      <c r="C111" s="65">
        <f t="shared" si="13"/>
        <v>0</v>
      </c>
      <c r="D111" s="65">
        <f t="shared" si="29"/>
        <v>86</v>
      </c>
      <c r="E111" s="65">
        <f t="shared" si="23"/>
        <v>0</v>
      </c>
      <c r="F111" s="65">
        <f>IF(OR(L$73=0,DG!$A$258&gt;16),0,F110+1)</f>
        <v>0</v>
      </c>
      <c r="G111" s="65">
        <f t="shared" si="19"/>
        <v>0</v>
      </c>
      <c r="H111" s="65">
        <f t="shared" si="20"/>
        <v>0</v>
      </c>
      <c r="I111" s="65">
        <f t="shared" si="16"/>
        <v>0</v>
      </c>
      <c r="J111" s="203">
        <f>IF(DG!$A$137&lt;=11,$M$17,0)</f>
        <v>0</v>
      </c>
      <c r="K111" s="65">
        <f t="shared" si="24"/>
        <v>0</v>
      </c>
      <c r="L111" s="473">
        <f t="shared" si="25"/>
        <v>0</v>
      </c>
      <c r="M111" s="204">
        <f t="shared" si="26"/>
        <v>0</v>
      </c>
      <c r="N111" s="505">
        <f t="shared" si="27"/>
        <v>0</v>
      </c>
      <c r="O111" s="204">
        <f>IF(DG!$A$137&gt;12,0,IF(J111-J110&gt;0,MROUND((L111/12*Q110),1),MROUND(L111/12*P110,1)))</f>
        <v>0</v>
      </c>
      <c r="P111" s="204">
        <f t="shared" si="28"/>
        <v>0</v>
      </c>
      <c r="Q111" s="204">
        <f t="shared" si="21"/>
        <v>0</v>
      </c>
      <c r="R111" s="748">
        <v>0</v>
      </c>
      <c r="S111" s="511">
        <f t="shared" si="17"/>
        <v>0</v>
      </c>
    </row>
    <row r="112" spans="1:19" ht="14" thickTop="1" thickBot="1">
      <c r="A112" s="202">
        <f t="shared" si="22"/>
        <v>47908</v>
      </c>
      <c r="B112" s="65">
        <f t="shared" si="18"/>
        <v>0</v>
      </c>
      <c r="C112" s="65">
        <f t="shared" si="13"/>
        <v>0</v>
      </c>
      <c r="D112" s="65">
        <f t="shared" si="29"/>
        <v>87</v>
      </c>
      <c r="E112" s="65">
        <f t="shared" si="23"/>
        <v>0</v>
      </c>
      <c r="F112" s="65">
        <f>IF(OR(L$73=0,DG!$A$258&gt;16),0,F111+1)</f>
        <v>0</v>
      </c>
      <c r="G112" s="65">
        <f t="shared" si="19"/>
        <v>0</v>
      </c>
      <c r="H112" s="65">
        <f t="shared" si="20"/>
        <v>0</v>
      </c>
      <c r="I112" s="65">
        <f t="shared" si="16"/>
        <v>0</v>
      </c>
      <c r="J112" s="203">
        <f>IF(DG!$A$137&lt;=11,$M$17,0)</f>
        <v>0</v>
      </c>
      <c r="K112" s="65">
        <f t="shared" si="24"/>
        <v>0</v>
      </c>
      <c r="L112" s="473">
        <f t="shared" si="25"/>
        <v>0</v>
      </c>
      <c r="M112" s="204">
        <f t="shared" si="26"/>
        <v>0</v>
      </c>
      <c r="N112" s="505">
        <f t="shared" si="27"/>
        <v>0</v>
      </c>
      <c r="O112" s="204">
        <f>IF(DG!$A$137&gt;12,0,IF(J112-J111&gt;0,MROUND((L112/12*Q111),1),MROUND(L112/12*P111,1)))</f>
        <v>0</v>
      </c>
      <c r="P112" s="204">
        <f t="shared" si="28"/>
        <v>0</v>
      </c>
      <c r="Q112" s="204">
        <f t="shared" si="21"/>
        <v>0</v>
      </c>
      <c r="R112" s="748">
        <v>0</v>
      </c>
      <c r="S112" s="511">
        <f t="shared" si="17"/>
        <v>0</v>
      </c>
    </row>
    <row r="113" spans="1:19" ht="14" thickTop="1" thickBot="1">
      <c r="A113" s="202">
        <f t="shared" si="22"/>
        <v>47939</v>
      </c>
      <c r="B113" s="65">
        <f t="shared" si="18"/>
        <v>0</v>
      </c>
      <c r="C113" s="65">
        <f t="shared" si="13"/>
        <v>0</v>
      </c>
      <c r="D113" s="65">
        <f t="shared" si="29"/>
        <v>88</v>
      </c>
      <c r="E113" s="65">
        <f t="shared" si="23"/>
        <v>0</v>
      </c>
      <c r="F113" s="65">
        <f>IF(OR(L$73=0,DG!$A$258&gt;16),0,F112+1)</f>
        <v>0</v>
      </c>
      <c r="G113" s="65">
        <f t="shared" si="19"/>
        <v>0</v>
      </c>
      <c r="H113" s="65">
        <f t="shared" si="20"/>
        <v>0</v>
      </c>
      <c r="I113" s="65">
        <f t="shared" si="16"/>
        <v>0</v>
      </c>
      <c r="J113" s="203">
        <f>IF(DG!$A$137&lt;=11,$M$17,0)</f>
        <v>0</v>
      </c>
      <c r="K113" s="65">
        <f t="shared" si="24"/>
        <v>0</v>
      </c>
      <c r="L113" s="473">
        <f t="shared" si="25"/>
        <v>0</v>
      </c>
      <c r="M113" s="204">
        <f t="shared" si="26"/>
        <v>0</v>
      </c>
      <c r="N113" s="505">
        <f t="shared" si="27"/>
        <v>0</v>
      </c>
      <c r="O113" s="204">
        <f>IF(DG!$A$137&gt;12,0,IF(J113-J112&gt;0,MROUND((L113/12*Q112),1),MROUND(L113/12*P112,1)))</f>
        <v>0</v>
      </c>
      <c r="P113" s="204">
        <f t="shared" si="28"/>
        <v>0</v>
      </c>
      <c r="Q113" s="204">
        <f t="shared" si="21"/>
        <v>0</v>
      </c>
      <c r="R113" s="748">
        <v>0</v>
      </c>
      <c r="S113" s="511">
        <f t="shared" si="17"/>
        <v>0</v>
      </c>
    </row>
    <row r="114" spans="1:19" ht="14" thickTop="1" thickBot="1">
      <c r="A114" s="202">
        <f t="shared" si="22"/>
        <v>47969</v>
      </c>
      <c r="B114" s="65">
        <f t="shared" si="18"/>
        <v>0</v>
      </c>
      <c r="C114" s="65">
        <f t="shared" si="13"/>
        <v>0</v>
      </c>
      <c r="D114" s="65">
        <f t="shared" si="29"/>
        <v>89</v>
      </c>
      <c r="E114" s="65">
        <f t="shared" si="23"/>
        <v>0</v>
      </c>
      <c r="F114" s="65">
        <f>IF(OR(L$73=0,DG!$A$258&gt;16),0,F113+1)</f>
        <v>0</v>
      </c>
      <c r="G114" s="65">
        <f t="shared" si="19"/>
        <v>0</v>
      </c>
      <c r="H114" s="65">
        <f t="shared" si="20"/>
        <v>0</v>
      </c>
      <c r="I114" s="65">
        <f t="shared" si="16"/>
        <v>0</v>
      </c>
      <c r="J114" s="203">
        <f>IF(DG!$A$137&lt;=11,$M$17,0)</f>
        <v>0</v>
      </c>
      <c r="K114" s="65">
        <f t="shared" si="24"/>
        <v>0</v>
      </c>
      <c r="L114" s="473">
        <f t="shared" si="25"/>
        <v>0</v>
      </c>
      <c r="M114" s="204">
        <f t="shared" si="26"/>
        <v>0</v>
      </c>
      <c r="N114" s="505">
        <f t="shared" si="27"/>
        <v>0</v>
      </c>
      <c r="O114" s="204">
        <f>IF(DG!$A$137&gt;12,0,IF(J114-J113&gt;0,MROUND((L114/12*Q113),1),MROUND(L114/12*P113,1)))</f>
        <v>0</v>
      </c>
      <c r="P114" s="204">
        <f t="shared" si="28"/>
        <v>0</v>
      </c>
      <c r="Q114" s="204">
        <f t="shared" si="21"/>
        <v>0</v>
      </c>
      <c r="R114" s="748">
        <v>0</v>
      </c>
      <c r="S114" s="511">
        <f t="shared" si="17"/>
        <v>0</v>
      </c>
    </row>
    <row r="115" spans="1:19" ht="14" thickTop="1" thickBot="1">
      <c r="A115" s="202">
        <f t="shared" si="22"/>
        <v>48000</v>
      </c>
      <c r="B115" s="65">
        <f t="shared" si="18"/>
        <v>0</v>
      </c>
      <c r="C115" s="65">
        <f t="shared" ref="C115:C178" si="30">IF(F115-$E$269&gt;0,F115-$E$269,0)</f>
        <v>0</v>
      </c>
      <c r="D115" s="65">
        <f t="shared" si="29"/>
        <v>90</v>
      </c>
      <c r="E115" s="65">
        <f t="shared" si="23"/>
        <v>0</v>
      </c>
      <c r="F115" s="65">
        <f>IF(OR(L$73=0,DG!$A$258&gt;16),0,F114+1)</f>
        <v>0</v>
      </c>
      <c r="G115" s="65">
        <f t="shared" si="19"/>
        <v>0</v>
      </c>
      <c r="H115" s="65">
        <f t="shared" si="20"/>
        <v>0</v>
      </c>
      <c r="I115" s="65">
        <f t="shared" si="16"/>
        <v>0</v>
      </c>
      <c r="J115" s="203">
        <f>IF(DG!$A$137&lt;=11,$M$17,0)</f>
        <v>0</v>
      </c>
      <c r="K115" s="65">
        <f t="shared" si="24"/>
        <v>0</v>
      </c>
      <c r="L115" s="473">
        <f t="shared" si="25"/>
        <v>0</v>
      </c>
      <c r="M115" s="204">
        <f t="shared" si="26"/>
        <v>0</v>
      </c>
      <c r="N115" s="505">
        <f t="shared" si="27"/>
        <v>0</v>
      </c>
      <c r="O115" s="204">
        <f>IF(DG!$A$137&gt;12,0,IF(J115-J114&gt;0,MROUND((L115/12*Q114),1),MROUND(L115/12*P114,1)))</f>
        <v>0</v>
      </c>
      <c r="P115" s="204">
        <f t="shared" si="28"/>
        <v>0</v>
      </c>
      <c r="Q115" s="204">
        <f t="shared" si="21"/>
        <v>0</v>
      </c>
      <c r="R115" s="748">
        <v>0</v>
      </c>
      <c r="S115" s="511">
        <f t="shared" si="17"/>
        <v>0</v>
      </c>
    </row>
    <row r="116" spans="1:19" ht="14" thickTop="1" thickBot="1">
      <c r="A116" s="202">
        <f t="shared" si="22"/>
        <v>48030</v>
      </c>
      <c r="B116" s="65">
        <f t="shared" si="18"/>
        <v>0</v>
      </c>
      <c r="C116" s="65">
        <f t="shared" si="30"/>
        <v>0</v>
      </c>
      <c r="D116" s="65">
        <f t="shared" si="29"/>
        <v>91</v>
      </c>
      <c r="E116" s="65">
        <f t="shared" si="23"/>
        <v>0</v>
      </c>
      <c r="F116" s="65">
        <f>IF(OR(L$73=0,DG!$A$258&gt;16),0,F115+1)</f>
        <v>0</v>
      </c>
      <c r="G116" s="65">
        <f t="shared" si="19"/>
        <v>0</v>
      </c>
      <c r="H116" s="65">
        <f t="shared" si="20"/>
        <v>0</v>
      </c>
      <c r="I116" s="65">
        <f t="shared" si="16"/>
        <v>0</v>
      </c>
      <c r="J116" s="203">
        <f>IF(DG!$A$137&lt;=11,$M$17,0)</f>
        <v>0</v>
      </c>
      <c r="K116" s="65">
        <f t="shared" si="24"/>
        <v>0</v>
      </c>
      <c r="L116" s="473">
        <f t="shared" si="25"/>
        <v>0</v>
      </c>
      <c r="M116" s="204">
        <f t="shared" si="26"/>
        <v>0</v>
      </c>
      <c r="N116" s="505">
        <f t="shared" si="27"/>
        <v>0</v>
      </c>
      <c r="O116" s="204">
        <f>IF(DG!$A$137&gt;12,0,IF(J116-J115&gt;0,MROUND((L116/12*Q115),1),MROUND(L116/12*P115,1)))</f>
        <v>0</v>
      </c>
      <c r="P116" s="204">
        <f t="shared" si="28"/>
        <v>0</v>
      </c>
      <c r="Q116" s="204">
        <f t="shared" si="21"/>
        <v>0</v>
      </c>
      <c r="R116" s="748">
        <v>0</v>
      </c>
      <c r="S116" s="511">
        <f t="shared" si="17"/>
        <v>0</v>
      </c>
    </row>
    <row r="117" spans="1:19" ht="14" thickTop="1" thickBot="1">
      <c r="A117" s="202">
        <f t="shared" si="22"/>
        <v>48061</v>
      </c>
      <c r="B117" s="65">
        <f t="shared" si="18"/>
        <v>0</v>
      </c>
      <c r="C117" s="65">
        <f t="shared" si="30"/>
        <v>0</v>
      </c>
      <c r="D117" s="65">
        <f t="shared" si="29"/>
        <v>92</v>
      </c>
      <c r="E117" s="65">
        <f t="shared" si="23"/>
        <v>0</v>
      </c>
      <c r="F117" s="65">
        <f>IF(OR(L$73=0,DG!$A$258&gt;16),0,F116+1)</f>
        <v>0</v>
      </c>
      <c r="G117" s="65">
        <f t="shared" si="19"/>
        <v>0</v>
      </c>
      <c r="H117" s="65">
        <f t="shared" si="20"/>
        <v>0</v>
      </c>
      <c r="I117" s="65">
        <f t="shared" si="16"/>
        <v>0</v>
      </c>
      <c r="J117" s="203">
        <f>IF(DG!$A$137&lt;=11,$M$17,0)</f>
        <v>0</v>
      </c>
      <c r="K117" s="65">
        <f t="shared" si="24"/>
        <v>0</v>
      </c>
      <c r="L117" s="473">
        <f t="shared" si="25"/>
        <v>0</v>
      </c>
      <c r="M117" s="204">
        <f t="shared" si="26"/>
        <v>0</v>
      </c>
      <c r="N117" s="505">
        <f t="shared" si="27"/>
        <v>0</v>
      </c>
      <c r="O117" s="204">
        <f>IF(DG!$A$137&gt;12,0,IF(J117-J116&gt;0,MROUND((L117/12*Q116),1),MROUND(L117/12*P116,1)))</f>
        <v>0</v>
      </c>
      <c r="P117" s="204">
        <f t="shared" si="28"/>
        <v>0</v>
      </c>
      <c r="Q117" s="204">
        <f t="shared" si="21"/>
        <v>0</v>
      </c>
      <c r="R117" s="748">
        <v>0</v>
      </c>
      <c r="S117" s="511">
        <f t="shared" si="17"/>
        <v>0</v>
      </c>
    </row>
    <row r="118" spans="1:19" ht="14" thickTop="1" thickBot="1">
      <c r="A118" s="202">
        <f t="shared" si="22"/>
        <v>48092</v>
      </c>
      <c r="B118" s="65">
        <f t="shared" si="18"/>
        <v>0</v>
      </c>
      <c r="C118" s="65">
        <f t="shared" si="30"/>
        <v>0</v>
      </c>
      <c r="D118" s="65">
        <f t="shared" si="29"/>
        <v>93</v>
      </c>
      <c r="E118" s="65">
        <f t="shared" si="23"/>
        <v>0</v>
      </c>
      <c r="F118" s="65">
        <f>IF(OR(L$73=0,DG!$A$258&gt;16),0,F117+1)</f>
        <v>0</v>
      </c>
      <c r="G118" s="65">
        <f t="shared" si="19"/>
        <v>0</v>
      </c>
      <c r="H118" s="65">
        <f t="shared" si="20"/>
        <v>0</v>
      </c>
      <c r="I118" s="65">
        <f t="shared" si="16"/>
        <v>0</v>
      </c>
      <c r="J118" s="203">
        <f>IF(DG!$A$137&lt;=11,$M$17,0)</f>
        <v>0</v>
      </c>
      <c r="K118" s="65">
        <f t="shared" si="24"/>
        <v>0</v>
      </c>
      <c r="L118" s="473">
        <f t="shared" si="25"/>
        <v>0</v>
      </c>
      <c r="M118" s="204">
        <f t="shared" si="26"/>
        <v>0</v>
      </c>
      <c r="N118" s="505">
        <f t="shared" si="27"/>
        <v>0</v>
      </c>
      <c r="O118" s="204">
        <f>IF(DG!$A$137&gt;12,0,IF(J118-J117&gt;0,MROUND((L118/12*Q117),1),MROUND(L118/12*P117,1)))</f>
        <v>0</v>
      </c>
      <c r="P118" s="204">
        <f t="shared" si="28"/>
        <v>0</v>
      </c>
      <c r="Q118" s="204">
        <f t="shared" si="21"/>
        <v>0</v>
      </c>
      <c r="R118" s="748">
        <v>0</v>
      </c>
      <c r="S118" s="511">
        <f t="shared" si="17"/>
        <v>0</v>
      </c>
    </row>
    <row r="119" spans="1:19" ht="14" thickTop="1" thickBot="1">
      <c r="A119" s="202">
        <f t="shared" si="22"/>
        <v>48122</v>
      </c>
      <c r="B119" s="65">
        <f t="shared" si="18"/>
        <v>0</v>
      </c>
      <c r="C119" s="65">
        <f t="shared" si="30"/>
        <v>0</v>
      </c>
      <c r="D119" s="65">
        <f t="shared" si="29"/>
        <v>94</v>
      </c>
      <c r="E119" s="65">
        <f t="shared" si="23"/>
        <v>0</v>
      </c>
      <c r="F119" s="65">
        <f>IF(OR(L$73=0,DG!$A$258&gt;16),0,F118+1)</f>
        <v>0</v>
      </c>
      <c r="G119" s="65">
        <f t="shared" si="19"/>
        <v>0</v>
      </c>
      <c r="H119" s="65">
        <f t="shared" si="20"/>
        <v>0</v>
      </c>
      <c r="I119" s="65">
        <f t="shared" si="16"/>
        <v>0</v>
      </c>
      <c r="J119" s="203">
        <f>IF(DG!$A$137&lt;=11,$M$17,0)</f>
        <v>0</v>
      </c>
      <c r="K119" s="65">
        <f t="shared" si="24"/>
        <v>0</v>
      </c>
      <c r="L119" s="473">
        <f t="shared" si="25"/>
        <v>0</v>
      </c>
      <c r="M119" s="204">
        <f t="shared" si="26"/>
        <v>0</v>
      </c>
      <c r="N119" s="505">
        <f t="shared" si="27"/>
        <v>0</v>
      </c>
      <c r="O119" s="204">
        <f>IF(DG!$A$137&gt;12,0,IF(J119-J118&gt;0,MROUND((L119/12*Q118),1),MROUND(L119/12*P118,1)))</f>
        <v>0</v>
      </c>
      <c r="P119" s="204">
        <f t="shared" si="28"/>
        <v>0</v>
      </c>
      <c r="Q119" s="204">
        <f t="shared" si="21"/>
        <v>0</v>
      </c>
      <c r="R119" s="748">
        <v>0</v>
      </c>
      <c r="S119" s="511">
        <f t="shared" si="17"/>
        <v>0</v>
      </c>
    </row>
    <row r="120" spans="1:19" ht="14" thickTop="1" thickBot="1">
      <c r="A120" s="202">
        <f t="shared" si="22"/>
        <v>48153</v>
      </c>
      <c r="B120" s="65">
        <f t="shared" si="18"/>
        <v>0</v>
      </c>
      <c r="C120" s="65">
        <f t="shared" si="30"/>
        <v>0</v>
      </c>
      <c r="D120" s="65">
        <f t="shared" si="29"/>
        <v>95</v>
      </c>
      <c r="E120" s="65">
        <f t="shared" si="23"/>
        <v>0</v>
      </c>
      <c r="F120" s="65">
        <f>IF(OR(L$73=0,DG!$A$258&gt;16),0,F119+1)</f>
        <v>0</v>
      </c>
      <c r="G120" s="65">
        <f t="shared" si="19"/>
        <v>0</v>
      </c>
      <c r="H120" s="65">
        <f t="shared" si="20"/>
        <v>0</v>
      </c>
      <c r="I120" s="65">
        <f t="shared" si="16"/>
        <v>0</v>
      </c>
      <c r="J120" s="203">
        <f>IF(DG!$A$137&lt;=11,$M$17,0)</f>
        <v>0</v>
      </c>
      <c r="K120" s="65">
        <f t="shared" si="24"/>
        <v>0</v>
      </c>
      <c r="L120" s="473">
        <f t="shared" si="25"/>
        <v>0</v>
      </c>
      <c r="M120" s="204">
        <f t="shared" si="26"/>
        <v>0</v>
      </c>
      <c r="N120" s="505">
        <f t="shared" si="27"/>
        <v>0</v>
      </c>
      <c r="O120" s="204">
        <f>IF(DG!$A$137&gt;12,0,IF(J120-J119&gt;0,MROUND((L120/12*Q119),1),MROUND(L120/12*P119,1)))</f>
        <v>0</v>
      </c>
      <c r="P120" s="204">
        <f t="shared" si="28"/>
        <v>0</v>
      </c>
      <c r="Q120" s="204">
        <f t="shared" si="21"/>
        <v>0</v>
      </c>
      <c r="R120" s="748">
        <v>0</v>
      </c>
      <c r="S120" s="511">
        <f t="shared" si="17"/>
        <v>0</v>
      </c>
    </row>
    <row r="121" spans="1:19" ht="14" thickTop="1" thickBot="1">
      <c r="A121" s="202">
        <f t="shared" si="22"/>
        <v>48183</v>
      </c>
      <c r="B121" s="65">
        <f t="shared" si="18"/>
        <v>0</v>
      </c>
      <c r="C121" s="65">
        <f t="shared" si="30"/>
        <v>0</v>
      </c>
      <c r="D121" s="65">
        <f t="shared" si="29"/>
        <v>96</v>
      </c>
      <c r="E121" s="65">
        <f t="shared" si="23"/>
        <v>0</v>
      </c>
      <c r="F121" s="65">
        <f>IF(OR(L$73=0,DG!$A$258&gt;16),0,F120+1)</f>
        <v>0</v>
      </c>
      <c r="G121" s="65">
        <f t="shared" si="19"/>
        <v>0</v>
      </c>
      <c r="H121" s="65">
        <f t="shared" si="20"/>
        <v>0</v>
      </c>
      <c r="I121" s="65">
        <f t="shared" si="16"/>
        <v>0</v>
      </c>
      <c r="J121" s="203">
        <f>IF(DG!$A$137&lt;=11,$M$17,0)</f>
        <v>0</v>
      </c>
      <c r="K121" s="65">
        <f t="shared" si="24"/>
        <v>0</v>
      </c>
      <c r="L121" s="473">
        <f t="shared" si="25"/>
        <v>0</v>
      </c>
      <c r="M121" s="204">
        <f t="shared" si="26"/>
        <v>0</v>
      </c>
      <c r="N121" s="505">
        <f t="shared" si="27"/>
        <v>0</v>
      </c>
      <c r="O121" s="204">
        <f>IF(DG!$A$137&gt;12,0,IF(J121-J120&gt;0,MROUND((L121/12*Q120),1),MROUND(L121/12*P120,1)))</f>
        <v>0</v>
      </c>
      <c r="P121" s="204">
        <f t="shared" si="28"/>
        <v>0</v>
      </c>
      <c r="Q121" s="204">
        <f t="shared" si="21"/>
        <v>0</v>
      </c>
      <c r="R121" s="748">
        <v>0</v>
      </c>
      <c r="S121" s="511">
        <f t="shared" si="17"/>
        <v>0</v>
      </c>
    </row>
    <row r="122" spans="1:19" ht="14" thickTop="1" thickBot="1">
      <c r="A122" s="202">
        <f t="shared" si="22"/>
        <v>48214</v>
      </c>
      <c r="B122" s="65">
        <f t="shared" si="18"/>
        <v>0</v>
      </c>
      <c r="C122" s="65">
        <f t="shared" si="30"/>
        <v>0</v>
      </c>
      <c r="D122" s="65">
        <f t="shared" si="29"/>
        <v>97</v>
      </c>
      <c r="E122" s="65">
        <f t="shared" si="23"/>
        <v>0</v>
      </c>
      <c r="F122" s="65">
        <f>IF(OR(L$73=0,DG!$A$258&gt;16),0,F121+1)</f>
        <v>0</v>
      </c>
      <c r="G122" s="65">
        <f t="shared" si="19"/>
        <v>0</v>
      </c>
      <c r="H122" s="65">
        <f t="shared" si="20"/>
        <v>0</v>
      </c>
      <c r="I122" s="65">
        <f t="shared" si="16"/>
        <v>0</v>
      </c>
      <c r="J122" s="203">
        <f>IF(DG!$A$137&lt;=11,$M$17,0)</f>
        <v>0</v>
      </c>
      <c r="K122" s="65">
        <f t="shared" si="24"/>
        <v>0</v>
      </c>
      <c r="L122" s="473">
        <f t="shared" si="25"/>
        <v>0</v>
      </c>
      <c r="M122" s="204">
        <f t="shared" si="26"/>
        <v>0</v>
      </c>
      <c r="N122" s="505">
        <f t="shared" si="27"/>
        <v>0</v>
      </c>
      <c r="O122" s="204">
        <f>IF(DG!$A$137&gt;12,0,IF(J122-J121&gt;0,MROUND((L122/12*Q121),1),MROUND(L122/12*P121,1)))</f>
        <v>0</v>
      </c>
      <c r="P122" s="204">
        <f t="shared" si="28"/>
        <v>0</v>
      </c>
      <c r="Q122" s="204">
        <f t="shared" si="21"/>
        <v>0</v>
      </c>
      <c r="R122" s="748">
        <v>0</v>
      </c>
      <c r="S122" s="511">
        <f t="shared" si="17"/>
        <v>0</v>
      </c>
    </row>
    <row r="123" spans="1:19" ht="14" thickTop="1" thickBot="1">
      <c r="A123" s="202">
        <f t="shared" si="22"/>
        <v>48245</v>
      </c>
      <c r="B123" s="65">
        <f t="shared" si="18"/>
        <v>0</v>
      </c>
      <c r="C123" s="65">
        <f t="shared" si="30"/>
        <v>0</v>
      </c>
      <c r="D123" s="65">
        <f t="shared" si="29"/>
        <v>98</v>
      </c>
      <c r="E123" s="65">
        <f t="shared" si="23"/>
        <v>0</v>
      </c>
      <c r="F123" s="65">
        <f>IF(OR(L$73=0,DG!$A$258&gt;16),0,F122+1)</f>
        <v>0</v>
      </c>
      <c r="G123" s="65">
        <f t="shared" si="19"/>
        <v>0</v>
      </c>
      <c r="H123" s="65">
        <f t="shared" si="20"/>
        <v>0</v>
      </c>
      <c r="I123" s="65">
        <f t="shared" si="16"/>
        <v>0</v>
      </c>
      <c r="J123" s="203">
        <f>IF(DG!$A$137&lt;=11,$M$17,0)</f>
        <v>0</v>
      </c>
      <c r="K123" s="65">
        <f t="shared" si="24"/>
        <v>0</v>
      </c>
      <c r="L123" s="473">
        <f t="shared" si="25"/>
        <v>0</v>
      </c>
      <c r="M123" s="204">
        <f t="shared" si="26"/>
        <v>0</v>
      </c>
      <c r="N123" s="505">
        <f t="shared" si="27"/>
        <v>0</v>
      </c>
      <c r="O123" s="204">
        <f>IF(DG!$A$137&gt;12,0,IF(J123-J122&gt;0,MROUND((L123/12*Q122),1),MROUND(L123/12*P122,1)))</f>
        <v>0</v>
      </c>
      <c r="P123" s="204">
        <f t="shared" si="28"/>
        <v>0</v>
      </c>
      <c r="Q123" s="204">
        <f t="shared" si="21"/>
        <v>0</v>
      </c>
      <c r="R123" s="748">
        <v>0</v>
      </c>
      <c r="S123" s="511">
        <f t="shared" si="17"/>
        <v>0</v>
      </c>
    </row>
    <row r="124" spans="1:19" ht="14" thickTop="1" thickBot="1">
      <c r="A124" s="202">
        <f t="shared" si="22"/>
        <v>48274</v>
      </c>
      <c r="B124" s="65">
        <f t="shared" si="18"/>
        <v>0</v>
      </c>
      <c r="C124" s="65">
        <f t="shared" si="30"/>
        <v>0</v>
      </c>
      <c r="D124" s="65">
        <f t="shared" si="29"/>
        <v>99</v>
      </c>
      <c r="E124" s="65">
        <f t="shared" si="23"/>
        <v>0</v>
      </c>
      <c r="F124" s="65">
        <f>IF(OR(L$73=0,DG!$A$258&gt;16),0,F123+1)</f>
        <v>0</v>
      </c>
      <c r="G124" s="65">
        <f t="shared" si="19"/>
        <v>0</v>
      </c>
      <c r="H124" s="65">
        <f t="shared" si="20"/>
        <v>0</v>
      </c>
      <c r="I124" s="65">
        <f t="shared" si="16"/>
        <v>0</v>
      </c>
      <c r="J124" s="203">
        <f>IF(DG!$A$137&lt;=11,$M$17,0)</f>
        <v>0</v>
      </c>
      <c r="K124" s="65">
        <f t="shared" si="24"/>
        <v>0</v>
      </c>
      <c r="L124" s="473">
        <f t="shared" si="25"/>
        <v>0</v>
      </c>
      <c r="M124" s="204">
        <f t="shared" si="26"/>
        <v>0</v>
      </c>
      <c r="N124" s="505">
        <f t="shared" si="27"/>
        <v>0</v>
      </c>
      <c r="O124" s="204">
        <f>IF(DG!$A$137&gt;12,0,IF(J124-J123&gt;0,MROUND((L124/12*Q123),1),MROUND(L124/12*P123,1)))</f>
        <v>0</v>
      </c>
      <c r="P124" s="204">
        <f t="shared" si="28"/>
        <v>0</v>
      </c>
      <c r="Q124" s="204">
        <f t="shared" si="21"/>
        <v>0</v>
      </c>
      <c r="R124" s="748">
        <v>0</v>
      </c>
      <c r="S124" s="511">
        <f t="shared" si="17"/>
        <v>0</v>
      </c>
    </row>
    <row r="125" spans="1:19" ht="14" thickTop="1" thickBot="1">
      <c r="A125" s="202">
        <f t="shared" si="22"/>
        <v>48305</v>
      </c>
      <c r="B125" s="65">
        <f t="shared" si="18"/>
        <v>0</v>
      </c>
      <c r="C125" s="65">
        <f t="shared" si="30"/>
        <v>0</v>
      </c>
      <c r="D125" s="65">
        <f t="shared" si="29"/>
        <v>100</v>
      </c>
      <c r="E125" s="65">
        <f t="shared" si="23"/>
        <v>0</v>
      </c>
      <c r="F125" s="65">
        <f>IF(OR(L$73=0,DG!$A$258&gt;16),0,F124+1)</f>
        <v>0</v>
      </c>
      <c r="G125" s="65">
        <f t="shared" si="19"/>
        <v>0</v>
      </c>
      <c r="H125" s="65">
        <f t="shared" si="20"/>
        <v>0</v>
      </c>
      <c r="I125" s="65">
        <f t="shared" si="16"/>
        <v>0</v>
      </c>
      <c r="J125" s="203">
        <f>IF(DG!$A$137&lt;=11,$M$17,0)</f>
        <v>0</v>
      </c>
      <c r="K125" s="65">
        <f t="shared" si="24"/>
        <v>0</v>
      </c>
      <c r="L125" s="473">
        <f t="shared" si="25"/>
        <v>0</v>
      </c>
      <c r="M125" s="204">
        <f t="shared" si="26"/>
        <v>0</v>
      </c>
      <c r="N125" s="505">
        <f t="shared" si="27"/>
        <v>0</v>
      </c>
      <c r="O125" s="204">
        <f>IF(DG!$A$137&gt;12,0,IF(J125-J124&gt;0,MROUND((L125/12*Q124),1),MROUND(L125/12*P124,1)))</f>
        <v>0</v>
      </c>
      <c r="P125" s="204">
        <f t="shared" si="28"/>
        <v>0</v>
      </c>
      <c r="Q125" s="204">
        <f t="shared" si="21"/>
        <v>0</v>
      </c>
      <c r="R125" s="476">
        <v>0</v>
      </c>
      <c r="S125" s="511">
        <f t="shared" si="17"/>
        <v>0</v>
      </c>
    </row>
    <row r="126" spans="1:19" ht="14" thickTop="1" thickBot="1">
      <c r="A126" s="202">
        <f t="shared" si="22"/>
        <v>48335</v>
      </c>
      <c r="B126" s="65">
        <f t="shared" si="18"/>
        <v>0</v>
      </c>
      <c r="C126" s="65">
        <f t="shared" si="30"/>
        <v>0</v>
      </c>
      <c r="D126" s="65">
        <f t="shared" si="29"/>
        <v>101</v>
      </c>
      <c r="E126" s="65">
        <f t="shared" si="23"/>
        <v>0</v>
      </c>
      <c r="F126" s="65">
        <f>IF(OR(L$73=0,DG!$A$258&gt;16),0,F125+1)</f>
        <v>0</v>
      </c>
      <c r="G126" s="65">
        <f t="shared" si="19"/>
        <v>0</v>
      </c>
      <c r="H126" s="65">
        <f t="shared" si="20"/>
        <v>0</v>
      </c>
      <c r="I126" s="65">
        <f t="shared" si="16"/>
        <v>0</v>
      </c>
      <c r="J126" s="203">
        <f>IF(DG!$A$137&lt;=11,$M$17,0)</f>
        <v>0</v>
      </c>
      <c r="K126" s="65">
        <f t="shared" si="24"/>
        <v>0</v>
      </c>
      <c r="L126" s="473">
        <f t="shared" si="25"/>
        <v>0</v>
      </c>
      <c r="M126" s="204">
        <f t="shared" si="26"/>
        <v>0</v>
      </c>
      <c r="N126" s="505">
        <f t="shared" si="27"/>
        <v>0</v>
      </c>
      <c r="O126" s="204">
        <f>IF(DG!$A$137&gt;12,0,IF(J126-J125&gt;0,MROUND((L126/12*Q125),1),MROUND(L126/12*P125,1)))</f>
        <v>0</v>
      </c>
      <c r="P126" s="204">
        <f t="shared" si="28"/>
        <v>0</v>
      </c>
      <c r="Q126" s="204">
        <f t="shared" si="21"/>
        <v>0</v>
      </c>
      <c r="R126" s="476">
        <v>0</v>
      </c>
      <c r="S126" s="511">
        <f t="shared" si="17"/>
        <v>0</v>
      </c>
    </row>
    <row r="127" spans="1:19" ht="14" thickTop="1" thickBot="1">
      <c r="A127" s="202">
        <f t="shared" si="22"/>
        <v>48366</v>
      </c>
      <c r="B127" s="65">
        <f t="shared" si="18"/>
        <v>0</v>
      </c>
      <c r="C127" s="65">
        <f t="shared" si="30"/>
        <v>0</v>
      </c>
      <c r="D127" s="65">
        <f t="shared" si="29"/>
        <v>102</v>
      </c>
      <c r="E127" s="65">
        <f t="shared" si="23"/>
        <v>0</v>
      </c>
      <c r="F127" s="65">
        <f>IF(OR(L$73=0,DG!$A$258&gt;16),0,F126+1)</f>
        <v>0</v>
      </c>
      <c r="G127" s="65">
        <f t="shared" si="19"/>
        <v>0</v>
      </c>
      <c r="H127" s="65">
        <f t="shared" si="20"/>
        <v>0</v>
      </c>
      <c r="I127" s="65">
        <f t="shared" si="16"/>
        <v>0</v>
      </c>
      <c r="J127" s="203">
        <f>IF(DG!$A$137&lt;=11,$M$17,0)</f>
        <v>0</v>
      </c>
      <c r="K127" s="65">
        <f t="shared" si="24"/>
        <v>0</v>
      </c>
      <c r="L127" s="473">
        <f t="shared" si="25"/>
        <v>0</v>
      </c>
      <c r="M127" s="204">
        <f t="shared" si="26"/>
        <v>0</v>
      </c>
      <c r="N127" s="505">
        <f t="shared" si="27"/>
        <v>0</v>
      </c>
      <c r="O127" s="204">
        <f>IF(DG!$A$137&gt;12,0,IF(J127-J126&gt;0,MROUND((L127/12*Q126),1),MROUND(L127/12*P126,1)))</f>
        <v>0</v>
      </c>
      <c r="P127" s="204">
        <f t="shared" si="28"/>
        <v>0</v>
      </c>
      <c r="Q127" s="204">
        <f t="shared" si="21"/>
        <v>0</v>
      </c>
      <c r="R127" s="476">
        <v>0</v>
      </c>
      <c r="S127" s="511">
        <f t="shared" si="17"/>
        <v>0</v>
      </c>
    </row>
    <row r="128" spans="1:19" ht="14" thickTop="1" thickBot="1">
      <c r="A128" s="202">
        <f t="shared" si="22"/>
        <v>48396</v>
      </c>
      <c r="B128" s="65">
        <f t="shared" si="18"/>
        <v>0</v>
      </c>
      <c r="C128" s="65">
        <f t="shared" si="30"/>
        <v>0</v>
      </c>
      <c r="D128" s="65">
        <f t="shared" si="29"/>
        <v>103</v>
      </c>
      <c r="E128" s="65">
        <f t="shared" si="23"/>
        <v>0</v>
      </c>
      <c r="F128" s="65">
        <f>IF(OR(L$73=0,DG!$A$258&gt;16),0,F127+1)</f>
        <v>0</v>
      </c>
      <c r="G128" s="65">
        <f t="shared" si="19"/>
        <v>0</v>
      </c>
      <c r="H128" s="65">
        <f t="shared" si="20"/>
        <v>0</v>
      </c>
      <c r="I128" s="65">
        <f t="shared" si="16"/>
        <v>0</v>
      </c>
      <c r="J128" s="203">
        <f>IF(DG!$A$137&lt;=11,$M$17,0)</f>
        <v>0</v>
      </c>
      <c r="K128" s="65">
        <f t="shared" si="24"/>
        <v>0</v>
      </c>
      <c r="L128" s="473">
        <f t="shared" si="25"/>
        <v>0</v>
      </c>
      <c r="M128" s="204">
        <f t="shared" si="26"/>
        <v>0</v>
      </c>
      <c r="N128" s="505">
        <f t="shared" si="27"/>
        <v>0</v>
      </c>
      <c r="O128" s="204">
        <f>IF(DG!$A$137&gt;12,0,IF(J128-J127&gt;0,MROUND((L128/12*Q127),1),MROUND(L128/12*P127,1)))</f>
        <v>0</v>
      </c>
      <c r="P128" s="204">
        <f t="shared" si="28"/>
        <v>0</v>
      </c>
      <c r="Q128" s="204">
        <f t="shared" si="21"/>
        <v>0</v>
      </c>
      <c r="R128" s="476">
        <v>0</v>
      </c>
      <c r="S128" s="511">
        <f t="shared" si="17"/>
        <v>0</v>
      </c>
    </row>
    <row r="129" spans="1:19" ht="14" thickTop="1" thickBot="1">
      <c r="A129" s="202">
        <f t="shared" si="22"/>
        <v>48427</v>
      </c>
      <c r="B129" s="65">
        <f t="shared" si="18"/>
        <v>0</v>
      </c>
      <c r="C129" s="65">
        <f t="shared" si="30"/>
        <v>0</v>
      </c>
      <c r="D129" s="65">
        <f t="shared" si="29"/>
        <v>104</v>
      </c>
      <c r="E129" s="65">
        <f t="shared" si="23"/>
        <v>0</v>
      </c>
      <c r="F129" s="65">
        <f>IF(OR(L$73=0,DG!$A$258&gt;16),0,F128+1)</f>
        <v>0</v>
      </c>
      <c r="G129" s="65">
        <f t="shared" si="19"/>
        <v>0</v>
      </c>
      <c r="H129" s="65">
        <f t="shared" si="20"/>
        <v>0</v>
      </c>
      <c r="I129" s="65">
        <f t="shared" ref="I129:I192" si="31">IF(OR(G129=1,C129=0),0,IF(K129-C129&lt;$G$269,1,-1))</f>
        <v>0</v>
      </c>
      <c r="J129" s="203">
        <f>IF(DG!$A$137&lt;=11,$M$17,0)</f>
        <v>0</v>
      </c>
      <c r="K129" s="65">
        <f t="shared" si="24"/>
        <v>0</v>
      </c>
      <c r="L129" s="473">
        <f t="shared" si="25"/>
        <v>0</v>
      </c>
      <c r="M129" s="204">
        <f t="shared" si="26"/>
        <v>0</v>
      </c>
      <c r="N129" s="505">
        <f t="shared" si="27"/>
        <v>0</v>
      </c>
      <c r="O129" s="204">
        <f>IF(DG!$A$137&gt;12,0,IF(J129-J128&gt;0,MROUND((L129/12*Q128),1),MROUND(L129/12*P128,1)))</f>
        <v>0</v>
      </c>
      <c r="P129" s="204">
        <f t="shared" si="28"/>
        <v>0</v>
      </c>
      <c r="Q129" s="204">
        <f t="shared" si="21"/>
        <v>0</v>
      </c>
      <c r="R129" s="476">
        <v>0</v>
      </c>
      <c r="S129" s="511">
        <f t="shared" si="17"/>
        <v>0</v>
      </c>
    </row>
    <row r="130" spans="1:19" ht="14" thickTop="1" thickBot="1">
      <c r="A130" s="202">
        <f t="shared" si="22"/>
        <v>48458</v>
      </c>
      <c r="B130" s="65">
        <f t="shared" si="18"/>
        <v>0</v>
      </c>
      <c r="C130" s="65">
        <f t="shared" si="30"/>
        <v>0</v>
      </c>
      <c r="D130" s="65">
        <f t="shared" si="29"/>
        <v>105</v>
      </c>
      <c r="E130" s="65">
        <f t="shared" si="23"/>
        <v>0</v>
      </c>
      <c r="F130" s="65">
        <f>IF(OR(L$73=0,DG!$A$258&gt;16),0,F129+1)</f>
        <v>0</v>
      </c>
      <c r="G130" s="65">
        <f t="shared" si="19"/>
        <v>0</v>
      </c>
      <c r="H130" s="65">
        <f t="shared" si="20"/>
        <v>0</v>
      </c>
      <c r="I130" s="65">
        <f t="shared" si="31"/>
        <v>0</v>
      </c>
      <c r="J130" s="203">
        <f>IF(DG!$A$137&lt;=11,$M$17,0)</f>
        <v>0</v>
      </c>
      <c r="K130" s="65">
        <f t="shared" si="24"/>
        <v>0</v>
      </c>
      <c r="L130" s="473">
        <f t="shared" si="25"/>
        <v>0</v>
      </c>
      <c r="M130" s="204">
        <f t="shared" si="26"/>
        <v>0</v>
      </c>
      <c r="N130" s="505">
        <f t="shared" si="27"/>
        <v>0</v>
      </c>
      <c r="O130" s="204">
        <f>IF(DG!$A$137&gt;12,0,IF(J130-J129&gt;0,MROUND((L130/12*Q129),1),MROUND(L130/12*P129,1)))</f>
        <v>0</v>
      </c>
      <c r="P130" s="204">
        <f t="shared" si="28"/>
        <v>0</v>
      </c>
      <c r="Q130" s="204">
        <f t="shared" si="21"/>
        <v>0</v>
      </c>
      <c r="R130" s="476">
        <v>0</v>
      </c>
      <c r="S130" s="511">
        <f t="shared" si="17"/>
        <v>0</v>
      </c>
    </row>
    <row r="131" spans="1:19" ht="14" thickTop="1" thickBot="1">
      <c r="A131" s="202">
        <f t="shared" si="22"/>
        <v>48488</v>
      </c>
      <c r="B131" s="65">
        <f t="shared" si="18"/>
        <v>0</v>
      </c>
      <c r="C131" s="65">
        <f t="shared" si="30"/>
        <v>0</v>
      </c>
      <c r="D131" s="65">
        <f t="shared" si="29"/>
        <v>106</v>
      </c>
      <c r="E131" s="65">
        <f t="shared" si="23"/>
        <v>0</v>
      </c>
      <c r="F131" s="65">
        <f>IF(OR(L$73=0,DG!$A$258&gt;16),0,F130+1)</f>
        <v>0</v>
      </c>
      <c r="G131" s="65">
        <f t="shared" si="19"/>
        <v>0</v>
      </c>
      <c r="H131" s="65">
        <f t="shared" si="20"/>
        <v>0</v>
      </c>
      <c r="I131" s="65">
        <f t="shared" si="31"/>
        <v>0</v>
      </c>
      <c r="J131" s="203">
        <f>IF(DG!$A$137&lt;=11,$M$17,0)</f>
        <v>0</v>
      </c>
      <c r="K131" s="65">
        <f t="shared" si="24"/>
        <v>0</v>
      </c>
      <c r="L131" s="473">
        <f t="shared" si="25"/>
        <v>0</v>
      </c>
      <c r="M131" s="204">
        <f t="shared" si="26"/>
        <v>0</v>
      </c>
      <c r="N131" s="505">
        <f t="shared" si="27"/>
        <v>0</v>
      </c>
      <c r="O131" s="204">
        <f>IF(DG!$A$137&gt;12,0,IF(J131-J130&gt;0,MROUND((L131/12*Q130),1),MROUND(L131/12*P130,1)))</f>
        <v>0</v>
      </c>
      <c r="P131" s="204">
        <f t="shared" si="28"/>
        <v>0</v>
      </c>
      <c r="Q131" s="204">
        <f t="shared" si="21"/>
        <v>0</v>
      </c>
      <c r="R131" s="476">
        <v>0</v>
      </c>
      <c r="S131" s="511">
        <f t="shared" si="17"/>
        <v>0</v>
      </c>
    </row>
    <row r="132" spans="1:19" ht="14" thickTop="1" thickBot="1">
      <c r="A132" s="202">
        <f t="shared" si="22"/>
        <v>48519</v>
      </c>
      <c r="B132" s="65">
        <f t="shared" si="18"/>
        <v>0</v>
      </c>
      <c r="C132" s="65">
        <f t="shared" si="30"/>
        <v>0</v>
      </c>
      <c r="D132" s="65">
        <f t="shared" si="29"/>
        <v>107</v>
      </c>
      <c r="E132" s="65">
        <f t="shared" si="23"/>
        <v>0</v>
      </c>
      <c r="F132" s="65">
        <f>IF(OR(L$73=0,DG!$A$258&gt;16),0,F131+1)</f>
        <v>0</v>
      </c>
      <c r="G132" s="65">
        <f t="shared" si="19"/>
        <v>0</v>
      </c>
      <c r="H132" s="65">
        <f t="shared" si="20"/>
        <v>0</v>
      </c>
      <c r="I132" s="65">
        <f t="shared" si="31"/>
        <v>0</v>
      </c>
      <c r="J132" s="203">
        <f>IF(DG!$A$137&lt;=11,$M$17,0)</f>
        <v>0</v>
      </c>
      <c r="K132" s="65">
        <f t="shared" si="24"/>
        <v>0</v>
      </c>
      <c r="L132" s="473">
        <f t="shared" si="25"/>
        <v>0</v>
      </c>
      <c r="M132" s="204">
        <f t="shared" si="26"/>
        <v>0</v>
      </c>
      <c r="N132" s="505">
        <f t="shared" si="27"/>
        <v>0</v>
      </c>
      <c r="O132" s="204">
        <f>IF(DG!$A$137&gt;12,0,IF(J132-J131&gt;0,MROUND((L132/12*Q131),1),MROUND(L132/12*P131,1)))</f>
        <v>0</v>
      </c>
      <c r="P132" s="204">
        <f t="shared" si="28"/>
        <v>0</v>
      </c>
      <c r="Q132" s="204">
        <f t="shared" si="21"/>
        <v>0</v>
      </c>
      <c r="R132" s="476">
        <v>0</v>
      </c>
      <c r="S132" s="511">
        <f t="shared" si="17"/>
        <v>0</v>
      </c>
    </row>
    <row r="133" spans="1:19" ht="14" thickTop="1" thickBot="1">
      <c r="A133" s="202">
        <f t="shared" si="22"/>
        <v>48549</v>
      </c>
      <c r="B133" s="65">
        <f t="shared" si="18"/>
        <v>0</v>
      </c>
      <c r="C133" s="65">
        <f t="shared" si="30"/>
        <v>0</v>
      </c>
      <c r="D133" s="65">
        <f t="shared" si="29"/>
        <v>108</v>
      </c>
      <c r="E133" s="65">
        <f t="shared" si="23"/>
        <v>0</v>
      </c>
      <c r="F133" s="65">
        <f>IF(OR(L$73=0,DG!$A$258&gt;16),0,F132+1)</f>
        <v>0</v>
      </c>
      <c r="G133" s="65">
        <f t="shared" si="19"/>
        <v>0</v>
      </c>
      <c r="H133" s="65">
        <f t="shared" si="20"/>
        <v>0</v>
      </c>
      <c r="I133" s="65">
        <f t="shared" si="31"/>
        <v>0</v>
      </c>
      <c r="J133" s="203">
        <f>IF(DG!$A$137&lt;=11,$M$17,0)</f>
        <v>0</v>
      </c>
      <c r="K133" s="65">
        <f t="shared" si="24"/>
        <v>0</v>
      </c>
      <c r="L133" s="473">
        <f t="shared" si="25"/>
        <v>0</v>
      </c>
      <c r="M133" s="204">
        <f t="shared" si="26"/>
        <v>0</v>
      </c>
      <c r="N133" s="505">
        <f t="shared" si="27"/>
        <v>0</v>
      </c>
      <c r="O133" s="204">
        <f>IF(DG!$A$137&gt;12,0,IF(J133-J132&gt;0,MROUND((L133/12*Q132),1),MROUND(L133/12*P132,1)))</f>
        <v>0</v>
      </c>
      <c r="P133" s="204">
        <f t="shared" si="28"/>
        <v>0</v>
      </c>
      <c r="Q133" s="204">
        <f t="shared" si="21"/>
        <v>0</v>
      </c>
      <c r="R133" s="476">
        <v>0</v>
      </c>
      <c r="S133" s="511">
        <f t="shared" si="17"/>
        <v>0</v>
      </c>
    </row>
    <row r="134" spans="1:19" ht="14" thickTop="1" thickBot="1">
      <c r="A134" s="202">
        <f t="shared" si="22"/>
        <v>48580</v>
      </c>
      <c r="B134" s="65">
        <f t="shared" si="18"/>
        <v>0</v>
      </c>
      <c r="C134" s="65">
        <f t="shared" si="30"/>
        <v>0</v>
      </c>
      <c r="D134" s="65">
        <f t="shared" si="29"/>
        <v>109</v>
      </c>
      <c r="E134" s="65">
        <f t="shared" si="23"/>
        <v>0</v>
      </c>
      <c r="F134" s="65">
        <f>IF(OR(L$73=0,DG!$A$258&gt;16),0,F133+1)</f>
        <v>0</v>
      </c>
      <c r="G134" s="65">
        <f t="shared" si="19"/>
        <v>0</v>
      </c>
      <c r="H134" s="65">
        <f t="shared" si="20"/>
        <v>0</v>
      </c>
      <c r="I134" s="65">
        <f t="shared" si="31"/>
        <v>0</v>
      </c>
      <c r="J134" s="203">
        <f>IF(DG!$A$137&lt;=11,$M$17,0)</f>
        <v>0</v>
      </c>
      <c r="K134" s="65">
        <f t="shared" si="24"/>
        <v>0</v>
      </c>
      <c r="L134" s="473">
        <f t="shared" si="25"/>
        <v>0</v>
      </c>
      <c r="M134" s="204">
        <f t="shared" si="26"/>
        <v>0</v>
      </c>
      <c r="N134" s="505">
        <f t="shared" si="27"/>
        <v>0</v>
      </c>
      <c r="O134" s="204">
        <f>IF(DG!$A$137&gt;12,0,IF(J134-J133&gt;0,MROUND((L134/12*Q133),1),MROUND(L134/12*P133,1)))</f>
        <v>0</v>
      </c>
      <c r="P134" s="204">
        <f t="shared" si="28"/>
        <v>0</v>
      </c>
      <c r="Q134" s="204">
        <f t="shared" si="21"/>
        <v>0</v>
      </c>
      <c r="R134" s="476">
        <v>0</v>
      </c>
      <c r="S134" s="511">
        <f t="shared" si="17"/>
        <v>0</v>
      </c>
    </row>
    <row r="135" spans="1:19" ht="14" thickTop="1" thickBot="1">
      <c r="A135" s="202">
        <f t="shared" si="22"/>
        <v>48611</v>
      </c>
      <c r="B135" s="65">
        <f t="shared" si="18"/>
        <v>0</v>
      </c>
      <c r="C135" s="65">
        <f t="shared" si="30"/>
        <v>0</v>
      </c>
      <c r="D135" s="65">
        <f t="shared" si="29"/>
        <v>110</v>
      </c>
      <c r="E135" s="65">
        <f t="shared" si="23"/>
        <v>0</v>
      </c>
      <c r="F135" s="65">
        <f>IF(OR(L$73=0,DG!$A$258&gt;16),0,F134+1)</f>
        <v>0</v>
      </c>
      <c r="G135" s="65">
        <f t="shared" si="19"/>
        <v>0</v>
      </c>
      <c r="H135" s="65">
        <f t="shared" si="20"/>
        <v>0</v>
      </c>
      <c r="I135" s="65">
        <f t="shared" si="31"/>
        <v>0</v>
      </c>
      <c r="J135" s="203">
        <f>IF(DG!$A$137&lt;=11,$M$17,0)</f>
        <v>0</v>
      </c>
      <c r="K135" s="65">
        <f t="shared" si="24"/>
        <v>0</v>
      </c>
      <c r="L135" s="473">
        <f t="shared" si="25"/>
        <v>0</v>
      </c>
      <c r="M135" s="204">
        <f t="shared" si="26"/>
        <v>0</v>
      </c>
      <c r="N135" s="505">
        <f t="shared" si="27"/>
        <v>0</v>
      </c>
      <c r="O135" s="204">
        <f>IF(DG!$A$137&gt;12,0,IF(J135-J134&gt;0,MROUND((L135/12*Q134),1),MROUND(L135/12*P134,1)))</f>
        <v>0</v>
      </c>
      <c r="P135" s="204">
        <f t="shared" si="28"/>
        <v>0</v>
      </c>
      <c r="Q135" s="204">
        <f t="shared" si="21"/>
        <v>0</v>
      </c>
      <c r="R135" s="476">
        <v>0</v>
      </c>
      <c r="S135" s="511">
        <f t="shared" si="17"/>
        <v>0</v>
      </c>
    </row>
    <row r="136" spans="1:19" ht="14" thickTop="1" thickBot="1">
      <c r="A136" s="202">
        <f t="shared" si="22"/>
        <v>48639</v>
      </c>
      <c r="B136" s="65">
        <f t="shared" si="18"/>
        <v>0</v>
      </c>
      <c r="C136" s="65">
        <f t="shared" si="30"/>
        <v>0</v>
      </c>
      <c r="D136" s="65">
        <f t="shared" si="29"/>
        <v>111</v>
      </c>
      <c r="E136" s="65">
        <f t="shared" si="23"/>
        <v>0</v>
      </c>
      <c r="F136" s="65">
        <f>IF(OR(L$73=0,DG!$A$258&gt;16),0,F135+1)</f>
        <v>0</v>
      </c>
      <c r="G136" s="65">
        <f t="shared" si="19"/>
        <v>0</v>
      </c>
      <c r="H136" s="65">
        <f t="shared" si="20"/>
        <v>0</v>
      </c>
      <c r="I136" s="65">
        <f t="shared" si="31"/>
        <v>0</v>
      </c>
      <c r="J136" s="203">
        <f>IF(DG!$A$137&lt;=11,$M$17,0)</f>
        <v>0</v>
      </c>
      <c r="K136" s="65">
        <f t="shared" si="24"/>
        <v>0</v>
      </c>
      <c r="L136" s="473">
        <f t="shared" si="25"/>
        <v>0</v>
      </c>
      <c r="M136" s="204">
        <f t="shared" si="26"/>
        <v>0</v>
      </c>
      <c r="N136" s="505">
        <f t="shared" si="27"/>
        <v>0</v>
      </c>
      <c r="O136" s="204">
        <f>IF(DG!$A$137&gt;12,0,IF(J136-J135&gt;0,MROUND((L136/12*Q135),1),MROUND(L136/12*P135,1)))</f>
        <v>0</v>
      </c>
      <c r="P136" s="204">
        <f t="shared" si="28"/>
        <v>0</v>
      </c>
      <c r="Q136" s="204">
        <f t="shared" si="21"/>
        <v>0</v>
      </c>
      <c r="R136" s="476">
        <v>0</v>
      </c>
      <c r="S136" s="511">
        <f t="shared" si="17"/>
        <v>0</v>
      </c>
    </row>
    <row r="137" spans="1:19" ht="14" thickTop="1" thickBot="1">
      <c r="A137" s="202">
        <f t="shared" si="22"/>
        <v>48670</v>
      </c>
      <c r="B137" s="65">
        <f t="shared" si="18"/>
        <v>0</v>
      </c>
      <c r="C137" s="65">
        <f t="shared" si="30"/>
        <v>0</v>
      </c>
      <c r="D137" s="65">
        <f t="shared" si="29"/>
        <v>112</v>
      </c>
      <c r="E137" s="65">
        <f t="shared" si="23"/>
        <v>0</v>
      </c>
      <c r="F137" s="65">
        <f>IF(OR(L$73=0,DG!$A$258&gt;16),0,F136+1)</f>
        <v>0</v>
      </c>
      <c r="G137" s="65">
        <f t="shared" si="19"/>
        <v>0</v>
      </c>
      <c r="H137" s="65">
        <f t="shared" si="20"/>
        <v>0</v>
      </c>
      <c r="I137" s="65">
        <f t="shared" si="31"/>
        <v>0</v>
      </c>
      <c r="J137" s="203">
        <f>IF(DG!$A$137&lt;=11,$M$17,0)</f>
        <v>0</v>
      </c>
      <c r="K137" s="65">
        <f t="shared" si="24"/>
        <v>0</v>
      </c>
      <c r="L137" s="473">
        <f t="shared" si="25"/>
        <v>0</v>
      </c>
      <c r="M137" s="204">
        <f t="shared" si="26"/>
        <v>0</v>
      </c>
      <c r="N137" s="505">
        <f t="shared" si="27"/>
        <v>0</v>
      </c>
      <c r="O137" s="204">
        <f>IF(DG!$A$137&gt;12,0,IF(J137-J136&gt;0,MROUND((L137/12*Q136),1),MROUND(L137/12*P136,1)))</f>
        <v>0</v>
      </c>
      <c r="P137" s="204">
        <f t="shared" si="28"/>
        <v>0</v>
      </c>
      <c r="Q137" s="204">
        <f t="shared" si="21"/>
        <v>0</v>
      </c>
      <c r="R137" s="476">
        <v>0</v>
      </c>
      <c r="S137" s="511">
        <f t="shared" si="17"/>
        <v>0</v>
      </c>
    </row>
    <row r="138" spans="1:19" ht="14" thickTop="1" thickBot="1">
      <c r="A138" s="202">
        <f t="shared" si="22"/>
        <v>48700</v>
      </c>
      <c r="B138" s="65">
        <f t="shared" si="18"/>
        <v>0</v>
      </c>
      <c r="C138" s="65">
        <f t="shared" si="30"/>
        <v>0</v>
      </c>
      <c r="D138" s="65">
        <f t="shared" si="29"/>
        <v>113</v>
      </c>
      <c r="E138" s="65">
        <f t="shared" si="23"/>
        <v>0</v>
      </c>
      <c r="F138" s="65">
        <f>IF(OR(L$73=0,DG!$A$258&gt;16),0,F137+1)</f>
        <v>0</v>
      </c>
      <c r="G138" s="65">
        <f t="shared" si="19"/>
        <v>0</v>
      </c>
      <c r="H138" s="65">
        <f t="shared" si="20"/>
        <v>0</v>
      </c>
      <c r="I138" s="65">
        <f t="shared" si="31"/>
        <v>0</v>
      </c>
      <c r="J138" s="203">
        <f>IF(DG!$A$137&lt;=11,$M$17,0)</f>
        <v>0</v>
      </c>
      <c r="K138" s="65">
        <f t="shared" si="24"/>
        <v>0</v>
      </c>
      <c r="L138" s="473">
        <f t="shared" si="25"/>
        <v>0</v>
      </c>
      <c r="M138" s="204">
        <f t="shared" si="26"/>
        <v>0</v>
      </c>
      <c r="N138" s="505">
        <f t="shared" si="27"/>
        <v>0</v>
      </c>
      <c r="O138" s="204">
        <f>IF(DG!$A$137&gt;12,0,IF(J138-J137&gt;0,MROUND((L138/12*Q137),1),MROUND(L138/12*P137,1)))</f>
        <v>0</v>
      </c>
      <c r="P138" s="204">
        <f t="shared" si="28"/>
        <v>0</v>
      </c>
      <c r="Q138" s="204">
        <f t="shared" si="21"/>
        <v>0</v>
      </c>
      <c r="R138" s="476">
        <v>0</v>
      </c>
      <c r="S138" s="511">
        <f t="shared" ref="S138:S151" si="32">SUM(N127:N138)</f>
        <v>0</v>
      </c>
    </row>
    <row r="139" spans="1:19" ht="14" thickTop="1" thickBot="1">
      <c r="A139" s="202">
        <f t="shared" si="22"/>
        <v>48731</v>
      </c>
      <c r="B139" s="65">
        <f t="shared" si="18"/>
        <v>0</v>
      </c>
      <c r="C139" s="65">
        <f t="shared" si="30"/>
        <v>0</v>
      </c>
      <c r="D139" s="65">
        <f t="shared" si="29"/>
        <v>114</v>
      </c>
      <c r="E139" s="65">
        <f t="shared" si="23"/>
        <v>0</v>
      </c>
      <c r="F139" s="65">
        <f>IF(OR(L$73=0,DG!$A$258&gt;16),0,F138+1)</f>
        <v>0</v>
      </c>
      <c r="G139" s="65">
        <f t="shared" si="19"/>
        <v>0</v>
      </c>
      <c r="H139" s="65">
        <f t="shared" si="20"/>
        <v>0</v>
      </c>
      <c r="I139" s="65">
        <f t="shared" si="31"/>
        <v>0</v>
      </c>
      <c r="J139" s="203">
        <f>IF(DG!$A$137&lt;=11,$M$17,0)</f>
        <v>0</v>
      </c>
      <c r="K139" s="65">
        <f t="shared" si="24"/>
        <v>0</v>
      </c>
      <c r="L139" s="473">
        <f t="shared" si="25"/>
        <v>0</v>
      </c>
      <c r="M139" s="204">
        <f t="shared" si="26"/>
        <v>0</v>
      </c>
      <c r="N139" s="505">
        <f t="shared" si="27"/>
        <v>0</v>
      </c>
      <c r="O139" s="204">
        <f>IF(DG!$A$137&gt;12,0,IF(J139-J138&gt;0,MROUND((L139/12*Q138),1),MROUND(L139/12*P138,1)))</f>
        <v>0</v>
      </c>
      <c r="P139" s="204">
        <f t="shared" si="28"/>
        <v>0</v>
      </c>
      <c r="Q139" s="204">
        <f t="shared" si="21"/>
        <v>0</v>
      </c>
      <c r="R139" s="476">
        <v>0</v>
      </c>
      <c r="S139" s="511">
        <f t="shared" si="32"/>
        <v>0</v>
      </c>
    </row>
    <row r="140" spans="1:19" ht="14" thickTop="1" thickBot="1">
      <c r="A140" s="202">
        <f t="shared" si="22"/>
        <v>48761</v>
      </c>
      <c r="B140" s="65">
        <f t="shared" ref="B140:B203" si="33">IF(J$73=0,0,B139+1)</f>
        <v>0</v>
      </c>
      <c r="C140" s="65">
        <f t="shared" si="30"/>
        <v>0</v>
      </c>
      <c r="D140" s="65">
        <f t="shared" si="29"/>
        <v>115</v>
      </c>
      <c r="E140" s="65">
        <f t="shared" si="23"/>
        <v>0</v>
      </c>
      <c r="F140" s="65">
        <f>IF(OR(L$73=0,DG!$A$258&gt;16),0,F139+1)</f>
        <v>0</v>
      </c>
      <c r="G140" s="65">
        <f t="shared" si="19"/>
        <v>0</v>
      </c>
      <c r="H140" s="65">
        <f t="shared" si="20"/>
        <v>0</v>
      </c>
      <c r="I140" s="65">
        <f t="shared" si="31"/>
        <v>0</v>
      </c>
      <c r="J140" s="203">
        <f>IF(DG!$A$137&lt;=11,$M$17,0)</f>
        <v>0</v>
      </c>
      <c r="K140" s="65">
        <f t="shared" si="24"/>
        <v>0</v>
      </c>
      <c r="L140" s="473">
        <f t="shared" si="25"/>
        <v>0</v>
      </c>
      <c r="M140" s="204">
        <f t="shared" si="26"/>
        <v>0</v>
      </c>
      <c r="N140" s="505">
        <f t="shared" si="27"/>
        <v>0</v>
      </c>
      <c r="O140" s="204">
        <f>IF(DG!$A$137&gt;12,0,IF(J140-J139&gt;0,MROUND((L140/12*Q139),1),MROUND(L140/12*P139,1)))</f>
        <v>0</v>
      </c>
      <c r="P140" s="204">
        <f t="shared" si="28"/>
        <v>0</v>
      </c>
      <c r="Q140" s="204">
        <f t="shared" si="21"/>
        <v>0</v>
      </c>
      <c r="R140" s="476">
        <v>0</v>
      </c>
      <c r="S140" s="511">
        <f t="shared" si="32"/>
        <v>0</v>
      </c>
    </row>
    <row r="141" spans="1:19" ht="14" thickTop="1" thickBot="1">
      <c r="A141" s="202">
        <f t="shared" si="22"/>
        <v>48792</v>
      </c>
      <c r="B141" s="65">
        <f t="shared" si="33"/>
        <v>0</v>
      </c>
      <c r="C141" s="65">
        <f t="shared" si="30"/>
        <v>0</v>
      </c>
      <c r="D141" s="65">
        <f t="shared" si="29"/>
        <v>116</v>
      </c>
      <c r="E141" s="65">
        <f t="shared" si="23"/>
        <v>0</v>
      </c>
      <c r="F141" s="65">
        <f>IF(OR(L$73=0,DG!$A$258&gt;16),0,F140+1)</f>
        <v>0</v>
      </c>
      <c r="G141" s="65">
        <f t="shared" si="19"/>
        <v>0</v>
      </c>
      <c r="H141" s="65">
        <f t="shared" si="20"/>
        <v>0</v>
      </c>
      <c r="I141" s="65">
        <f t="shared" si="31"/>
        <v>0</v>
      </c>
      <c r="J141" s="203">
        <f>IF(DG!$A$137&lt;=11,$M$17,0)</f>
        <v>0</v>
      </c>
      <c r="K141" s="65">
        <f t="shared" si="24"/>
        <v>0</v>
      </c>
      <c r="L141" s="473">
        <f t="shared" si="25"/>
        <v>0</v>
      </c>
      <c r="M141" s="204">
        <f t="shared" si="26"/>
        <v>0</v>
      </c>
      <c r="N141" s="505">
        <f t="shared" si="27"/>
        <v>0</v>
      </c>
      <c r="O141" s="204">
        <f>IF(DG!$A$137&gt;12,0,IF(J141-J140&gt;0,MROUND((L141/12*Q140),1),MROUND(L141/12*P140,1)))</f>
        <v>0</v>
      </c>
      <c r="P141" s="204">
        <f t="shared" si="28"/>
        <v>0</v>
      </c>
      <c r="Q141" s="204">
        <f t="shared" si="21"/>
        <v>0</v>
      </c>
      <c r="R141" s="476">
        <v>0</v>
      </c>
      <c r="S141" s="511">
        <f t="shared" si="32"/>
        <v>0</v>
      </c>
    </row>
    <row r="142" spans="1:19" ht="14" thickTop="1" thickBot="1">
      <c r="A142" s="202">
        <f t="shared" si="22"/>
        <v>48823</v>
      </c>
      <c r="B142" s="65">
        <f t="shared" si="33"/>
        <v>0</v>
      </c>
      <c r="C142" s="65">
        <f t="shared" si="30"/>
        <v>0</v>
      </c>
      <c r="D142" s="65">
        <f t="shared" si="29"/>
        <v>117</v>
      </c>
      <c r="E142" s="65">
        <f t="shared" si="23"/>
        <v>0</v>
      </c>
      <c r="F142" s="65">
        <f>IF(OR(L$73=0,DG!$A$258&gt;16),0,F141+1)</f>
        <v>0</v>
      </c>
      <c r="G142" s="65">
        <f t="shared" si="19"/>
        <v>0</v>
      </c>
      <c r="H142" s="65">
        <f t="shared" si="20"/>
        <v>0</v>
      </c>
      <c r="I142" s="65">
        <f t="shared" si="31"/>
        <v>0</v>
      </c>
      <c r="J142" s="203">
        <f>IF(DG!$A$137&lt;=11,$M$17,0)</f>
        <v>0</v>
      </c>
      <c r="K142" s="65">
        <f t="shared" si="24"/>
        <v>0</v>
      </c>
      <c r="L142" s="473">
        <f t="shared" si="25"/>
        <v>0</v>
      </c>
      <c r="M142" s="204">
        <f t="shared" si="26"/>
        <v>0</v>
      </c>
      <c r="N142" s="505">
        <f t="shared" si="27"/>
        <v>0</v>
      </c>
      <c r="O142" s="204">
        <f>IF(DG!$A$137&gt;12,0,IF(J142-J141&gt;0,MROUND((L142/12*Q141),1),MROUND(L142/12*P141,1)))</f>
        <v>0</v>
      </c>
      <c r="P142" s="204">
        <f t="shared" si="28"/>
        <v>0</v>
      </c>
      <c r="Q142" s="204">
        <f t="shared" si="21"/>
        <v>0</v>
      </c>
      <c r="R142" s="476">
        <v>0</v>
      </c>
      <c r="S142" s="511">
        <f t="shared" si="32"/>
        <v>0</v>
      </c>
    </row>
    <row r="143" spans="1:19" ht="14" thickTop="1" thickBot="1">
      <c r="A143" s="202">
        <f t="shared" si="22"/>
        <v>48853</v>
      </c>
      <c r="B143" s="65">
        <f t="shared" si="33"/>
        <v>0</v>
      </c>
      <c r="C143" s="65">
        <f t="shared" si="30"/>
        <v>0</v>
      </c>
      <c r="D143" s="65">
        <f t="shared" si="29"/>
        <v>118</v>
      </c>
      <c r="E143" s="65">
        <f t="shared" si="23"/>
        <v>0</v>
      </c>
      <c r="F143" s="65">
        <f>IF(OR(L$73=0,DG!$A$258&gt;16),0,F142+1)</f>
        <v>0</v>
      </c>
      <c r="G143" s="65">
        <f t="shared" si="19"/>
        <v>0</v>
      </c>
      <c r="H143" s="65">
        <f t="shared" si="20"/>
        <v>0</v>
      </c>
      <c r="I143" s="65">
        <f t="shared" si="31"/>
        <v>0</v>
      </c>
      <c r="J143" s="203">
        <f>IF(DG!$A$137&lt;=11,$M$17,0)</f>
        <v>0</v>
      </c>
      <c r="K143" s="65">
        <f t="shared" si="24"/>
        <v>0</v>
      </c>
      <c r="L143" s="473">
        <f t="shared" si="25"/>
        <v>0</v>
      </c>
      <c r="M143" s="204">
        <f t="shared" si="26"/>
        <v>0</v>
      </c>
      <c r="N143" s="505">
        <f t="shared" si="27"/>
        <v>0</v>
      </c>
      <c r="O143" s="204">
        <f>IF(DG!$A$137&gt;12,0,IF(J143-J142&gt;0,MROUND((L143/12*Q142),1),MROUND(L143/12*P142,1)))</f>
        <v>0</v>
      </c>
      <c r="P143" s="204">
        <f t="shared" si="28"/>
        <v>0</v>
      </c>
      <c r="Q143" s="204">
        <f t="shared" si="21"/>
        <v>0</v>
      </c>
      <c r="R143" s="476">
        <v>0</v>
      </c>
      <c r="S143" s="511">
        <f t="shared" si="32"/>
        <v>0</v>
      </c>
    </row>
    <row r="144" spans="1:19" ht="14" thickTop="1" thickBot="1">
      <c r="A144" s="202">
        <f t="shared" si="22"/>
        <v>48884</v>
      </c>
      <c r="B144" s="65">
        <f t="shared" si="33"/>
        <v>0</v>
      </c>
      <c r="C144" s="65">
        <f t="shared" si="30"/>
        <v>0</v>
      </c>
      <c r="D144" s="65">
        <f t="shared" si="29"/>
        <v>119</v>
      </c>
      <c r="E144" s="65">
        <f t="shared" si="23"/>
        <v>0</v>
      </c>
      <c r="F144" s="65">
        <f>IF(OR(L$73=0,DG!$A$258&gt;16),0,F143+1)</f>
        <v>0</v>
      </c>
      <c r="G144" s="65">
        <f t="shared" si="19"/>
        <v>0</v>
      </c>
      <c r="H144" s="65">
        <f t="shared" si="20"/>
        <v>0</v>
      </c>
      <c r="I144" s="65">
        <f t="shared" si="31"/>
        <v>0</v>
      </c>
      <c r="J144" s="203">
        <f>IF(DG!$A$137&lt;=11,$M$17,0)</f>
        <v>0</v>
      </c>
      <c r="K144" s="65">
        <f t="shared" si="24"/>
        <v>0</v>
      </c>
      <c r="L144" s="473">
        <f t="shared" si="25"/>
        <v>0</v>
      </c>
      <c r="M144" s="204">
        <f t="shared" si="26"/>
        <v>0</v>
      </c>
      <c r="N144" s="505">
        <f t="shared" si="27"/>
        <v>0</v>
      </c>
      <c r="O144" s="204">
        <f>IF(DG!$A$137&gt;12,0,IF(J144-J143&gt;0,MROUND((L144/12*Q143),1),MROUND(L144/12*P143,1)))</f>
        <v>0</v>
      </c>
      <c r="P144" s="204">
        <f t="shared" si="28"/>
        <v>0</v>
      </c>
      <c r="Q144" s="204">
        <f t="shared" si="21"/>
        <v>0</v>
      </c>
      <c r="R144" s="476">
        <v>0</v>
      </c>
      <c r="S144" s="511">
        <f t="shared" si="32"/>
        <v>0</v>
      </c>
    </row>
    <row r="145" spans="1:19" ht="14" thickTop="1" thickBot="1">
      <c r="A145" s="202">
        <f t="shared" si="22"/>
        <v>48914</v>
      </c>
      <c r="B145" s="65">
        <f t="shared" si="33"/>
        <v>0</v>
      </c>
      <c r="C145" s="65">
        <f t="shared" si="30"/>
        <v>0</v>
      </c>
      <c r="D145" s="65">
        <f t="shared" si="29"/>
        <v>120</v>
      </c>
      <c r="E145" s="65">
        <f t="shared" si="23"/>
        <v>0</v>
      </c>
      <c r="F145" s="65">
        <f>IF(OR(L$73=0,DG!$A$258&gt;16),0,F144+1)</f>
        <v>0</v>
      </c>
      <c r="G145" s="65">
        <f t="shared" si="19"/>
        <v>0</v>
      </c>
      <c r="H145" s="65">
        <f t="shared" si="20"/>
        <v>0</v>
      </c>
      <c r="I145" s="65">
        <f t="shared" si="31"/>
        <v>0</v>
      </c>
      <c r="J145" s="203">
        <f>IF(DG!$A$137&lt;=11,$M$17,0)</f>
        <v>0</v>
      </c>
      <c r="K145" s="65">
        <f t="shared" si="24"/>
        <v>0</v>
      </c>
      <c r="L145" s="473">
        <f t="shared" si="25"/>
        <v>0</v>
      </c>
      <c r="M145" s="204">
        <f t="shared" si="26"/>
        <v>0</v>
      </c>
      <c r="N145" s="505">
        <f t="shared" si="27"/>
        <v>0</v>
      </c>
      <c r="O145" s="204">
        <f>IF(DG!$A$137&gt;12,0,IF(J145-J144&gt;0,MROUND((L145/12*Q144),1),MROUND(L145/12*P144,1)))</f>
        <v>0</v>
      </c>
      <c r="P145" s="204">
        <f t="shared" si="28"/>
        <v>0</v>
      </c>
      <c r="Q145" s="204">
        <f t="shared" si="21"/>
        <v>0</v>
      </c>
      <c r="R145" s="476">
        <v>0</v>
      </c>
      <c r="S145" s="511">
        <f t="shared" si="32"/>
        <v>0</v>
      </c>
    </row>
    <row r="146" spans="1:19" ht="14" thickTop="1" thickBot="1">
      <c r="A146" s="202">
        <f t="shared" si="22"/>
        <v>48945</v>
      </c>
      <c r="B146" s="65">
        <f t="shared" si="33"/>
        <v>0</v>
      </c>
      <c r="C146" s="65">
        <f t="shared" si="30"/>
        <v>0</v>
      </c>
      <c r="D146" s="65">
        <f t="shared" si="29"/>
        <v>121</v>
      </c>
      <c r="E146" s="65">
        <f t="shared" si="23"/>
        <v>0</v>
      </c>
      <c r="F146" s="65">
        <f>IF(OR(L$73=0,DG!$A$258&gt;16),0,F145+1)</f>
        <v>0</v>
      </c>
      <c r="G146" s="65">
        <f t="shared" si="19"/>
        <v>0</v>
      </c>
      <c r="H146" s="65">
        <f t="shared" si="20"/>
        <v>0</v>
      </c>
      <c r="I146" s="65">
        <f t="shared" si="31"/>
        <v>0</v>
      </c>
      <c r="J146" s="203">
        <f>IF(DG!$A$137&lt;=11,$M$17,0)</f>
        <v>0</v>
      </c>
      <c r="K146" s="65">
        <f t="shared" si="24"/>
        <v>0</v>
      </c>
      <c r="L146" s="473">
        <f t="shared" si="25"/>
        <v>0</v>
      </c>
      <c r="M146" s="204">
        <f t="shared" si="26"/>
        <v>0</v>
      </c>
      <c r="N146" s="505">
        <f t="shared" si="27"/>
        <v>0</v>
      </c>
      <c r="O146" s="204">
        <f>IF(DG!$A$137&gt;12,0,IF(J146-J145&gt;0,MROUND((L146/12*Q145),1),MROUND(L146/12*P145,1)))</f>
        <v>0</v>
      </c>
      <c r="P146" s="204">
        <f t="shared" si="28"/>
        <v>0</v>
      </c>
      <c r="Q146" s="204">
        <f t="shared" si="21"/>
        <v>0</v>
      </c>
      <c r="R146" s="476">
        <v>0</v>
      </c>
      <c r="S146" s="511">
        <f t="shared" si="32"/>
        <v>0</v>
      </c>
    </row>
    <row r="147" spans="1:19" ht="14" thickTop="1" thickBot="1">
      <c r="A147" s="202">
        <f t="shared" si="22"/>
        <v>48976</v>
      </c>
      <c r="B147" s="65">
        <f t="shared" si="33"/>
        <v>0</v>
      </c>
      <c r="C147" s="65">
        <f t="shared" si="30"/>
        <v>0</v>
      </c>
      <c r="D147" s="65">
        <f t="shared" si="29"/>
        <v>122</v>
      </c>
      <c r="E147" s="65">
        <f t="shared" si="23"/>
        <v>0</v>
      </c>
      <c r="F147" s="65">
        <f>IF(OR(L$73=0,DG!$A$258&gt;16),0,F146+1)</f>
        <v>0</v>
      </c>
      <c r="G147" s="65">
        <f t="shared" si="19"/>
        <v>0</v>
      </c>
      <c r="H147" s="65">
        <f t="shared" si="20"/>
        <v>0</v>
      </c>
      <c r="I147" s="65">
        <f t="shared" si="31"/>
        <v>0</v>
      </c>
      <c r="J147" s="203">
        <f>IF(DG!$A$137&lt;=11,$M$17,0)</f>
        <v>0</v>
      </c>
      <c r="K147" s="65">
        <f t="shared" si="24"/>
        <v>0</v>
      </c>
      <c r="L147" s="473">
        <f t="shared" si="25"/>
        <v>0</v>
      </c>
      <c r="M147" s="204">
        <f t="shared" si="26"/>
        <v>0</v>
      </c>
      <c r="N147" s="505">
        <f t="shared" si="27"/>
        <v>0</v>
      </c>
      <c r="O147" s="204">
        <f>IF(DG!$A$137&gt;12,0,IF(J147-J146&gt;0,MROUND((L147/12*Q146),1),MROUND(L147/12*P146,1)))</f>
        <v>0</v>
      </c>
      <c r="P147" s="204">
        <f t="shared" si="28"/>
        <v>0</v>
      </c>
      <c r="Q147" s="204">
        <f t="shared" si="21"/>
        <v>0</v>
      </c>
      <c r="R147" s="476">
        <v>0</v>
      </c>
      <c r="S147" s="511">
        <f t="shared" si="32"/>
        <v>0</v>
      </c>
    </row>
    <row r="148" spans="1:19" ht="14" thickTop="1" thickBot="1">
      <c r="A148" s="202">
        <f t="shared" si="22"/>
        <v>49004</v>
      </c>
      <c r="B148" s="65">
        <f t="shared" si="33"/>
        <v>0</v>
      </c>
      <c r="C148" s="65">
        <f t="shared" si="30"/>
        <v>0</v>
      </c>
      <c r="D148" s="65">
        <f t="shared" si="29"/>
        <v>123</v>
      </c>
      <c r="E148" s="65">
        <f t="shared" si="23"/>
        <v>0</v>
      </c>
      <c r="F148" s="65">
        <f>IF(OR(L$73=0,DG!$A$258&gt;16),0,F147+1)</f>
        <v>0</v>
      </c>
      <c r="G148" s="65">
        <f t="shared" si="19"/>
        <v>0</v>
      </c>
      <c r="H148" s="65">
        <f t="shared" si="20"/>
        <v>0</v>
      </c>
      <c r="I148" s="65">
        <f t="shared" si="31"/>
        <v>0</v>
      </c>
      <c r="J148" s="203">
        <f>IF(DG!$A$137&lt;=11,$M$17,0)</f>
        <v>0</v>
      </c>
      <c r="K148" s="65">
        <f t="shared" si="24"/>
        <v>0</v>
      </c>
      <c r="L148" s="473">
        <f t="shared" si="25"/>
        <v>0</v>
      </c>
      <c r="M148" s="204">
        <f t="shared" si="26"/>
        <v>0</v>
      </c>
      <c r="N148" s="505">
        <f t="shared" si="27"/>
        <v>0</v>
      </c>
      <c r="O148" s="204">
        <f>IF(DG!$A$137&gt;12,0,IF(J148-J147&gt;0,MROUND((L148/12*Q147),1),MROUND(L148/12*P147,1)))</f>
        <v>0</v>
      </c>
      <c r="P148" s="204">
        <f t="shared" si="28"/>
        <v>0</v>
      </c>
      <c r="Q148" s="204">
        <f t="shared" si="21"/>
        <v>0</v>
      </c>
      <c r="R148" s="476">
        <v>0</v>
      </c>
      <c r="S148" s="511">
        <f t="shared" si="32"/>
        <v>0</v>
      </c>
    </row>
    <row r="149" spans="1:19" ht="14" thickTop="1" thickBot="1">
      <c r="A149" s="202">
        <f t="shared" si="22"/>
        <v>49035</v>
      </c>
      <c r="B149" s="65">
        <f t="shared" si="33"/>
        <v>0</v>
      </c>
      <c r="C149" s="65">
        <f t="shared" si="30"/>
        <v>0</v>
      </c>
      <c r="D149" s="65">
        <f t="shared" si="29"/>
        <v>124</v>
      </c>
      <c r="E149" s="65">
        <f t="shared" si="23"/>
        <v>0</v>
      </c>
      <c r="F149" s="65">
        <f>IF(OR(L$73=0,DG!$A$258&gt;16),0,F148+1)</f>
        <v>0</v>
      </c>
      <c r="G149" s="65">
        <f t="shared" si="19"/>
        <v>0</v>
      </c>
      <c r="H149" s="65">
        <f t="shared" si="20"/>
        <v>0</v>
      </c>
      <c r="I149" s="65">
        <f t="shared" si="31"/>
        <v>0</v>
      </c>
      <c r="J149" s="203">
        <f>IF(DG!$A$137&lt;=11,$M$17,0)</f>
        <v>0</v>
      </c>
      <c r="K149" s="65">
        <f t="shared" si="24"/>
        <v>0</v>
      </c>
      <c r="L149" s="473">
        <f t="shared" si="25"/>
        <v>0</v>
      </c>
      <c r="M149" s="204">
        <f t="shared" si="26"/>
        <v>0</v>
      </c>
      <c r="N149" s="505">
        <f t="shared" si="27"/>
        <v>0</v>
      </c>
      <c r="O149" s="204">
        <f>IF(DG!$A$137&gt;12,0,IF(J149-J148&gt;0,MROUND((L149/12*Q148),1),MROUND(L149/12*P148,1)))</f>
        <v>0</v>
      </c>
      <c r="P149" s="204">
        <f t="shared" si="28"/>
        <v>0</v>
      </c>
      <c r="Q149" s="204">
        <f t="shared" si="21"/>
        <v>0</v>
      </c>
      <c r="R149" s="476">
        <v>0</v>
      </c>
      <c r="S149" s="511">
        <f t="shared" si="32"/>
        <v>0</v>
      </c>
    </row>
    <row r="150" spans="1:19" ht="14" thickTop="1" thickBot="1">
      <c r="A150" s="202">
        <f t="shared" si="22"/>
        <v>49065</v>
      </c>
      <c r="B150" s="65">
        <f t="shared" si="33"/>
        <v>0</v>
      </c>
      <c r="C150" s="65">
        <f t="shared" si="30"/>
        <v>0</v>
      </c>
      <c r="D150" s="65">
        <f t="shared" si="29"/>
        <v>125</v>
      </c>
      <c r="E150" s="65">
        <f t="shared" si="23"/>
        <v>0</v>
      </c>
      <c r="F150" s="65">
        <f>IF(OR(L$73=0,DG!$A$258&gt;16),0,F149+1)</f>
        <v>0</v>
      </c>
      <c r="G150" s="65">
        <f t="shared" si="19"/>
        <v>0</v>
      </c>
      <c r="H150" s="65">
        <f t="shared" si="20"/>
        <v>0</v>
      </c>
      <c r="I150" s="65">
        <f t="shared" si="31"/>
        <v>0</v>
      </c>
      <c r="J150" s="203">
        <f>IF(DG!$A$137&lt;=11,$M$17,0)</f>
        <v>0</v>
      </c>
      <c r="K150" s="65">
        <f t="shared" si="24"/>
        <v>0</v>
      </c>
      <c r="L150" s="473">
        <f t="shared" si="25"/>
        <v>0</v>
      </c>
      <c r="M150" s="204">
        <f t="shared" si="26"/>
        <v>0</v>
      </c>
      <c r="N150" s="505">
        <f t="shared" si="27"/>
        <v>0</v>
      </c>
      <c r="O150" s="204">
        <f>IF(DG!$A$137&gt;12,0,IF(J150-J149&gt;0,MROUND((L150/12*Q149),1),MROUND(L150/12*P149,1)))</f>
        <v>0</v>
      </c>
      <c r="P150" s="204">
        <f t="shared" si="28"/>
        <v>0</v>
      </c>
      <c r="Q150" s="204">
        <f t="shared" si="21"/>
        <v>0</v>
      </c>
      <c r="R150" s="476">
        <v>0</v>
      </c>
      <c r="S150" s="511">
        <f t="shared" si="32"/>
        <v>0</v>
      </c>
    </row>
    <row r="151" spans="1:19" ht="14" thickTop="1" thickBot="1">
      <c r="A151" s="202">
        <f t="shared" si="22"/>
        <v>49096</v>
      </c>
      <c r="B151" s="65">
        <f t="shared" si="33"/>
        <v>0</v>
      </c>
      <c r="C151" s="65">
        <f t="shared" si="30"/>
        <v>0</v>
      </c>
      <c r="D151" s="65">
        <f>D150+1</f>
        <v>126</v>
      </c>
      <c r="E151" s="65">
        <f t="shared" si="23"/>
        <v>0</v>
      </c>
      <c r="F151" s="65">
        <f>IF(OR(L$73=0,DG!$A$258&gt;16),0,F150+1)</f>
        <v>0</v>
      </c>
      <c r="G151" s="65">
        <f t="shared" si="19"/>
        <v>0</v>
      </c>
      <c r="H151" s="65">
        <f>IF(I151&gt;=0,0,H150+1)</f>
        <v>0</v>
      </c>
      <c r="I151" s="65">
        <f t="shared" si="31"/>
        <v>0</v>
      </c>
      <c r="J151" s="203">
        <f>IF(DG!$A$137&lt;=11,$M$17,0)</f>
        <v>0</v>
      </c>
      <c r="K151" s="65">
        <f>K150</f>
        <v>0</v>
      </c>
      <c r="L151" s="473">
        <f t="shared" si="25"/>
        <v>0</v>
      </c>
      <c r="M151" s="204">
        <f t="shared" si="26"/>
        <v>0</v>
      </c>
      <c r="N151" s="505">
        <f t="shared" si="27"/>
        <v>0</v>
      </c>
      <c r="O151" s="204">
        <f>IF(DG!$A$137&gt;12,0,IF(J151-J150&gt;0,MROUND((L151/12*Q150),1),MROUND(L151/12*P150,1)))</f>
        <v>0</v>
      </c>
      <c r="P151" s="204">
        <f t="shared" si="28"/>
        <v>0</v>
      </c>
      <c r="Q151" s="204">
        <f t="shared" si="21"/>
        <v>0</v>
      </c>
      <c r="R151" s="476">
        <v>0</v>
      </c>
      <c r="S151" s="511">
        <f t="shared" si="32"/>
        <v>0</v>
      </c>
    </row>
    <row r="152" spans="1:19" ht="14" thickTop="1" thickBot="1">
      <c r="A152" s="202">
        <f t="shared" si="22"/>
        <v>49126</v>
      </c>
      <c r="B152" s="65">
        <f t="shared" si="33"/>
        <v>0</v>
      </c>
      <c r="C152" s="65">
        <f t="shared" si="30"/>
        <v>0</v>
      </c>
      <c r="D152" s="65">
        <f t="shared" ref="D152:D215" si="34">D151+1</f>
        <v>127</v>
      </c>
      <c r="E152" s="65">
        <f t="shared" si="23"/>
        <v>0</v>
      </c>
      <c r="F152" s="65">
        <f>IF(OR(L$73=0,DG!$A$258&gt;16),0,F151+1)</f>
        <v>0</v>
      </c>
      <c r="G152" s="65">
        <f t="shared" si="19"/>
        <v>0</v>
      </c>
      <c r="H152" s="65">
        <f t="shared" ref="H152:H215" si="35">IF(I152&gt;=0,0,H151+1)</f>
        <v>0</v>
      </c>
      <c r="I152" s="65">
        <f t="shared" si="31"/>
        <v>0</v>
      </c>
      <c r="J152" s="203">
        <f>IF(DG!$A$137&lt;=11,$M$17,0)</f>
        <v>0</v>
      </c>
      <c r="K152" s="65">
        <f t="shared" ref="K152:K215" si="36">K151</f>
        <v>0</v>
      </c>
      <c r="L152" s="473">
        <f t="shared" si="25"/>
        <v>0</v>
      </c>
      <c r="M152" s="204">
        <f t="shared" si="26"/>
        <v>0</v>
      </c>
      <c r="N152" s="505">
        <f t="shared" si="27"/>
        <v>0</v>
      </c>
      <c r="O152" s="204">
        <f>IF(DG!$A$137&gt;12,0,IF(J152-J151&gt;0,MROUND((L152/12*Q151),1),MROUND(L152/12*P151,1)))</f>
        <v>0</v>
      </c>
      <c r="P152" s="204">
        <f t="shared" si="28"/>
        <v>0</v>
      </c>
      <c r="Q152" s="204">
        <f t="shared" si="21"/>
        <v>0</v>
      </c>
      <c r="R152" s="476">
        <v>0</v>
      </c>
      <c r="S152" s="511">
        <f t="shared" ref="S152:S215" si="37">SUM(N141:N152)</f>
        <v>0</v>
      </c>
    </row>
    <row r="153" spans="1:19" ht="14" thickTop="1" thickBot="1">
      <c r="A153" s="202">
        <f t="shared" si="22"/>
        <v>49157</v>
      </c>
      <c r="B153" s="65">
        <f t="shared" si="33"/>
        <v>0</v>
      </c>
      <c r="C153" s="65">
        <f t="shared" si="30"/>
        <v>0</v>
      </c>
      <c r="D153" s="65">
        <f t="shared" si="34"/>
        <v>128</v>
      </c>
      <c r="E153" s="65">
        <f t="shared" si="23"/>
        <v>0</v>
      </c>
      <c r="F153" s="65">
        <f>IF(OR(L$73=0,DG!$A$258&gt;16),0,F152+1)</f>
        <v>0</v>
      </c>
      <c r="G153" s="65">
        <f t="shared" si="19"/>
        <v>0</v>
      </c>
      <c r="H153" s="65">
        <f t="shared" si="35"/>
        <v>0</v>
      </c>
      <c r="I153" s="65">
        <f t="shared" si="31"/>
        <v>0</v>
      </c>
      <c r="J153" s="203">
        <f>IF(DG!$A$137&lt;=11,$M$17,0)</f>
        <v>0</v>
      </c>
      <c r="K153" s="65">
        <f t="shared" si="36"/>
        <v>0</v>
      </c>
      <c r="L153" s="473">
        <f t="shared" si="25"/>
        <v>0</v>
      </c>
      <c r="M153" s="204">
        <f t="shared" si="26"/>
        <v>0</v>
      </c>
      <c r="N153" s="505">
        <f t="shared" si="27"/>
        <v>0</v>
      </c>
      <c r="O153" s="204">
        <f>IF(DG!$A$137&gt;12,0,IF(J153-J152&gt;0,MROUND((L153/12*Q152),1),MROUND(L153/12*P152,1)))</f>
        <v>0</v>
      </c>
      <c r="P153" s="204">
        <f t="shared" si="28"/>
        <v>0</v>
      </c>
      <c r="Q153" s="204">
        <f t="shared" si="21"/>
        <v>0</v>
      </c>
      <c r="R153" s="476">
        <v>0</v>
      </c>
      <c r="S153" s="511">
        <f t="shared" si="37"/>
        <v>0</v>
      </c>
    </row>
    <row r="154" spans="1:19" ht="14" thickTop="1" thickBot="1">
      <c r="A154" s="202">
        <f t="shared" si="22"/>
        <v>49188</v>
      </c>
      <c r="B154" s="65">
        <f t="shared" si="33"/>
        <v>0</v>
      </c>
      <c r="C154" s="65">
        <f t="shared" si="30"/>
        <v>0</v>
      </c>
      <c r="D154" s="65">
        <f t="shared" si="34"/>
        <v>129</v>
      </c>
      <c r="E154" s="65">
        <f t="shared" si="23"/>
        <v>0</v>
      </c>
      <c r="F154" s="65">
        <f>IF(OR(L$73=0,DG!$A$258&gt;16),0,F153+1)</f>
        <v>0</v>
      </c>
      <c r="G154" s="65">
        <f t="shared" ref="G154:G217" si="38">IF(E154=0,0,IF(D154-E154-F154&gt;=0,1,0))</f>
        <v>0</v>
      </c>
      <c r="H154" s="65">
        <f t="shared" si="35"/>
        <v>0</v>
      </c>
      <c r="I154" s="65">
        <f t="shared" si="31"/>
        <v>0</v>
      </c>
      <c r="J154" s="203">
        <f>IF(DG!$A$137&lt;=11,$M$17,0)</f>
        <v>0</v>
      </c>
      <c r="K154" s="65">
        <f t="shared" si="36"/>
        <v>0</v>
      </c>
      <c r="L154" s="473">
        <f t="shared" si="25"/>
        <v>0</v>
      </c>
      <c r="M154" s="204">
        <f t="shared" si="26"/>
        <v>0</v>
      </c>
      <c r="N154" s="505">
        <f t="shared" si="27"/>
        <v>0</v>
      </c>
      <c r="O154" s="204">
        <f>IF(DG!$A$137&gt;12,0,IF(J154-J153&gt;0,MROUND((L154/12*Q153),1),MROUND(L154/12*P153,1)))</f>
        <v>0</v>
      </c>
      <c r="P154" s="204">
        <f t="shared" si="28"/>
        <v>0</v>
      </c>
      <c r="Q154" s="204">
        <f t="shared" ref="Q154:Q217" si="39">IF(AND(P154=0,P155&gt;0),J155,P154)</f>
        <v>0</v>
      </c>
      <c r="R154" s="476">
        <v>0</v>
      </c>
      <c r="S154" s="511">
        <f t="shared" si="37"/>
        <v>0</v>
      </c>
    </row>
    <row r="155" spans="1:19" ht="14" thickTop="1" thickBot="1">
      <c r="A155" s="202">
        <f t="shared" ref="A155:A218" si="40">EDATE(A154,1)</f>
        <v>49218</v>
      </c>
      <c r="B155" s="65">
        <f t="shared" si="33"/>
        <v>0</v>
      </c>
      <c r="C155" s="65">
        <f t="shared" si="30"/>
        <v>0</v>
      </c>
      <c r="D155" s="65">
        <f t="shared" si="34"/>
        <v>130</v>
      </c>
      <c r="E155" s="65">
        <f t="shared" ref="E155:E218" si="41">B155</f>
        <v>0</v>
      </c>
      <c r="F155" s="65">
        <f>IF(OR(L$73=0,DG!$A$258&gt;16),0,F154+1)</f>
        <v>0</v>
      </c>
      <c r="G155" s="65">
        <f t="shared" si="38"/>
        <v>0</v>
      </c>
      <c r="H155" s="65">
        <f t="shared" si="35"/>
        <v>0</v>
      </c>
      <c r="I155" s="65">
        <f t="shared" si="31"/>
        <v>0</v>
      </c>
      <c r="J155" s="203">
        <f>IF(DG!$A$137&lt;=11,$M$17,0)</f>
        <v>0</v>
      </c>
      <c r="K155" s="65">
        <f t="shared" si="36"/>
        <v>0</v>
      </c>
      <c r="L155" s="473">
        <f t="shared" ref="L155:L218" si="42">IF($M$17&gt;0,$M$19+0.0000001,0)</f>
        <v>0</v>
      </c>
      <c r="M155" s="204">
        <f t="shared" ref="M155:M218" si="43">IF(H155=0,0,IF($R$13=1,N155+O155,IF(N155=0,O155,-PMT(L155/12,K155-$G$269,J155))))</f>
        <v>0</v>
      </c>
      <c r="N155" s="505">
        <f t="shared" ref="N155:N218" si="44">IF(OR(H155-K155&gt;0,I155&gt;=0),0,MROUND(-PPMT(L155/12,H155,K155-G398,J155),1)+R155)</f>
        <v>0</v>
      </c>
      <c r="O155" s="204">
        <f>IF(DG!$A$137&gt;12,0,IF(J155-J154&gt;0,MROUND((L155/12*Q154),1),MROUND(L155/12*P154,1)))</f>
        <v>0</v>
      </c>
      <c r="P155" s="204">
        <f t="shared" ref="P155:P218" si="45">IF(OR(G155+H155=0,J155-N155&lt;1),0,IF(P154&gt;1,P154-N155,J156-N155))</f>
        <v>0</v>
      </c>
      <c r="Q155" s="204">
        <f t="shared" si="39"/>
        <v>0</v>
      </c>
      <c r="R155" s="476">
        <v>0</v>
      </c>
      <c r="S155" s="511">
        <f t="shared" si="37"/>
        <v>0</v>
      </c>
    </row>
    <row r="156" spans="1:19" ht="14" thickTop="1" thickBot="1">
      <c r="A156" s="202">
        <f t="shared" si="40"/>
        <v>49249</v>
      </c>
      <c r="B156" s="65">
        <f t="shared" si="33"/>
        <v>0</v>
      </c>
      <c r="C156" s="65">
        <f t="shared" si="30"/>
        <v>0</v>
      </c>
      <c r="D156" s="65">
        <f t="shared" si="34"/>
        <v>131</v>
      </c>
      <c r="E156" s="65">
        <f t="shared" si="41"/>
        <v>0</v>
      </c>
      <c r="F156" s="65">
        <f>IF(OR(L$73=0,DG!$A$258&gt;16),0,F155+1)</f>
        <v>0</v>
      </c>
      <c r="G156" s="65">
        <f t="shared" si="38"/>
        <v>0</v>
      </c>
      <c r="H156" s="65">
        <f t="shared" si="35"/>
        <v>0</v>
      </c>
      <c r="I156" s="65">
        <f t="shared" si="31"/>
        <v>0</v>
      </c>
      <c r="J156" s="203">
        <f>IF(DG!$A$137&lt;=11,$M$17,0)</f>
        <v>0</v>
      </c>
      <c r="K156" s="65">
        <f t="shared" si="36"/>
        <v>0</v>
      </c>
      <c r="L156" s="473">
        <f t="shared" si="42"/>
        <v>0</v>
      </c>
      <c r="M156" s="204">
        <f t="shared" si="43"/>
        <v>0</v>
      </c>
      <c r="N156" s="505">
        <f t="shared" si="44"/>
        <v>0</v>
      </c>
      <c r="O156" s="204">
        <f>IF(DG!$A$137&gt;12,0,IF(J156-J155&gt;0,MROUND((L156/12*Q155),1),MROUND(L156/12*P155,1)))</f>
        <v>0</v>
      </c>
      <c r="P156" s="204">
        <f t="shared" si="45"/>
        <v>0</v>
      </c>
      <c r="Q156" s="204">
        <f t="shared" si="39"/>
        <v>0</v>
      </c>
      <c r="R156" s="476">
        <v>0</v>
      </c>
      <c r="S156" s="511">
        <f t="shared" si="37"/>
        <v>0</v>
      </c>
    </row>
    <row r="157" spans="1:19" ht="14" thickTop="1" thickBot="1">
      <c r="A157" s="202">
        <f t="shared" si="40"/>
        <v>49279</v>
      </c>
      <c r="B157" s="65">
        <f t="shared" si="33"/>
        <v>0</v>
      </c>
      <c r="C157" s="65">
        <f t="shared" si="30"/>
        <v>0</v>
      </c>
      <c r="D157" s="65">
        <f t="shared" si="34"/>
        <v>132</v>
      </c>
      <c r="E157" s="65">
        <f t="shared" si="41"/>
        <v>0</v>
      </c>
      <c r="F157" s="65">
        <f>IF(OR(L$73=0,DG!$A$258&gt;16),0,F156+1)</f>
        <v>0</v>
      </c>
      <c r="G157" s="65">
        <f t="shared" si="38"/>
        <v>0</v>
      </c>
      <c r="H157" s="65">
        <f t="shared" si="35"/>
        <v>0</v>
      </c>
      <c r="I157" s="65">
        <f t="shared" si="31"/>
        <v>0</v>
      </c>
      <c r="J157" s="203">
        <f>IF(DG!$A$137&lt;=11,$M$17,0)</f>
        <v>0</v>
      </c>
      <c r="K157" s="65">
        <f t="shared" si="36"/>
        <v>0</v>
      </c>
      <c r="L157" s="473">
        <f t="shared" si="42"/>
        <v>0</v>
      </c>
      <c r="M157" s="204">
        <f t="shared" si="43"/>
        <v>0</v>
      </c>
      <c r="N157" s="505">
        <f t="shared" si="44"/>
        <v>0</v>
      </c>
      <c r="O157" s="204">
        <f>IF(DG!$A$137&gt;12,0,IF(J157-J156&gt;0,MROUND((L157/12*Q156),1),MROUND(L157/12*P156,1)))</f>
        <v>0</v>
      </c>
      <c r="P157" s="204">
        <f t="shared" si="45"/>
        <v>0</v>
      </c>
      <c r="Q157" s="204">
        <f t="shared" si="39"/>
        <v>0</v>
      </c>
      <c r="R157" s="476">
        <v>0</v>
      </c>
      <c r="S157" s="511">
        <f t="shared" si="37"/>
        <v>0</v>
      </c>
    </row>
    <row r="158" spans="1:19" ht="14" thickTop="1" thickBot="1">
      <c r="A158" s="202">
        <f t="shared" si="40"/>
        <v>49310</v>
      </c>
      <c r="B158" s="65">
        <f t="shared" si="33"/>
        <v>0</v>
      </c>
      <c r="C158" s="65">
        <f t="shared" si="30"/>
        <v>0</v>
      </c>
      <c r="D158" s="65">
        <f t="shared" si="34"/>
        <v>133</v>
      </c>
      <c r="E158" s="65">
        <f t="shared" si="41"/>
        <v>0</v>
      </c>
      <c r="F158" s="65">
        <f>IF(OR(L$73=0,DG!$A$258&gt;16),0,F157+1)</f>
        <v>0</v>
      </c>
      <c r="G158" s="65">
        <f t="shared" si="38"/>
        <v>0</v>
      </c>
      <c r="H158" s="65">
        <f t="shared" si="35"/>
        <v>0</v>
      </c>
      <c r="I158" s="65">
        <f t="shared" si="31"/>
        <v>0</v>
      </c>
      <c r="J158" s="203">
        <f>IF(DG!$A$137&lt;=11,$M$17,0)</f>
        <v>0</v>
      </c>
      <c r="K158" s="65">
        <f t="shared" si="36"/>
        <v>0</v>
      </c>
      <c r="L158" s="473">
        <f t="shared" si="42"/>
        <v>0</v>
      </c>
      <c r="M158" s="204">
        <f t="shared" si="43"/>
        <v>0</v>
      </c>
      <c r="N158" s="505">
        <f t="shared" si="44"/>
        <v>0</v>
      </c>
      <c r="O158" s="204">
        <f>IF(DG!$A$137&gt;12,0,IF(J158-J157&gt;0,MROUND((L158/12*Q157),1),MROUND(L158/12*P157,1)))</f>
        <v>0</v>
      </c>
      <c r="P158" s="204">
        <f t="shared" si="45"/>
        <v>0</v>
      </c>
      <c r="Q158" s="204">
        <f t="shared" si="39"/>
        <v>0</v>
      </c>
      <c r="R158" s="476">
        <v>0</v>
      </c>
      <c r="S158" s="511">
        <f t="shared" si="37"/>
        <v>0</v>
      </c>
    </row>
    <row r="159" spans="1:19" ht="14" thickTop="1" thickBot="1">
      <c r="A159" s="202">
        <f t="shared" si="40"/>
        <v>49341</v>
      </c>
      <c r="B159" s="65">
        <f t="shared" si="33"/>
        <v>0</v>
      </c>
      <c r="C159" s="65">
        <f t="shared" si="30"/>
        <v>0</v>
      </c>
      <c r="D159" s="65">
        <f t="shared" si="34"/>
        <v>134</v>
      </c>
      <c r="E159" s="65">
        <f t="shared" si="41"/>
        <v>0</v>
      </c>
      <c r="F159" s="65">
        <f>IF(OR(L$73=0,DG!$A$258&gt;16),0,F158+1)</f>
        <v>0</v>
      </c>
      <c r="G159" s="65">
        <f t="shared" si="38"/>
        <v>0</v>
      </c>
      <c r="H159" s="65">
        <f t="shared" si="35"/>
        <v>0</v>
      </c>
      <c r="I159" s="65">
        <f t="shared" si="31"/>
        <v>0</v>
      </c>
      <c r="J159" s="203">
        <f>IF(DG!$A$137&lt;=11,$M$17,0)</f>
        <v>0</v>
      </c>
      <c r="K159" s="65">
        <f t="shared" si="36"/>
        <v>0</v>
      </c>
      <c r="L159" s="473">
        <f t="shared" si="42"/>
        <v>0</v>
      </c>
      <c r="M159" s="204">
        <f t="shared" si="43"/>
        <v>0</v>
      </c>
      <c r="N159" s="505">
        <f t="shared" si="44"/>
        <v>0</v>
      </c>
      <c r="O159" s="204">
        <f>IF(DG!$A$137&gt;12,0,IF(J159-J158&gt;0,MROUND((L159/12*Q158),1),MROUND(L159/12*P158,1)))</f>
        <v>0</v>
      </c>
      <c r="P159" s="204">
        <f t="shared" si="45"/>
        <v>0</v>
      </c>
      <c r="Q159" s="204">
        <f t="shared" si="39"/>
        <v>0</v>
      </c>
      <c r="R159" s="476">
        <v>0</v>
      </c>
      <c r="S159" s="511">
        <f t="shared" si="37"/>
        <v>0</v>
      </c>
    </row>
    <row r="160" spans="1:19" ht="14" thickTop="1" thickBot="1">
      <c r="A160" s="202">
        <f t="shared" si="40"/>
        <v>49369</v>
      </c>
      <c r="B160" s="65">
        <f t="shared" si="33"/>
        <v>0</v>
      </c>
      <c r="C160" s="65">
        <f t="shared" si="30"/>
        <v>0</v>
      </c>
      <c r="D160" s="65">
        <f t="shared" si="34"/>
        <v>135</v>
      </c>
      <c r="E160" s="65">
        <f t="shared" si="41"/>
        <v>0</v>
      </c>
      <c r="F160" s="65">
        <f>IF(OR(L$73=0,DG!$A$258&gt;16),0,F159+1)</f>
        <v>0</v>
      </c>
      <c r="G160" s="65">
        <f t="shared" si="38"/>
        <v>0</v>
      </c>
      <c r="H160" s="65">
        <f t="shared" si="35"/>
        <v>0</v>
      </c>
      <c r="I160" s="65">
        <f t="shared" si="31"/>
        <v>0</v>
      </c>
      <c r="J160" s="203">
        <f>IF(DG!$A$137&lt;=11,$M$17,0)</f>
        <v>0</v>
      </c>
      <c r="K160" s="65">
        <f t="shared" si="36"/>
        <v>0</v>
      </c>
      <c r="L160" s="473">
        <f t="shared" si="42"/>
        <v>0</v>
      </c>
      <c r="M160" s="204">
        <f t="shared" si="43"/>
        <v>0</v>
      </c>
      <c r="N160" s="505">
        <f t="shared" si="44"/>
        <v>0</v>
      </c>
      <c r="O160" s="204">
        <f>IF(DG!$A$137&gt;12,0,IF(J160-J159&gt;0,MROUND((L160/12*Q159),1),MROUND(L160/12*P159,1)))</f>
        <v>0</v>
      </c>
      <c r="P160" s="204">
        <f t="shared" si="45"/>
        <v>0</v>
      </c>
      <c r="Q160" s="204">
        <f t="shared" si="39"/>
        <v>0</v>
      </c>
      <c r="R160" s="476">
        <v>0</v>
      </c>
      <c r="S160" s="511">
        <f t="shared" si="37"/>
        <v>0</v>
      </c>
    </row>
    <row r="161" spans="1:19" ht="14" thickTop="1" thickBot="1">
      <c r="A161" s="202">
        <f t="shared" si="40"/>
        <v>49400</v>
      </c>
      <c r="B161" s="65">
        <f t="shared" si="33"/>
        <v>0</v>
      </c>
      <c r="C161" s="65">
        <f t="shared" si="30"/>
        <v>0</v>
      </c>
      <c r="D161" s="65">
        <f t="shared" si="34"/>
        <v>136</v>
      </c>
      <c r="E161" s="65">
        <f t="shared" si="41"/>
        <v>0</v>
      </c>
      <c r="F161" s="65">
        <f>IF(OR(L$73=0,DG!$A$258&gt;16),0,F160+1)</f>
        <v>0</v>
      </c>
      <c r="G161" s="65">
        <f t="shared" si="38"/>
        <v>0</v>
      </c>
      <c r="H161" s="65">
        <f t="shared" si="35"/>
        <v>0</v>
      </c>
      <c r="I161" s="65">
        <f t="shared" si="31"/>
        <v>0</v>
      </c>
      <c r="J161" s="203">
        <f>IF(DG!$A$137&lt;=11,$M$17,0)</f>
        <v>0</v>
      </c>
      <c r="K161" s="65">
        <f t="shared" si="36"/>
        <v>0</v>
      </c>
      <c r="L161" s="473">
        <f t="shared" si="42"/>
        <v>0</v>
      </c>
      <c r="M161" s="204">
        <f t="shared" si="43"/>
        <v>0</v>
      </c>
      <c r="N161" s="505">
        <f t="shared" si="44"/>
        <v>0</v>
      </c>
      <c r="O161" s="204">
        <f>IF(DG!$A$137&gt;12,0,IF(J161-J160&gt;0,MROUND((L161/12*Q160),1),MROUND(L161/12*P160,1)))</f>
        <v>0</v>
      </c>
      <c r="P161" s="204">
        <f t="shared" si="45"/>
        <v>0</v>
      </c>
      <c r="Q161" s="204">
        <f t="shared" si="39"/>
        <v>0</v>
      </c>
      <c r="R161" s="476">
        <v>0</v>
      </c>
      <c r="S161" s="511">
        <f t="shared" si="37"/>
        <v>0</v>
      </c>
    </row>
    <row r="162" spans="1:19" ht="14" thickTop="1" thickBot="1">
      <c r="A162" s="202">
        <f t="shared" si="40"/>
        <v>49430</v>
      </c>
      <c r="B162" s="65">
        <f t="shared" si="33"/>
        <v>0</v>
      </c>
      <c r="C162" s="65">
        <f t="shared" si="30"/>
        <v>0</v>
      </c>
      <c r="D162" s="65">
        <f t="shared" si="34"/>
        <v>137</v>
      </c>
      <c r="E162" s="65">
        <f t="shared" si="41"/>
        <v>0</v>
      </c>
      <c r="F162" s="65">
        <f>IF(OR(L$73=0,DG!$A$258&gt;16),0,F161+1)</f>
        <v>0</v>
      </c>
      <c r="G162" s="65">
        <f t="shared" si="38"/>
        <v>0</v>
      </c>
      <c r="H162" s="65">
        <f t="shared" si="35"/>
        <v>0</v>
      </c>
      <c r="I162" s="65">
        <f t="shared" si="31"/>
        <v>0</v>
      </c>
      <c r="J162" s="203">
        <f>IF(DG!$A$137&lt;=11,$M$17,0)</f>
        <v>0</v>
      </c>
      <c r="K162" s="65">
        <f t="shared" si="36"/>
        <v>0</v>
      </c>
      <c r="L162" s="473">
        <f t="shared" si="42"/>
        <v>0</v>
      </c>
      <c r="M162" s="204">
        <f t="shared" si="43"/>
        <v>0</v>
      </c>
      <c r="N162" s="505">
        <f t="shared" si="44"/>
        <v>0</v>
      </c>
      <c r="O162" s="204">
        <f>IF(DG!$A$137&gt;12,0,IF(J162-J161&gt;0,MROUND((L162/12*Q161),1),MROUND(L162/12*P161,1)))</f>
        <v>0</v>
      </c>
      <c r="P162" s="204">
        <f t="shared" si="45"/>
        <v>0</v>
      </c>
      <c r="Q162" s="204">
        <f t="shared" si="39"/>
        <v>0</v>
      </c>
      <c r="R162" s="476">
        <v>0</v>
      </c>
      <c r="S162" s="511">
        <f t="shared" si="37"/>
        <v>0</v>
      </c>
    </row>
    <row r="163" spans="1:19" ht="14" thickTop="1" thickBot="1">
      <c r="A163" s="202">
        <f t="shared" si="40"/>
        <v>49461</v>
      </c>
      <c r="B163" s="65">
        <f t="shared" si="33"/>
        <v>0</v>
      </c>
      <c r="C163" s="65">
        <f t="shared" si="30"/>
        <v>0</v>
      </c>
      <c r="D163" s="65">
        <f t="shared" si="34"/>
        <v>138</v>
      </c>
      <c r="E163" s="65">
        <f t="shared" si="41"/>
        <v>0</v>
      </c>
      <c r="F163" s="65">
        <f>IF(OR(L$73=0,DG!$A$258&gt;16),0,F162+1)</f>
        <v>0</v>
      </c>
      <c r="G163" s="65">
        <f t="shared" si="38"/>
        <v>0</v>
      </c>
      <c r="H163" s="65">
        <f t="shared" si="35"/>
        <v>0</v>
      </c>
      <c r="I163" s="65">
        <f t="shared" si="31"/>
        <v>0</v>
      </c>
      <c r="J163" s="203">
        <f>IF(DG!$A$137&lt;=11,$M$17,0)</f>
        <v>0</v>
      </c>
      <c r="K163" s="65">
        <f t="shared" si="36"/>
        <v>0</v>
      </c>
      <c r="L163" s="473">
        <f t="shared" si="42"/>
        <v>0</v>
      </c>
      <c r="M163" s="204">
        <f t="shared" si="43"/>
        <v>0</v>
      </c>
      <c r="N163" s="505">
        <f t="shared" si="44"/>
        <v>0</v>
      </c>
      <c r="O163" s="204">
        <f>IF(DG!$A$137&gt;12,0,IF(J163-J162&gt;0,MROUND((L163/12*Q162),1),MROUND(L163/12*P162,1)))</f>
        <v>0</v>
      </c>
      <c r="P163" s="204">
        <f t="shared" si="45"/>
        <v>0</v>
      </c>
      <c r="Q163" s="204">
        <f t="shared" si="39"/>
        <v>0</v>
      </c>
      <c r="R163" s="476">
        <v>0</v>
      </c>
      <c r="S163" s="511">
        <f t="shared" si="37"/>
        <v>0</v>
      </c>
    </row>
    <row r="164" spans="1:19" ht="14" thickTop="1" thickBot="1">
      <c r="A164" s="202">
        <f t="shared" si="40"/>
        <v>49491</v>
      </c>
      <c r="B164" s="65">
        <f t="shared" si="33"/>
        <v>0</v>
      </c>
      <c r="C164" s="65">
        <f t="shared" si="30"/>
        <v>0</v>
      </c>
      <c r="D164" s="65">
        <f t="shared" si="34"/>
        <v>139</v>
      </c>
      <c r="E164" s="65">
        <f t="shared" si="41"/>
        <v>0</v>
      </c>
      <c r="F164" s="65">
        <f>IF(OR(L$73=0,DG!$A$258&gt;16),0,F163+1)</f>
        <v>0</v>
      </c>
      <c r="G164" s="65">
        <f t="shared" si="38"/>
        <v>0</v>
      </c>
      <c r="H164" s="65">
        <f t="shared" si="35"/>
        <v>0</v>
      </c>
      <c r="I164" s="65">
        <f t="shared" si="31"/>
        <v>0</v>
      </c>
      <c r="J164" s="203">
        <f>IF(DG!$A$137&lt;=11,$M$17,0)</f>
        <v>0</v>
      </c>
      <c r="K164" s="65">
        <f t="shared" si="36"/>
        <v>0</v>
      </c>
      <c r="L164" s="473">
        <f t="shared" si="42"/>
        <v>0</v>
      </c>
      <c r="M164" s="204">
        <f t="shared" si="43"/>
        <v>0</v>
      </c>
      <c r="N164" s="505">
        <f t="shared" si="44"/>
        <v>0</v>
      </c>
      <c r="O164" s="204">
        <f>IF(DG!$A$137&gt;12,0,IF(J164-J163&gt;0,MROUND((L164/12*Q163),1),MROUND(L164/12*P163,1)))</f>
        <v>0</v>
      </c>
      <c r="P164" s="204">
        <f t="shared" si="45"/>
        <v>0</v>
      </c>
      <c r="Q164" s="204">
        <f t="shared" si="39"/>
        <v>0</v>
      </c>
      <c r="R164" s="476">
        <v>0</v>
      </c>
      <c r="S164" s="511">
        <f t="shared" si="37"/>
        <v>0</v>
      </c>
    </row>
    <row r="165" spans="1:19" ht="14" thickTop="1" thickBot="1">
      <c r="A165" s="202">
        <f t="shared" si="40"/>
        <v>49522</v>
      </c>
      <c r="B165" s="65">
        <f t="shared" si="33"/>
        <v>0</v>
      </c>
      <c r="C165" s="65">
        <f t="shared" si="30"/>
        <v>0</v>
      </c>
      <c r="D165" s="65">
        <f t="shared" si="34"/>
        <v>140</v>
      </c>
      <c r="E165" s="65">
        <f t="shared" si="41"/>
        <v>0</v>
      </c>
      <c r="F165" s="65">
        <f>IF(OR(L$73=0,DG!$A$258&gt;16),0,F164+1)</f>
        <v>0</v>
      </c>
      <c r="G165" s="65">
        <f t="shared" si="38"/>
        <v>0</v>
      </c>
      <c r="H165" s="65">
        <f t="shared" si="35"/>
        <v>0</v>
      </c>
      <c r="I165" s="65">
        <f t="shared" si="31"/>
        <v>0</v>
      </c>
      <c r="J165" s="203">
        <f>IF(DG!$A$137&lt;=11,$M$17,0)</f>
        <v>0</v>
      </c>
      <c r="K165" s="65">
        <f t="shared" si="36"/>
        <v>0</v>
      </c>
      <c r="L165" s="473">
        <f t="shared" si="42"/>
        <v>0</v>
      </c>
      <c r="M165" s="204">
        <f t="shared" si="43"/>
        <v>0</v>
      </c>
      <c r="N165" s="505">
        <f t="shared" si="44"/>
        <v>0</v>
      </c>
      <c r="O165" s="204">
        <f>IF(DG!$A$137&gt;12,0,IF(J165-J164&gt;0,MROUND((L165/12*Q164),1),MROUND(L165/12*P164,1)))</f>
        <v>0</v>
      </c>
      <c r="P165" s="204">
        <f t="shared" si="45"/>
        <v>0</v>
      </c>
      <c r="Q165" s="204">
        <f t="shared" si="39"/>
        <v>0</v>
      </c>
      <c r="R165" s="476">
        <v>0</v>
      </c>
      <c r="S165" s="511">
        <f t="shared" si="37"/>
        <v>0</v>
      </c>
    </row>
    <row r="166" spans="1:19" ht="14" thickTop="1" thickBot="1">
      <c r="A166" s="202">
        <f t="shared" si="40"/>
        <v>49553</v>
      </c>
      <c r="B166" s="65">
        <f t="shared" si="33"/>
        <v>0</v>
      </c>
      <c r="C166" s="65">
        <f t="shared" si="30"/>
        <v>0</v>
      </c>
      <c r="D166" s="65">
        <f t="shared" si="34"/>
        <v>141</v>
      </c>
      <c r="E166" s="65">
        <f t="shared" si="41"/>
        <v>0</v>
      </c>
      <c r="F166" s="65">
        <f>IF(OR(L$73=0,DG!$A$258&gt;16),0,F165+1)</f>
        <v>0</v>
      </c>
      <c r="G166" s="65">
        <f t="shared" si="38"/>
        <v>0</v>
      </c>
      <c r="H166" s="65">
        <f t="shared" si="35"/>
        <v>0</v>
      </c>
      <c r="I166" s="65">
        <f t="shared" si="31"/>
        <v>0</v>
      </c>
      <c r="J166" s="203">
        <f>IF(DG!$A$137&lt;=11,$M$17,0)</f>
        <v>0</v>
      </c>
      <c r="K166" s="65">
        <f t="shared" si="36"/>
        <v>0</v>
      </c>
      <c r="L166" s="473">
        <f t="shared" si="42"/>
        <v>0</v>
      </c>
      <c r="M166" s="204">
        <f t="shared" si="43"/>
        <v>0</v>
      </c>
      <c r="N166" s="505">
        <f t="shared" si="44"/>
        <v>0</v>
      </c>
      <c r="O166" s="204">
        <f>IF(DG!$A$137&gt;12,0,IF(J166-J165&gt;0,MROUND((L166/12*Q165),1),MROUND(L166/12*P165,1)))</f>
        <v>0</v>
      </c>
      <c r="P166" s="204">
        <f t="shared" si="45"/>
        <v>0</v>
      </c>
      <c r="Q166" s="204">
        <f t="shared" si="39"/>
        <v>0</v>
      </c>
      <c r="R166" s="476">
        <v>0</v>
      </c>
      <c r="S166" s="511">
        <f t="shared" si="37"/>
        <v>0</v>
      </c>
    </row>
    <row r="167" spans="1:19" ht="14" thickTop="1" thickBot="1">
      <c r="A167" s="202">
        <f t="shared" si="40"/>
        <v>49583</v>
      </c>
      <c r="B167" s="65">
        <f t="shared" si="33"/>
        <v>0</v>
      </c>
      <c r="C167" s="65">
        <f t="shared" si="30"/>
        <v>0</v>
      </c>
      <c r="D167" s="65">
        <f t="shared" si="34"/>
        <v>142</v>
      </c>
      <c r="E167" s="65">
        <f t="shared" si="41"/>
        <v>0</v>
      </c>
      <c r="F167" s="65">
        <f>IF(OR(L$73=0,DG!$A$258&gt;16),0,F166+1)</f>
        <v>0</v>
      </c>
      <c r="G167" s="65">
        <f t="shared" si="38"/>
        <v>0</v>
      </c>
      <c r="H167" s="65">
        <f t="shared" si="35"/>
        <v>0</v>
      </c>
      <c r="I167" s="65">
        <f t="shared" si="31"/>
        <v>0</v>
      </c>
      <c r="J167" s="203">
        <f>IF(DG!$A$137&lt;=11,$M$17,0)</f>
        <v>0</v>
      </c>
      <c r="K167" s="65">
        <f t="shared" si="36"/>
        <v>0</v>
      </c>
      <c r="L167" s="473">
        <f t="shared" si="42"/>
        <v>0</v>
      </c>
      <c r="M167" s="204">
        <f t="shared" si="43"/>
        <v>0</v>
      </c>
      <c r="N167" s="505">
        <f t="shared" si="44"/>
        <v>0</v>
      </c>
      <c r="O167" s="204">
        <f>IF(DG!$A$137&gt;12,0,IF(J167-J166&gt;0,MROUND((L167/12*Q166),1),MROUND(L167/12*P166,1)))</f>
        <v>0</v>
      </c>
      <c r="P167" s="204">
        <f t="shared" si="45"/>
        <v>0</v>
      </c>
      <c r="Q167" s="204">
        <f t="shared" si="39"/>
        <v>0</v>
      </c>
      <c r="R167" s="476">
        <v>0</v>
      </c>
      <c r="S167" s="511">
        <f t="shared" si="37"/>
        <v>0</v>
      </c>
    </row>
    <row r="168" spans="1:19" ht="14" thickTop="1" thickBot="1">
      <c r="A168" s="202">
        <f t="shared" si="40"/>
        <v>49614</v>
      </c>
      <c r="B168" s="65">
        <f t="shared" si="33"/>
        <v>0</v>
      </c>
      <c r="C168" s="65">
        <f t="shared" si="30"/>
        <v>0</v>
      </c>
      <c r="D168" s="65">
        <f t="shared" si="34"/>
        <v>143</v>
      </c>
      <c r="E168" s="65">
        <f t="shared" si="41"/>
        <v>0</v>
      </c>
      <c r="F168" s="65">
        <f>IF(OR(L$73=0,DG!$A$258&gt;16),0,F167+1)</f>
        <v>0</v>
      </c>
      <c r="G168" s="65">
        <f t="shared" si="38"/>
        <v>0</v>
      </c>
      <c r="H168" s="65">
        <f t="shared" si="35"/>
        <v>0</v>
      </c>
      <c r="I168" s="65">
        <f t="shared" si="31"/>
        <v>0</v>
      </c>
      <c r="J168" s="203">
        <f>IF(DG!$A$137&lt;=11,$M$17,0)</f>
        <v>0</v>
      </c>
      <c r="K168" s="65">
        <f t="shared" si="36"/>
        <v>0</v>
      </c>
      <c r="L168" s="473">
        <f t="shared" si="42"/>
        <v>0</v>
      </c>
      <c r="M168" s="204">
        <f t="shared" si="43"/>
        <v>0</v>
      </c>
      <c r="N168" s="505">
        <f t="shared" si="44"/>
        <v>0</v>
      </c>
      <c r="O168" s="204">
        <f>IF(DG!$A$137&gt;12,0,IF(J168-J167&gt;0,MROUND((L168/12*Q167),1),MROUND(L168/12*P167,1)))</f>
        <v>0</v>
      </c>
      <c r="P168" s="204">
        <f t="shared" si="45"/>
        <v>0</v>
      </c>
      <c r="Q168" s="204">
        <f t="shared" si="39"/>
        <v>0</v>
      </c>
      <c r="R168" s="476">
        <v>0</v>
      </c>
      <c r="S168" s="511">
        <f t="shared" si="37"/>
        <v>0</v>
      </c>
    </row>
    <row r="169" spans="1:19" ht="14" thickTop="1" thickBot="1">
      <c r="A169" s="202">
        <f t="shared" si="40"/>
        <v>49644</v>
      </c>
      <c r="B169" s="65">
        <f t="shared" si="33"/>
        <v>0</v>
      </c>
      <c r="C169" s="65">
        <f t="shared" si="30"/>
        <v>0</v>
      </c>
      <c r="D169" s="65">
        <f t="shared" si="34"/>
        <v>144</v>
      </c>
      <c r="E169" s="65">
        <f t="shared" si="41"/>
        <v>0</v>
      </c>
      <c r="F169" s="65">
        <f>IF(OR(L$73=0,DG!$A$258&gt;16),0,F168+1)</f>
        <v>0</v>
      </c>
      <c r="G169" s="65">
        <f t="shared" si="38"/>
        <v>0</v>
      </c>
      <c r="H169" s="65">
        <f t="shared" si="35"/>
        <v>0</v>
      </c>
      <c r="I169" s="65">
        <f t="shared" si="31"/>
        <v>0</v>
      </c>
      <c r="J169" s="203">
        <f>IF(DG!$A$137&lt;=11,$M$17,0)</f>
        <v>0</v>
      </c>
      <c r="K169" s="65">
        <f t="shared" si="36"/>
        <v>0</v>
      </c>
      <c r="L169" s="473">
        <f t="shared" si="42"/>
        <v>0</v>
      </c>
      <c r="M169" s="204">
        <f t="shared" si="43"/>
        <v>0</v>
      </c>
      <c r="N169" s="505">
        <f t="shared" si="44"/>
        <v>0</v>
      </c>
      <c r="O169" s="204">
        <f>IF(DG!$A$137&gt;12,0,IF(J169-J168&gt;0,MROUND((L169/12*Q168),1),MROUND(L169/12*P168,1)))</f>
        <v>0</v>
      </c>
      <c r="P169" s="204">
        <f t="shared" si="45"/>
        <v>0</v>
      </c>
      <c r="Q169" s="204">
        <f t="shared" si="39"/>
        <v>0</v>
      </c>
      <c r="R169" s="476">
        <v>0</v>
      </c>
      <c r="S169" s="511">
        <f t="shared" si="37"/>
        <v>0</v>
      </c>
    </row>
    <row r="170" spans="1:19" ht="14" thickTop="1" thickBot="1">
      <c r="A170" s="202">
        <f t="shared" si="40"/>
        <v>49675</v>
      </c>
      <c r="B170" s="65">
        <f t="shared" si="33"/>
        <v>0</v>
      </c>
      <c r="C170" s="65">
        <f t="shared" si="30"/>
        <v>0</v>
      </c>
      <c r="D170" s="65">
        <f t="shared" si="34"/>
        <v>145</v>
      </c>
      <c r="E170" s="65">
        <f t="shared" si="41"/>
        <v>0</v>
      </c>
      <c r="F170" s="65">
        <f>IF(OR(L$73=0,DG!$A$258&gt;16),0,F169+1)</f>
        <v>0</v>
      </c>
      <c r="G170" s="65">
        <f t="shared" si="38"/>
        <v>0</v>
      </c>
      <c r="H170" s="65">
        <f t="shared" si="35"/>
        <v>0</v>
      </c>
      <c r="I170" s="65">
        <f t="shared" si="31"/>
        <v>0</v>
      </c>
      <c r="J170" s="203">
        <f>IF(DG!$A$137&lt;=11,$M$17,0)</f>
        <v>0</v>
      </c>
      <c r="K170" s="65">
        <f t="shared" si="36"/>
        <v>0</v>
      </c>
      <c r="L170" s="473">
        <f t="shared" si="42"/>
        <v>0</v>
      </c>
      <c r="M170" s="204">
        <f t="shared" si="43"/>
        <v>0</v>
      </c>
      <c r="N170" s="505">
        <f t="shared" si="44"/>
        <v>0</v>
      </c>
      <c r="O170" s="204">
        <f>IF(DG!$A$137&gt;12,0,IF(J170-J169&gt;0,MROUND((L170/12*Q169),1),MROUND(L170/12*P169,1)))</f>
        <v>0</v>
      </c>
      <c r="P170" s="204">
        <f t="shared" si="45"/>
        <v>0</v>
      </c>
      <c r="Q170" s="204">
        <f t="shared" si="39"/>
        <v>0</v>
      </c>
      <c r="R170" s="476">
        <v>0</v>
      </c>
      <c r="S170" s="511">
        <f t="shared" si="37"/>
        <v>0</v>
      </c>
    </row>
    <row r="171" spans="1:19" ht="14" thickTop="1" thickBot="1">
      <c r="A171" s="202">
        <f t="shared" si="40"/>
        <v>49706</v>
      </c>
      <c r="B171" s="65">
        <f t="shared" si="33"/>
        <v>0</v>
      </c>
      <c r="C171" s="65">
        <f t="shared" si="30"/>
        <v>0</v>
      </c>
      <c r="D171" s="65">
        <f t="shared" si="34"/>
        <v>146</v>
      </c>
      <c r="E171" s="65">
        <f t="shared" si="41"/>
        <v>0</v>
      </c>
      <c r="F171" s="65">
        <f>IF(OR(L$73=0,DG!$A$258&gt;16),0,F170+1)</f>
        <v>0</v>
      </c>
      <c r="G171" s="65">
        <f t="shared" si="38"/>
        <v>0</v>
      </c>
      <c r="H171" s="65">
        <f t="shared" si="35"/>
        <v>0</v>
      </c>
      <c r="I171" s="65">
        <f t="shared" si="31"/>
        <v>0</v>
      </c>
      <c r="J171" s="203">
        <f>IF(DG!$A$137&lt;=11,$M$17,0)</f>
        <v>0</v>
      </c>
      <c r="K171" s="65">
        <f t="shared" si="36"/>
        <v>0</v>
      </c>
      <c r="L171" s="473">
        <f t="shared" si="42"/>
        <v>0</v>
      </c>
      <c r="M171" s="204">
        <f t="shared" si="43"/>
        <v>0</v>
      </c>
      <c r="N171" s="505">
        <f t="shared" si="44"/>
        <v>0</v>
      </c>
      <c r="O171" s="204">
        <f>IF(DG!$A$137&gt;12,0,IF(J171-J170&gt;0,MROUND((L171/12*Q170),1),MROUND(L171/12*P170,1)))</f>
        <v>0</v>
      </c>
      <c r="P171" s="204">
        <f t="shared" si="45"/>
        <v>0</v>
      </c>
      <c r="Q171" s="204">
        <f t="shared" si="39"/>
        <v>0</v>
      </c>
      <c r="R171" s="476">
        <v>0</v>
      </c>
      <c r="S171" s="511">
        <f t="shared" si="37"/>
        <v>0</v>
      </c>
    </row>
    <row r="172" spans="1:19" ht="14" thickTop="1" thickBot="1">
      <c r="A172" s="202">
        <f t="shared" si="40"/>
        <v>49735</v>
      </c>
      <c r="B172" s="65">
        <f t="shared" si="33"/>
        <v>0</v>
      </c>
      <c r="C172" s="65">
        <f t="shared" si="30"/>
        <v>0</v>
      </c>
      <c r="D172" s="65">
        <f t="shared" si="34"/>
        <v>147</v>
      </c>
      <c r="E172" s="65">
        <f t="shared" si="41"/>
        <v>0</v>
      </c>
      <c r="F172" s="65">
        <f>IF(OR(L$73=0,DG!$A$258&gt;16),0,F171+1)</f>
        <v>0</v>
      </c>
      <c r="G172" s="65">
        <f t="shared" si="38"/>
        <v>0</v>
      </c>
      <c r="H172" s="65">
        <f t="shared" si="35"/>
        <v>0</v>
      </c>
      <c r="I172" s="65">
        <f t="shared" si="31"/>
        <v>0</v>
      </c>
      <c r="J172" s="203">
        <f>IF(DG!$A$137&lt;=11,$M$17,0)</f>
        <v>0</v>
      </c>
      <c r="K172" s="65">
        <f t="shared" si="36"/>
        <v>0</v>
      </c>
      <c r="L172" s="473">
        <f t="shared" si="42"/>
        <v>0</v>
      </c>
      <c r="M172" s="204">
        <f t="shared" si="43"/>
        <v>0</v>
      </c>
      <c r="N172" s="505">
        <f t="shared" si="44"/>
        <v>0</v>
      </c>
      <c r="O172" s="204">
        <f>IF(DG!$A$137&gt;12,0,IF(J172-J171&gt;0,MROUND((L172/12*Q171),1),MROUND(L172/12*P171,1)))</f>
        <v>0</v>
      </c>
      <c r="P172" s="204">
        <f t="shared" si="45"/>
        <v>0</v>
      </c>
      <c r="Q172" s="204">
        <f t="shared" si="39"/>
        <v>0</v>
      </c>
      <c r="R172" s="476">
        <v>0</v>
      </c>
      <c r="S172" s="511">
        <f t="shared" si="37"/>
        <v>0</v>
      </c>
    </row>
    <row r="173" spans="1:19" ht="14" thickTop="1" thickBot="1">
      <c r="A173" s="202">
        <f t="shared" si="40"/>
        <v>49766</v>
      </c>
      <c r="B173" s="65">
        <f t="shared" si="33"/>
        <v>0</v>
      </c>
      <c r="C173" s="65">
        <f t="shared" si="30"/>
        <v>0</v>
      </c>
      <c r="D173" s="65">
        <f t="shared" si="34"/>
        <v>148</v>
      </c>
      <c r="E173" s="65">
        <f t="shared" si="41"/>
        <v>0</v>
      </c>
      <c r="F173" s="65">
        <f>IF(OR(L$73=0,DG!$A$258&gt;16),0,F172+1)</f>
        <v>0</v>
      </c>
      <c r="G173" s="65">
        <f t="shared" si="38"/>
        <v>0</v>
      </c>
      <c r="H173" s="65">
        <f t="shared" si="35"/>
        <v>0</v>
      </c>
      <c r="I173" s="65">
        <f t="shared" si="31"/>
        <v>0</v>
      </c>
      <c r="J173" s="203">
        <f>IF(DG!$A$137&lt;=11,$M$17,0)</f>
        <v>0</v>
      </c>
      <c r="K173" s="65">
        <f t="shared" si="36"/>
        <v>0</v>
      </c>
      <c r="L173" s="473">
        <f t="shared" si="42"/>
        <v>0</v>
      </c>
      <c r="M173" s="204">
        <f t="shared" si="43"/>
        <v>0</v>
      </c>
      <c r="N173" s="505">
        <f t="shared" si="44"/>
        <v>0</v>
      </c>
      <c r="O173" s="204">
        <f>IF(DG!$A$137&gt;12,0,IF(J173-J172&gt;0,MROUND((L173/12*Q172),1),MROUND(L173/12*P172,1)))</f>
        <v>0</v>
      </c>
      <c r="P173" s="204">
        <f t="shared" si="45"/>
        <v>0</v>
      </c>
      <c r="Q173" s="204">
        <f t="shared" si="39"/>
        <v>0</v>
      </c>
      <c r="R173" s="476">
        <v>0</v>
      </c>
      <c r="S173" s="511">
        <f t="shared" si="37"/>
        <v>0</v>
      </c>
    </row>
    <row r="174" spans="1:19" ht="14" thickTop="1" thickBot="1">
      <c r="A174" s="202">
        <f t="shared" si="40"/>
        <v>49796</v>
      </c>
      <c r="B174" s="65">
        <f t="shared" si="33"/>
        <v>0</v>
      </c>
      <c r="C174" s="65">
        <f t="shared" si="30"/>
        <v>0</v>
      </c>
      <c r="D174" s="65">
        <f t="shared" si="34"/>
        <v>149</v>
      </c>
      <c r="E174" s="65">
        <f t="shared" si="41"/>
        <v>0</v>
      </c>
      <c r="F174" s="65">
        <f>IF(OR(L$73=0,DG!$A$258&gt;16),0,F173+1)</f>
        <v>0</v>
      </c>
      <c r="G174" s="65">
        <f t="shared" si="38"/>
        <v>0</v>
      </c>
      <c r="H174" s="65">
        <f t="shared" si="35"/>
        <v>0</v>
      </c>
      <c r="I174" s="65">
        <f t="shared" si="31"/>
        <v>0</v>
      </c>
      <c r="J174" s="203">
        <f>IF(DG!$A$137&lt;=11,$M$17,0)</f>
        <v>0</v>
      </c>
      <c r="K174" s="65">
        <f t="shared" si="36"/>
        <v>0</v>
      </c>
      <c r="L174" s="473">
        <f t="shared" si="42"/>
        <v>0</v>
      </c>
      <c r="M174" s="204">
        <f t="shared" si="43"/>
        <v>0</v>
      </c>
      <c r="N174" s="505">
        <f t="shared" si="44"/>
        <v>0</v>
      </c>
      <c r="O174" s="204">
        <f>IF(DG!$A$137&gt;12,0,IF(J174-J173&gt;0,MROUND((L174/12*Q173),1),MROUND(L174/12*P173,1)))</f>
        <v>0</v>
      </c>
      <c r="P174" s="204">
        <f t="shared" si="45"/>
        <v>0</v>
      </c>
      <c r="Q174" s="204">
        <f t="shared" si="39"/>
        <v>0</v>
      </c>
      <c r="R174" s="476">
        <v>0</v>
      </c>
      <c r="S174" s="511">
        <f t="shared" si="37"/>
        <v>0</v>
      </c>
    </row>
    <row r="175" spans="1:19" ht="14" thickTop="1" thickBot="1">
      <c r="A175" s="202">
        <f t="shared" si="40"/>
        <v>49827</v>
      </c>
      <c r="B175" s="65">
        <f t="shared" si="33"/>
        <v>0</v>
      </c>
      <c r="C175" s="65">
        <f t="shared" si="30"/>
        <v>0</v>
      </c>
      <c r="D175" s="65">
        <f t="shared" si="34"/>
        <v>150</v>
      </c>
      <c r="E175" s="65">
        <f t="shared" si="41"/>
        <v>0</v>
      </c>
      <c r="F175" s="65">
        <f>IF(OR(L$73=0,DG!$A$258&gt;16),0,F174+1)</f>
        <v>0</v>
      </c>
      <c r="G175" s="65">
        <f t="shared" si="38"/>
        <v>0</v>
      </c>
      <c r="H175" s="65">
        <f t="shared" si="35"/>
        <v>0</v>
      </c>
      <c r="I175" s="65">
        <f t="shared" si="31"/>
        <v>0</v>
      </c>
      <c r="J175" s="203">
        <f>IF(DG!$A$137&lt;=11,$M$17,0)</f>
        <v>0</v>
      </c>
      <c r="K175" s="65">
        <f t="shared" si="36"/>
        <v>0</v>
      </c>
      <c r="L175" s="473">
        <f t="shared" si="42"/>
        <v>0</v>
      </c>
      <c r="M175" s="204">
        <f t="shared" si="43"/>
        <v>0</v>
      </c>
      <c r="N175" s="505">
        <f t="shared" si="44"/>
        <v>0</v>
      </c>
      <c r="O175" s="204">
        <f>IF(DG!$A$137&gt;12,0,IF(J175-J174&gt;0,MROUND((L175/12*Q174),1),MROUND(L175/12*P174,1)))</f>
        <v>0</v>
      </c>
      <c r="P175" s="204">
        <f t="shared" si="45"/>
        <v>0</v>
      </c>
      <c r="Q175" s="204">
        <f t="shared" si="39"/>
        <v>0</v>
      </c>
      <c r="R175" s="476">
        <v>0</v>
      </c>
      <c r="S175" s="511">
        <f t="shared" si="37"/>
        <v>0</v>
      </c>
    </row>
    <row r="176" spans="1:19" ht="14" thickTop="1" thickBot="1">
      <c r="A176" s="202">
        <f t="shared" si="40"/>
        <v>49857</v>
      </c>
      <c r="B176" s="65">
        <f t="shared" si="33"/>
        <v>0</v>
      </c>
      <c r="C176" s="65">
        <f t="shared" si="30"/>
        <v>0</v>
      </c>
      <c r="D176" s="65">
        <f t="shared" si="34"/>
        <v>151</v>
      </c>
      <c r="E176" s="65">
        <f t="shared" si="41"/>
        <v>0</v>
      </c>
      <c r="F176" s="65">
        <f>IF(OR(L$73=0,DG!$A$258&gt;16),0,F175+1)</f>
        <v>0</v>
      </c>
      <c r="G176" s="65">
        <f t="shared" si="38"/>
        <v>0</v>
      </c>
      <c r="H176" s="65">
        <f t="shared" si="35"/>
        <v>0</v>
      </c>
      <c r="I176" s="65">
        <f t="shared" si="31"/>
        <v>0</v>
      </c>
      <c r="J176" s="203">
        <f>IF(DG!$A$137&lt;=11,$M$17,0)</f>
        <v>0</v>
      </c>
      <c r="K176" s="65">
        <f t="shared" si="36"/>
        <v>0</v>
      </c>
      <c r="L176" s="473">
        <f t="shared" si="42"/>
        <v>0</v>
      </c>
      <c r="M176" s="204">
        <f t="shared" si="43"/>
        <v>0</v>
      </c>
      <c r="N176" s="505">
        <f t="shared" si="44"/>
        <v>0</v>
      </c>
      <c r="O176" s="204">
        <f>IF(DG!$A$137&gt;12,0,IF(J176-J175&gt;0,MROUND((L176/12*Q175),1),MROUND(L176/12*P175,1)))</f>
        <v>0</v>
      </c>
      <c r="P176" s="204">
        <f t="shared" si="45"/>
        <v>0</v>
      </c>
      <c r="Q176" s="204">
        <f t="shared" si="39"/>
        <v>0</v>
      </c>
      <c r="R176" s="476">
        <v>0</v>
      </c>
      <c r="S176" s="511">
        <f t="shared" si="37"/>
        <v>0</v>
      </c>
    </row>
    <row r="177" spans="1:19" ht="14" thickTop="1" thickBot="1">
      <c r="A177" s="202">
        <f t="shared" si="40"/>
        <v>49888</v>
      </c>
      <c r="B177" s="65">
        <f t="shared" si="33"/>
        <v>0</v>
      </c>
      <c r="C177" s="65">
        <f t="shared" si="30"/>
        <v>0</v>
      </c>
      <c r="D177" s="65">
        <f t="shared" si="34"/>
        <v>152</v>
      </c>
      <c r="E177" s="65">
        <f t="shared" si="41"/>
        <v>0</v>
      </c>
      <c r="F177" s="65">
        <f>IF(OR(L$73=0,DG!$A$258&gt;16),0,F176+1)</f>
        <v>0</v>
      </c>
      <c r="G177" s="65">
        <f t="shared" si="38"/>
        <v>0</v>
      </c>
      <c r="H177" s="65">
        <f t="shared" si="35"/>
        <v>0</v>
      </c>
      <c r="I177" s="65">
        <f t="shared" si="31"/>
        <v>0</v>
      </c>
      <c r="J177" s="203">
        <f>IF(DG!$A$137&lt;=11,$M$17,0)</f>
        <v>0</v>
      </c>
      <c r="K177" s="65">
        <f t="shared" si="36"/>
        <v>0</v>
      </c>
      <c r="L177" s="473">
        <f t="shared" si="42"/>
        <v>0</v>
      </c>
      <c r="M177" s="204">
        <f t="shared" si="43"/>
        <v>0</v>
      </c>
      <c r="N177" s="505">
        <f t="shared" si="44"/>
        <v>0</v>
      </c>
      <c r="O177" s="204">
        <f>IF(DG!$A$137&gt;12,0,IF(J177-J176&gt;0,MROUND((L177/12*Q176),1),MROUND(L177/12*P176,1)))</f>
        <v>0</v>
      </c>
      <c r="P177" s="204">
        <f t="shared" si="45"/>
        <v>0</v>
      </c>
      <c r="Q177" s="204">
        <f t="shared" si="39"/>
        <v>0</v>
      </c>
      <c r="R177" s="476">
        <v>0</v>
      </c>
      <c r="S177" s="511">
        <f t="shared" si="37"/>
        <v>0</v>
      </c>
    </row>
    <row r="178" spans="1:19" ht="14" thickTop="1" thickBot="1">
      <c r="A178" s="202">
        <f t="shared" si="40"/>
        <v>49919</v>
      </c>
      <c r="B178" s="65">
        <f t="shared" si="33"/>
        <v>0</v>
      </c>
      <c r="C178" s="65">
        <f t="shared" si="30"/>
        <v>0</v>
      </c>
      <c r="D178" s="65">
        <f t="shared" si="34"/>
        <v>153</v>
      </c>
      <c r="E178" s="65">
        <f t="shared" si="41"/>
        <v>0</v>
      </c>
      <c r="F178" s="65">
        <f>IF(OR(L$73=0,DG!$A$258&gt;16),0,F177+1)</f>
        <v>0</v>
      </c>
      <c r="G178" s="65">
        <f t="shared" si="38"/>
        <v>0</v>
      </c>
      <c r="H178" s="65">
        <f t="shared" si="35"/>
        <v>0</v>
      </c>
      <c r="I178" s="65">
        <f t="shared" si="31"/>
        <v>0</v>
      </c>
      <c r="J178" s="203">
        <f>IF(DG!$A$137&lt;=11,$M$17,0)</f>
        <v>0</v>
      </c>
      <c r="K178" s="65">
        <f t="shared" si="36"/>
        <v>0</v>
      </c>
      <c r="L178" s="473">
        <f t="shared" si="42"/>
        <v>0</v>
      </c>
      <c r="M178" s="204">
        <f t="shared" si="43"/>
        <v>0</v>
      </c>
      <c r="N178" s="505">
        <f t="shared" si="44"/>
        <v>0</v>
      </c>
      <c r="O178" s="204">
        <f>IF(DG!$A$137&gt;12,0,IF(J178-J177&gt;0,MROUND((L178/12*Q177),1),MROUND(L178/12*P177,1)))</f>
        <v>0</v>
      </c>
      <c r="P178" s="204">
        <f t="shared" si="45"/>
        <v>0</v>
      </c>
      <c r="Q178" s="204">
        <f t="shared" si="39"/>
        <v>0</v>
      </c>
      <c r="R178" s="476">
        <v>0</v>
      </c>
      <c r="S178" s="511">
        <f t="shared" si="37"/>
        <v>0</v>
      </c>
    </row>
    <row r="179" spans="1:19" ht="14" thickTop="1" thickBot="1">
      <c r="A179" s="202">
        <f t="shared" si="40"/>
        <v>49949</v>
      </c>
      <c r="B179" s="65">
        <f t="shared" si="33"/>
        <v>0</v>
      </c>
      <c r="C179" s="65">
        <f t="shared" ref="C179:C242" si="46">IF(F179-$E$269&gt;0,F179-$E$269,0)</f>
        <v>0</v>
      </c>
      <c r="D179" s="65">
        <f t="shared" si="34"/>
        <v>154</v>
      </c>
      <c r="E179" s="65">
        <f t="shared" si="41"/>
        <v>0</v>
      </c>
      <c r="F179" s="65">
        <f>IF(OR(L$73=0,DG!$A$258&gt;16),0,F178+1)</f>
        <v>0</v>
      </c>
      <c r="G179" s="65">
        <f t="shared" si="38"/>
        <v>0</v>
      </c>
      <c r="H179" s="65">
        <f t="shared" si="35"/>
        <v>0</v>
      </c>
      <c r="I179" s="65">
        <f t="shared" si="31"/>
        <v>0</v>
      </c>
      <c r="J179" s="203">
        <f>IF(DG!$A$137&lt;=11,$M$17,0)</f>
        <v>0</v>
      </c>
      <c r="K179" s="65">
        <f t="shared" si="36"/>
        <v>0</v>
      </c>
      <c r="L179" s="473">
        <f t="shared" si="42"/>
        <v>0</v>
      </c>
      <c r="M179" s="204">
        <f t="shared" si="43"/>
        <v>0</v>
      </c>
      <c r="N179" s="505">
        <f t="shared" si="44"/>
        <v>0</v>
      </c>
      <c r="O179" s="204">
        <f>IF(DG!$A$137&gt;12,0,IF(J179-J178&gt;0,MROUND((L179/12*Q178),1),MROUND(L179/12*P178,1)))</f>
        <v>0</v>
      </c>
      <c r="P179" s="204">
        <f t="shared" si="45"/>
        <v>0</v>
      </c>
      <c r="Q179" s="204">
        <f t="shared" si="39"/>
        <v>0</v>
      </c>
      <c r="R179" s="476">
        <v>0</v>
      </c>
      <c r="S179" s="511">
        <f t="shared" si="37"/>
        <v>0</v>
      </c>
    </row>
    <row r="180" spans="1:19" ht="14" thickTop="1" thickBot="1">
      <c r="A180" s="202">
        <f t="shared" si="40"/>
        <v>49980</v>
      </c>
      <c r="B180" s="65">
        <f t="shared" si="33"/>
        <v>0</v>
      </c>
      <c r="C180" s="65">
        <f t="shared" si="46"/>
        <v>0</v>
      </c>
      <c r="D180" s="65">
        <f t="shared" si="34"/>
        <v>155</v>
      </c>
      <c r="E180" s="65">
        <f t="shared" si="41"/>
        <v>0</v>
      </c>
      <c r="F180" s="65">
        <f>IF(OR(L$73=0,DG!$A$258&gt;16),0,F179+1)</f>
        <v>0</v>
      </c>
      <c r="G180" s="65">
        <f t="shared" si="38"/>
        <v>0</v>
      </c>
      <c r="H180" s="65">
        <f t="shared" si="35"/>
        <v>0</v>
      </c>
      <c r="I180" s="65">
        <f t="shared" si="31"/>
        <v>0</v>
      </c>
      <c r="J180" s="203">
        <f>IF(DG!$A$137&lt;=11,$M$17,0)</f>
        <v>0</v>
      </c>
      <c r="K180" s="65">
        <f t="shared" si="36"/>
        <v>0</v>
      </c>
      <c r="L180" s="473">
        <f t="shared" si="42"/>
        <v>0</v>
      </c>
      <c r="M180" s="204">
        <f t="shared" si="43"/>
        <v>0</v>
      </c>
      <c r="N180" s="505">
        <f t="shared" si="44"/>
        <v>0</v>
      </c>
      <c r="O180" s="204">
        <f>IF(DG!$A$137&gt;12,0,IF(J180-J179&gt;0,MROUND((L180/12*Q179),1),MROUND(L180/12*P179,1)))</f>
        <v>0</v>
      </c>
      <c r="P180" s="204">
        <f t="shared" si="45"/>
        <v>0</v>
      </c>
      <c r="Q180" s="204">
        <f t="shared" si="39"/>
        <v>0</v>
      </c>
      <c r="R180" s="476">
        <v>0</v>
      </c>
      <c r="S180" s="511">
        <f t="shared" si="37"/>
        <v>0</v>
      </c>
    </row>
    <row r="181" spans="1:19" ht="14" thickTop="1" thickBot="1">
      <c r="A181" s="202">
        <f t="shared" si="40"/>
        <v>50010</v>
      </c>
      <c r="B181" s="65">
        <f t="shared" si="33"/>
        <v>0</v>
      </c>
      <c r="C181" s="65">
        <f t="shared" si="46"/>
        <v>0</v>
      </c>
      <c r="D181" s="65">
        <f t="shared" si="34"/>
        <v>156</v>
      </c>
      <c r="E181" s="65">
        <f t="shared" si="41"/>
        <v>0</v>
      </c>
      <c r="F181" s="65">
        <f>IF(OR(L$73=0,DG!$A$258&gt;16),0,F180+1)</f>
        <v>0</v>
      </c>
      <c r="G181" s="65">
        <f t="shared" si="38"/>
        <v>0</v>
      </c>
      <c r="H181" s="65">
        <f t="shared" si="35"/>
        <v>0</v>
      </c>
      <c r="I181" s="65">
        <f t="shared" si="31"/>
        <v>0</v>
      </c>
      <c r="J181" s="203">
        <f>IF(DG!$A$137&lt;=11,$M$17,0)</f>
        <v>0</v>
      </c>
      <c r="K181" s="65">
        <f t="shared" si="36"/>
        <v>0</v>
      </c>
      <c r="L181" s="473">
        <f t="shared" si="42"/>
        <v>0</v>
      </c>
      <c r="M181" s="204">
        <f t="shared" si="43"/>
        <v>0</v>
      </c>
      <c r="N181" s="505">
        <f t="shared" si="44"/>
        <v>0</v>
      </c>
      <c r="O181" s="204">
        <f>IF(DG!$A$137&gt;12,0,IF(J181-J180&gt;0,MROUND((L181/12*Q180),1),MROUND(L181/12*P180,1)))</f>
        <v>0</v>
      </c>
      <c r="P181" s="204">
        <f t="shared" si="45"/>
        <v>0</v>
      </c>
      <c r="Q181" s="204">
        <f t="shared" si="39"/>
        <v>0</v>
      </c>
      <c r="R181" s="476">
        <v>0</v>
      </c>
      <c r="S181" s="511">
        <f t="shared" si="37"/>
        <v>0</v>
      </c>
    </row>
    <row r="182" spans="1:19" ht="14" thickTop="1" thickBot="1">
      <c r="A182" s="202">
        <f t="shared" si="40"/>
        <v>50041</v>
      </c>
      <c r="B182" s="65">
        <f t="shared" si="33"/>
        <v>0</v>
      </c>
      <c r="C182" s="65">
        <f t="shared" si="46"/>
        <v>0</v>
      </c>
      <c r="D182" s="65">
        <f t="shared" si="34"/>
        <v>157</v>
      </c>
      <c r="E182" s="65">
        <f t="shared" si="41"/>
        <v>0</v>
      </c>
      <c r="F182" s="65">
        <f>IF(OR(L$73=0,DG!$A$258&gt;16),0,F181+1)</f>
        <v>0</v>
      </c>
      <c r="G182" s="65">
        <f t="shared" si="38"/>
        <v>0</v>
      </c>
      <c r="H182" s="65">
        <f t="shared" si="35"/>
        <v>0</v>
      </c>
      <c r="I182" s="65">
        <f t="shared" si="31"/>
        <v>0</v>
      </c>
      <c r="J182" s="203">
        <f>IF(DG!$A$137&lt;=11,$M$17,0)</f>
        <v>0</v>
      </c>
      <c r="K182" s="65">
        <f t="shared" si="36"/>
        <v>0</v>
      </c>
      <c r="L182" s="473">
        <f t="shared" si="42"/>
        <v>0</v>
      </c>
      <c r="M182" s="204">
        <f t="shared" si="43"/>
        <v>0</v>
      </c>
      <c r="N182" s="505">
        <f t="shared" si="44"/>
        <v>0</v>
      </c>
      <c r="O182" s="204">
        <f>IF(DG!$A$137&gt;12,0,IF(J182-J181&gt;0,MROUND((L182/12*Q181),1),MROUND(L182/12*P181,1)))</f>
        <v>0</v>
      </c>
      <c r="P182" s="204">
        <f t="shared" si="45"/>
        <v>0</v>
      </c>
      <c r="Q182" s="204">
        <f t="shared" si="39"/>
        <v>0</v>
      </c>
      <c r="R182" s="476">
        <v>0</v>
      </c>
      <c r="S182" s="511">
        <f t="shared" si="37"/>
        <v>0</v>
      </c>
    </row>
    <row r="183" spans="1:19" ht="14" thickTop="1" thickBot="1">
      <c r="A183" s="202">
        <f t="shared" si="40"/>
        <v>50072</v>
      </c>
      <c r="B183" s="65">
        <f t="shared" si="33"/>
        <v>0</v>
      </c>
      <c r="C183" s="65">
        <f t="shared" si="46"/>
        <v>0</v>
      </c>
      <c r="D183" s="65">
        <f t="shared" si="34"/>
        <v>158</v>
      </c>
      <c r="E183" s="65">
        <f t="shared" si="41"/>
        <v>0</v>
      </c>
      <c r="F183" s="65">
        <f>IF(OR(L$73=0,DG!$A$258&gt;16),0,F182+1)</f>
        <v>0</v>
      </c>
      <c r="G183" s="65">
        <f t="shared" si="38"/>
        <v>0</v>
      </c>
      <c r="H183" s="65">
        <f t="shared" si="35"/>
        <v>0</v>
      </c>
      <c r="I183" s="65">
        <f t="shared" si="31"/>
        <v>0</v>
      </c>
      <c r="J183" s="203">
        <f>IF(DG!$A$137&lt;=11,$M$17,0)</f>
        <v>0</v>
      </c>
      <c r="K183" s="65">
        <f t="shared" si="36"/>
        <v>0</v>
      </c>
      <c r="L183" s="473">
        <f t="shared" si="42"/>
        <v>0</v>
      </c>
      <c r="M183" s="204">
        <f t="shared" si="43"/>
        <v>0</v>
      </c>
      <c r="N183" s="505">
        <f t="shared" si="44"/>
        <v>0</v>
      </c>
      <c r="O183" s="204">
        <f>IF(DG!$A$137&gt;12,0,IF(J183-J182&gt;0,MROUND((L183/12*Q182),1),MROUND(L183/12*P182,1)))</f>
        <v>0</v>
      </c>
      <c r="P183" s="204">
        <f t="shared" si="45"/>
        <v>0</v>
      </c>
      <c r="Q183" s="204">
        <f t="shared" si="39"/>
        <v>0</v>
      </c>
      <c r="R183" s="476">
        <v>0</v>
      </c>
      <c r="S183" s="511">
        <f t="shared" si="37"/>
        <v>0</v>
      </c>
    </row>
    <row r="184" spans="1:19" ht="14" thickTop="1" thickBot="1">
      <c r="A184" s="202">
        <f t="shared" si="40"/>
        <v>50100</v>
      </c>
      <c r="B184" s="65">
        <f t="shared" si="33"/>
        <v>0</v>
      </c>
      <c r="C184" s="65">
        <f t="shared" si="46"/>
        <v>0</v>
      </c>
      <c r="D184" s="65">
        <f t="shared" si="34"/>
        <v>159</v>
      </c>
      <c r="E184" s="65">
        <f t="shared" si="41"/>
        <v>0</v>
      </c>
      <c r="F184" s="65">
        <f>IF(OR(L$73=0,DG!$A$258&gt;16),0,F183+1)</f>
        <v>0</v>
      </c>
      <c r="G184" s="65">
        <f t="shared" si="38"/>
        <v>0</v>
      </c>
      <c r="H184" s="65">
        <f t="shared" si="35"/>
        <v>0</v>
      </c>
      <c r="I184" s="65">
        <f t="shared" si="31"/>
        <v>0</v>
      </c>
      <c r="J184" s="203">
        <f>IF(DG!$A$137&lt;=11,$M$17,0)</f>
        <v>0</v>
      </c>
      <c r="K184" s="65">
        <f t="shared" si="36"/>
        <v>0</v>
      </c>
      <c r="L184" s="473">
        <f t="shared" si="42"/>
        <v>0</v>
      </c>
      <c r="M184" s="204">
        <f t="shared" si="43"/>
        <v>0</v>
      </c>
      <c r="N184" s="505">
        <f t="shared" si="44"/>
        <v>0</v>
      </c>
      <c r="O184" s="204">
        <f>IF(DG!$A$137&gt;12,0,IF(J184-J183&gt;0,MROUND((L184/12*Q183),1),MROUND(L184/12*P183,1)))</f>
        <v>0</v>
      </c>
      <c r="P184" s="204">
        <f t="shared" si="45"/>
        <v>0</v>
      </c>
      <c r="Q184" s="204">
        <f t="shared" si="39"/>
        <v>0</v>
      </c>
      <c r="R184" s="476">
        <v>0</v>
      </c>
      <c r="S184" s="511">
        <f t="shared" si="37"/>
        <v>0</v>
      </c>
    </row>
    <row r="185" spans="1:19" ht="14" thickTop="1" thickBot="1">
      <c r="A185" s="202">
        <f t="shared" si="40"/>
        <v>50131</v>
      </c>
      <c r="B185" s="65">
        <f t="shared" si="33"/>
        <v>0</v>
      </c>
      <c r="C185" s="65">
        <f t="shared" si="46"/>
        <v>0</v>
      </c>
      <c r="D185" s="65">
        <f t="shared" si="34"/>
        <v>160</v>
      </c>
      <c r="E185" s="65">
        <f t="shared" si="41"/>
        <v>0</v>
      </c>
      <c r="F185" s="65">
        <f>IF(OR(L$73=0,DG!$A$258&gt;16),0,F184+1)</f>
        <v>0</v>
      </c>
      <c r="G185" s="65">
        <f t="shared" si="38"/>
        <v>0</v>
      </c>
      <c r="H185" s="65">
        <f t="shared" si="35"/>
        <v>0</v>
      </c>
      <c r="I185" s="65">
        <f t="shared" si="31"/>
        <v>0</v>
      </c>
      <c r="J185" s="203">
        <f>IF(DG!$A$137&lt;=11,$M$17,0)</f>
        <v>0</v>
      </c>
      <c r="K185" s="65">
        <f t="shared" si="36"/>
        <v>0</v>
      </c>
      <c r="L185" s="473">
        <f t="shared" si="42"/>
        <v>0</v>
      </c>
      <c r="M185" s="204">
        <f t="shared" si="43"/>
        <v>0</v>
      </c>
      <c r="N185" s="505">
        <f t="shared" si="44"/>
        <v>0</v>
      </c>
      <c r="O185" s="204">
        <f>IF(DG!$A$137&gt;12,0,IF(J185-J184&gt;0,MROUND((L185/12*Q184),1),MROUND(L185/12*P184,1)))</f>
        <v>0</v>
      </c>
      <c r="P185" s="204">
        <f t="shared" si="45"/>
        <v>0</v>
      </c>
      <c r="Q185" s="204">
        <f t="shared" si="39"/>
        <v>0</v>
      </c>
      <c r="R185" s="476">
        <v>0</v>
      </c>
      <c r="S185" s="511">
        <f t="shared" si="37"/>
        <v>0</v>
      </c>
    </row>
    <row r="186" spans="1:19" ht="14" thickTop="1" thickBot="1">
      <c r="A186" s="202">
        <f t="shared" si="40"/>
        <v>50161</v>
      </c>
      <c r="B186" s="65">
        <f t="shared" si="33"/>
        <v>0</v>
      </c>
      <c r="C186" s="65">
        <f t="shared" si="46"/>
        <v>0</v>
      </c>
      <c r="D186" s="65">
        <f t="shared" si="34"/>
        <v>161</v>
      </c>
      <c r="E186" s="65">
        <f t="shared" si="41"/>
        <v>0</v>
      </c>
      <c r="F186" s="65">
        <f>IF(OR(L$73=0,DG!$A$258&gt;16),0,F185+1)</f>
        <v>0</v>
      </c>
      <c r="G186" s="65">
        <f t="shared" si="38"/>
        <v>0</v>
      </c>
      <c r="H186" s="65">
        <f t="shared" si="35"/>
        <v>0</v>
      </c>
      <c r="I186" s="65">
        <f t="shared" si="31"/>
        <v>0</v>
      </c>
      <c r="J186" s="203">
        <f>IF(DG!$A$137&lt;=11,$M$17,0)</f>
        <v>0</v>
      </c>
      <c r="K186" s="65">
        <f t="shared" si="36"/>
        <v>0</v>
      </c>
      <c r="L186" s="473">
        <f t="shared" si="42"/>
        <v>0</v>
      </c>
      <c r="M186" s="204">
        <f t="shared" si="43"/>
        <v>0</v>
      </c>
      <c r="N186" s="505">
        <f t="shared" si="44"/>
        <v>0</v>
      </c>
      <c r="O186" s="204">
        <f>IF(DG!$A$137&gt;12,0,IF(J186-J185&gt;0,MROUND((L186/12*Q185),1),MROUND(L186/12*P185,1)))</f>
        <v>0</v>
      </c>
      <c r="P186" s="204">
        <f t="shared" si="45"/>
        <v>0</v>
      </c>
      <c r="Q186" s="204">
        <f t="shared" si="39"/>
        <v>0</v>
      </c>
      <c r="R186" s="476">
        <v>0</v>
      </c>
      <c r="S186" s="511">
        <f t="shared" si="37"/>
        <v>0</v>
      </c>
    </row>
    <row r="187" spans="1:19" ht="14" thickTop="1" thickBot="1">
      <c r="A187" s="202">
        <f t="shared" si="40"/>
        <v>50192</v>
      </c>
      <c r="B187" s="65">
        <f t="shared" si="33"/>
        <v>0</v>
      </c>
      <c r="C187" s="65">
        <f t="shared" si="46"/>
        <v>0</v>
      </c>
      <c r="D187" s="65">
        <f t="shared" si="34"/>
        <v>162</v>
      </c>
      <c r="E187" s="65">
        <f t="shared" si="41"/>
        <v>0</v>
      </c>
      <c r="F187" s="65">
        <f>IF(OR(L$73=0,DG!$A$258&gt;16),0,F186+1)</f>
        <v>0</v>
      </c>
      <c r="G187" s="65">
        <f t="shared" si="38"/>
        <v>0</v>
      </c>
      <c r="H187" s="65">
        <f t="shared" si="35"/>
        <v>0</v>
      </c>
      <c r="I187" s="65">
        <f t="shared" si="31"/>
        <v>0</v>
      </c>
      <c r="J187" s="203">
        <f>IF(DG!$A$137&lt;=11,$M$17,0)</f>
        <v>0</v>
      </c>
      <c r="K187" s="65">
        <f t="shared" si="36"/>
        <v>0</v>
      </c>
      <c r="L187" s="473">
        <f t="shared" si="42"/>
        <v>0</v>
      </c>
      <c r="M187" s="204">
        <f t="shared" si="43"/>
        <v>0</v>
      </c>
      <c r="N187" s="505">
        <f t="shared" si="44"/>
        <v>0</v>
      </c>
      <c r="O187" s="204">
        <f>IF(DG!$A$137&gt;12,0,IF(J187-J186&gt;0,MROUND((L187/12*Q186),1),MROUND(L187/12*P186,1)))</f>
        <v>0</v>
      </c>
      <c r="P187" s="204">
        <f t="shared" si="45"/>
        <v>0</v>
      </c>
      <c r="Q187" s="204">
        <f t="shared" si="39"/>
        <v>0</v>
      </c>
      <c r="R187" s="476">
        <v>0</v>
      </c>
      <c r="S187" s="511">
        <f t="shared" si="37"/>
        <v>0</v>
      </c>
    </row>
    <row r="188" spans="1:19" ht="14" thickTop="1" thickBot="1">
      <c r="A188" s="202">
        <f t="shared" si="40"/>
        <v>50222</v>
      </c>
      <c r="B188" s="65">
        <f t="shared" si="33"/>
        <v>0</v>
      </c>
      <c r="C188" s="65">
        <f t="shared" si="46"/>
        <v>0</v>
      </c>
      <c r="D188" s="65">
        <f t="shared" si="34"/>
        <v>163</v>
      </c>
      <c r="E188" s="65">
        <f t="shared" si="41"/>
        <v>0</v>
      </c>
      <c r="F188" s="65">
        <f>IF(OR(L$73=0,DG!$A$258&gt;16),0,F187+1)</f>
        <v>0</v>
      </c>
      <c r="G188" s="65">
        <f t="shared" si="38"/>
        <v>0</v>
      </c>
      <c r="H188" s="65">
        <f t="shared" si="35"/>
        <v>0</v>
      </c>
      <c r="I188" s="65">
        <f t="shared" si="31"/>
        <v>0</v>
      </c>
      <c r="J188" s="203">
        <f>IF(DG!$A$137&lt;=11,$M$17,0)</f>
        <v>0</v>
      </c>
      <c r="K188" s="65">
        <f t="shared" si="36"/>
        <v>0</v>
      </c>
      <c r="L188" s="473">
        <f t="shared" si="42"/>
        <v>0</v>
      </c>
      <c r="M188" s="204">
        <f t="shared" si="43"/>
        <v>0</v>
      </c>
      <c r="N188" s="505">
        <f t="shared" si="44"/>
        <v>0</v>
      </c>
      <c r="O188" s="204">
        <f>IF(DG!$A$137&gt;12,0,IF(J188-J187&gt;0,MROUND((L188/12*Q187),1),MROUND(L188/12*P187,1)))</f>
        <v>0</v>
      </c>
      <c r="P188" s="204">
        <f t="shared" si="45"/>
        <v>0</v>
      </c>
      <c r="Q188" s="204">
        <f t="shared" si="39"/>
        <v>0</v>
      </c>
      <c r="R188" s="476">
        <v>0</v>
      </c>
      <c r="S188" s="511">
        <f t="shared" si="37"/>
        <v>0</v>
      </c>
    </row>
    <row r="189" spans="1:19" ht="14" thickTop="1" thickBot="1">
      <c r="A189" s="202">
        <f t="shared" si="40"/>
        <v>50253</v>
      </c>
      <c r="B189" s="65">
        <f t="shared" si="33"/>
        <v>0</v>
      </c>
      <c r="C189" s="65">
        <f t="shared" si="46"/>
        <v>0</v>
      </c>
      <c r="D189" s="65">
        <f t="shared" si="34"/>
        <v>164</v>
      </c>
      <c r="E189" s="65">
        <f t="shared" si="41"/>
        <v>0</v>
      </c>
      <c r="F189" s="65">
        <f>IF(OR(L$73=0,DG!$A$258&gt;16),0,F188+1)</f>
        <v>0</v>
      </c>
      <c r="G189" s="65">
        <f t="shared" si="38"/>
        <v>0</v>
      </c>
      <c r="H189" s="65">
        <f t="shared" si="35"/>
        <v>0</v>
      </c>
      <c r="I189" s="65">
        <f t="shared" si="31"/>
        <v>0</v>
      </c>
      <c r="J189" s="203">
        <f>IF(DG!$A$137&lt;=11,$M$17,0)</f>
        <v>0</v>
      </c>
      <c r="K189" s="65">
        <f t="shared" si="36"/>
        <v>0</v>
      </c>
      <c r="L189" s="473">
        <f t="shared" si="42"/>
        <v>0</v>
      </c>
      <c r="M189" s="204">
        <f t="shared" si="43"/>
        <v>0</v>
      </c>
      <c r="N189" s="505">
        <f t="shared" si="44"/>
        <v>0</v>
      </c>
      <c r="O189" s="204">
        <f>IF(DG!$A$137&gt;12,0,IF(J189-J188&gt;0,MROUND((L189/12*Q188),1),MROUND(L189/12*P188,1)))</f>
        <v>0</v>
      </c>
      <c r="P189" s="204">
        <f t="shared" si="45"/>
        <v>0</v>
      </c>
      <c r="Q189" s="204">
        <f t="shared" si="39"/>
        <v>0</v>
      </c>
      <c r="R189" s="476">
        <v>0</v>
      </c>
      <c r="S189" s="511">
        <f t="shared" si="37"/>
        <v>0</v>
      </c>
    </row>
    <row r="190" spans="1:19" ht="14" thickTop="1" thickBot="1">
      <c r="A190" s="202">
        <f t="shared" si="40"/>
        <v>50284</v>
      </c>
      <c r="B190" s="65">
        <f t="shared" si="33"/>
        <v>0</v>
      </c>
      <c r="C190" s="65">
        <f t="shared" si="46"/>
        <v>0</v>
      </c>
      <c r="D190" s="65">
        <f t="shared" si="34"/>
        <v>165</v>
      </c>
      <c r="E190" s="65">
        <f t="shared" si="41"/>
        <v>0</v>
      </c>
      <c r="F190" s="65">
        <f>IF(OR(L$73=0,DG!$A$258&gt;16),0,F189+1)</f>
        <v>0</v>
      </c>
      <c r="G190" s="65">
        <f t="shared" si="38"/>
        <v>0</v>
      </c>
      <c r="H190" s="65">
        <f t="shared" si="35"/>
        <v>0</v>
      </c>
      <c r="I190" s="65">
        <f t="shared" si="31"/>
        <v>0</v>
      </c>
      <c r="J190" s="203">
        <f>IF(DG!$A$137&lt;=11,$M$17,0)</f>
        <v>0</v>
      </c>
      <c r="K190" s="65">
        <f t="shared" si="36"/>
        <v>0</v>
      </c>
      <c r="L190" s="473">
        <f t="shared" si="42"/>
        <v>0</v>
      </c>
      <c r="M190" s="204">
        <f t="shared" si="43"/>
        <v>0</v>
      </c>
      <c r="N190" s="505">
        <f t="shared" si="44"/>
        <v>0</v>
      </c>
      <c r="O190" s="204">
        <f>IF(DG!$A$137&gt;12,0,IF(J190-J189&gt;0,MROUND((L190/12*Q189),1),MROUND(L190/12*P189,1)))</f>
        <v>0</v>
      </c>
      <c r="P190" s="204">
        <f t="shared" si="45"/>
        <v>0</v>
      </c>
      <c r="Q190" s="204">
        <f t="shared" si="39"/>
        <v>0</v>
      </c>
      <c r="R190" s="476">
        <v>0</v>
      </c>
      <c r="S190" s="511">
        <f t="shared" si="37"/>
        <v>0</v>
      </c>
    </row>
    <row r="191" spans="1:19" ht="14" thickTop="1" thickBot="1">
      <c r="A191" s="202">
        <f t="shared" si="40"/>
        <v>50314</v>
      </c>
      <c r="B191" s="65">
        <f t="shared" si="33"/>
        <v>0</v>
      </c>
      <c r="C191" s="65">
        <f t="shared" si="46"/>
        <v>0</v>
      </c>
      <c r="D191" s="65">
        <f t="shared" si="34"/>
        <v>166</v>
      </c>
      <c r="E191" s="65">
        <f t="shared" si="41"/>
        <v>0</v>
      </c>
      <c r="F191" s="65">
        <f>IF(OR(L$73=0,DG!$A$258&gt;16),0,F190+1)</f>
        <v>0</v>
      </c>
      <c r="G191" s="65">
        <f t="shared" si="38"/>
        <v>0</v>
      </c>
      <c r="H191" s="65">
        <f t="shared" si="35"/>
        <v>0</v>
      </c>
      <c r="I191" s="65">
        <f t="shared" si="31"/>
        <v>0</v>
      </c>
      <c r="J191" s="203">
        <f>IF(DG!$A$137&lt;=11,$M$17,0)</f>
        <v>0</v>
      </c>
      <c r="K191" s="65">
        <f t="shared" si="36"/>
        <v>0</v>
      </c>
      <c r="L191" s="473">
        <f t="shared" si="42"/>
        <v>0</v>
      </c>
      <c r="M191" s="204">
        <f t="shared" si="43"/>
        <v>0</v>
      </c>
      <c r="N191" s="505">
        <f t="shared" si="44"/>
        <v>0</v>
      </c>
      <c r="O191" s="204">
        <f>IF(DG!$A$137&gt;12,0,IF(J191-J190&gt;0,MROUND((L191/12*Q190),1),MROUND(L191/12*P190,1)))</f>
        <v>0</v>
      </c>
      <c r="P191" s="204">
        <f t="shared" si="45"/>
        <v>0</v>
      </c>
      <c r="Q191" s="204">
        <f t="shared" si="39"/>
        <v>0</v>
      </c>
      <c r="R191" s="476">
        <v>0</v>
      </c>
      <c r="S191" s="511">
        <f t="shared" si="37"/>
        <v>0</v>
      </c>
    </row>
    <row r="192" spans="1:19" ht="14" thickTop="1" thickBot="1">
      <c r="A192" s="202">
        <f t="shared" si="40"/>
        <v>50345</v>
      </c>
      <c r="B192" s="65">
        <f t="shared" si="33"/>
        <v>0</v>
      </c>
      <c r="C192" s="65">
        <f t="shared" si="46"/>
        <v>0</v>
      </c>
      <c r="D192" s="65">
        <f t="shared" si="34"/>
        <v>167</v>
      </c>
      <c r="E192" s="65">
        <f t="shared" si="41"/>
        <v>0</v>
      </c>
      <c r="F192" s="65">
        <f>IF(OR(L$73=0,DG!$A$258&gt;16),0,F191+1)</f>
        <v>0</v>
      </c>
      <c r="G192" s="65">
        <f t="shared" si="38"/>
        <v>0</v>
      </c>
      <c r="H192" s="65">
        <f t="shared" si="35"/>
        <v>0</v>
      </c>
      <c r="I192" s="65">
        <f t="shared" si="31"/>
        <v>0</v>
      </c>
      <c r="J192" s="203">
        <f>IF(DG!$A$137&lt;=11,$M$17,0)</f>
        <v>0</v>
      </c>
      <c r="K192" s="65">
        <f t="shared" si="36"/>
        <v>0</v>
      </c>
      <c r="L192" s="473">
        <f t="shared" si="42"/>
        <v>0</v>
      </c>
      <c r="M192" s="204">
        <f t="shared" si="43"/>
        <v>0</v>
      </c>
      <c r="N192" s="505">
        <f t="shared" si="44"/>
        <v>0</v>
      </c>
      <c r="O192" s="204">
        <f>IF(DG!$A$137&gt;12,0,IF(J192-J191&gt;0,MROUND((L192/12*Q191),1),MROUND(L192/12*P191,1)))</f>
        <v>0</v>
      </c>
      <c r="P192" s="204">
        <f t="shared" si="45"/>
        <v>0</v>
      </c>
      <c r="Q192" s="204">
        <f t="shared" si="39"/>
        <v>0</v>
      </c>
      <c r="R192" s="476">
        <v>0</v>
      </c>
      <c r="S192" s="511">
        <f t="shared" si="37"/>
        <v>0</v>
      </c>
    </row>
    <row r="193" spans="1:19" ht="14" thickTop="1" thickBot="1">
      <c r="A193" s="202">
        <f t="shared" si="40"/>
        <v>50375</v>
      </c>
      <c r="B193" s="65">
        <f t="shared" si="33"/>
        <v>0</v>
      </c>
      <c r="C193" s="65">
        <f t="shared" si="46"/>
        <v>0</v>
      </c>
      <c r="D193" s="65">
        <f t="shared" si="34"/>
        <v>168</v>
      </c>
      <c r="E193" s="65">
        <f t="shared" si="41"/>
        <v>0</v>
      </c>
      <c r="F193" s="65">
        <f>IF(OR(L$73=0,DG!$A$258&gt;16),0,F192+1)</f>
        <v>0</v>
      </c>
      <c r="G193" s="65">
        <f t="shared" si="38"/>
        <v>0</v>
      </c>
      <c r="H193" s="65">
        <f t="shared" si="35"/>
        <v>0</v>
      </c>
      <c r="I193" s="65">
        <f t="shared" ref="I193:I256" si="47">IF(OR(G193=1,C193=0),0,IF(K193-C193&lt;$G$269,1,-1))</f>
        <v>0</v>
      </c>
      <c r="J193" s="203">
        <f>IF(DG!$A$137&lt;=11,$M$17,0)</f>
        <v>0</v>
      </c>
      <c r="K193" s="65">
        <f t="shared" si="36"/>
        <v>0</v>
      </c>
      <c r="L193" s="473">
        <f t="shared" si="42"/>
        <v>0</v>
      </c>
      <c r="M193" s="204">
        <f t="shared" si="43"/>
        <v>0</v>
      </c>
      <c r="N193" s="505">
        <f t="shared" si="44"/>
        <v>0</v>
      </c>
      <c r="O193" s="204">
        <f>IF(DG!$A$137&gt;12,0,IF(J193-J192&gt;0,MROUND((L193/12*Q192),1),MROUND(L193/12*P192,1)))</f>
        <v>0</v>
      </c>
      <c r="P193" s="204">
        <f t="shared" si="45"/>
        <v>0</v>
      </c>
      <c r="Q193" s="204">
        <f t="shared" si="39"/>
        <v>0</v>
      </c>
      <c r="R193" s="476">
        <v>0</v>
      </c>
      <c r="S193" s="511">
        <f t="shared" si="37"/>
        <v>0</v>
      </c>
    </row>
    <row r="194" spans="1:19" ht="14" thickTop="1" thickBot="1">
      <c r="A194" s="202">
        <f t="shared" si="40"/>
        <v>50406</v>
      </c>
      <c r="B194" s="65">
        <f t="shared" si="33"/>
        <v>0</v>
      </c>
      <c r="C194" s="65">
        <f t="shared" si="46"/>
        <v>0</v>
      </c>
      <c r="D194" s="65">
        <f t="shared" si="34"/>
        <v>169</v>
      </c>
      <c r="E194" s="65">
        <f t="shared" si="41"/>
        <v>0</v>
      </c>
      <c r="F194" s="65">
        <f>IF(OR(L$73=0,DG!$A$258&gt;16),0,F193+1)</f>
        <v>0</v>
      </c>
      <c r="G194" s="65">
        <f t="shared" si="38"/>
        <v>0</v>
      </c>
      <c r="H194" s="65">
        <f t="shared" si="35"/>
        <v>0</v>
      </c>
      <c r="I194" s="65">
        <f t="shared" si="47"/>
        <v>0</v>
      </c>
      <c r="J194" s="203">
        <f>IF(DG!$A$137&lt;=11,$M$17,0)</f>
        <v>0</v>
      </c>
      <c r="K194" s="65">
        <f t="shared" si="36"/>
        <v>0</v>
      </c>
      <c r="L194" s="473">
        <f t="shared" si="42"/>
        <v>0</v>
      </c>
      <c r="M194" s="204">
        <f t="shared" si="43"/>
        <v>0</v>
      </c>
      <c r="N194" s="505">
        <f t="shared" si="44"/>
        <v>0</v>
      </c>
      <c r="O194" s="204">
        <f>IF(DG!$A$137&gt;12,0,IF(J194-J193&gt;0,MROUND((L194/12*Q193),1),MROUND(L194/12*P193,1)))</f>
        <v>0</v>
      </c>
      <c r="P194" s="204">
        <f t="shared" si="45"/>
        <v>0</v>
      </c>
      <c r="Q194" s="204">
        <f t="shared" si="39"/>
        <v>0</v>
      </c>
      <c r="R194" s="476">
        <v>0</v>
      </c>
      <c r="S194" s="511">
        <f t="shared" si="37"/>
        <v>0</v>
      </c>
    </row>
    <row r="195" spans="1:19" ht="14" thickTop="1" thickBot="1">
      <c r="A195" s="202">
        <f t="shared" si="40"/>
        <v>50437</v>
      </c>
      <c r="B195" s="65">
        <f t="shared" si="33"/>
        <v>0</v>
      </c>
      <c r="C195" s="65">
        <f t="shared" si="46"/>
        <v>0</v>
      </c>
      <c r="D195" s="65">
        <f t="shared" si="34"/>
        <v>170</v>
      </c>
      <c r="E195" s="65">
        <f t="shared" si="41"/>
        <v>0</v>
      </c>
      <c r="F195" s="65">
        <f>IF(OR(L$73=0,DG!$A$258&gt;16),0,F194+1)</f>
        <v>0</v>
      </c>
      <c r="G195" s="65">
        <f t="shared" si="38"/>
        <v>0</v>
      </c>
      <c r="H195" s="65">
        <f t="shared" si="35"/>
        <v>0</v>
      </c>
      <c r="I195" s="65">
        <f t="shared" si="47"/>
        <v>0</v>
      </c>
      <c r="J195" s="203">
        <f>IF(DG!$A$137&lt;=11,$M$17,0)</f>
        <v>0</v>
      </c>
      <c r="K195" s="65">
        <f t="shared" si="36"/>
        <v>0</v>
      </c>
      <c r="L195" s="473">
        <f t="shared" si="42"/>
        <v>0</v>
      </c>
      <c r="M195" s="204">
        <f t="shared" si="43"/>
        <v>0</v>
      </c>
      <c r="N195" s="505">
        <f t="shared" si="44"/>
        <v>0</v>
      </c>
      <c r="O195" s="204">
        <f>IF(DG!$A$137&gt;12,0,IF(J195-J194&gt;0,MROUND((L195/12*Q194),1),MROUND(L195/12*P194,1)))</f>
        <v>0</v>
      </c>
      <c r="P195" s="204">
        <f t="shared" si="45"/>
        <v>0</v>
      </c>
      <c r="Q195" s="204">
        <f t="shared" si="39"/>
        <v>0</v>
      </c>
      <c r="R195" s="476">
        <v>0</v>
      </c>
      <c r="S195" s="511">
        <f t="shared" si="37"/>
        <v>0</v>
      </c>
    </row>
    <row r="196" spans="1:19" ht="14" thickTop="1" thickBot="1">
      <c r="A196" s="202">
        <f t="shared" si="40"/>
        <v>50465</v>
      </c>
      <c r="B196" s="65">
        <f t="shared" si="33"/>
        <v>0</v>
      </c>
      <c r="C196" s="65">
        <f t="shared" si="46"/>
        <v>0</v>
      </c>
      <c r="D196" s="65">
        <f t="shared" si="34"/>
        <v>171</v>
      </c>
      <c r="E196" s="65">
        <f t="shared" si="41"/>
        <v>0</v>
      </c>
      <c r="F196" s="65">
        <f>IF(OR(L$73=0,DG!$A$258&gt;16),0,F195+1)</f>
        <v>0</v>
      </c>
      <c r="G196" s="65">
        <f t="shared" si="38"/>
        <v>0</v>
      </c>
      <c r="H196" s="65">
        <f t="shared" si="35"/>
        <v>0</v>
      </c>
      <c r="I196" s="65">
        <f t="shared" si="47"/>
        <v>0</v>
      </c>
      <c r="J196" s="203">
        <f>IF(DG!$A$137&lt;=11,$M$17,0)</f>
        <v>0</v>
      </c>
      <c r="K196" s="65">
        <f t="shared" si="36"/>
        <v>0</v>
      </c>
      <c r="L196" s="473">
        <f t="shared" si="42"/>
        <v>0</v>
      </c>
      <c r="M196" s="204">
        <f t="shared" si="43"/>
        <v>0</v>
      </c>
      <c r="N196" s="505">
        <f t="shared" si="44"/>
        <v>0</v>
      </c>
      <c r="O196" s="204">
        <f>IF(DG!$A$137&gt;12,0,IF(J196-J195&gt;0,MROUND((L196/12*Q195),1),MROUND(L196/12*P195,1)))</f>
        <v>0</v>
      </c>
      <c r="P196" s="204">
        <f t="shared" si="45"/>
        <v>0</v>
      </c>
      <c r="Q196" s="204">
        <f t="shared" si="39"/>
        <v>0</v>
      </c>
      <c r="R196" s="476">
        <v>0</v>
      </c>
      <c r="S196" s="511">
        <f t="shared" si="37"/>
        <v>0</v>
      </c>
    </row>
    <row r="197" spans="1:19" ht="14" thickTop="1" thickBot="1">
      <c r="A197" s="202">
        <f t="shared" si="40"/>
        <v>50496</v>
      </c>
      <c r="B197" s="65">
        <f t="shared" si="33"/>
        <v>0</v>
      </c>
      <c r="C197" s="65">
        <f t="shared" si="46"/>
        <v>0</v>
      </c>
      <c r="D197" s="65">
        <f t="shared" si="34"/>
        <v>172</v>
      </c>
      <c r="E197" s="65">
        <f t="shared" si="41"/>
        <v>0</v>
      </c>
      <c r="F197" s="65">
        <f>IF(OR(L$73=0,DG!$A$258&gt;16),0,F196+1)</f>
        <v>0</v>
      </c>
      <c r="G197" s="65">
        <f t="shared" si="38"/>
        <v>0</v>
      </c>
      <c r="H197" s="65">
        <f t="shared" si="35"/>
        <v>0</v>
      </c>
      <c r="I197" s="65">
        <f t="shared" si="47"/>
        <v>0</v>
      </c>
      <c r="J197" s="203">
        <f>IF(DG!$A$137&lt;=11,$M$17,0)</f>
        <v>0</v>
      </c>
      <c r="K197" s="65">
        <f t="shared" si="36"/>
        <v>0</v>
      </c>
      <c r="L197" s="473">
        <f t="shared" si="42"/>
        <v>0</v>
      </c>
      <c r="M197" s="204">
        <f t="shared" si="43"/>
        <v>0</v>
      </c>
      <c r="N197" s="505">
        <f t="shared" si="44"/>
        <v>0</v>
      </c>
      <c r="O197" s="204">
        <f>IF(DG!$A$137&gt;12,0,IF(J197-J196&gt;0,MROUND((L197/12*Q196),1),MROUND(L197/12*P196,1)))</f>
        <v>0</v>
      </c>
      <c r="P197" s="204">
        <f t="shared" si="45"/>
        <v>0</v>
      </c>
      <c r="Q197" s="204">
        <f t="shared" si="39"/>
        <v>0</v>
      </c>
      <c r="R197" s="476">
        <v>0</v>
      </c>
      <c r="S197" s="511">
        <f t="shared" si="37"/>
        <v>0</v>
      </c>
    </row>
    <row r="198" spans="1:19" ht="14" thickTop="1" thickBot="1">
      <c r="A198" s="202">
        <f t="shared" si="40"/>
        <v>50526</v>
      </c>
      <c r="B198" s="65">
        <f t="shared" si="33"/>
        <v>0</v>
      </c>
      <c r="C198" s="65">
        <f t="shared" si="46"/>
        <v>0</v>
      </c>
      <c r="D198" s="65">
        <f t="shared" si="34"/>
        <v>173</v>
      </c>
      <c r="E198" s="65">
        <f t="shared" si="41"/>
        <v>0</v>
      </c>
      <c r="F198" s="65">
        <f>IF(OR(L$73=0,DG!$A$258&gt;16),0,F197+1)</f>
        <v>0</v>
      </c>
      <c r="G198" s="65">
        <f t="shared" si="38"/>
        <v>0</v>
      </c>
      <c r="H198" s="65">
        <f t="shared" si="35"/>
        <v>0</v>
      </c>
      <c r="I198" s="65">
        <f t="shared" si="47"/>
        <v>0</v>
      </c>
      <c r="J198" s="203">
        <f>IF(DG!$A$137&lt;=11,$M$17,0)</f>
        <v>0</v>
      </c>
      <c r="K198" s="65">
        <f t="shared" si="36"/>
        <v>0</v>
      </c>
      <c r="L198" s="473">
        <f t="shared" si="42"/>
        <v>0</v>
      </c>
      <c r="M198" s="204">
        <f t="shared" si="43"/>
        <v>0</v>
      </c>
      <c r="N198" s="505">
        <f t="shared" si="44"/>
        <v>0</v>
      </c>
      <c r="O198" s="204">
        <f>IF(DG!$A$137&gt;12,0,IF(J198-J197&gt;0,MROUND((L198/12*Q197),1),MROUND(L198/12*P197,1)))</f>
        <v>0</v>
      </c>
      <c r="P198" s="204">
        <f t="shared" si="45"/>
        <v>0</v>
      </c>
      <c r="Q198" s="204">
        <f t="shared" si="39"/>
        <v>0</v>
      </c>
      <c r="R198" s="476">
        <v>0</v>
      </c>
      <c r="S198" s="511">
        <f t="shared" si="37"/>
        <v>0</v>
      </c>
    </row>
    <row r="199" spans="1:19" ht="14" thickTop="1" thickBot="1">
      <c r="A199" s="202">
        <f t="shared" si="40"/>
        <v>50557</v>
      </c>
      <c r="B199" s="65">
        <f t="shared" si="33"/>
        <v>0</v>
      </c>
      <c r="C199" s="65">
        <f t="shared" si="46"/>
        <v>0</v>
      </c>
      <c r="D199" s="65">
        <f t="shared" si="34"/>
        <v>174</v>
      </c>
      <c r="E199" s="65">
        <f t="shared" si="41"/>
        <v>0</v>
      </c>
      <c r="F199" s="65">
        <f>IF(OR(L$73=0,DG!$A$258&gt;16),0,F198+1)</f>
        <v>0</v>
      </c>
      <c r="G199" s="65">
        <f t="shared" si="38"/>
        <v>0</v>
      </c>
      <c r="H199" s="65">
        <f t="shared" si="35"/>
        <v>0</v>
      </c>
      <c r="I199" s="65">
        <f t="shared" si="47"/>
        <v>0</v>
      </c>
      <c r="J199" s="203">
        <f>IF(DG!$A$137&lt;=11,$M$17,0)</f>
        <v>0</v>
      </c>
      <c r="K199" s="65">
        <f t="shared" si="36"/>
        <v>0</v>
      </c>
      <c r="L199" s="473">
        <f t="shared" si="42"/>
        <v>0</v>
      </c>
      <c r="M199" s="204">
        <f t="shared" si="43"/>
        <v>0</v>
      </c>
      <c r="N199" s="505">
        <f t="shared" si="44"/>
        <v>0</v>
      </c>
      <c r="O199" s="204">
        <f>IF(DG!$A$137&gt;12,0,IF(J199-J198&gt;0,MROUND((L199/12*Q198),1),MROUND(L199/12*P198,1)))</f>
        <v>0</v>
      </c>
      <c r="P199" s="204">
        <f t="shared" si="45"/>
        <v>0</v>
      </c>
      <c r="Q199" s="204">
        <f t="shared" si="39"/>
        <v>0</v>
      </c>
      <c r="R199" s="476">
        <v>0</v>
      </c>
      <c r="S199" s="511">
        <f t="shared" si="37"/>
        <v>0</v>
      </c>
    </row>
    <row r="200" spans="1:19" ht="14" thickTop="1" thickBot="1">
      <c r="A200" s="202">
        <f t="shared" si="40"/>
        <v>50587</v>
      </c>
      <c r="B200" s="65">
        <f t="shared" si="33"/>
        <v>0</v>
      </c>
      <c r="C200" s="65">
        <f t="shared" si="46"/>
        <v>0</v>
      </c>
      <c r="D200" s="65">
        <f t="shared" si="34"/>
        <v>175</v>
      </c>
      <c r="E200" s="65">
        <f t="shared" si="41"/>
        <v>0</v>
      </c>
      <c r="F200" s="65">
        <f>IF(OR(L$73=0,DG!$A$258&gt;16),0,F199+1)</f>
        <v>0</v>
      </c>
      <c r="G200" s="65">
        <f t="shared" si="38"/>
        <v>0</v>
      </c>
      <c r="H200" s="65">
        <f t="shared" si="35"/>
        <v>0</v>
      </c>
      <c r="I200" s="65">
        <f t="shared" si="47"/>
        <v>0</v>
      </c>
      <c r="J200" s="203">
        <f>IF(DG!$A$137&lt;=11,$M$17,0)</f>
        <v>0</v>
      </c>
      <c r="K200" s="65">
        <f t="shared" si="36"/>
        <v>0</v>
      </c>
      <c r="L200" s="473">
        <f t="shared" si="42"/>
        <v>0</v>
      </c>
      <c r="M200" s="204">
        <f t="shared" si="43"/>
        <v>0</v>
      </c>
      <c r="N200" s="505">
        <f t="shared" si="44"/>
        <v>0</v>
      </c>
      <c r="O200" s="204">
        <f>IF(DG!$A$137&gt;12,0,IF(J200-J199&gt;0,MROUND((L200/12*Q199),1),MROUND(L200/12*P199,1)))</f>
        <v>0</v>
      </c>
      <c r="P200" s="204">
        <f t="shared" si="45"/>
        <v>0</v>
      </c>
      <c r="Q200" s="204">
        <f t="shared" si="39"/>
        <v>0</v>
      </c>
      <c r="R200" s="476">
        <v>0</v>
      </c>
      <c r="S200" s="511">
        <f t="shared" si="37"/>
        <v>0</v>
      </c>
    </row>
    <row r="201" spans="1:19" ht="14" thickTop="1" thickBot="1">
      <c r="A201" s="202">
        <f t="shared" si="40"/>
        <v>50618</v>
      </c>
      <c r="B201" s="65">
        <f t="shared" si="33"/>
        <v>0</v>
      </c>
      <c r="C201" s="65">
        <f t="shared" si="46"/>
        <v>0</v>
      </c>
      <c r="D201" s="65">
        <f t="shared" si="34"/>
        <v>176</v>
      </c>
      <c r="E201" s="65">
        <f t="shared" si="41"/>
        <v>0</v>
      </c>
      <c r="F201" s="65">
        <f>IF(OR(L$73=0,DG!$A$258&gt;16),0,F200+1)</f>
        <v>0</v>
      </c>
      <c r="G201" s="65">
        <f t="shared" si="38"/>
        <v>0</v>
      </c>
      <c r="H201" s="65">
        <f t="shared" si="35"/>
        <v>0</v>
      </c>
      <c r="I201" s="65">
        <f t="shared" si="47"/>
        <v>0</v>
      </c>
      <c r="J201" s="203">
        <f>IF(DG!$A$137&lt;=11,$M$17,0)</f>
        <v>0</v>
      </c>
      <c r="K201" s="65">
        <f t="shared" si="36"/>
        <v>0</v>
      </c>
      <c r="L201" s="473">
        <f t="shared" si="42"/>
        <v>0</v>
      </c>
      <c r="M201" s="204">
        <f t="shared" si="43"/>
        <v>0</v>
      </c>
      <c r="N201" s="505">
        <f t="shared" si="44"/>
        <v>0</v>
      </c>
      <c r="O201" s="204">
        <f>IF(DG!$A$137&gt;12,0,IF(J201-J200&gt;0,MROUND((L201/12*Q200),1),MROUND(L201/12*P200,1)))</f>
        <v>0</v>
      </c>
      <c r="P201" s="204">
        <f t="shared" si="45"/>
        <v>0</v>
      </c>
      <c r="Q201" s="204">
        <f t="shared" si="39"/>
        <v>0</v>
      </c>
      <c r="R201" s="476">
        <v>0</v>
      </c>
      <c r="S201" s="511">
        <f t="shared" si="37"/>
        <v>0</v>
      </c>
    </row>
    <row r="202" spans="1:19" ht="14" thickTop="1" thickBot="1">
      <c r="A202" s="202">
        <f t="shared" si="40"/>
        <v>50649</v>
      </c>
      <c r="B202" s="65">
        <f t="shared" si="33"/>
        <v>0</v>
      </c>
      <c r="C202" s="65">
        <f t="shared" si="46"/>
        <v>0</v>
      </c>
      <c r="D202" s="65">
        <f t="shared" si="34"/>
        <v>177</v>
      </c>
      <c r="E202" s="65">
        <f t="shared" si="41"/>
        <v>0</v>
      </c>
      <c r="F202" s="65">
        <f>IF(OR(L$73=0,DG!$A$258&gt;16),0,F201+1)</f>
        <v>0</v>
      </c>
      <c r="G202" s="65">
        <f t="shared" si="38"/>
        <v>0</v>
      </c>
      <c r="H202" s="65">
        <f t="shared" si="35"/>
        <v>0</v>
      </c>
      <c r="I202" s="65">
        <f t="shared" si="47"/>
        <v>0</v>
      </c>
      <c r="J202" s="203">
        <f>IF(DG!$A$137&lt;=11,$M$17,0)</f>
        <v>0</v>
      </c>
      <c r="K202" s="65">
        <f t="shared" si="36"/>
        <v>0</v>
      </c>
      <c r="L202" s="473">
        <f t="shared" si="42"/>
        <v>0</v>
      </c>
      <c r="M202" s="204">
        <f t="shared" si="43"/>
        <v>0</v>
      </c>
      <c r="N202" s="505">
        <f t="shared" si="44"/>
        <v>0</v>
      </c>
      <c r="O202" s="204">
        <f>IF(DG!$A$137&gt;12,0,IF(J202-J201&gt;0,MROUND((L202/12*Q201),1),MROUND(L202/12*P201,1)))</f>
        <v>0</v>
      </c>
      <c r="P202" s="204">
        <f t="shared" si="45"/>
        <v>0</v>
      </c>
      <c r="Q202" s="204">
        <f t="shared" si="39"/>
        <v>0</v>
      </c>
      <c r="R202" s="476">
        <v>0</v>
      </c>
      <c r="S202" s="511">
        <f t="shared" si="37"/>
        <v>0</v>
      </c>
    </row>
    <row r="203" spans="1:19" ht="14" thickTop="1" thickBot="1">
      <c r="A203" s="202">
        <f t="shared" si="40"/>
        <v>50679</v>
      </c>
      <c r="B203" s="65">
        <f t="shared" si="33"/>
        <v>0</v>
      </c>
      <c r="C203" s="65">
        <f t="shared" si="46"/>
        <v>0</v>
      </c>
      <c r="D203" s="65">
        <f t="shared" si="34"/>
        <v>178</v>
      </c>
      <c r="E203" s="65">
        <f t="shared" si="41"/>
        <v>0</v>
      </c>
      <c r="F203" s="65">
        <f>IF(OR(L$73=0,DG!$A$258&gt;16),0,F202+1)</f>
        <v>0</v>
      </c>
      <c r="G203" s="65">
        <f t="shared" si="38"/>
        <v>0</v>
      </c>
      <c r="H203" s="65">
        <f t="shared" si="35"/>
        <v>0</v>
      </c>
      <c r="I203" s="65">
        <f t="shared" si="47"/>
        <v>0</v>
      </c>
      <c r="J203" s="203">
        <f>IF(DG!$A$137&lt;=11,$M$17,0)</f>
        <v>0</v>
      </c>
      <c r="K203" s="65">
        <f t="shared" si="36"/>
        <v>0</v>
      </c>
      <c r="L203" s="473">
        <f t="shared" si="42"/>
        <v>0</v>
      </c>
      <c r="M203" s="204">
        <f t="shared" si="43"/>
        <v>0</v>
      </c>
      <c r="N203" s="505">
        <f t="shared" si="44"/>
        <v>0</v>
      </c>
      <c r="O203" s="204">
        <f>IF(DG!$A$137&gt;12,0,IF(J203-J202&gt;0,MROUND((L203/12*Q202),1),MROUND(L203/12*P202,1)))</f>
        <v>0</v>
      </c>
      <c r="P203" s="204">
        <f t="shared" si="45"/>
        <v>0</v>
      </c>
      <c r="Q203" s="204">
        <f t="shared" si="39"/>
        <v>0</v>
      </c>
      <c r="R203" s="476">
        <v>0</v>
      </c>
      <c r="S203" s="511">
        <f t="shared" si="37"/>
        <v>0</v>
      </c>
    </row>
    <row r="204" spans="1:19" ht="14" thickTop="1" thickBot="1">
      <c r="A204" s="202">
        <f t="shared" si="40"/>
        <v>50710</v>
      </c>
      <c r="B204" s="65">
        <f t="shared" ref="B204:B265" si="48">IF(J$73=0,0,B203+1)</f>
        <v>0</v>
      </c>
      <c r="C204" s="65">
        <f t="shared" si="46"/>
        <v>0</v>
      </c>
      <c r="D204" s="65">
        <f t="shared" si="34"/>
        <v>179</v>
      </c>
      <c r="E204" s="65">
        <f t="shared" si="41"/>
        <v>0</v>
      </c>
      <c r="F204" s="65">
        <f>IF(OR(L$73=0,DG!$A$258&gt;16),0,F203+1)</f>
        <v>0</v>
      </c>
      <c r="G204" s="65">
        <f t="shared" si="38"/>
        <v>0</v>
      </c>
      <c r="H204" s="65">
        <f t="shared" si="35"/>
        <v>0</v>
      </c>
      <c r="I204" s="65">
        <f t="shared" si="47"/>
        <v>0</v>
      </c>
      <c r="J204" s="203">
        <f>IF(DG!$A$137&lt;=11,$M$17,0)</f>
        <v>0</v>
      </c>
      <c r="K204" s="65">
        <f t="shared" si="36"/>
        <v>0</v>
      </c>
      <c r="L204" s="473">
        <f t="shared" si="42"/>
        <v>0</v>
      </c>
      <c r="M204" s="204">
        <f t="shared" si="43"/>
        <v>0</v>
      </c>
      <c r="N204" s="505">
        <f t="shared" si="44"/>
        <v>0</v>
      </c>
      <c r="O204" s="204">
        <f>IF(DG!$A$137&gt;12,0,IF(J204-J203&gt;0,MROUND((L204/12*Q203),1),MROUND(L204/12*P203,1)))</f>
        <v>0</v>
      </c>
      <c r="P204" s="204">
        <f t="shared" si="45"/>
        <v>0</v>
      </c>
      <c r="Q204" s="204">
        <f t="shared" si="39"/>
        <v>0</v>
      </c>
      <c r="R204" s="476">
        <v>0</v>
      </c>
      <c r="S204" s="511">
        <f t="shared" si="37"/>
        <v>0</v>
      </c>
    </row>
    <row r="205" spans="1:19" ht="14" thickTop="1" thickBot="1">
      <c r="A205" s="202">
        <f t="shared" si="40"/>
        <v>50740</v>
      </c>
      <c r="B205" s="65">
        <f t="shared" si="48"/>
        <v>0</v>
      </c>
      <c r="C205" s="65">
        <f t="shared" si="46"/>
        <v>0</v>
      </c>
      <c r="D205" s="65">
        <f t="shared" si="34"/>
        <v>180</v>
      </c>
      <c r="E205" s="65">
        <f t="shared" si="41"/>
        <v>0</v>
      </c>
      <c r="F205" s="65">
        <f>IF(OR(L$73=0,DG!$A$258&gt;16),0,F204+1)</f>
        <v>0</v>
      </c>
      <c r="G205" s="65">
        <f t="shared" si="38"/>
        <v>0</v>
      </c>
      <c r="H205" s="65">
        <f t="shared" si="35"/>
        <v>0</v>
      </c>
      <c r="I205" s="65">
        <f t="shared" si="47"/>
        <v>0</v>
      </c>
      <c r="J205" s="203">
        <f>IF(DG!$A$137&lt;=11,$M$17,0)</f>
        <v>0</v>
      </c>
      <c r="K205" s="65">
        <f t="shared" si="36"/>
        <v>0</v>
      </c>
      <c r="L205" s="473">
        <f t="shared" si="42"/>
        <v>0</v>
      </c>
      <c r="M205" s="204">
        <f t="shared" si="43"/>
        <v>0</v>
      </c>
      <c r="N205" s="505">
        <f t="shared" si="44"/>
        <v>0</v>
      </c>
      <c r="O205" s="204">
        <f>IF(DG!$A$137&gt;12,0,IF(J205-J204&gt;0,MROUND((L205/12*Q204),1),MROUND(L205/12*P204,1)))</f>
        <v>0</v>
      </c>
      <c r="P205" s="204">
        <f t="shared" si="45"/>
        <v>0</v>
      </c>
      <c r="Q205" s="204">
        <f t="shared" si="39"/>
        <v>0</v>
      </c>
      <c r="R205" s="476">
        <v>0</v>
      </c>
      <c r="S205" s="511">
        <f t="shared" si="37"/>
        <v>0</v>
      </c>
    </row>
    <row r="206" spans="1:19" ht="14" thickTop="1" thickBot="1">
      <c r="A206" s="202">
        <f t="shared" si="40"/>
        <v>50771</v>
      </c>
      <c r="B206" s="65">
        <f t="shared" si="48"/>
        <v>0</v>
      </c>
      <c r="C206" s="65">
        <f t="shared" si="46"/>
        <v>0</v>
      </c>
      <c r="D206" s="65">
        <f t="shared" si="34"/>
        <v>181</v>
      </c>
      <c r="E206" s="65">
        <f t="shared" si="41"/>
        <v>0</v>
      </c>
      <c r="F206" s="65">
        <f>IF(OR(L$73=0,DG!$A$258&gt;16),0,F205+1)</f>
        <v>0</v>
      </c>
      <c r="G206" s="65">
        <f t="shared" si="38"/>
        <v>0</v>
      </c>
      <c r="H206" s="65">
        <f t="shared" si="35"/>
        <v>0</v>
      </c>
      <c r="I206" s="65">
        <f t="shared" si="47"/>
        <v>0</v>
      </c>
      <c r="J206" s="203">
        <f>IF(DG!$A$137&lt;=11,$M$17,0)</f>
        <v>0</v>
      </c>
      <c r="K206" s="65">
        <f t="shared" si="36"/>
        <v>0</v>
      </c>
      <c r="L206" s="473">
        <f t="shared" si="42"/>
        <v>0</v>
      </c>
      <c r="M206" s="204">
        <f t="shared" si="43"/>
        <v>0</v>
      </c>
      <c r="N206" s="505">
        <f t="shared" si="44"/>
        <v>0</v>
      </c>
      <c r="O206" s="204">
        <f>IF(DG!$A$137&gt;12,0,IF(J206-J205&gt;0,MROUND((L206/12*Q205),1),MROUND(L206/12*P205,1)))</f>
        <v>0</v>
      </c>
      <c r="P206" s="204">
        <f t="shared" si="45"/>
        <v>0</v>
      </c>
      <c r="Q206" s="204">
        <f t="shared" si="39"/>
        <v>0</v>
      </c>
      <c r="R206" s="476">
        <v>0</v>
      </c>
      <c r="S206" s="511">
        <f t="shared" si="37"/>
        <v>0</v>
      </c>
    </row>
    <row r="207" spans="1:19" ht="14" thickTop="1" thickBot="1">
      <c r="A207" s="202">
        <f t="shared" si="40"/>
        <v>50802</v>
      </c>
      <c r="B207" s="65">
        <f t="shared" si="48"/>
        <v>0</v>
      </c>
      <c r="C207" s="65">
        <f t="shared" si="46"/>
        <v>0</v>
      </c>
      <c r="D207" s="65">
        <f t="shared" si="34"/>
        <v>182</v>
      </c>
      <c r="E207" s="65">
        <f t="shared" si="41"/>
        <v>0</v>
      </c>
      <c r="F207" s="65">
        <f>IF(OR(L$73=0,DG!$A$258&gt;16),0,F206+1)</f>
        <v>0</v>
      </c>
      <c r="G207" s="65">
        <f t="shared" si="38"/>
        <v>0</v>
      </c>
      <c r="H207" s="65">
        <f t="shared" si="35"/>
        <v>0</v>
      </c>
      <c r="I207" s="65">
        <f t="shared" si="47"/>
        <v>0</v>
      </c>
      <c r="J207" s="203">
        <f>IF(DG!$A$137&lt;=11,$M$17,0)</f>
        <v>0</v>
      </c>
      <c r="K207" s="65">
        <f t="shared" si="36"/>
        <v>0</v>
      </c>
      <c r="L207" s="473">
        <f t="shared" si="42"/>
        <v>0</v>
      </c>
      <c r="M207" s="204">
        <f t="shared" si="43"/>
        <v>0</v>
      </c>
      <c r="N207" s="505">
        <f t="shared" si="44"/>
        <v>0</v>
      </c>
      <c r="O207" s="204">
        <f>IF(DG!$A$137&gt;12,0,IF(J207-J206&gt;0,MROUND((L207/12*Q206),1),MROUND(L207/12*P206,1)))</f>
        <v>0</v>
      </c>
      <c r="P207" s="204">
        <f t="shared" si="45"/>
        <v>0</v>
      </c>
      <c r="Q207" s="204">
        <f t="shared" si="39"/>
        <v>0</v>
      </c>
      <c r="R207" s="476">
        <v>0</v>
      </c>
      <c r="S207" s="511">
        <f t="shared" si="37"/>
        <v>0</v>
      </c>
    </row>
    <row r="208" spans="1:19" ht="14" thickTop="1" thickBot="1">
      <c r="A208" s="202">
        <f t="shared" si="40"/>
        <v>50830</v>
      </c>
      <c r="B208" s="65">
        <f t="shared" si="48"/>
        <v>0</v>
      </c>
      <c r="C208" s="65">
        <f t="shared" si="46"/>
        <v>0</v>
      </c>
      <c r="D208" s="65">
        <f t="shared" si="34"/>
        <v>183</v>
      </c>
      <c r="E208" s="65">
        <f t="shared" si="41"/>
        <v>0</v>
      </c>
      <c r="F208" s="65">
        <f>IF(OR(L$73=0,DG!$A$258&gt;16),0,F207+1)</f>
        <v>0</v>
      </c>
      <c r="G208" s="65">
        <f t="shared" si="38"/>
        <v>0</v>
      </c>
      <c r="H208" s="65">
        <f t="shared" si="35"/>
        <v>0</v>
      </c>
      <c r="I208" s="65">
        <f t="shared" si="47"/>
        <v>0</v>
      </c>
      <c r="J208" s="203">
        <f>IF(DG!$A$137&lt;=11,$M$17,0)</f>
        <v>0</v>
      </c>
      <c r="K208" s="65">
        <f t="shared" si="36"/>
        <v>0</v>
      </c>
      <c r="L208" s="473">
        <f t="shared" si="42"/>
        <v>0</v>
      </c>
      <c r="M208" s="204">
        <f t="shared" si="43"/>
        <v>0</v>
      </c>
      <c r="N208" s="505">
        <f t="shared" si="44"/>
        <v>0</v>
      </c>
      <c r="O208" s="204">
        <f>IF(DG!$A$137&gt;12,0,IF(J208-J207&gt;0,MROUND((L208/12*Q207),1),MROUND(L208/12*P207,1)))</f>
        <v>0</v>
      </c>
      <c r="P208" s="204">
        <f t="shared" si="45"/>
        <v>0</v>
      </c>
      <c r="Q208" s="204">
        <f t="shared" si="39"/>
        <v>0</v>
      </c>
      <c r="R208" s="476">
        <v>0</v>
      </c>
      <c r="S208" s="511">
        <f t="shared" si="37"/>
        <v>0</v>
      </c>
    </row>
    <row r="209" spans="1:19" ht="14" thickTop="1" thickBot="1">
      <c r="A209" s="202">
        <f t="shared" si="40"/>
        <v>50861</v>
      </c>
      <c r="B209" s="65">
        <f t="shared" si="48"/>
        <v>0</v>
      </c>
      <c r="C209" s="65">
        <f t="shared" si="46"/>
        <v>0</v>
      </c>
      <c r="D209" s="65">
        <f t="shared" si="34"/>
        <v>184</v>
      </c>
      <c r="E209" s="65">
        <f t="shared" si="41"/>
        <v>0</v>
      </c>
      <c r="F209" s="65">
        <f>IF(OR(L$73=0,DG!$A$258&gt;16),0,F208+1)</f>
        <v>0</v>
      </c>
      <c r="G209" s="65">
        <f t="shared" si="38"/>
        <v>0</v>
      </c>
      <c r="H209" s="65">
        <f t="shared" si="35"/>
        <v>0</v>
      </c>
      <c r="I209" s="65">
        <f t="shared" si="47"/>
        <v>0</v>
      </c>
      <c r="J209" s="203">
        <f>IF(DG!$A$137&lt;=11,$M$17,0)</f>
        <v>0</v>
      </c>
      <c r="K209" s="65">
        <f t="shared" si="36"/>
        <v>0</v>
      </c>
      <c r="L209" s="473">
        <f t="shared" si="42"/>
        <v>0</v>
      </c>
      <c r="M209" s="204">
        <f t="shared" si="43"/>
        <v>0</v>
      </c>
      <c r="N209" s="505">
        <f t="shared" si="44"/>
        <v>0</v>
      </c>
      <c r="O209" s="204">
        <f>IF(DG!$A$137&gt;12,0,IF(J209-J208&gt;0,MROUND((L209/12*Q208),1),MROUND(L209/12*P208,1)))</f>
        <v>0</v>
      </c>
      <c r="P209" s="204">
        <f t="shared" si="45"/>
        <v>0</v>
      </c>
      <c r="Q209" s="204">
        <f t="shared" si="39"/>
        <v>0</v>
      </c>
      <c r="R209" s="476">
        <v>0</v>
      </c>
      <c r="S209" s="511">
        <f t="shared" si="37"/>
        <v>0</v>
      </c>
    </row>
    <row r="210" spans="1:19" ht="14" thickTop="1" thickBot="1">
      <c r="A210" s="202">
        <f t="shared" si="40"/>
        <v>50891</v>
      </c>
      <c r="B210" s="65">
        <f t="shared" si="48"/>
        <v>0</v>
      </c>
      <c r="C210" s="65">
        <f t="shared" si="46"/>
        <v>0</v>
      </c>
      <c r="D210" s="65">
        <f t="shared" si="34"/>
        <v>185</v>
      </c>
      <c r="E210" s="65">
        <f t="shared" si="41"/>
        <v>0</v>
      </c>
      <c r="F210" s="65">
        <f>IF(OR(L$73=0,DG!$A$258&gt;16),0,F209+1)</f>
        <v>0</v>
      </c>
      <c r="G210" s="65">
        <f t="shared" si="38"/>
        <v>0</v>
      </c>
      <c r="H210" s="65">
        <f t="shared" si="35"/>
        <v>0</v>
      </c>
      <c r="I210" s="65">
        <f t="shared" si="47"/>
        <v>0</v>
      </c>
      <c r="J210" s="203">
        <f>IF(DG!$A$137&lt;=11,$M$17,0)</f>
        <v>0</v>
      </c>
      <c r="K210" s="65">
        <f t="shared" si="36"/>
        <v>0</v>
      </c>
      <c r="L210" s="473">
        <f t="shared" si="42"/>
        <v>0</v>
      </c>
      <c r="M210" s="204">
        <f t="shared" si="43"/>
        <v>0</v>
      </c>
      <c r="N210" s="505">
        <f t="shared" si="44"/>
        <v>0</v>
      </c>
      <c r="O210" s="204">
        <f>IF(DG!$A$137&gt;12,0,IF(J210-J209&gt;0,MROUND((L210/12*Q209),1),MROUND(L210/12*P209,1)))</f>
        <v>0</v>
      </c>
      <c r="P210" s="204">
        <f t="shared" si="45"/>
        <v>0</v>
      </c>
      <c r="Q210" s="204">
        <f t="shared" si="39"/>
        <v>0</v>
      </c>
      <c r="R210" s="476">
        <v>0</v>
      </c>
      <c r="S210" s="511">
        <f t="shared" si="37"/>
        <v>0</v>
      </c>
    </row>
    <row r="211" spans="1:19" ht="14" thickTop="1" thickBot="1">
      <c r="A211" s="202">
        <f t="shared" si="40"/>
        <v>50922</v>
      </c>
      <c r="B211" s="65">
        <f t="shared" si="48"/>
        <v>0</v>
      </c>
      <c r="C211" s="65">
        <f t="shared" si="46"/>
        <v>0</v>
      </c>
      <c r="D211" s="65">
        <f t="shared" si="34"/>
        <v>186</v>
      </c>
      <c r="E211" s="65">
        <f t="shared" si="41"/>
        <v>0</v>
      </c>
      <c r="F211" s="65">
        <f>IF(OR(L$73=0,DG!$A$258&gt;16),0,F210+1)</f>
        <v>0</v>
      </c>
      <c r="G211" s="65">
        <f t="shared" si="38"/>
        <v>0</v>
      </c>
      <c r="H211" s="65">
        <f t="shared" si="35"/>
        <v>0</v>
      </c>
      <c r="I211" s="65">
        <f t="shared" si="47"/>
        <v>0</v>
      </c>
      <c r="J211" s="203">
        <f>IF(DG!$A$137&lt;=11,$M$17,0)</f>
        <v>0</v>
      </c>
      <c r="K211" s="65">
        <f t="shared" si="36"/>
        <v>0</v>
      </c>
      <c r="L211" s="473">
        <f t="shared" si="42"/>
        <v>0</v>
      </c>
      <c r="M211" s="204">
        <f t="shared" si="43"/>
        <v>0</v>
      </c>
      <c r="N211" s="505">
        <f t="shared" si="44"/>
        <v>0</v>
      </c>
      <c r="O211" s="204">
        <f>IF(DG!$A$137&gt;12,0,IF(J211-J210&gt;0,MROUND((L211/12*Q210),1),MROUND(L211/12*P210,1)))</f>
        <v>0</v>
      </c>
      <c r="P211" s="204">
        <f t="shared" si="45"/>
        <v>0</v>
      </c>
      <c r="Q211" s="204">
        <f t="shared" si="39"/>
        <v>0</v>
      </c>
      <c r="R211" s="476">
        <v>0</v>
      </c>
      <c r="S211" s="511">
        <f t="shared" si="37"/>
        <v>0</v>
      </c>
    </row>
    <row r="212" spans="1:19" ht="14" thickTop="1" thickBot="1">
      <c r="A212" s="202">
        <f t="shared" si="40"/>
        <v>50952</v>
      </c>
      <c r="B212" s="65">
        <f t="shared" si="48"/>
        <v>0</v>
      </c>
      <c r="C212" s="65">
        <f t="shared" si="46"/>
        <v>0</v>
      </c>
      <c r="D212" s="65">
        <f t="shared" si="34"/>
        <v>187</v>
      </c>
      <c r="E212" s="65">
        <f t="shared" si="41"/>
        <v>0</v>
      </c>
      <c r="F212" s="65">
        <f>IF(OR(L$73=0,DG!$A$258&gt;16),0,F211+1)</f>
        <v>0</v>
      </c>
      <c r="G212" s="65">
        <f t="shared" si="38"/>
        <v>0</v>
      </c>
      <c r="H212" s="65">
        <f t="shared" si="35"/>
        <v>0</v>
      </c>
      <c r="I212" s="65">
        <f t="shared" si="47"/>
        <v>0</v>
      </c>
      <c r="J212" s="203">
        <f>IF(DG!$A$137&lt;=11,$M$17,0)</f>
        <v>0</v>
      </c>
      <c r="K212" s="65">
        <f t="shared" si="36"/>
        <v>0</v>
      </c>
      <c r="L212" s="473">
        <f t="shared" si="42"/>
        <v>0</v>
      </c>
      <c r="M212" s="204">
        <f t="shared" si="43"/>
        <v>0</v>
      </c>
      <c r="N212" s="505">
        <f t="shared" si="44"/>
        <v>0</v>
      </c>
      <c r="O212" s="204">
        <f>IF(DG!$A$137&gt;12,0,IF(J212-J211&gt;0,MROUND((L212/12*Q211),1),MROUND(L212/12*P211,1)))</f>
        <v>0</v>
      </c>
      <c r="P212" s="204">
        <f t="shared" si="45"/>
        <v>0</v>
      </c>
      <c r="Q212" s="204">
        <f t="shared" si="39"/>
        <v>0</v>
      </c>
      <c r="R212" s="476">
        <v>0</v>
      </c>
      <c r="S212" s="511">
        <f t="shared" si="37"/>
        <v>0</v>
      </c>
    </row>
    <row r="213" spans="1:19" ht="14" thickTop="1" thickBot="1">
      <c r="A213" s="202">
        <f t="shared" si="40"/>
        <v>50983</v>
      </c>
      <c r="B213" s="65">
        <f t="shared" si="48"/>
        <v>0</v>
      </c>
      <c r="C213" s="65">
        <f t="shared" si="46"/>
        <v>0</v>
      </c>
      <c r="D213" s="65">
        <f t="shared" si="34"/>
        <v>188</v>
      </c>
      <c r="E213" s="65">
        <f t="shared" si="41"/>
        <v>0</v>
      </c>
      <c r="F213" s="65">
        <f>IF(OR(L$73=0,DG!$A$258&gt;16),0,F212+1)</f>
        <v>0</v>
      </c>
      <c r="G213" s="65">
        <f t="shared" si="38"/>
        <v>0</v>
      </c>
      <c r="H213" s="65">
        <f t="shared" si="35"/>
        <v>0</v>
      </c>
      <c r="I213" s="65">
        <f t="shared" si="47"/>
        <v>0</v>
      </c>
      <c r="J213" s="203">
        <f>IF(DG!$A$137&lt;=11,$M$17,0)</f>
        <v>0</v>
      </c>
      <c r="K213" s="65">
        <f t="shared" si="36"/>
        <v>0</v>
      </c>
      <c r="L213" s="473">
        <f t="shared" si="42"/>
        <v>0</v>
      </c>
      <c r="M213" s="204">
        <f t="shared" si="43"/>
        <v>0</v>
      </c>
      <c r="N213" s="505">
        <f t="shared" si="44"/>
        <v>0</v>
      </c>
      <c r="O213" s="204">
        <f>IF(DG!$A$137&gt;12,0,IF(J213-J212&gt;0,MROUND((L213/12*Q212),1),MROUND(L213/12*P212,1)))</f>
        <v>0</v>
      </c>
      <c r="P213" s="204">
        <f t="shared" si="45"/>
        <v>0</v>
      </c>
      <c r="Q213" s="204">
        <f t="shared" si="39"/>
        <v>0</v>
      </c>
      <c r="R213" s="476">
        <v>0</v>
      </c>
      <c r="S213" s="511">
        <f t="shared" si="37"/>
        <v>0</v>
      </c>
    </row>
    <row r="214" spans="1:19" ht="14" thickTop="1" thickBot="1">
      <c r="A214" s="202">
        <f t="shared" si="40"/>
        <v>51014</v>
      </c>
      <c r="B214" s="65">
        <f t="shared" si="48"/>
        <v>0</v>
      </c>
      <c r="C214" s="65">
        <f t="shared" si="46"/>
        <v>0</v>
      </c>
      <c r="D214" s="65">
        <f t="shared" si="34"/>
        <v>189</v>
      </c>
      <c r="E214" s="65">
        <f t="shared" si="41"/>
        <v>0</v>
      </c>
      <c r="F214" s="65">
        <f>IF(OR(L$73=0,DG!$A$258&gt;16),0,F213+1)</f>
        <v>0</v>
      </c>
      <c r="G214" s="65">
        <f t="shared" si="38"/>
        <v>0</v>
      </c>
      <c r="H214" s="65">
        <f t="shared" si="35"/>
        <v>0</v>
      </c>
      <c r="I214" s="65">
        <f t="shared" si="47"/>
        <v>0</v>
      </c>
      <c r="J214" s="203">
        <f>IF(DG!$A$137&lt;=11,$M$17,0)</f>
        <v>0</v>
      </c>
      <c r="K214" s="65">
        <f t="shared" si="36"/>
        <v>0</v>
      </c>
      <c r="L214" s="473">
        <f t="shared" si="42"/>
        <v>0</v>
      </c>
      <c r="M214" s="204">
        <f t="shared" si="43"/>
        <v>0</v>
      </c>
      <c r="N214" s="505">
        <f t="shared" si="44"/>
        <v>0</v>
      </c>
      <c r="O214" s="204">
        <f>IF(DG!$A$137&gt;12,0,IF(J214-J213&gt;0,MROUND((L214/12*Q213),1),MROUND(L214/12*P213,1)))</f>
        <v>0</v>
      </c>
      <c r="P214" s="204">
        <f t="shared" si="45"/>
        <v>0</v>
      </c>
      <c r="Q214" s="204">
        <f t="shared" si="39"/>
        <v>0</v>
      </c>
      <c r="R214" s="476">
        <v>0</v>
      </c>
      <c r="S214" s="511">
        <f t="shared" si="37"/>
        <v>0</v>
      </c>
    </row>
    <row r="215" spans="1:19" ht="14" thickTop="1" thickBot="1">
      <c r="A215" s="202">
        <f t="shared" si="40"/>
        <v>51044</v>
      </c>
      <c r="B215" s="65">
        <f t="shared" si="48"/>
        <v>0</v>
      </c>
      <c r="C215" s="65">
        <f t="shared" si="46"/>
        <v>0</v>
      </c>
      <c r="D215" s="65">
        <f t="shared" si="34"/>
        <v>190</v>
      </c>
      <c r="E215" s="65">
        <f t="shared" si="41"/>
        <v>0</v>
      </c>
      <c r="F215" s="65">
        <f>IF(OR(L$73=0,DG!$A$258&gt;16),0,F214+1)</f>
        <v>0</v>
      </c>
      <c r="G215" s="65">
        <f t="shared" si="38"/>
        <v>0</v>
      </c>
      <c r="H215" s="65">
        <f t="shared" si="35"/>
        <v>0</v>
      </c>
      <c r="I215" s="65">
        <f t="shared" si="47"/>
        <v>0</v>
      </c>
      <c r="J215" s="203">
        <f>IF(DG!$A$137&lt;=11,$M$17,0)</f>
        <v>0</v>
      </c>
      <c r="K215" s="65">
        <f t="shared" si="36"/>
        <v>0</v>
      </c>
      <c r="L215" s="473">
        <f t="shared" si="42"/>
        <v>0</v>
      </c>
      <c r="M215" s="204">
        <f t="shared" si="43"/>
        <v>0</v>
      </c>
      <c r="N215" s="505">
        <f t="shared" si="44"/>
        <v>0</v>
      </c>
      <c r="O215" s="204">
        <f>IF(DG!$A$137&gt;12,0,IF(J215-J214&gt;0,MROUND((L215/12*Q214),1),MROUND(L215/12*P214,1)))</f>
        <v>0</v>
      </c>
      <c r="P215" s="204">
        <f t="shared" si="45"/>
        <v>0</v>
      </c>
      <c r="Q215" s="204">
        <f t="shared" si="39"/>
        <v>0</v>
      </c>
      <c r="R215" s="476">
        <v>0</v>
      </c>
      <c r="S215" s="511">
        <f t="shared" si="37"/>
        <v>0</v>
      </c>
    </row>
    <row r="216" spans="1:19" ht="14" thickTop="1" thickBot="1">
      <c r="A216" s="202">
        <f t="shared" si="40"/>
        <v>51075</v>
      </c>
      <c r="B216" s="65">
        <f t="shared" si="48"/>
        <v>0</v>
      </c>
      <c r="C216" s="65">
        <f t="shared" si="46"/>
        <v>0</v>
      </c>
      <c r="D216" s="65">
        <f t="shared" ref="D216:D265" si="49">D215+1</f>
        <v>191</v>
      </c>
      <c r="E216" s="65">
        <f t="shared" si="41"/>
        <v>0</v>
      </c>
      <c r="F216" s="65">
        <f>IF(OR(L$73=0,DG!$A$258&gt;16),0,F215+1)</f>
        <v>0</v>
      </c>
      <c r="G216" s="65">
        <f t="shared" si="38"/>
        <v>0</v>
      </c>
      <c r="H216" s="65">
        <f t="shared" ref="H216:H265" si="50">IF(I216&gt;=0,0,H215+1)</f>
        <v>0</v>
      </c>
      <c r="I216" s="65">
        <f t="shared" si="47"/>
        <v>0</v>
      </c>
      <c r="J216" s="203">
        <f>IF(DG!$A$137&lt;=11,$M$17,0)</f>
        <v>0</v>
      </c>
      <c r="K216" s="65">
        <f t="shared" ref="K216:K265" si="51">K215</f>
        <v>0</v>
      </c>
      <c r="L216" s="473">
        <f t="shared" si="42"/>
        <v>0</v>
      </c>
      <c r="M216" s="204">
        <f t="shared" si="43"/>
        <v>0</v>
      </c>
      <c r="N216" s="505">
        <f t="shared" si="44"/>
        <v>0</v>
      </c>
      <c r="O216" s="204">
        <f>IF(DG!$A$137&gt;12,0,IF(J216-J215&gt;0,MROUND((L216/12*Q215),1),MROUND(L216/12*P215,1)))</f>
        <v>0</v>
      </c>
      <c r="P216" s="204">
        <f t="shared" si="45"/>
        <v>0</v>
      </c>
      <c r="Q216" s="204">
        <f t="shared" si="39"/>
        <v>0</v>
      </c>
      <c r="R216" s="476">
        <v>0</v>
      </c>
      <c r="S216" s="511">
        <f t="shared" ref="S216:S265" si="52">SUM(N205:N216)</f>
        <v>0</v>
      </c>
    </row>
    <row r="217" spans="1:19" ht="14" thickTop="1" thickBot="1">
      <c r="A217" s="202">
        <f t="shared" si="40"/>
        <v>51105</v>
      </c>
      <c r="B217" s="65">
        <f t="shared" si="48"/>
        <v>0</v>
      </c>
      <c r="C217" s="65">
        <f t="shared" si="46"/>
        <v>0</v>
      </c>
      <c r="D217" s="65">
        <f t="shared" si="49"/>
        <v>192</v>
      </c>
      <c r="E217" s="65">
        <f t="shared" si="41"/>
        <v>0</v>
      </c>
      <c r="F217" s="65">
        <f>IF(OR(L$73=0,DG!$A$258&gt;16),0,F216+1)</f>
        <v>0</v>
      </c>
      <c r="G217" s="65">
        <f t="shared" si="38"/>
        <v>0</v>
      </c>
      <c r="H217" s="65">
        <f t="shared" si="50"/>
        <v>0</v>
      </c>
      <c r="I217" s="65">
        <f t="shared" si="47"/>
        <v>0</v>
      </c>
      <c r="J217" s="203">
        <f>IF(DG!$A$137&lt;=11,$M$17,0)</f>
        <v>0</v>
      </c>
      <c r="K217" s="65">
        <f t="shared" si="51"/>
        <v>0</v>
      </c>
      <c r="L217" s="473">
        <f t="shared" si="42"/>
        <v>0</v>
      </c>
      <c r="M217" s="204">
        <f t="shared" si="43"/>
        <v>0</v>
      </c>
      <c r="N217" s="505">
        <f t="shared" si="44"/>
        <v>0</v>
      </c>
      <c r="O217" s="204">
        <f>IF(DG!$A$137&gt;12,0,IF(J217-J216&gt;0,MROUND((L217/12*Q216),1),MROUND(L217/12*P216,1)))</f>
        <v>0</v>
      </c>
      <c r="P217" s="204">
        <f t="shared" si="45"/>
        <v>0</v>
      </c>
      <c r="Q217" s="204">
        <f t="shared" si="39"/>
        <v>0</v>
      </c>
      <c r="R217" s="476">
        <v>0</v>
      </c>
      <c r="S217" s="511">
        <f t="shared" si="52"/>
        <v>0</v>
      </c>
    </row>
    <row r="218" spans="1:19" ht="14" thickTop="1" thickBot="1">
      <c r="A218" s="202">
        <f t="shared" si="40"/>
        <v>51136</v>
      </c>
      <c r="B218" s="65">
        <f t="shared" si="48"/>
        <v>0</v>
      </c>
      <c r="C218" s="65">
        <f t="shared" si="46"/>
        <v>0</v>
      </c>
      <c r="D218" s="65">
        <f t="shared" si="49"/>
        <v>193</v>
      </c>
      <c r="E218" s="65">
        <f t="shared" si="41"/>
        <v>0</v>
      </c>
      <c r="F218" s="65">
        <f>IF(OR(L$73=0,DG!$A$258&gt;16),0,F217+1)</f>
        <v>0</v>
      </c>
      <c r="G218" s="65">
        <f t="shared" ref="G218:G265" si="53">IF(E218=0,0,IF(D218-E218-F218&gt;=0,1,0))</f>
        <v>0</v>
      </c>
      <c r="H218" s="65">
        <f t="shared" si="50"/>
        <v>0</v>
      </c>
      <c r="I218" s="65">
        <f t="shared" si="47"/>
        <v>0</v>
      </c>
      <c r="J218" s="203">
        <f>IF(DG!$A$137&lt;=11,$M$17,0)</f>
        <v>0</v>
      </c>
      <c r="K218" s="65">
        <f t="shared" si="51"/>
        <v>0</v>
      </c>
      <c r="L218" s="473">
        <f t="shared" si="42"/>
        <v>0</v>
      </c>
      <c r="M218" s="204">
        <f t="shared" si="43"/>
        <v>0</v>
      </c>
      <c r="N218" s="505">
        <f t="shared" si="44"/>
        <v>0</v>
      </c>
      <c r="O218" s="204">
        <f>IF(DG!$A$137&gt;12,0,IF(J218-J217&gt;0,MROUND((L218/12*Q217),1),MROUND(L218/12*P217,1)))</f>
        <v>0</v>
      </c>
      <c r="P218" s="204">
        <f t="shared" si="45"/>
        <v>0</v>
      </c>
      <c r="Q218" s="204">
        <f t="shared" ref="Q218:Q265" si="54">IF(AND(P218=0,P219&gt;0),J219,P218)</f>
        <v>0</v>
      </c>
      <c r="R218" s="476">
        <v>0</v>
      </c>
      <c r="S218" s="511">
        <f t="shared" si="52"/>
        <v>0</v>
      </c>
    </row>
    <row r="219" spans="1:19" ht="14" thickTop="1" thickBot="1">
      <c r="A219" s="202">
        <f t="shared" ref="A219:A265" si="55">EDATE(A218,1)</f>
        <v>51167</v>
      </c>
      <c r="B219" s="65">
        <f t="shared" si="48"/>
        <v>0</v>
      </c>
      <c r="C219" s="65">
        <f t="shared" si="46"/>
        <v>0</v>
      </c>
      <c r="D219" s="65">
        <f t="shared" si="49"/>
        <v>194</v>
      </c>
      <c r="E219" s="65">
        <f t="shared" ref="E219:E265" si="56">B219</f>
        <v>0</v>
      </c>
      <c r="F219" s="65">
        <f>IF(OR(L$73=0,DG!$A$258&gt;16),0,F218+1)</f>
        <v>0</v>
      </c>
      <c r="G219" s="65">
        <f t="shared" si="53"/>
        <v>0</v>
      </c>
      <c r="H219" s="65">
        <f t="shared" si="50"/>
        <v>0</v>
      </c>
      <c r="I219" s="65">
        <f t="shared" si="47"/>
        <v>0</v>
      </c>
      <c r="J219" s="203">
        <f>IF(DG!$A$137&lt;=11,$M$17,0)</f>
        <v>0</v>
      </c>
      <c r="K219" s="65">
        <f t="shared" si="51"/>
        <v>0</v>
      </c>
      <c r="L219" s="473">
        <f t="shared" ref="L219:L265" si="57">IF($M$17&gt;0,$M$19+0.0000001,0)</f>
        <v>0</v>
      </c>
      <c r="M219" s="204">
        <f t="shared" ref="M219:M265" si="58">IF(H219=0,0,IF($R$13=1,N219+O219,IF(N219=0,O219,-PMT(L219/12,K219-$G$269,J219))))</f>
        <v>0</v>
      </c>
      <c r="N219" s="505">
        <f t="shared" ref="N219:N267" si="59">IF(OR(H219-K219&gt;0,I219&gt;=0),0,MROUND(-PPMT(L219/12,H219,K219-G462,J219),1)+R219)</f>
        <v>0</v>
      </c>
      <c r="O219" s="204">
        <f>IF(DG!$A$137&gt;12,0,IF(J219-J218&gt;0,MROUND((L219/12*Q218),1),MROUND(L219/12*P218,1)))</f>
        <v>0</v>
      </c>
      <c r="P219" s="204">
        <f t="shared" ref="P219:P265" si="60">IF(OR(G219+H219=0,J219-N219&lt;1),0,IF(P218&gt;1,P218-N219,J220-N219))</f>
        <v>0</v>
      </c>
      <c r="Q219" s="204">
        <f t="shared" si="54"/>
        <v>0</v>
      </c>
      <c r="R219" s="476">
        <v>0</v>
      </c>
      <c r="S219" s="511">
        <f t="shared" si="52"/>
        <v>0</v>
      </c>
    </row>
    <row r="220" spans="1:19" ht="14" thickTop="1" thickBot="1">
      <c r="A220" s="202">
        <f t="shared" si="55"/>
        <v>51196</v>
      </c>
      <c r="B220" s="65">
        <f t="shared" si="48"/>
        <v>0</v>
      </c>
      <c r="C220" s="65">
        <f t="shared" si="46"/>
        <v>0</v>
      </c>
      <c r="D220" s="65">
        <f t="shared" si="49"/>
        <v>195</v>
      </c>
      <c r="E220" s="65">
        <f t="shared" si="56"/>
        <v>0</v>
      </c>
      <c r="F220" s="65">
        <f>IF(OR(L$73=0,DG!$A$258&gt;16),0,F219+1)</f>
        <v>0</v>
      </c>
      <c r="G220" s="65">
        <f t="shared" si="53"/>
        <v>0</v>
      </c>
      <c r="H220" s="65">
        <f t="shared" si="50"/>
        <v>0</v>
      </c>
      <c r="I220" s="65">
        <f t="shared" si="47"/>
        <v>0</v>
      </c>
      <c r="J220" s="203">
        <f>IF(DG!$A$137&lt;=11,$M$17,0)</f>
        <v>0</v>
      </c>
      <c r="K220" s="65">
        <f t="shared" si="51"/>
        <v>0</v>
      </c>
      <c r="L220" s="473">
        <f t="shared" si="57"/>
        <v>0</v>
      </c>
      <c r="M220" s="204">
        <f t="shared" si="58"/>
        <v>0</v>
      </c>
      <c r="N220" s="505">
        <f t="shared" si="59"/>
        <v>0</v>
      </c>
      <c r="O220" s="204">
        <f>IF(DG!$A$137&gt;12,0,IF(J220-J219&gt;0,MROUND((L220/12*Q219),1),MROUND(L220/12*P219,1)))</f>
        <v>0</v>
      </c>
      <c r="P220" s="204">
        <f t="shared" si="60"/>
        <v>0</v>
      </c>
      <c r="Q220" s="204">
        <f t="shared" si="54"/>
        <v>0</v>
      </c>
      <c r="R220" s="476">
        <v>0</v>
      </c>
      <c r="S220" s="511">
        <f t="shared" si="52"/>
        <v>0</v>
      </c>
    </row>
    <row r="221" spans="1:19" ht="14" thickTop="1" thickBot="1">
      <c r="A221" s="202">
        <f t="shared" si="55"/>
        <v>51227</v>
      </c>
      <c r="B221" s="65">
        <f t="shared" si="48"/>
        <v>0</v>
      </c>
      <c r="C221" s="65">
        <f t="shared" si="46"/>
        <v>0</v>
      </c>
      <c r="D221" s="65">
        <f t="shared" si="49"/>
        <v>196</v>
      </c>
      <c r="E221" s="65">
        <f t="shared" si="56"/>
        <v>0</v>
      </c>
      <c r="F221" s="65">
        <f>IF(OR(L$73=0,DG!$A$258&gt;16),0,F220+1)</f>
        <v>0</v>
      </c>
      <c r="G221" s="65">
        <f t="shared" si="53"/>
        <v>0</v>
      </c>
      <c r="H221" s="65">
        <f t="shared" si="50"/>
        <v>0</v>
      </c>
      <c r="I221" s="65">
        <f t="shared" si="47"/>
        <v>0</v>
      </c>
      <c r="J221" s="203">
        <f>IF(DG!$A$137&lt;=11,$M$17,0)</f>
        <v>0</v>
      </c>
      <c r="K221" s="65">
        <f t="shared" si="51"/>
        <v>0</v>
      </c>
      <c r="L221" s="473">
        <f t="shared" si="57"/>
        <v>0</v>
      </c>
      <c r="M221" s="204">
        <f t="shared" si="58"/>
        <v>0</v>
      </c>
      <c r="N221" s="505">
        <f t="shared" si="59"/>
        <v>0</v>
      </c>
      <c r="O221" s="204">
        <f>IF(DG!$A$137&gt;12,0,IF(J221-J220&gt;0,MROUND((L221/12*Q220),1),MROUND(L221/12*P220,1)))</f>
        <v>0</v>
      </c>
      <c r="P221" s="204">
        <f t="shared" si="60"/>
        <v>0</v>
      </c>
      <c r="Q221" s="204">
        <f t="shared" si="54"/>
        <v>0</v>
      </c>
      <c r="R221" s="476">
        <v>0</v>
      </c>
      <c r="S221" s="511">
        <f t="shared" si="52"/>
        <v>0</v>
      </c>
    </row>
    <row r="222" spans="1:19" ht="14" thickTop="1" thickBot="1">
      <c r="A222" s="202">
        <f t="shared" si="55"/>
        <v>51257</v>
      </c>
      <c r="B222" s="65">
        <f t="shared" si="48"/>
        <v>0</v>
      </c>
      <c r="C222" s="65">
        <f t="shared" si="46"/>
        <v>0</v>
      </c>
      <c r="D222" s="65">
        <f t="shared" si="49"/>
        <v>197</v>
      </c>
      <c r="E222" s="65">
        <f t="shared" si="56"/>
        <v>0</v>
      </c>
      <c r="F222" s="65">
        <f>IF(OR(L$73=0,DG!$A$258&gt;16),0,F221+1)</f>
        <v>0</v>
      </c>
      <c r="G222" s="65">
        <f t="shared" si="53"/>
        <v>0</v>
      </c>
      <c r="H222" s="65">
        <f t="shared" si="50"/>
        <v>0</v>
      </c>
      <c r="I222" s="65">
        <f t="shared" si="47"/>
        <v>0</v>
      </c>
      <c r="J222" s="203">
        <f>IF(DG!$A$137&lt;=11,$M$17,0)</f>
        <v>0</v>
      </c>
      <c r="K222" s="65">
        <f t="shared" si="51"/>
        <v>0</v>
      </c>
      <c r="L222" s="473">
        <f t="shared" si="57"/>
        <v>0</v>
      </c>
      <c r="M222" s="204">
        <f t="shared" si="58"/>
        <v>0</v>
      </c>
      <c r="N222" s="505">
        <f t="shared" si="59"/>
        <v>0</v>
      </c>
      <c r="O222" s="204">
        <f>IF(DG!$A$137&gt;12,0,IF(J222-J221&gt;0,MROUND((L222/12*Q221),1),MROUND(L222/12*P221,1)))</f>
        <v>0</v>
      </c>
      <c r="P222" s="204">
        <f t="shared" si="60"/>
        <v>0</v>
      </c>
      <c r="Q222" s="204">
        <f t="shared" si="54"/>
        <v>0</v>
      </c>
      <c r="R222" s="476">
        <v>0</v>
      </c>
      <c r="S222" s="511">
        <f t="shared" si="52"/>
        <v>0</v>
      </c>
    </row>
    <row r="223" spans="1:19" ht="14" thickTop="1" thickBot="1">
      <c r="A223" s="202">
        <f t="shared" si="55"/>
        <v>51288</v>
      </c>
      <c r="B223" s="65">
        <f t="shared" si="48"/>
        <v>0</v>
      </c>
      <c r="C223" s="65">
        <f t="shared" si="46"/>
        <v>0</v>
      </c>
      <c r="D223" s="65">
        <f t="shared" si="49"/>
        <v>198</v>
      </c>
      <c r="E223" s="65">
        <f t="shared" si="56"/>
        <v>0</v>
      </c>
      <c r="F223" s="65">
        <f>IF(OR(L$73=0,DG!$A$258&gt;16),0,F222+1)</f>
        <v>0</v>
      </c>
      <c r="G223" s="65">
        <f t="shared" si="53"/>
        <v>0</v>
      </c>
      <c r="H223" s="65">
        <f t="shared" si="50"/>
        <v>0</v>
      </c>
      <c r="I223" s="65">
        <f t="shared" si="47"/>
        <v>0</v>
      </c>
      <c r="J223" s="203">
        <f>IF(DG!$A$137&lt;=11,$M$17,0)</f>
        <v>0</v>
      </c>
      <c r="K223" s="65">
        <f t="shared" si="51"/>
        <v>0</v>
      </c>
      <c r="L223" s="473">
        <f t="shared" si="57"/>
        <v>0</v>
      </c>
      <c r="M223" s="204">
        <f t="shared" si="58"/>
        <v>0</v>
      </c>
      <c r="N223" s="505">
        <f t="shared" si="59"/>
        <v>0</v>
      </c>
      <c r="O223" s="204">
        <f>IF(DG!$A$137&gt;12,0,IF(J223-J222&gt;0,MROUND((L223/12*Q222),1),MROUND(L223/12*P222,1)))</f>
        <v>0</v>
      </c>
      <c r="P223" s="204">
        <f t="shared" si="60"/>
        <v>0</v>
      </c>
      <c r="Q223" s="204">
        <f t="shared" si="54"/>
        <v>0</v>
      </c>
      <c r="R223" s="476">
        <v>0</v>
      </c>
      <c r="S223" s="511">
        <f t="shared" si="52"/>
        <v>0</v>
      </c>
    </row>
    <row r="224" spans="1:19" ht="14" thickTop="1" thickBot="1">
      <c r="A224" s="202">
        <f t="shared" si="55"/>
        <v>51318</v>
      </c>
      <c r="B224" s="65">
        <f t="shared" si="48"/>
        <v>0</v>
      </c>
      <c r="C224" s="65">
        <f t="shared" si="46"/>
        <v>0</v>
      </c>
      <c r="D224" s="65">
        <f t="shared" si="49"/>
        <v>199</v>
      </c>
      <c r="E224" s="65">
        <f t="shared" si="56"/>
        <v>0</v>
      </c>
      <c r="F224" s="65">
        <f>IF(OR(L$73=0,DG!$A$258&gt;16),0,F223+1)</f>
        <v>0</v>
      </c>
      <c r="G224" s="65">
        <f t="shared" si="53"/>
        <v>0</v>
      </c>
      <c r="H224" s="65">
        <f t="shared" si="50"/>
        <v>0</v>
      </c>
      <c r="I224" s="65">
        <f t="shared" si="47"/>
        <v>0</v>
      </c>
      <c r="J224" s="203">
        <f>IF(DG!$A$137&lt;=11,$M$17,0)</f>
        <v>0</v>
      </c>
      <c r="K224" s="65">
        <f t="shared" si="51"/>
        <v>0</v>
      </c>
      <c r="L224" s="473">
        <f t="shared" si="57"/>
        <v>0</v>
      </c>
      <c r="M224" s="204">
        <f t="shared" si="58"/>
        <v>0</v>
      </c>
      <c r="N224" s="505">
        <f t="shared" si="59"/>
        <v>0</v>
      </c>
      <c r="O224" s="204">
        <f>IF(DG!$A$137&gt;12,0,IF(J224-J223&gt;0,MROUND((L224/12*Q223),1),MROUND(L224/12*P223,1)))</f>
        <v>0</v>
      </c>
      <c r="P224" s="204">
        <f t="shared" si="60"/>
        <v>0</v>
      </c>
      <c r="Q224" s="204">
        <f t="shared" si="54"/>
        <v>0</v>
      </c>
      <c r="R224" s="476">
        <v>0</v>
      </c>
      <c r="S224" s="511">
        <f t="shared" si="52"/>
        <v>0</v>
      </c>
    </row>
    <row r="225" spans="1:19" ht="14" thickTop="1" thickBot="1">
      <c r="A225" s="202">
        <f t="shared" si="55"/>
        <v>51349</v>
      </c>
      <c r="B225" s="65">
        <f t="shared" si="48"/>
        <v>0</v>
      </c>
      <c r="C225" s="65">
        <f t="shared" si="46"/>
        <v>0</v>
      </c>
      <c r="D225" s="65">
        <f t="shared" si="49"/>
        <v>200</v>
      </c>
      <c r="E225" s="65">
        <f t="shared" si="56"/>
        <v>0</v>
      </c>
      <c r="F225" s="65">
        <f>IF(OR(L$73=0,DG!$A$258&gt;16),0,F224+1)</f>
        <v>0</v>
      </c>
      <c r="G225" s="65">
        <f t="shared" si="53"/>
        <v>0</v>
      </c>
      <c r="H225" s="65">
        <f t="shared" si="50"/>
        <v>0</v>
      </c>
      <c r="I225" s="65">
        <f t="shared" si="47"/>
        <v>0</v>
      </c>
      <c r="J225" s="203">
        <f>IF(DG!$A$137&lt;=11,$M$17,0)</f>
        <v>0</v>
      </c>
      <c r="K225" s="65">
        <f t="shared" si="51"/>
        <v>0</v>
      </c>
      <c r="L225" s="473">
        <f t="shared" si="57"/>
        <v>0</v>
      </c>
      <c r="M225" s="204">
        <f t="shared" si="58"/>
        <v>0</v>
      </c>
      <c r="N225" s="505">
        <f t="shared" si="59"/>
        <v>0</v>
      </c>
      <c r="O225" s="204">
        <f>IF(DG!$A$137&gt;12,0,IF(J225-J224&gt;0,MROUND((L225/12*Q224),1),MROUND(L225/12*P224,1)))</f>
        <v>0</v>
      </c>
      <c r="P225" s="204">
        <f t="shared" si="60"/>
        <v>0</v>
      </c>
      <c r="Q225" s="204">
        <f t="shared" si="54"/>
        <v>0</v>
      </c>
      <c r="R225" s="476">
        <v>0</v>
      </c>
      <c r="S225" s="511">
        <f t="shared" si="52"/>
        <v>0</v>
      </c>
    </row>
    <row r="226" spans="1:19" ht="14" thickTop="1" thickBot="1">
      <c r="A226" s="202">
        <f t="shared" si="55"/>
        <v>51380</v>
      </c>
      <c r="B226" s="65">
        <f t="shared" si="48"/>
        <v>0</v>
      </c>
      <c r="C226" s="65">
        <f t="shared" si="46"/>
        <v>0</v>
      </c>
      <c r="D226" s="65">
        <f t="shared" si="49"/>
        <v>201</v>
      </c>
      <c r="E226" s="65">
        <f t="shared" si="56"/>
        <v>0</v>
      </c>
      <c r="F226" s="65">
        <f>IF(OR(L$73=0,DG!$A$258&gt;16),0,F225+1)</f>
        <v>0</v>
      </c>
      <c r="G226" s="65">
        <f t="shared" si="53"/>
        <v>0</v>
      </c>
      <c r="H226" s="65">
        <f t="shared" si="50"/>
        <v>0</v>
      </c>
      <c r="I226" s="65">
        <f t="shared" si="47"/>
        <v>0</v>
      </c>
      <c r="J226" s="203">
        <f>IF(DG!$A$137&lt;=11,$M$17,0)</f>
        <v>0</v>
      </c>
      <c r="K226" s="65">
        <f t="shared" si="51"/>
        <v>0</v>
      </c>
      <c r="L226" s="473">
        <f t="shared" si="57"/>
        <v>0</v>
      </c>
      <c r="M226" s="204">
        <f t="shared" si="58"/>
        <v>0</v>
      </c>
      <c r="N226" s="505">
        <f t="shared" si="59"/>
        <v>0</v>
      </c>
      <c r="O226" s="204">
        <f>IF(DG!$A$137&gt;12,0,IF(J226-J225&gt;0,MROUND((L226/12*Q225),1),MROUND(L226/12*P225,1)))</f>
        <v>0</v>
      </c>
      <c r="P226" s="204">
        <f t="shared" si="60"/>
        <v>0</v>
      </c>
      <c r="Q226" s="204">
        <f t="shared" si="54"/>
        <v>0</v>
      </c>
      <c r="R226" s="476">
        <v>0</v>
      </c>
      <c r="S226" s="511">
        <f t="shared" si="52"/>
        <v>0</v>
      </c>
    </row>
    <row r="227" spans="1:19" ht="14" thickTop="1" thickBot="1">
      <c r="A227" s="202">
        <f t="shared" si="55"/>
        <v>51410</v>
      </c>
      <c r="B227" s="65">
        <f t="shared" si="48"/>
        <v>0</v>
      </c>
      <c r="C227" s="65">
        <f t="shared" si="46"/>
        <v>0</v>
      </c>
      <c r="D227" s="65">
        <f t="shared" si="49"/>
        <v>202</v>
      </c>
      <c r="E227" s="65">
        <f t="shared" si="56"/>
        <v>0</v>
      </c>
      <c r="F227" s="65">
        <f>IF(OR(L$73=0,DG!$A$258&gt;16),0,F226+1)</f>
        <v>0</v>
      </c>
      <c r="G227" s="65">
        <f t="shared" si="53"/>
        <v>0</v>
      </c>
      <c r="H227" s="65">
        <f t="shared" si="50"/>
        <v>0</v>
      </c>
      <c r="I227" s="65">
        <f t="shared" si="47"/>
        <v>0</v>
      </c>
      <c r="J227" s="203">
        <f>IF(DG!$A$137&lt;=11,$M$17,0)</f>
        <v>0</v>
      </c>
      <c r="K227" s="65">
        <f t="shared" si="51"/>
        <v>0</v>
      </c>
      <c r="L227" s="473">
        <f t="shared" si="57"/>
        <v>0</v>
      </c>
      <c r="M227" s="204">
        <f t="shared" si="58"/>
        <v>0</v>
      </c>
      <c r="N227" s="505">
        <f t="shared" si="59"/>
        <v>0</v>
      </c>
      <c r="O227" s="204">
        <f>IF(DG!$A$137&gt;12,0,IF(J227-J226&gt;0,MROUND((L227/12*Q226),1),MROUND(L227/12*P226,1)))</f>
        <v>0</v>
      </c>
      <c r="P227" s="204">
        <f t="shared" si="60"/>
        <v>0</v>
      </c>
      <c r="Q227" s="204">
        <f t="shared" si="54"/>
        <v>0</v>
      </c>
      <c r="R227" s="476">
        <v>0</v>
      </c>
      <c r="S227" s="511">
        <f t="shared" si="52"/>
        <v>0</v>
      </c>
    </row>
    <row r="228" spans="1:19" ht="14" thickTop="1" thickBot="1">
      <c r="A228" s="202">
        <f t="shared" si="55"/>
        <v>51441</v>
      </c>
      <c r="B228" s="65">
        <f t="shared" si="48"/>
        <v>0</v>
      </c>
      <c r="C228" s="65">
        <f t="shared" si="46"/>
        <v>0</v>
      </c>
      <c r="D228" s="65">
        <f t="shared" si="49"/>
        <v>203</v>
      </c>
      <c r="E228" s="65">
        <f t="shared" si="56"/>
        <v>0</v>
      </c>
      <c r="F228" s="65">
        <f>IF(OR(L$73=0,DG!$A$258&gt;16),0,F227+1)</f>
        <v>0</v>
      </c>
      <c r="G228" s="65">
        <f t="shared" si="53"/>
        <v>0</v>
      </c>
      <c r="H228" s="65">
        <f t="shared" si="50"/>
        <v>0</v>
      </c>
      <c r="I228" s="65">
        <f t="shared" si="47"/>
        <v>0</v>
      </c>
      <c r="J228" s="203">
        <f>IF(DG!$A$137&lt;=11,$M$17,0)</f>
        <v>0</v>
      </c>
      <c r="K228" s="65">
        <f t="shared" si="51"/>
        <v>0</v>
      </c>
      <c r="L228" s="473">
        <f t="shared" si="57"/>
        <v>0</v>
      </c>
      <c r="M228" s="204">
        <f t="shared" si="58"/>
        <v>0</v>
      </c>
      <c r="N228" s="505">
        <f t="shared" si="59"/>
        <v>0</v>
      </c>
      <c r="O228" s="204">
        <f>IF(DG!$A$137&gt;12,0,IF(J228-J227&gt;0,MROUND((L228/12*Q227),1),MROUND(L228/12*P227,1)))</f>
        <v>0</v>
      </c>
      <c r="P228" s="204">
        <f t="shared" si="60"/>
        <v>0</v>
      </c>
      <c r="Q228" s="204">
        <f t="shared" si="54"/>
        <v>0</v>
      </c>
      <c r="R228" s="476">
        <v>0</v>
      </c>
      <c r="S228" s="511">
        <f t="shared" si="52"/>
        <v>0</v>
      </c>
    </row>
    <row r="229" spans="1:19" ht="14" thickTop="1" thickBot="1">
      <c r="A229" s="202">
        <f t="shared" si="55"/>
        <v>51471</v>
      </c>
      <c r="B229" s="65">
        <f t="shared" si="48"/>
        <v>0</v>
      </c>
      <c r="C229" s="65">
        <f t="shared" si="46"/>
        <v>0</v>
      </c>
      <c r="D229" s="65">
        <f t="shared" si="49"/>
        <v>204</v>
      </c>
      <c r="E229" s="65">
        <f t="shared" si="56"/>
        <v>0</v>
      </c>
      <c r="F229" s="65">
        <f>IF(OR(L$73=0,DG!$A$258&gt;16),0,F228+1)</f>
        <v>0</v>
      </c>
      <c r="G229" s="65">
        <f t="shared" si="53"/>
        <v>0</v>
      </c>
      <c r="H229" s="65">
        <f t="shared" si="50"/>
        <v>0</v>
      </c>
      <c r="I229" s="65">
        <f t="shared" si="47"/>
        <v>0</v>
      </c>
      <c r="J229" s="203">
        <f>IF(DG!$A$137&lt;=11,$M$17,0)</f>
        <v>0</v>
      </c>
      <c r="K229" s="65">
        <f t="shared" si="51"/>
        <v>0</v>
      </c>
      <c r="L229" s="473">
        <f t="shared" si="57"/>
        <v>0</v>
      </c>
      <c r="M229" s="204">
        <f t="shared" si="58"/>
        <v>0</v>
      </c>
      <c r="N229" s="505">
        <f t="shared" si="59"/>
        <v>0</v>
      </c>
      <c r="O229" s="204">
        <f>IF(DG!$A$137&gt;12,0,IF(J229-J228&gt;0,MROUND((L229/12*Q228),1),MROUND(L229/12*P228,1)))</f>
        <v>0</v>
      </c>
      <c r="P229" s="204">
        <f t="shared" si="60"/>
        <v>0</v>
      </c>
      <c r="Q229" s="204">
        <f t="shared" si="54"/>
        <v>0</v>
      </c>
      <c r="R229" s="476">
        <v>0</v>
      </c>
      <c r="S229" s="511">
        <f t="shared" si="52"/>
        <v>0</v>
      </c>
    </row>
    <row r="230" spans="1:19" ht="14" thickTop="1" thickBot="1">
      <c r="A230" s="202">
        <f t="shared" si="55"/>
        <v>51502</v>
      </c>
      <c r="B230" s="65">
        <f t="shared" si="48"/>
        <v>0</v>
      </c>
      <c r="C230" s="65">
        <f t="shared" si="46"/>
        <v>0</v>
      </c>
      <c r="D230" s="65">
        <f t="shared" si="49"/>
        <v>205</v>
      </c>
      <c r="E230" s="65">
        <f t="shared" si="56"/>
        <v>0</v>
      </c>
      <c r="F230" s="65">
        <f>IF(OR(L$73=0,DG!$A$258&gt;16),0,F229+1)</f>
        <v>0</v>
      </c>
      <c r="G230" s="65">
        <f t="shared" si="53"/>
        <v>0</v>
      </c>
      <c r="H230" s="65">
        <f t="shared" si="50"/>
        <v>0</v>
      </c>
      <c r="I230" s="65">
        <f t="shared" si="47"/>
        <v>0</v>
      </c>
      <c r="J230" s="203">
        <f>IF(DG!$A$137&lt;=11,$M$17,0)</f>
        <v>0</v>
      </c>
      <c r="K230" s="65">
        <f t="shared" si="51"/>
        <v>0</v>
      </c>
      <c r="L230" s="473">
        <f t="shared" si="57"/>
        <v>0</v>
      </c>
      <c r="M230" s="204">
        <f t="shared" si="58"/>
        <v>0</v>
      </c>
      <c r="N230" s="505">
        <f t="shared" si="59"/>
        <v>0</v>
      </c>
      <c r="O230" s="204">
        <f>IF(DG!$A$137&gt;12,0,IF(J230-J229&gt;0,MROUND((L230/12*Q229),1),MROUND(L230/12*P229,1)))</f>
        <v>0</v>
      </c>
      <c r="P230" s="204">
        <f t="shared" si="60"/>
        <v>0</v>
      </c>
      <c r="Q230" s="204">
        <f t="shared" si="54"/>
        <v>0</v>
      </c>
      <c r="R230" s="476">
        <v>0</v>
      </c>
      <c r="S230" s="511">
        <f t="shared" si="52"/>
        <v>0</v>
      </c>
    </row>
    <row r="231" spans="1:19" ht="14" thickTop="1" thickBot="1">
      <c r="A231" s="202">
        <f t="shared" si="55"/>
        <v>51533</v>
      </c>
      <c r="B231" s="65">
        <f t="shared" si="48"/>
        <v>0</v>
      </c>
      <c r="C231" s="65">
        <f t="shared" si="46"/>
        <v>0</v>
      </c>
      <c r="D231" s="65">
        <f t="shared" si="49"/>
        <v>206</v>
      </c>
      <c r="E231" s="65">
        <f t="shared" si="56"/>
        <v>0</v>
      </c>
      <c r="F231" s="65">
        <f>IF(OR(L$73=0,DG!$A$258&gt;16),0,F230+1)</f>
        <v>0</v>
      </c>
      <c r="G231" s="65">
        <f t="shared" si="53"/>
        <v>0</v>
      </c>
      <c r="H231" s="65">
        <f t="shared" si="50"/>
        <v>0</v>
      </c>
      <c r="I231" s="65">
        <f t="shared" si="47"/>
        <v>0</v>
      </c>
      <c r="J231" s="203">
        <f>IF(DG!$A$137&lt;=11,$M$17,0)</f>
        <v>0</v>
      </c>
      <c r="K231" s="65">
        <f t="shared" si="51"/>
        <v>0</v>
      </c>
      <c r="L231" s="473">
        <f t="shared" si="57"/>
        <v>0</v>
      </c>
      <c r="M231" s="204">
        <f t="shared" si="58"/>
        <v>0</v>
      </c>
      <c r="N231" s="505">
        <f t="shared" si="59"/>
        <v>0</v>
      </c>
      <c r="O231" s="204">
        <f>IF(DG!$A$137&gt;12,0,IF(J231-J230&gt;0,MROUND((L231/12*Q230),1),MROUND(L231/12*P230,1)))</f>
        <v>0</v>
      </c>
      <c r="P231" s="204">
        <f t="shared" si="60"/>
        <v>0</v>
      </c>
      <c r="Q231" s="204">
        <f t="shared" si="54"/>
        <v>0</v>
      </c>
      <c r="R231" s="476">
        <v>0</v>
      </c>
      <c r="S231" s="511">
        <f t="shared" si="52"/>
        <v>0</v>
      </c>
    </row>
    <row r="232" spans="1:19" ht="14" thickTop="1" thickBot="1">
      <c r="A232" s="202">
        <f t="shared" si="55"/>
        <v>51561</v>
      </c>
      <c r="B232" s="65">
        <f t="shared" si="48"/>
        <v>0</v>
      </c>
      <c r="C232" s="65">
        <f t="shared" si="46"/>
        <v>0</v>
      </c>
      <c r="D232" s="65">
        <f t="shared" si="49"/>
        <v>207</v>
      </c>
      <c r="E232" s="65">
        <f t="shared" si="56"/>
        <v>0</v>
      </c>
      <c r="F232" s="65">
        <f>IF(OR(L$73=0,DG!$A$258&gt;16),0,F231+1)</f>
        <v>0</v>
      </c>
      <c r="G232" s="65">
        <f t="shared" si="53"/>
        <v>0</v>
      </c>
      <c r="H232" s="65">
        <f t="shared" si="50"/>
        <v>0</v>
      </c>
      <c r="I232" s="65">
        <f t="shared" si="47"/>
        <v>0</v>
      </c>
      <c r="J232" s="203">
        <f>IF(DG!$A$137&lt;=11,$M$17,0)</f>
        <v>0</v>
      </c>
      <c r="K232" s="65">
        <f t="shared" si="51"/>
        <v>0</v>
      </c>
      <c r="L232" s="473">
        <f t="shared" si="57"/>
        <v>0</v>
      </c>
      <c r="M232" s="204">
        <f t="shared" si="58"/>
        <v>0</v>
      </c>
      <c r="N232" s="505">
        <f t="shared" si="59"/>
        <v>0</v>
      </c>
      <c r="O232" s="204">
        <f>IF(DG!$A$137&gt;12,0,IF(J232-J231&gt;0,MROUND((L232/12*Q231),1),MROUND(L232/12*P231,1)))</f>
        <v>0</v>
      </c>
      <c r="P232" s="204">
        <f t="shared" si="60"/>
        <v>0</v>
      </c>
      <c r="Q232" s="204">
        <f t="shared" si="54"/>
        <v>0</v>
      </c>
      <c r="R232" s="476">
        <v>0</v>
      </c>
      <c r="S232" s="511">
        <f t="shared" si="52"/>
        <v>0</v>
      </c>
    </row>
    <row r="233" spans="1:19" ht="14" thickTop="1" thickBot="1">
      <c r="A233" s="202">
        <f t="shared" si="55"/>
        <v>51592</v>
      </c>
      <c r="B233" s="65">
        <f t="shared" si="48"/>
        <v>0</v>
      </c>
      <c r="C233" s="65">
        <f t="shared" si="46"/>
        <v>0</v>
      </c>
      <c r="D233" s="65">
        <f t="shared" si="49"/>
        <v>208</v>
      </c>
      <c r="E233" s="65">
        <f t="shared" si="56"/>
        <v>0</v>
      </c>
      <c r="F233" s="65">
        <f>IF(OR(L$73=0,DG!$A$258&gt;16),0,F232+1)</f>
        <v>0</v>
      </c>
      <c r="G233" s="65">
        <f t="shared" si="53"/>
        <v>0</v>
      </c>
      <c r="H233" s="65">
        <f t="shared" si="50"/>
        <v>0</v>
      </c>
      <c r="I233" s="65">
        <f t="shared" si="47"/>
        <v>0</v>
      </c>
      <c r="J233" s="203">
        <f>IF(DG!$A$137&lt;=11,$M$17,0)</f>
        <v>0</v>
      </c>
      <c r="K233" s="65">
        <f t="shared" si="51"/>
        <v>0</v>
      </c>
      <c r="L233" s="473">
        <f t="shared" si="57"/>
        <v>0</v>
      </c>
      <c r="M233" s="204">
        <f t="shared" si="58"/>
        <v>0</v>
      </c>
      <c r="N233" s="505">
        <f t="shared" si="59"/>
        <v>0</v>
      </c>
      <c r="O233" s="204">
        <f>IF(DG!$A$137&gt;12,0,IF(J233-J232&gt;0,MROUND((L233/12*Q232),1),MROUND(L233/12*P232,1)))</f>
        <v>0</v>
      </c>
      <c r="P233" s="204">
        <f t="shared" si="60"/>
        <v>0</v>
      </c>
      <c r="Q233" s="204">
        <f t="shared" si="54"/>
        <v>0</v>
      </c>
      <c r="R233" s="476">
        <v>0</v>
      </c>
      <c r="S233" s="511">
        <f t="shared" si="52"/>
        <v>0</v>
      </c>
    </row>
    <row r="234" spans="1:19" ht="14" thickTop="1" thickBot="1">
      <c r="A234" s="202">
        <f t="shared" si="55"/>
        <v>51622</v>
      </c>
      <c r="B234" s="65">
        <f t="shared" si="48"/>
        <v>0</v>
      </c>
      <c r="C234" s="65">
        <f t="shared" si="46"/>
        <v>0</v>
      </c>
      <c r="D234" s="65">
        <f t="shared" si="49"/>
        <v>209</v>
      </c>
      <c r="E234" s="65">
        <f t="shared" si="56"/>
        <v>0</v>
      </c>
      <c r="F234" s="65">
        <f>IF(OR(L$73=0,DG!$A$258&gt;16),0,F233+1)</f>
        <v>0</v>
      </c>
      <c r="G234" s="65">
        <f t="shared" si="53"/>
        <v>0</v>
      </c>
      <c r="H234" s="65">
        <f t="shared" si="50"/>
        <v>0</v>
      </c>
      <c r="I234" s="65">
        <f t="shared" si="47"/>
        <v>0</v>
      </c>
      <c r="J234" s="203">
        <f>IF(DG!$A$137&lt;=11,$M$17,0)</f>
        <v>0</v>
      </c>
      <c r="K234" s="65">
        <f t="shared" si="51"/>
        <v>0</v>
      </c>
      <c r="L234" s="473">
        <f t="shared" si="57"/>
        <v>0</v>
      </c>
      <c r="M234" s="204">
        <f t="shared" si="58"/>
        <v>0</v>
      </c>
      <c r="N234" s="505">
        <f t="shared" si="59"/>
        <v>0</v>
      </c>
      <c r="O234" s="204">
        <f>IF(DG!$A$137&gt;12,0,IF(J234-J233&gt;0,MROUND((L234/12*Q233),1),MROUND(L234/12*P233,1)))</f>
        <v>0</v>
      </c>
      <c r="P234" s="204">
        <f t="shared" si="60"/>
        <v>0</v>
      </c>
      <c r="Q234" s="204">
        <f t="shared" si="54"/>
        <v>0</v>
      </c>
      <c r="R234" s="476">
        <v>0</v>
      </c>
      <c r="S234" s="511">
        <f t="shared" si="52"/>
        <v>0</v>
      </c>
    </row>
    <row r="235" spans="1:19" ht="14" thickTop="1" thickBot="1">
      <c r="A235" s="202">
        <f t="shared" si="55"/>
        <v>51653</v>
      </c>
      <c r="B235" s="65">
        <f t="shared" si="48"/>
        <v>0</v>
      </c>
      <c r="C235" s="65">
        <f t="shared" si="46"/>
        <v>0</v>
      </c>
      <c r="D235" s="65">
        <f t="shared" si="49"/>
        <v>210</v>
      </c>
      <c r="E235" s="65">
        <f t="shared" si="56"/>
        <v>0</v>
      </c>
      <c r="F235" s="65">
        <f>IF(OR(L$73=0,DG!$A$258&gt;16),0,F234+1)</f>
        <v>0</v>
      </c>
      <c r="G235" s="65">
        <f t="shared" si="53"/>
        <v>0</v>
      </c>
      <c r="H235" s="65">
        <f t="shared" si="50"/>
        <v>0</v>
      </c>
      <c r="I235" s="65">
        <f t="shared" si="47"/>
        <v>0</v>
      </c>
      <c r="J235" s="203">
        <f>IF(DG!$A$137&lt;=11,$M$17,0)</f>
        <v>0</v>
      </c>
      <c r="K235" s="65">
        <f t="shared" si="51"/>
        <v>0</v>
      </c>
      <c r="L235" s="473">
        <f t="shared" si="57"/>
        <v>0</v>
      </c>
      <c r="M235" s="204">
        <f t="shared" si="58"/>
        <v>0</v>
      </c>
      <c r="N235" s="505">
        <f t="shared" si="59"/>
        <v>0</v>
      </c>
      <c r="O235" s="204">
        <f>IF(DG!$A$137&gt;12,0,IF(J235-J234&gt;0,MROUND((L235/12*Q234),1),MROUND(L235/12*P234,1)))</f>
        <v>0</v>
      </c>
      <c r="P235" s="204">
        <f t="shared" si="60"/>
        <v>0</v>
      </c>
      <c r="Q235" s="204">
        <f t="shared" si="54"/>
        <v>0</v>
      </c>
      <c r="R235" s="476">
        <v>0</v>
      </c>
      <c r="S235" s="511">
        <f t="shared" si="52"/>
        <v>0</v>
      </c>
    </row>
    <row r="236" spans="1:19" ht="14" thickTop="1" thickBot="1">
      <c r="A236" s="202">
        <f t="shared" si="55"/>
        <v>51683</v>
      </c>
      <c r="B236" s="65">
        <f t="shared" si="48"/>
        <v>0</v>
      </c>
      <c r="C236" s="65">
        <f t="shared" si="46"/>
        <v>0</v>
      </c>
      <c r="D236" s="65">
        <f t="shared" si="49"/>
        <v>211</v>
      </c>
      <c r="E236" s="65">
        <f t="shared" si="56"/>
        <v>0</v>
      </c>
      <c r="F236" s="65">
        <f>IF(OR(L$73=0,DG!$A$258&gt;16),0,F235+1)</f>
        <v>0</v>
      </c>
      <c r="G236" s="65">
        <f t="shared" si="53"/>
        <v>0</v>
      </c>
      <c r="H236" s="65">
        <f t="shared" si="50"/>
        <v>0</v>
      </c>
      <c r="I236" s="65">
        <f t="shared" si="47"/>
        <v>0</v>
      </c>
      <c r="J236" s="203">
        <f>IF(DG!$A$137&lt;=11,$M$17,0)</f>
        <v>0</v>
      </c>
      <c r="K236" s="65">
        <f t="shared" si="51"/>
        <v>0</v>
      </c>
      <c r="L236" s="473">
        <f t="shared" si="57"/>
        <v>0</v>
      </c>
      <c r="M236" s="204">
        <f t="shared" si="58"/>
        <v>0</v>
      </c>
      <c r="N236" s="505">
        <f t="shared" si="59"/>
        <v>0</v>
      </c>
      <c r="O236" s="204">
        <f>IF(DG!$A$137&gt;12,0,IF(J236-J235&gt;0,MROUND((L236/12*Q235),1),MROUND(L236/12*P235,1)))</f>
        <v>0</v>
      </c>
      <c r="P236" s="204">
        <f t="shared" si="60"/>
        <v>0</v>
      </c>
      <c r="Q236" s="204">
        <f t="shared" si="54"/>
        <v>0</v>
      </c>
      <c r="R236" s="476">
        <v>0</v>
      </c>
      <c r="S236" s="511">
        <f t="shared" si="52"/>
        <v>0</v>
      </c>
    </row>
    <row r="237" spans="1:19" ht="14" thickTop="1" thickBot="1">
      <c r="A237" s="202">
        <f t="shared" si="55"/>
        <v>51714</v>
      </c>
      <c r="B237" s="65">
        <f t="shared" si="48"/>
        <v>0</v>
      </c>
      <c r="C237" s="65">
        <f t="shared" si="46"/>
        <v>0</v>
      </c>
      <c r="D237" s="65">
        <f t="shared" si="49"/>
        <v>212</v>
      </c>
      <c r="E237" s="65">
        <f t="shared" si="56"/>
        <v>0</v>
      </c>
      <c r="F237" s="65">
        <f>IF(OR(L$73=0,DG!$A$258&gt;16),0,F236+1)</f>
        <v>0</v>
      </c>
      <c r="G237" s="65">
        <f t="shared" si="53"/>
        <v>0</v>
      </c>
      <c r="H237" s="65">
        <f t="shared" si="50"/>
        <v>0</v>
      </c>
      <c r="I237" s="65">
        <f t="shared" si="47"/>
        <v>0</v>
      </c>
      <c r="J237" s="203">
        <f>IF(DG!$A$137&lt;=11,$M$17,0)</f>
        <v>0</v>
      </c>
      <c r="K237" s="65">
        <f t="shared" si="51"/>
        <v>0</v>
      </c>
      <c r="L237" s="473">
        <f t="shared" si="57"/>
        <v>0</v>
      </c>
      <c r="M237" s="204">
        <f t="shared" si="58"/>
        <v>0</v>
      </c>
      <c r="N237" s="505">
        <f t="shared" si="59"/>
        <v>0</v>
      </c>
      <c r="O237" s="204">
        <f>IF(DG!$A$137&gt;12,0,IF(J237-J236&gt;0,MROUND((L237/12*Q236),1),MROUND(L237/12*P236,1)))</f>
        <v>0</v>
      </c>
      <c r="P237" s="204">
        <f t="shared" si="60"/>
        <v>0</v>
      </c>
      <c r="Q237" s="204">
        <f t="shared" si="54"/>
        <v>0</v>
      </c>
      <c r="R237" s="476">
        <v>0</v>
      </c>
      <c r="S237" s="511">
        <f t="shared" si="52"/>
        <v>0</v>
      </c>
    </row>
    <row r="238" spans="1:19" ht="14" thickTop="1" thickBot="1">
      <c r="A238" s="202">
        <f t="shared" si="55"/>
        <v>51745</v>
      </c>
      <c r="B238" s="65">
        <f t="shared" si="48"/>
        <v>0</v>
      </c>
      <c r="C238" s="65">
        <f t="shared" si="46"/>
        <v>0</v>
      </c>
      <c r="D238" s="65">
        <f t="shared" si="49"/>
        <v>213</v>
      </c>
      <c r="E238" s="65">
        <f t="shared" si="56"/>
        <v>0</v>
      </c>
      <c r="F238" s="65">
        <f>IF(OR(L$73=0,DG!$A$258&gt;16),0,F237+1)</f>
        <v>0</v>
      </c>
      <c r="G238" s="65">
        <f t="shared" si="53"/>
        <v>0</v>
      </c>
      <c r="H238" s="65">
        <f t="shared" si="50"/>
        <v>0</v>
      </c>
      <c r="I238" s="65">
        <f t="shared" si="47"/>
        <v>0</v>
      </c>
      <c r="J238" s="203">
        <f>IF(DG!$A$137&lt;=11,$M$17,0)</f>
        <v>0</v>
      </c>
      <c r="K238" s="65">
        <f t="shared" si="51"/>
        <v>0</v>
      </c>
      <c r="L238" s="473">
        <f t="shared" si="57"/>
        <v>0</v>
      </c>
      <c r="M238" s="204">
        <f t="shared" si="58"/>
        <v>0</v>
      </c>
      <c r="N238" s="505">
        <f t="shared" si="59"/>
        <v>0</v>
      </c>
      <c r="O238" s="204">
        <f>IF(DG!$A$137&gt;12,0,IF(J238-J237&gt;0,MROUND((L238/12*Q237),1),MROUND(L238/12*P237,1)))</f>
        <v>0</v>
      </c>
      <c r="P238" s="204">
        <f t="shared" si="60"/>
        <v>0</v>
      </c>
      <c r="Q238" s="204">
        <f t="shared" si="54"/>
        <v>0</v>
      </c>
      <c r="R238" s="476">
        <v>0</v>
      </c>
      <c r="S238" s="511">
        <f t="shared" si="52"/>
        <v>0</v>
      </c>
    </row>
    <row r="239" spans="1:19" ht="14" thickTop="1" thickBot="1">
      <c r="A239" s="202">
        <f t="shared" si="55"/>
        <v>51775</v>
      </c>
      <c r="B239" s="65">
        <f t="shared" si="48"/>
        <v>0</v>
      </c>
      <c r="C239" s="65">
        <f t="shared" si="46"/>
        <v>0</v>
      </c>
      <c r="D239" s="65">
        <f t="shared" si="49"/>
        <v>214</v>
      </c>
      <c r="E239" s="65">
        <f t="shared" si="56"/>
        <v>0</v>
      </c>
      <c r="F239" s="65">
        <f>IF(OR(L$73=0,DG!$A$258&gt;16),0,F238+1)</f>
        <v>0</v>
      </c>
      <c r="G239" s="65">
        <f t="shared" si="53"/>
        <v>0</v>
      </c>
      <c r="H239" s="65">
        <f t="shared" si="50"/>
        <v>0</v>
      </c>
      <c r="I239" s="65">
        <f t="shared" si="47"/>
        <v>0</v>
      </c>
      <c r="J239" s="203">
        <f>IF(DG!$A$137&lt;=11,$M$17,0)</f>
        <v>0</v>
      </c>
      <c r="K239" s="65">
        <f t="shared" si="51"/>
        <v>0</v>
      </c>
      <c r="L239" s="473">
        <f t="shared" si="57"/>
        <v>0</v>
      </c>
      <c r="M239" s="204">
        <f t="shared" si="58"/>
        <v>0</v>
      </c>
      <c r="N239" s="505">
        <f t="shared" si="59"/>
        <v>0</v>
      </c>
      <c r="O239" s="204">
        <f>IF(DG!$A$137&gt;12,0,IF(J239-J238&gt;0,MROUND((L239/12*Q238),1),MROUND(L239/12*P238,1)))</f>
        <v>0</v>
      </c>
      <c r="P239" s="204">
        <f t="shared" si="60"/>
        <v>0</v>
      </c>
      <c r="Q239" s="204">
        <f t="shared" si="54"/>
        <v>0</v>
      </c>
      <c r="R239" s="476">
        <v>0</v>
      </c>
      <c r="S239" s="511">
        <f t="shared" si="52"/>
        <v>0</v>
      </c>
    </row>
    <row r="240" spans="1:19" ht="14" thickTop="1" thickBot="1">
      <c r="A240" s="202">
        <f t="shared" si="55"/>
        <v>51806</v>
      </c>
      <c r="B240" s="65">
        <f t="shared" si="48"/>
        <v>0</v>
      </c>
      <c r="C240" s="65">
        <f t="shared" si="46"/>
        <v>0</v>
      </c>
      <c r="D240" s="65">
        <f t="shared" si="49"/>
        <v>215</v>
      </c>
      <c r="E240" s="65">
        <f t="shared" si="56"/>
        <v>0</v>
      </c>
      <c r="F240" s="65">
        <f>IF(OR(L$73=0,DG!$A$258&gt;16),0,F239+1)</f>
        <v>0</v>
      </c>
      <c r="G240" s="65">
        <f t="shared" si="53"/>
        <v>0</v>
      </c>
      <c r="H240" s="65">
        <f t="shared" si="50"/>
        <v>0</v>
      </c>
      <c r="I240" s="65">
        <f t="shared" si="47"/>
        <v>0</v>
      </c>
      <c r="J240" s="203">
        <f>IF(DG!$A$137&lt;=11,$M$17,0)</f>
        <v>0</v>
      </c>
      <c r="K240" s="65">
        <f t="shared" si="51"/>
        <v>0</v>
      </c>
      <c r="L240" s="473">
        <f t="shared" si="57"/>
        <v>0</v>
      </c>
      <c r="M240" s="204">
        <f t="shared" si="58"/>
        <v>0</v>
      </c>
      <c r="N240" s="505">
        <f t="shared" si="59"/>
        <v>0</v>
      </c>
      <c r="O240" s="204">
        <f>IF(DG!$A$137&gt;12,0,IF(J240-J239&gt;0,MROUND((L240/12*Q239),1),MROUND(L240/12*P239,1)))</f>
        <v>0</v>
      </c>
      <c r="P240" s="204">
        <f t="shared" si="60"/>
        <v>0</v>
      </c>
      <c r="Q240" s="204">
        <f t="shared" si="54"/>
        <v>0</v>
      </c>
      <c r="R240" s="476">
        <v>0</v>
      </c>
      <c r="S240" s="511">
        <f t="shared" si="52"/>
        <v>0</v>
      </c>
    </row>
    <row r="241" spans="1:19" ht="14" thickTop="1" thickBot="1">
      <c r="A241" s="202">
        <f t="shared" si="55"/>
        <v>51836</v>
      </c>
      <c r="B241" s="65">
        <f t="shared" si="48"/>
        <v>0</v>
      </c>
      <c r="C241" s="65">
        <f t="shared" si="46"/>
        <v>0</v>
      </c>
      <c r="D241" s="65">
        <f t="shared" si="49"/>
        <v>216</v>
      </c>
      <c r="E241" s="65">
        <f t="shared" si="56"/>
        <v>0</v>
      </c>
      <c r="F241" s="65">
        <f>IF(OR(L$73=0,DG!$A$258&gt;16),0,F240+1)</f>
        <v>0</v>
      </c>
      <c r="G241" s="65">
        <f t="shared" si="53"/>
        <v>0</v>
      </c>
      <c r="H241" s="65">
        <f t="shared" si="50"/>
        <v>0</v>
      </c>
      <c r="I241" s="65">
        <f t="shared" si="47"/>
        <v>0</v>
      </c>
      <c r="J241" s="203">
        <f>IF(DG!$A$137&lt;=11,$M$17,0)</f>
        <v>0</v>
      </c>
      <c r="K241" s="65">
        <f t="shared" si="51"/>
        <v>0</v>
      </c>
      <c r="L241" s="473">
        <f t="shared" si="57"/>
        <v>0</v>
      </c>
      <c r="M241" s="204">
        <f t="shared" si="58"/>
        <v>0</v>
      </c>
      <c r="N241" s="505">
        <f t="shared" si="59"/>
        <v>0</v>
      </c>
      <c r="O241" s="204">
        <f>IF(DG!$A$137&gt;12,0,IF(J241-J240&gt;0,MROUND((L241/12*Q240),1),MROUND(L241/12*P240,1)))</f>
        <v>0</v>
      </c>
      <c r="P241" s="204">
        <f t="shared" si="60"/>
        <v>0</v>
      </c>
      <c r="Q241" s="204">
        <f t="shared" si="54"/>
        <v>0</v>
      </c>
      <c r="R241" s="476">
        <v>0</v>
      </c>
      <c r="S241" s="511">
        <f t="shared" si="52"/>
        <v>0</v>
      </c>
    </row>
    <row r="242" spans="1:19" ht="14" thickTop="1" thickBot="1">
      <c r="A242" s="202">
        <f t="shared" si="55"/>
        <v>51867</v>
      </c>
      <c r="B242" s="65">
        <f t="shared" si="48"/>
        <v>0</v>
      </c>
      <c r="C242" s="65">
        <f t="shared" si="46"/>
        <v>0</v>
      </c>
      <c r="D242" s="65">
        <f t="shared" si="49"/>
        <v>217</v>
      </c>
      <c r="E242" s="65">
        <f t="shared" si="56"/>
        <v>0</v>
      </c>
      <c r="F242" s="65">
        <f>IF(OR(L$73=0,DG!$A$258&gt;16),0,F241+1)</f>
        <v>0</v>
      </c>
      <c r="G242" s="65">
        <f t="shared" si="53"/>
        <v>0</v>
      </c>
      <c r="H242" s="65">
        <f t="shared" si="50"/>
        <v>0</v>
      </c>
      <c r="I242" s="65">
        <f t="shared" si="47"/>
        <v>0</v>
      </c>
      <c r="J242" s="203">
        <f>IF(DG!$A$137&lt;=11,$M$17,0)</f>
        <v>0</v>
      </c>
      <c r="K242" s="65">
        <f t="shared" si="51"/>
        <v>0</v>
      </c>
      <c r="L242" s="473">
        <f t="shared" si="57"/>
        <v>0</v>
      </c>
      <c r="M242" s="204">
        <f t="shared" si="58"/>
        <v>0</v>
      </c>
      <c r="N242" s="505">
        <f t="shared" si="59"/>
        <v>0</v>
      </c>
      <c r="O242" s="204">
        <f>IF(DG!$A$137&gt;12,0,IF(J242-J241&gt;0,MROUND((L242/12*Q241),1),MROUND(L242/12*P241,1)))</f>
        <v>0</v>
      </c>
      <c r="P242" s="204">
        <f t="shared" si="60"/>
        <v>0</v>
      </c>
      <c r="Q242" s="204">
        <f t="shared" si="54"/>
        <v>0</v>
      </c>
      <c r="R242" s="476">
        <v>0</v>
      </c>
      <c r="S242" s="511">
        <f t="shared" si="52"/>
        <v>0</v>
      </c>
    </row>
    <row r="243" spans="1:19" ht="14" thickTop="1" thickBot="1">
      <c r="A243" s="202">
        <f t="shared" si="55"/>
        <v>51898</v>
      </c>
      <c r="B243" s="65">
        <f t="shared" si="48"/>
        <v>0</v>
      </c>
      <c r="C243" s="65">
        <f t="shared" ref="C243:C265" si="61">IF(F243-$E$269&gt;0,F243-$E$269,0)</f>
        <v>0</v>
      </c>
      <c r="D243" s="65">
        <f t="shared" si="49"/>
        <v>218</v>
      </c>
      <c r="E243" s="65">
        <f t="shared" si="56"/>
        <v>0</v>
      </c>
      <c r="F243" s="65">
        <f>IF(OR(L$73=0,DG!$A$258&gt;16),0,F242+1)</f>
        <v>0</v>
      </c>
      <c r="G243" s="65">
        <f t="shared" si="53"/>
        <v>0</v>
      </c>
      <c r="H243" s="65">
        <f t="shared" si="50"/>
        <v>0</v>
      </c>
      <c r="I243" s="65">
        <f t="shared" si="47"/>
        <v>0</v>
      </c>
      <c r="J243" s="203">
        <f>IF(DG!$A$137&lt;=11,$M$17,0)</f>
        <v>0</v>
      </c>
      <c r="K243" s="65">
        <f t="shared" si="51"/>
        <v>0</v>
      </c>
      <c r="L243" s="473">
        <f t="shared" si="57"/>
        <v>0</v>
      </c>
      <c r="M243" s="204">
        <f t="shared" si="58"/>
        <v>0</v>
      </c>
      <c r="N243" s="505">
        <f t="shared" si="59"/>
        <v>0</v>
      </c>
      <c r="O243" s="204">
        <f>IF(DG!$A$137&gt;12,0,IF(J243-J242&gt;0,MROUND((L243/12*Q242),1),MROUND(L243/12*P242,1)))</f>
        <v>0</v>
      </c>
      <c r="P243" s="204">
        <f t="shared" si="60"/>
        <v>0</v>
      </c>
      <c r="Q243" s="204">
        <f t="shared" si="54"/>
        <v>0</v>
      </c>
      <c r="R243" s="476">
        <v>0</v>
      </c>
      <c r="S243" s="511">
        <f t="shared" si="52"/>
        <v>0</v>
      </c>
    </row>
    <row r="244" spans="1:19" ht="14" thickTop="1" thickBot="1">
      <c r="A244" s="202">
        <f t="shared" si="55"/>
        <v>51926</v>
      </c>
      <c r="B244" s="65">
        <f t="shared" si="48"/>
        <v>0</v>
      </c>
      <c r="C244" s="65">
        <f t="shared" si="61"/>
        <v>0</v>
      </c>
      <c r="D244" s="65">
        <f t="shared" si="49"/>
        <v>219</v>
      </c>
      <c r="E244" s="65">
        <f t="shared" si="56"/>
        <v>0</v>
      </c>
      <c r="F244" s="65">
        <f>IF(OR(L$73=0,DG!$A$258&gt;16),0,F243+1)</f>
        <v>0</v>
      </c>
      <c r="G244" s="65">
        <f t="shared" si="53"/>
        <v>0</v>
      </c>
      <c r="H244" s="65">
        <f t="shared" si="50"/>
        <v>0</v>
      </c>
      <c r="I244" s="65">
        <f t="shared" si="47"/>
        <v>0</v>
      </c>
      <c r="J244" s="203">
        <f>IF(DG!$A$137&lt;=11,$M$17,0)</f>
        <v>0</v>
      </c>
      <c r="K244" s="65">
        <f t="shared" si="51"/>
        <v>0</v>
      </c>
      <c r="L244" s="473">
        <f t="shared" si="57"/>
        <v>0</v>
      </c>
      <c r="M244" s="204">
        <f t="shared" si="58"/>
        <v>0</v>
      </c>
      <c r="N244" s="505">
        <f t="shared" si="59"/>
        <v>0</v>
      </c>
      <c r="O244" s="204">
        <f>IF(DG!$A$137&gt;12,0,IF(J244-J243&gt;0,MROUND((L244/12*Q243),1),MROUND(L244/12*P243,1)))</f>
        <v>0</v>
      </c>
      <c r="P244" s="204">
        <f t="shared" si="60"/>
        <v>0</v>
      </c>
      <c r="Q244" s="204">
        <f t="shared" si="54"/>
        <v>0</v>
      </c>
      <c r="R244" s="476">
        <v>0</v>
      </c>
      <c r="S244" s="511">
        <f t="shared" si="52"/>
        <v>0</v>
      </c>
    </row>
    <row r="245" spans="1:19" ht="14" thickTop="1" thickBot="1">
      <c r="A245" s="202">
        <f t="shared" si="55"/>
        <v>51957</v>
      </c>
      <c r="B245" s="65">
        <f t="shared" si="48"/>
        <v>0</v>
      </c>
      <c r="C245" s="65">
        <f t="shared" si="61"/>
        <v>0</v>
      </c>
      <c r="D245" s="65">
        <f t="shared" si="49"/>
        <v>220</v>
      </c>
      <c r="E245" s="65">
        <f t="shared" si="56"/>
        <v>0</v>
      </c>
      <c r="F245" s="65">
        <f>IF(OR(L$73=0,DG!$A$258&gt;16),0,F244+1)</f>
        <v>0</v>
      </c>
      <c r="G245" s="65">
        <f t="shared" si="53"/>
        <v>0</v>
      </c>
      <c r="H245" s="65">
        <f t="shared" si="50"/>
        <v>0</v>
      </c>
      <c r="I245" s="65">
        <f t="shared" si="47"/>
        <v>0</v>
      </c>
      <c r="J245" s="203">
        <f>IF(DG!$A$137&lt;=11,$M$17,0)</f>
        <v>0</v>
      </c>
      <c r="K245" s="65">
        <f t="shared" si="51"/>
        <v>0</v>
      </c>
      <c r="L245" s="473">
        <f t="shared" si="57"/>
        <v>0</v>
      </c>
      <c r="M245" s="204">
        <f t="shared" si="58"/>
        <v>0</v>
      </c>
      <c r="N245" s="505">
        <f t="shared" si="59"/>
        <v>0</v>
      </c>
      <c r="O245" s="204">
        <f>IF(DG!$A$137&gt;12,0,IF(J245-J244&gt;0,MROUND((L245/12*Q244),1),MROUND(L245/12*P244,1)))</f>
        <v>0</v>
      </c>
      <c r="P245" s="204">
        <f t="shared" si="60"/>
        <v>0</v>
      </c>
      <c r="Q245" s="204">
        <f t="shared" si="54"/>
        <v>0</v>
      </c>
      <c r="R245" s="476">
        <v>0</v>
      </c>
      <c r="S245" s="511">
        <f t="shared" si="52"/>
        <v>0</v>
      </c>
    </row>
    <row r="246" spans="1:19" ht="14" thickTop="1" thickBot="1">
      <c r="A246" s="202">
        <f t="shared" si="55"/>
        <v>51987</v>
      </c>
      <c r="B246" s="65">
        <f t="shared" si="48"/>
        <v>0</v>
      </c>
      <c r="C246" s="65">
        <f t="shared" si="61"/>
        <v>0</v>
      </c>
      <c r="D246" s="65">
        <f t="shared" si="49"/>
        <v>221</v>
      </c>
      <c r="E246" s="65">
        <f t="shared" si="56"/>
        <v>0</v>
      </c>
      <c r="F246" s="65">
        <f>IF(OR(L$73=0,DG!$A$258&gt;16),0,F245+1)</f>
        <v>0</v>
      </c>
      <c r="G246" s="65">
        <f t="shared" si="53"/>
        <v>0</v>
      </c>
      <c r="H246" s="65">
        <f t="shared" si="50"/>
        <v>0</v>
      </c>
      <c r="I246" s="65">
        <f t="shared" si="47"/>
        <v>0</v>
      </c>
      <c r="J246" s="203">
        <f>IF(DG!$A$137&lt;=11,$M$17,0)</f>
        <v>0</v>
      </c>
      <c r="K246" s="65">
        <f t="shared" si="51"/>
        <v>0</v>
      </c>
      <c r="L246" s="473">
        <f t="shared" si="57"/>
        <v>0</v>
      </c>
      <c r="M246" s="204">
        <f t="shared" si="58"/>
        <v>0</v>
      </c>
      <c r="N246" s="505">
        <f t="shared" si="59"/>
        <v>0</v>
      </c>
      <c r="O246" s="204">
        <f>IF(DG!$A$137&gt;12,0,IF(J246-J245&gt;0,MROUND((L246/12*Q245),1),MROUND(L246/12*P245,1)))</f>
        <v>0</v>
      </c>
      <c r="P246" s="204">
        <f t="shared" si="60"/>
        <v>0</v>
      </c>
      <c r="Q246" s="204">
        <f t="shared" si="54"/>
        <v>0</v>
      </c>
      <c r="R246" s="476">
        <v>0</v>
      </c>
      <c r="S246" s="511">
        <f t="shared" si="52"/>
        <v>0</v>
      </c>
    </row>
    <row r="247" spans="1:19" ht="14" thickTop="1" thickBot="1">
      <c r="A247" s="202">
        <f t="shared" si="55"/>
        <v>52018</v>
      </c>
      <c r="B247" s="65">
        <f t="shared" si="48"/>
        <v>0</v>
      </c>
      <c r="C247" s="65">
        <f t="shared" si="61"/>
        <v>0</v>
      </c>
      <c r="D247" s="65">
        <f t="shared" si="49"/>
        <v>222</v>
      </c>
      <c r="E247" s="65">
        <f t="shared" si="56"/>
        <v>0</v>
      </c>
      <c r="F247" s="65">
        <f>IF(OR(L$73=0,DG!$A$258&gt;16),0,F246+1)</f>
        <v>0</v>
      </c>
      <c r="G247" s="65">
        <f t="shared" si="53"/>
        <v>0</v>
      </c>
      <c r="H247" s="65">
        <f t="shared" si="50"/>
        <v>0</v>
      </c>
      <c r="I247" s="65">
        <f t="shared" si="47"/>
        <v>0</v>
      </c>
      <c r="J247" s="203">
        <f>IF(DG!$A$137&lt;=11,$M$17,0)</f>
        <v>0</v>
      </c>
      <c r="K247" s="65">
        <f t="shared" si="51"/>
        <v>0</v>
      </c>
      <c r="L247" s="473">
        <f t="shared" si="57"/>
        <v>0</v>
      </c>
      <c r="M247" s="204">
        <f t="shared" si="58"/>
        <v>0</v>
      </c>
      <c r="N247" s="505">
        <f t="shared" si="59"/>
        <v>0</v>
      </c>
      <c r="O247" s="204">
        <f>IF(DG!$A$137&gt;12,0,IF(J247-J246&gt;0,MROUND((L247/12*Q246),1),MROUND(L247/12*P246,1)))</f>
        <v>0</v>
      </c>
      <c r="P247" s="204">
        <f t="shared" si="60"/>
        <v>0</v>
      </c>
      <c r="Q247" s="204">
        <f t="shared" si="54"/>
        <v>0</v>
      </c>
      <c r="R247" s="476">
        <v>0</v>
      </c>
      <c r="S247" s="511">
        <f t="shared" si="52"/>
        <v>0</v>
      </c>
    </row>
    <row r="248" spans="1:19" ht="14" thickTop="1" thickBot="1">
      <c r="A248" s="202">
        <f t="shared" si="55"/>
        <v>52048</v>
      </c>
      <c r="B248" s="65">
        <f t="shared" si="48"/>
        <v>0</v>
      </c>
      <c r="C248" s="65">
        <f t="shared" si="61"/>
        <v>0</v>
      </c>
      <c r="D248" s="65">
        <f t="shared" si="49"/>
        <v>223</v>
      </c>
      <c r="E248" s="65">
        <f t="shared" si="56"/>
        <v>0</v>
      </c>
      <c r="F248" s="65">
        <f>IF(OR(L$73=0,DG!$A$258&gt;16),0,F247+1)</f>
        <v>0</v>
      </c>
      <c r="G248" s="65">
        <f t="shared" si="53"/>
        <v>0</v>
      </c>
      <c r="H248" s="65">
        <f t="shared" si="50"/>
        <v>0</v>
      </c>
      <c r="I248" s="65">
        <f t="shared" si="47"/>
        <v>0</v>
      </c>
      <c r="J248" s="203">
        <f>IF(DG!$A$137&lt;=11,$M$17,0)</f>
        <v>0</v>
      </c>
      <c r="K248" s="65">
        <f t="shared" si="51"/>
        <v>0</v>
      </c>
      <c r="L248" s="473">
        <f t="shared" si="57"/>
        <v>0</v>
      </c>
      <c r="M248" s="204">
        <f t="shared" si="58"/>
        <v>0</v>
      </c>
      <c r="N248" s="505">
        <f t="shared" si="59"/>
        <v>0</v>
      </c>
      <c r="O248" s="204">
        <f>IF(DG!$A$137&gt;12,0,IF(J248-J247&gt;0,MROUND((L248/12*Q247),1),MROUND(L248/12*P247,1)))</f>
        <v>0</v>
      </c>
      <c r="P248" s="204">
        <f t="shared" si="60"/>
        <v>0</v>
      </c>
      <c r="Q248" s="204">
        <f t="shared" si="54"/>
        <v>0</v>
      </c>
      <c r="R248" s="476">
        <v>0</v>
      </c>
      <c r="S248" s="511">
        <f t="shared" si="52"/>
        <v>0</v>
      </c>
    </row>
    <row r="249" spans="1:19" ht="14" thickTop="1" thickBot="1">
      <c r="A249" s="202">
        <f t="shared" si="55"/>
        <v>52079</v>
      </c>
      <c r="B249" s="65">
        <f t="shared" si="48"/>
        <v>0</v>
      </c>
      <c r="C249" s="65">
        <f t="shared" si="61"/>
        <v>0</v>
      </c>
      <c r="D249" s="65">
        <f t="shared" si="49"/>
        <v>224</v>
      </c>
      <c r="E249" s="65">
        <f t="shared" si="56"/>
        <v>0</v>
      </c>
      <c r="F249" s="65">
        <f>IF(OR(L$73=0,DG!$A$258&gt;16),0,F248+1)</f>
        <v>0</v>
      </c>
      <c r="G249" s="65">
        <f t="shared" si="53"/>
        <v>0</v>
      </c>
      <c r="H249" s="65">
        <f t="shared" si="50"/>
        <v>0</v>
      </c>
      <c r="I249" s="65">
        <f t="shared" si="47"/>
        <v>0</v>
      </c>
      <c r="J249" s="203">
        <f>IF(DG!$A$137&lt;=11,$M$17,0)</f>
        <v>0</v>
      </c>
      <c r="K249" s="65">
        <f t="shared" si="51"/>
        <v>0</v>
      </c>
      <c r="L249" s="473">
        <f t="shared" si="57"/>
        <v>0</v>
      </c>
      <c r="M249" s="204">
        <f t="shared" si="58"/>
        <v>0</v>
      </c>
      <c r="N249" s="505">
        <f t="shared" si="59"/>
        <v>0</v>
      </c>
      <c r="O249" s="204">
        <f>IF(DG!$A$137&gt;12,0,IF(J249-J248&gt;0,MROUND((L249/12*Q248),1),MROUND(L249/12*P248,1)))</f>
        <v>0</v>
      </c>
      <c r="P249" s="204">
        <f t="shared" si="60"/>
        <v>0</v>
      </c>
      <c r="Q249" s="204">
        <f t="shared" si="54"/>
        <v>0</v>
      </c>
      <c r="R249" s="476">
        <v>0</v>
      </c>
      <c r="S249" s="511">
        <f t="shared" si="52"/>
        <v>0</v>
      </c>
    </row>
    <row r="250" spans="1:19" ht="14" thickTop="1" thickBot="1">
      <c r="A250" s="202">
        <f t="shared" si="55"/>
        <v>52110</v>
      </c>
      <c r="B250" s="65">
        <f t="shared" si="48"/>
        <v>0</v>
      </c>
      <c r="C250" s="65">
        <f t="shared" si="61"/>
        <v>0</v>
      </c>
      <c r="D250" s="65">
        <f t="shared" si="49"/>
        <v>225</v>
      </c>
      <c r="E250" s="65">
        <f t="shared" si="56"/>
        <v>0</v>
      </c>
      <c r="F250" s="65">
        <f>IF(OR(L$73=0,DG!$A$258&gt;16),0,F249+1)</f>
        <v>0</v>
      </c>
      <c r="G250" s="65">
        <f t="shared" si="53"/>
        <v>0</v>
      </c>
      <c r="H250" s="65">
        <f t="shared" si="50"/>
        <v>0</v>
      </c>
      <c r="I250" s="65">
        <f t="shared" si="47"/>
        <v>0</v>
      </c>
      <c r="J250" s="203">
        <f>IF(DG!$A$137&lt;=11,$M$17,0)</f>
        <v>0</v>
      </c>
      <c r="K250" s="65">
        <f t="shared" si="51"/>
        <v>0</v>
      </c>
      <c r="L250" s="473">
        <f t="shared" si="57"/>
        <v>0</v>
      </c>
      <c r="M250" s="204">
        <f t="shared" si="58"/>
        <v>0</v>
      </c>
      <c r="N250" s="505">
        <f t="shared" si="59"/>
        <v>0</v>
      </c>
      <c r="O250" s="204">
        <f>IF(DG!$A$137&gt;12,0,IF(J250-J249&gt;0,MROUND((L250/12*Q249),1),MROUND(L250/12*P249,1)))</f>
        <v>0</v>
      </c>
      <c r="P250" s="204">
        <f t="shared" si="60"/>
        <v>0</v>
      </c>
      <c r="Q250" s="204">
        <f t="shared" si="54"/>
        <v>0</v>
      </c>
      <c r="R250" s="476">
        <v>0</v>
      </c>
      <c r="S250" s="511">
        <f t="shared" si="52"/>
        <v>0</v>
      </c>
    </row>
    <row r="251" spans="1:19" ht="14" thickTop="1" thickBot="1">
      <c r="A251" s="202">
        <f t="shared" si="55"/>
        <v>52140</v>
      </c>
      <c r="B251" s="65">
        <f t="shared" si="48"/>
        <v>0</v>
      </c>
      <c r="C251" s="65">
        <f t="shared" si="61"/>
        <v>0</v>
      </c>
      <c r="D251" s="65">
        <f t="shared" si="49"/>
        <v>226</v>
      </c>
      <c r="E251" s="65">
        <f t="shared" si="56"/>
        <v>0</v>
      </c>
      <c r="F251" s="65">
        <f>IF(OR(L$73=0,DG!$A$258&gt;16),0,F250+1)</f>
        <v>0</v>
      </c>
      <c r="G251" s="65">
        <f t="shared" si="53"/>
        <v>0</v>
      </c>
      <c r="H251" s="65">
        <f t="shared" si="50"/>
        <v>0</v>
      </c>
      <c r="I251" s="65">
        <f t="shared" si="47"/>
        <v>0</v>
      </c>
      <c r="J251" s="203">
        <f>IF(DG!$A$137&lt;=11,$M$17,0)</f>
        <v>0</v>
      </c>
      <c r="K251" s="65">
        <f t="shared" si="51"/>
        <v>0</v>
      </c>
      <c r="L251" s="473">
        <f t="shared" si="57"/>
        <v>0</v>
      </c>
      <c r="M251" s="204">
        <f t="shared" si="58"/>
        <v>0</v>
      </c>
      <c r="N251" s="505">
        <f t="shared" si="59"/>
        <v>0</v>
      </c>
      <c r="O251" s="204">
        <f>IF(DG!$A$137&gt;12,0,IF(J251-J250&gt;0,MROUND((L251/12*Q250),1),MROUND(L251/12*P250,1)))</f>
        <v>0</v>
      </c>
      <c r="P251" s="204">
        <f t="shared" si="60"/>
        <v>0</v>
      </c>
      <c r="Q251" s="204">
        <f t="shared" si="54"/>
        <v>0</v>
      </c>
      <c r="R251" s="476">
        <v>0</v>
      </c>
      <c r="S251" s="511">
        <f t="shared" si="52"/>
        <v>0</v>
      </c>
    </row>
    <row r="252" spans="1:19" ht="14" thickTop="1" thickBot="1">
      <c r="A252" s="202">
        <f t="shared" si="55"/>
        <v>52171</v>
      </c>
      <c r="B252" s="65">
        <f t="shared" si="48"/>
        <v>0</v>
      </c>
      <c r="C252" s="65">
        <f t="shared" si="61"/>
        <v>0</v>
      </c>
      <c r="D252" s="65">
        <f t="shared" si="49"/>
        <v>227</v>
      </c>
      <c r="E252" s="65">
        <f t="shared" si="56"/>
        <v>0</v>
      </c>
      <c r="F252" s="65">
        <f>IF(OR(L$73=0,DG!$A$258&gt;16),0,F251+1)</f>
        <v>0</v>
      </c>
      <c r="G252" s="65">
        <f t="shared" si="53"/>
        <v>0</v>
      </c>
      <c r="H252" s="65">
        <f t="shared" si="50"/>
        <v>0</v>
      </c>
      <c r="I252" s="65">
        <f t="shared" si="47"/>
        <v>0</v>
      </c>
      <c r="J252" s="203">
        <f>IF(DG!$A$137&lt;=11,$M$17,0)</f>
        <v>0</v>
      </c>
      <c r="K252" s="65">
        <f t="shared" si="51"/>
        <v>0</v>
      </c>
      <c r="L252" s="473">
        <f t="shared" si="57"/>
        <v>0</v>
      </c>
      <c r="M252" s="204">
        <f t="shared" si="58"/>
        <v>0</v>
      </c>
      <c r="N252" s="505">
        <f t="shared" si="59"/>
        <v>0</v>
      </c>
      <c r="O252" s="204">
        <f>IF(DG!$A$137&gt;12,0,IF(J252-J251&gt;0,MROUND((L252/12*Q251),1),MROUND(L252/12*P251,1)))</f>
        <v>0</v>
      </c>
      <c r="P252" s="204">
        <f t="shared" si="60"/>
        <v>0</v>
      </c>
      <c r="Q252" s="204">
        <f t="shared" si="54"/>
        <v>0</v>
      </c>
      <c r="R252" s="476">
        <v>0</v>
      </c>
      <c r="S252" s="511">
        <f t="shared" si="52"/>
        <v>0</v>
      </c>
    </row>
    <row r="253" spans="1:19" ht="14" thickTop="1" thickBot="1">
      <c r="A253" s="202">
        <f t="shared" si="55"/>
        <v>52201</v>
      </c>
      <c r="B253" s="65">
        <f t="shared" si="48"/>
        <v>0</v>
      </c>
      <c r="C253" s="65">
        <f t="shared" si="61"/>
        <v>0</v>
      </c>
      <c r="D253" s="65">
        <f t="shared" si="49"/>
        <v>228</v>
      </c>
      <c r="E253" s="65">
        <f t="shared" si="56"/>
        <v>0</v>
      </c>
      <c r="F253" s="65">
        <f>IF(OR(L$73=0,DG!$A$258&gt;16),0,F252+1)</f>
        <v>0</v>
      </c>
      <c r="G253" s="65">
        <f t="shared" si="53"/>
        <v>0</v>
      </c>
      <c r="H253" s="65">
        <f t="shared" si="50"/>
        <v>0</v>
      </c>
      <c r="I253" s="65">
        <f t="shared" si="47"/>
        <v>0</v>
      </c>
      <c r="J253" s="203">
        <f>IF(DG!$A$137&lt;=11,$M$17,0)</f>
        <v>0</v>
      </c>
      <c r="K253" s="65">
        <f t="shared" si="51"/>
        <v>0</v>
      </c>
      <c r="L253" s="473">
        <f t="shared" si="57"/>
        <v>0</v>
      </c>
      <c r="M253" s="204">
        <f t="shared" si="58"/>
        <v>0</v>
      </c>
      <c r="N253" s="505">
        <f t="shared" si="59"/>
        <v>0</v>
      </c>
      <c r="O253" s="204">
        <f>IF(DG!$A$137&gt;12,0,IF(J253-J252&gt;0,MROUND((L253/12*Q252),1),MROUND(L253/12*P252,1)))</f>
        <v>0</v>
      </c>
      <c r="P253" s="204">
        <f t="shared" si="60"/>
        <v>0</v>
      </c>
      <c r="Q253" s="204">
        <f t="shared" si="54"/>
        <v>0</v>
      </c>
      <c r="R253" s="476">
        <v>0</v>
      </c>
      <c r="S253" s="511">
        <f t="shared" si="52"/>
        <v>0</v>
      </c>
    </row>
    <row r="254" spans="1:19" ht="14" thickTop="1" thickBot="1">
      <c r="A254" s="202">
        <f t="shared" si="55"/>
        <v>52232</v>
      </c>
      <c r="B254" s="65">
        <f t="shared" si="48"/>
        <v>0</v>
      </c>
      <c r="C254" s="65">
        <f t="shared" si="61"/>
        <v>0</v>
      </c>
      <c r="D254" s="65">
        <f t="shared" si="49"/>
        <v>229</v>
      </c>
      <c r="E254" s="65">
        <f t="shared" si="56"/>
        <v>0</v>
      </c>
      <c r="F254" s="65">
        <f>IF(OR(L$73=0,DG!$A$258&gt;16),0,F253+1)</f>
        <v>0</v>
      </c>
      <c r="G254" s="65">
        <f t="shared" si="53"/>
        <v>0</v>
      </c>
      <c r="H254" s="65">
        <f t="shared" si="50"/>
        <v>0</v>
      </c>
      <c r="I254" s="65">
        <f t="shared" si="47"/>
        <v>0</v>
      </c>
      <c r="J254" s="203">
        <f>IF(DG!$A$137&lt;=11,$M$17,0)</f>
        <v>0</v>
      </c>
      <c r="K254" s="65">
        <f t="shared" si="51"/>
        <v>0</v>
      </c>
      <c r="L254" s="473">
        <f t="shared" si="57"/>
        <v>0</v>
      </c>
      <c r="M254" s="204">
        <f t="shared" si="58"/>
        <v>0</v>
      </c>
      <c r="N254" s="505">
        <f t="shared" si="59"/>
        <v>0</v>
      </c>
      <c r="O254" s="204">
        <f>IF(DG!$A$137&gt;12,0,IF(J254-J253&gt;0,MROUND((L254/12*Q253),1),MROUND(L254/12*P253,1)))</f>
        <v>0</v>
      </c>
      <c r="P254" s="204">
        <f t="shared" si="60"/>
        <v>0</v>
      </c>
      <c r="Q254" s="204">
        <f t="shared" si="54"/>
        <v>0</v>
      </c>
      <c r="R254" s="476">
        <v>0</v>
      </c>
      <c r="S254" s="511">
        <f t="shared" si="52"/>
        <v>0</v>
      </c>
    </row>
    <row r="255" spans="1:19" ht="14" thickTop="1" thickBot="1">
      <c r="A255" s="202">
        <f t="shared" si="55"/>
        <v>52263</v>
      </c>
      <c r="B255" s="65">
        <f t="shared" si="48"/>
        <v>0</v>
      </c>
      <c r="C255" s="65">
        <f t="shared" si="61"/>
        <v>0</v>
      </c>
      <c r="D255" s="65">
        <f t="shared" si="49"/>
        <v>230</v>
      </c>
      <c r="E255" s="65">
        <f t="shared" si="56"/>
        <v>0</v>
      </c>
      <c r="F255" s="65">
        <f>IF(OR(L$73=0,DG!$A$258&gt;16),0,F254+1)</f>
        <v>0</v>
      </c>
      <c r="G255" s="65">
        <f t="shared" si="53"/>
        <v>0</v>
      </c>
      <c r="H255" s="65">
        <f t="shared" si="50"/>
        <v>0</v>
      </c>
      <c r="I255" s="65">
        <f t="shared" si="47"/>
        <v>0</v>
      </c>
      <c r="J255" s="203">
        <f>IF(DG!$A$137&lt;=11,$M$17,0)</f>
        <v>0</v>
      </c>
      <c r="K255" s="65">
        <f t="shared" si="51"/>
        <v>0</v>
      </c>
      <c r="L255" s="473">
        <f t="shared" si="57"/>
        <v>0</v>
      </c>
      <c r="M255" s="204">
        <f t="shared" si="58"/>
        <v>0</v>
      </c>
      <c r="N255" s="505">
        <f t="shared" si="59"/>
        <v>0</v>
      </c>
      <c r="O255" s="204">
        <f>IF(DG!$A$137&gt;12,0,IF(J255-J254&gt;0,MROUND((L255/12*Q254),1),MROUND(L255/12*P254,1)))</f>
        <v>0</v>
      </c>
      <c r="P255" s="204">
        <f t="shared" si="60"/>
        <v>0</v>
      </c>
      <c r="Q255" s="204">
        <f t="shared" si="54"/>
        <v>0</v>
      </c>
      <c r="R255" s="476">
        <v>0</v>
      </c>
      <c r="S255" s="511">
        <f t="shared" si="52"/>
        <v>0</v>
      </c>
    </row>
    <row r="256" spans="1:19" ht="14" thickTop="1" thickBot="1">
      <c r="A256" s="202">
        <f t="shared" si="55"/>
        <v>52291</v>
      </c>
      <c r="B256" s="65">
        <f t="shared" si="48"/>
        <v>0</v>
      </c>
      <c r="C256" s="65">
        <f t="shared" si="61"/>
        <v>0</v>
      </c>
      <c r="D256" s="65">
        <f t="shared" si="49"/>
        <v>231</v>
      </c>
      <c r="E256" s="65">
        <f t="shared" si="56"/>
        <v>0</v>
      </c>
      <c r="F256" s="65">
        <f>IF(OR(L$73=0,DG!$A$258&gt;16),0,F255+1)</f>
        <v>0</v>
      </c>
      <c r="G256" s="65">
        <f t="shared" si="53"/>
        <v>0</v>
      </c>
      <c r="H256" s="65">
        <f t="shared" si="50"/>
        <v>0</v>
      </c>
      <c r="I256" s="65">
        <f t="shared" si="47"/>
        <v>0</v>
      </c>
      <c r="J256" s="203">
        <f>IF(DG!$A$137&lt;=11,$M$17,0)</f>
        <v>0</v>
      </c>
      <c r="K256" s="65">
        <f t="shared" si="51"/>
        <v>0</v>
      </c>
      <c r="L256" s="473">
        <f t="shared" si="57"/>
        <v>0</v>
      </c>
      <c r="M256" s="204">
        <f t="shared" si="58"/>
        <v>0</v>
      </c>
      <c r="N256" s="505">
        <f t="shared" si="59"/>
        <v>0</v>
      </c>
      <c r="O256" s="204">
        <f>IF(DG!$A$137&gt;12,0,IF(J256-J255&gt;0,MROUND((L256/12*Q255),1),MROUND(L256/12*P255,1)))</f>
        <v>0</v>
      </c>
      <c r="P256" s="204">
        <f t="shared" si="60"/>
        <v>0</v>
      </c>
      <c r="Q256" s="204">
        <f t="shared" si="54"/>
        <v>0</v>
      </c>
      <c r="R256" s="476">
        <v>0</v>
      </c>
      <c r="S256" s="511">
        <f t="shared" si="52"/>
        <v>0</v>
      </c>
    </row>
    <row r="257" spans="1:19" ht="14" thickTop="1" thickBot="1">
      <c r="A257" s="202">
        <f t="shared" si="55"/>
        <v>52322</v>
      </c>
      <c r="B257" s="65">
        <f t="shared" si="48"/>
        <v>0</v>
      </c>
      <c r="C257" s="65">
        <f t="shared" si="61"/>
        <v>0</v>
      </c>
      <c r="D257" s="65">
        <f t="shared" si="49"/>
        <v>232</v>
      </c>
      <c r="E257" s="65">
        <f t="shared" si="56"/>
        <v>0</v>
      </c>
      <c r="F257" s="65">
        <f>IF(OR(L$73=0,DG!$A$258&gt;16),0,F256+1)</f>
        <v>0</v>
      </c>
      <c r="G257" s="65">
        <f t="shared" si="53"/>
        <v>0</v>
      </c>
      <c r="H257" s="65">
        <f t="shared" si="50"/>
        <v>0</v>
      </c>
      <c r="I257" s="65">
        <f t="shared" ref="I257:I265" si="62">IF(OR(G257=1,C257=0),0,IF(K257-C257&lt;$G$269,1,-1))</f>
        <v>0</v>
      </c>
      <c r="J257" s="203">
        <f>IF(DG!$A$137&lt;=11,$M$17,0)</f>
        <v>0</v>
      </c>
      <c r="K257" s="65">
        <f t="shared" si="51"/>
        <v>0</v>
      </c>
      <c r="L257" s="473">
        <f t="shared" si="57"/>
        <v>0</v>
      </c>
      <c r="M257" s="204">
        <f t="shared" si="58"/>
        <v>0</v>
      </c>
      <c r="N257" s="505">
        <f t="shared" si="59"/>
        <v>0</v>
      </c>
      <c r="O257" s="204">
        <f>IF(DG!$A$137&gt;12,0,IF(J257-J256&gt;0,MROUND((L257/12*Q256),1),MROUND(L257/12*P256,1)))</f>
        <v>0</v>
      </c>
      <c r="P257" s="204">
        <f t="shared" si="60"/>
        <v>0</v>
      </c>
      <c r="Q257" s="204">
        <f t="shared" si="54"/>
        <v>0</v>
      </c>
      <c r="R257" s="476">
        <v>0</v>
      </c>
      <c r="S257" s="511">
        <f t="shared" si="52"/>
        <v>0</v>
      </c>
    </row>
    <row r="258" spans="1:19" ht="14" thickTop="1" thickBot="1">
      <c r="A258" s="202">
        <f t="shared" si="55"/>
        <v>52352</v>
      </c>
      <c r="B258" s="65">
        <f t="shared" si="48"/>
        <v>0</v>
      </c>
      <c r="C258" s="65">
        <f t="shared" si="61"/>
        <v>0</v>
      </c>
      <c r="D258" s="65">
        <f t="shared" si="49"/>
        <v>233</v>
      </c>
      <c r="E258" s="65">
        <f t="shared" si="56"/>
        <v>0</v>
      </c>
      <c r="F258" s="65">
        <f>IF(OR(L$73=0,DG!$A$258&gt;16),0,F257+1)</f>
        <v>0</v>
      </c>
      <c r="G258" s="65">
        <f t="shared" si="53"/>
        <v>0</v>
      </c>
      <c r="H258" s="65">
        <f t="shared" si="50"/>
        <v>0</v>
      </c>
      <c r="I258" s="65">
        <f t="shared" si="62"/>
        <v>0</v>
      </c>
      <c r="J258" s="203">
        <f>IF(DG!$A$137&lt;=11,$M$17,0)</f>
        <v>0</v>
      </c>
      <c r="K258" s="65">
        <f t="shared" si="51"/>
        <v>0</v>
      </c>
      <c r="L258" s="473">
        <f t="shared" si="57"/>
        <v>0</v>
      </c>
      <c r="M258" s="204">
        <f t="shared" si="58"/>
        <v>0</v>
      </c>
      <c r="N258" s="505">
        <f t="shared" si="59"/>
        <v>0</v>
      </c>
      <c r="O258" s="204">
        <f>IF(DG!$A$137&gt;12,0,IF(J258-J257&gt;0,MROUND((L258/12*Q257),1),MROUND(L258/12*P257,1)))</f>
        <v>0</v>
      </c>
      <c r="P258" s="204">
        <f t="shared" si="60"/>
        <v>0</v>
      </c>
      <c r="Q258" s="204">
        <f t="shared" si="54"/>
        <v>0</v>
      </c>
      <c r="R258" s="476">
        <v>0</v>
      </c>
      <c r="S258" s="511">
        <f t="shared" si="52"/>
        <v>0</v>
      </c>
    </row>
    <row r="259" spans="1:19" ht="14" thickTop="1" thickBot="1">
      <c r="A259" s="202">
        <f t="shared" si="55"/>
        <v>52383</v>
      </c>
      <c r="B259" s="65">
        <f t="shared" si="48"/>
        <v>0</v>
      </c>
      <c r="C259" s="65">
        <f t="shared" si="61"/>
        <v>0</v>
      </c>
      <c r="D259" s="65">
        <f t="shared" si="49"/>
        <v>234</v>
      </c>
      <c r="E259" s="65">
        <f t="shared" si="56"/>
        <v>0</v>
      </c>
      <c r="F259" s="65">
        <f>IF(OR(L$73=0,DG!$A$258&gt;16),0,F258+1)</f>
        <v>0</v>
      </c>
      <c r="G259" s="65">
        <f t="shared" si="53"/>
        <v>0</v>
      </c>
      <c r="H259" s="65">
        <f t="shared" si="50"/>
        <v>0</v>
      </c>
      <c r="I259" s="65">
        <f t="shared" si="62"/>
        <v>0</v>
      </c>
      <c r="J259" s="203">
        <f>IF(DG!$A$137&lt;=11,$M$17,0)</f>
        <v>0</v>
      </c>
      <c r="K259" s="65">
        <f t="shared" si="51"/>
        <v>0</v>
      </c>
      <c r="L259" s="473">
        <f t="shared" si="57"/>
        <v>0</v>
      </c>
      <c r="M259" s="204">
        <f t="shared" si="58"/>
        <v>0</v>
      </c>
      <c r="N259" s="505">
        <f t="shared" si="59"/>
        <v>0</v>
      </c>
      <c r="O259" s="204">
        <f>IF(DG!$A$137&gt;12,0,IF(J259-J258&gt;0,MROUND((L259/12*Q258),1),MROUND(L259/12*P258,1)))</f>
        <v>0</v>
      </c>
      <c r="P259" s="204">
        <f t="shared" si="60"/>
        <v>0</v>
      </c>
      <c r="Q259" s="204">
        <f t="shared" si="54"/>
        <v>0</v>
      </c>
      <c r="R259" s="476">
        <v>0</v>
      </c>
      <c r="S259" s="511">
        <f t="shared" si="52"/>
        <v>0</v>
      </c>
    </row>
    <row r="260" spans="1:19" ht="14" thickTop="1" thickBot="1">
      <c r="A260" s="202">
        <f t="shared" si="55"/>
        <v>52413</v>
      </c>
      <c r="B260" s="65">
        <f t="shared" si="48"/>
        <v>0</v>
      </c>
      <c r="C260" s="65">
        <f t="shared" si="61"/>
        <v>0</v>
      </c>
      <c r="D260" s="65">
        <f t="shared" si="49"/>
        <v>235</v>
      </c>
      <c r="E260" s="65">
        <f t="shared" si="56"/>
        <v>0</v>
      </c>
      <c r="F260" s="65">
        <f>IF(OR(L$73=0,DG!$A$258&gt;16),0,F259+1)</f>
        <v>0</v>
      </c>
      <c r="G260" s="65">
        <f t="shared" si="53"/>
        <v>0</v>
      </c>
      <c r="H260" s="65">
        <f t="shared" si="50"/>
        <v>0</v>
      </c>
      <c r="I260" s="65">
        <f t="shared" si="62"/>
        <v>0</v>
      </c>
      <c r="J260" s="203">
        <f>IF(DG!$A$137&lt;=11,$M$17,0)</f>
        <v>0</v>
      </c>
      <c r="K260" s="65">
        <f t="shared" si="51"/>
        <v>0</v>
      </c>
      <c r="L260" s="473">
        <f t="shared" si="57"/>
        <v>0</v>
      </c>
      <c r="M260" s="204">
        <f t="shared" si="58"/>
        <v>0</v>
      </c>
      <c r="N260" s="505">
        <f t="shared" si="59"/>
        <v>0</v>
      </c>
      <c r="O260" s="204">
        <f>IF(DG!$A$137&gt;12,0,IF(J260-J259&gt;0,MROUND((L260/12*Q259),1),MROUND(L260/12*P259,1)))</f>
        <v>0</v>
      </c>
      <c r="P260" s="204">
        <f t="shared" si="60"/>
        <v>0</v>
      </c>
      <c r="Q260" s="204">
        <f t="shared" si="54"/>
        <v>0</v>
      </c>
      <c r="R260" s="476">
        <v>0</v>
      </c>
      <c r="S260" s="511">
        <f t="shared" si="52"/>
        <v>0</v>
      </c>
    </row>
    <row r="261" spans="1:19" ht="14" thickTop="1" thickBot="1">
      <c r="A261" s="202">
        <f t="shared" si="55"/>
        <v>52444</v>
      </c>
      <c r="B261" s="65">
        <f t="shared" si="48"/>
        <v>0</v>
      </c>
      <c r="C261" s="65">
        <f t="shared" si="61"/>
        <v>0</v>
      </c>
      <c r="D261" s="65">
        <f t="shared" si="49"/>
        <v>236</v>
      </c>
      <c r="E261" s="65">
        <f t="shared" si="56"/>
        <v>0</v>
      </c>
      <c r="F261" s="65">
        <f>IF(OR(L$73=0,DG!$A$258&gt;16),0,F260+1)</f>
        <v>0</v>
      </c>
      <c r="G261" s="65">
        <f t="shared" si="53"/>
        <v>0</v>
      </c>
      <c r="H261" s="65">
        <f t="shared" si="50"/>
        <v>0</v>
      </c>
      <c r="I261" s="65">
        <f t="shared" si="62"/>
        <v>0</v>
      </c>
      <c r="J261" s="203">
        <f>IF(DG!$A$137&lt;=11,$M$17,0)</f>
        <v>0</v>
      </c>
      <c r="K261" s="65">
        <f t="shared" si="51"/>
        <v>0</v>
      </c>
      <c r="L261" s="473">
        <f t="shared" si="57"/>
        <v>0</v>
      </c>
      <c r="M261" s="204">
        <f t="shared" si="58"/>
        <v>0</v>
      </c>
      <c r="N261" s="505">
        <f t="shared" si="59"/>
        <v>0</v>
      </c>
      <c r="O261" s="204">
        <f>IF(DG!$A$137&gt;12,0,IF(J261-J260&gt;0,MROUND((L261/12*Q260),1),MROUND(L261/12*P260,1)))</f>
        <v>0</v>
      </c>
      <c r="P261" s="204">
        <f t="shared" si="60"/>
        <v>0</v>
      </c>
      <c r="Q261" s="204">
        <f t="shared" si="54"/>
        <v>0</v>
      </c>
      <c r="R261" s="476">
        <v>0</v>
      </c>
      <c r="S261" s="511">
        <f t="shared" si="52"/>
        <v>0</v>
      </c>
    </row>
    <row r="262" spans="1:19" ht="14" thickTop="1" thickBot="1">
      <c r="A262" s="202">
        <f t="shared" si="55"/>
        <v>52475</v>
      </c>
      <c r="B262" s="65">
        <f t="shared" si="48"/>
        <v>0</v>
      </c>
      <c r="C262" s="65">
        <f t="shared" si="61"/>
        <v>0</v>
      </c>
      <c r="D262" s="65">
        <f t="shared" si="49"/>
        <v>237</v>
      </c>
      <c r="E262" s="65">
        <f t="shared" si="56"/>
        <v>0</v>
      </c>
      <c r="F262" s="65">
        <f>IF(OR(L$73=0,DG!$A$258&gt;16),0,F261+1)</f>
        <v>0</v>
      </c>
      <c r="G262" s="65">
        <f t="shared" si="53"/>
        <v>0</v>
      </c>
      <c r="H262" s="65">
        <f t="shared" si="50"/>
        <v>0</v>
      </c>
      <c r="I262" s="65">
        <f t="shared" si="62"/>
        <v>0</v>
      </c>
      <c r="J262" s="203">
        <f>IF(DG!$A$137&lt;=11,$M$17,0)</f>
        <v>0</v>
      </c>
      <c r="K262" s="65">
        <f t="shared" si="51"/>
        <v>0</v>
      </c>
      <c r="L262" s="473">
        <f t="shared" si="57"/>
        <v>0</v>
      </c>
      <c r="M262" s="204">
        <f t="shared" si="58"/>
        <v>0</v>
      </c>
      <c r="N262" s="505">
        <f t="shared" si="59"/>
        <v>0</v>
      </c>
      <c r="O262" s="204">
        <f>IF(DG!$A$137&gt;12,0,IF(J262-J261&gt;0,MROUND((L262/12*Q261),1),MROUND(L262/12*P261,1)))</f>
        <v>0</v>
      </c>
      <c r="P262" s="204">
        <f t="shared" si="60"/>
        <v>0</v>
      </c>
      <c r="Q262" s="204">
        <f t="shared" si="54"/>
        <v>0</v>
      </c>
      <c r="R262" s="476">
        <v>0</v>
      </c>
      <c r="S262" s="511">
        <f t="shared" si="52"/>
        <v>0</v>
      </c>
    </row>
    <row r="263" spans="1:19" ht="14" thickTop="1" thickBot="1">
      <c r="A263" s="202">
        <f t="shared" si="55"/>
        <v>52505</v>
      </c>
      <c r="B263" s="65">
        <f t="shared" si="48"/>
        <v>0</v>
      </c>
      <c r="C263" s="65">
        <f t="shared" si="61"/>
        <v>0</v>
      </c>
      <c r="D263" s="65">
        <f t="shared" si="49"/>
        <v>238</v>
      </c>
      <c r="E263" s="65">
        <f t="shared" si="56"/>
        <v>0</v>
      </c>
      <c r="F263" s="65">
        <f>IF(OR(L$73=0,DG!$A$258&gt;16),0,F262+1)</f>
        <v>0</v>
      </c>
      <c r="G263" s="65">
        <f t="shared" si="53"/>
        <v>0</v>
      </c>
      <c r="H263" s="65">
        <f t="shared" si="50"/>
        <v>0</v>
      </c>
      <c r="I263" s="65">
        <f t="shared" si="62"/>
        <v>0</v>
      </c>
      <c r="J263" s="203">
        <f>IF(DG!$A$137&lt;=11,$M$17,0)</f>
        <v>0</v>
      </c>
      <c r="K263" s="65">
        <f t="shared" si="51"/>
        <v>0</v>
      </c>
      <c r="L263" s="473">
        <f t="shared" si="57"/>
        <v>0</v>
      </c>
      <c r="M263" s="204">
        <f t="shared" si="58"/>
        <v>0</v>
      </c>
      <c r="N263" s="505">
        <f t="shared" si="59"/>
        <v>0</v>
      </c>
      <c r="O263" s="204">
        <f>IF(DG!$A$137&gt;12,0,IF(J263-J262&gt;0,MROUND((L263/12*Q262),1),MROUND(L263/12*P262,1)))</f>
        <v>0</v>
      </c>
      <c r="P263" s="204">
        <f t="shared" si="60"/>
        <v>0</v>
      </c>
      <c r="Q263" s="204">
        <f t="shared" si="54"/>
        <v>0</v>
      </c>
      <c r="R263" s="476">
        <v>0</v>
      </c>
      <c r="S263" s="511">
        <f t="shared" si="52"/>
        <v>0</v>
      </c>
    </row>
    <row r="264" spans="1:19" ht="14" thickTop="1" thickBot="1">
      <c r="A264" s="202">
        <f t="shared" si="55"/>
        <v>52536</v>
      </c>
      <c r="B264" s="65">
        <f t="shared" si="48"/>
        <v>0</v>
      </c>
      <c r="C264" s="65">
        <f t="shared" si="61"/>
        <v>0</v>
      </c>
      <c r="D264" s="65">
        <f t="shared" si="49"/>
        <v>239</v>
      </c>
      <c r="E264" s="65">
        <f t="shared" si="56"/>
        <v>0</v>
      </c>
      <c r="F264" s="65">
        <f>IF(OR(L$73=0,DG!$A$258&gt;16),0,F263+1)</f>
        <v>0</v>
      </c>
      <c r="G264" s="65">
        <f t="shared" si="53"/>
        <v>0</v>
      </c>
      <c r="H264" s="65">
        <f t="shared" si="50"/>
        <v>0</v>
      </c>
      <c r="I264" s="65">
        <f t="shared" si="62"/>
        <v>0</v>
      </c>
      <c r="J264" s="203">
        <f>IF(DG!$A$137&lt;=11,$M$17,0)</f>
        <v>0</v>
      </c>
      <c r="K264" s="65">
        <f t="shared" si="51"/>
        <v>0</v>
      </c>
      <c r="L264" s="473">
        <f t="shared" si="57"/>
        <v>0</v>
      </c>
      <c r="M264" s="204">
        <f t="shared" si="58"/>
        <v>0</v>
      </c>
      <c r="N264" s="505">
        <f t="shared" si="59"/>
        <v>0</v>
      </c>
      <c r="O264" s="204">
        <f>IF(DG!$A$137&gt;12,0,IF(J264-J263&gt;0,MROUND((L264/12*Q263),1),MROUND(L264/12*P263,1)))</f>
        <v>0</v>
      </c>
      <c r="P264" s="204">
        <f t="shared" si="60"/>
        <v>0</v>
      </c>
      <c r="Q264" s="204">
        <f t="shared" si="54"/>
        <v>0</v>
      </c>
      <c r="R264" s="476">
        <v>0</v>
      </c>
      <c r="S264" s="511">
        <f t="shared" si="52"/>
        <v>0</v>
      </c>
    </row>
    <row r="265" spans="1:19" ht="14" thickTop="1" thickBot="1">
      <c r="A265" s="202">
        <f t="shared" si="55"/>
        <v>52566</v>
      </c>
      <c r="B265" s="65">
        <f t="shared" si="48"/>
        <v>0</v>
      </c>
      <c r="C265" s="65">
        <f t="shared" si="61"/>
        <v>0</v>
      </c>
      <c r="D265" s="65">
        <f t="shared" si="49"/>
        <v>240</v>
      </c>
      <c r="E265" s="65">
        <f t="shared" si="56"/>
        <v>0</v>
      </c>
      <c r="F265" s="65">
        <f>IF(OR(L$73=0,DG!$A$258&gt;16),0,F264+1)</f>
        <v>0</v>
      </c>
      <c r="G265" s="65">
        <f t="shared" si="53"/>
        <v>0</v>
      </c>
      <c r="H265" s="65">
        <f t="shared" si="50"/>
        <v>0</v>
      </c>
      <c r="I265" s="65">
        <f t="shared" si="62"/>
        <v>0</v>
      </c>
      <c r="J265" s="203">
        <f>IF(DG!$A$137&lt;=11,$M$17,0)</f>
        <v>0</v>
      </c>
      <c r="K265" s="65">
        <f t="shared" si="51"/>
        <v>0</v>
      </c>
      <c r="L265" s="473">
        <f t="shared" si="57"/>
        <v>0</v>
      </c>
      <c r="M265" s="204">
        <f t="shared" si="58"/>
        <v>0</v>
      </c>
      <c r="N265" s="505">
        <f t="shared" si="59"/>
        <v>0</v>
      </c>
      <c r="O265" s="204">
        <f>IF(DG!$A$137&gt;12,0,IF(J265-J264&gt;0,MROUND((L265/12*Q264),1),MROUND(L265/12*P264,1)))</f>
        <v>0</v>
      </c>
      <c r="P265" s="204">
        <f t="shared" si="60"/>
        <v>0</v>
      </c>
      <c r="Q265" s="204">
        <f t="shared" si="54"/>
        <v>0</v>
      </c>
      <c r="R265" s="476">
        <v>0</v>
      </c>
      <c r="S265" s="511">
        <f t="shared" si="52"/>
        <v>0</v>
      </c>
    </row>
    <row r="266" spans="1:19" ht="13.5" thickTop="1">
      <c r="H266" s="65">
        <f>IF(B266&gt;0,1,0)</f>
        <v>0</v>
      </c>
      <c r="I266" s="65">
        <f>SUM(E266:H266)</f>
        <v>0</v>
      </c>
      <c r="M266" s="205"/>
      <c r="N266" s="505">
        <f t="shared" si="59"/>
        <v>0</v>
      </c>
      <c r="O266" s="204">
        <f>IF(DG!$A$137&gt;12,0,IF(J266-J265&gt;0,MROUND((L266/12*Q265),1),MROUND(L266/12*P265,1)))</f>
        <v>0</v>
      </c>
    </row>
    <row r="267" spans="1:19">
      <c r="H267" s="65">
        <f>IF(B267&gt;0,1,0)</f>
        <v>0</v>
      </c>
      <c r="I267" s="65">
        <f>SUM(E267:H267)</f>
        <v>0</v>
      </c>
      <c r="M267" s="205"/>
      <c r="N267" s="505">
        <f t="shared" si="59"/>
        <v>0</v>
      </c>
      <c r="O267" s="204">
        <f>IF(DG!$A$137&gt;12,0,IF(J267-J266&gt;0,MROUND((L267/12*Q266),1),MROUND(L267/12*P266,1)))</f>
        <v>0</v>
      </c>
    </row>
    <row r="268" spans="1:19">
      <c r="O268" s="205">
        <f>SUM(O74:O85)</f>
        <v>0</v>
      </c>
    </row>
    <row r="269" spans="1:19">
      <c r="E269" s="43">
        <f>D73-E73</f>
        <v>48</v>
      </c>
      <c r="G269" s="43">
        <f>SUM(G26:G73)</f>
        <v>0</v>
      </c>
      <c r="O269"/>
    </row>
  </sheetData>
  <sheetProtection password="E242" sheet="1" objects="1" scenarios="1"/>
  <customSheetViews>
    <customSheetView guid="{30D0538C-360A-4CDF-8D89-584CED1967CC}"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 guid="{4F3169C3-3348-49DE-A6DC-8AA4D2A9D7A1}"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1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2" r:id="rId4" name="Drop Down 4">
              <controlPr defaultSize="0" autoFill="0" autoLine="0" autoPict="0">
                <anchor moveWithCells="1">
                  <from>
                    <xdr:col>15</xdr:col>
                    <xdr:colOff>0</xdr:colOff>
                    <xdr:row>15</xdr:row>
                    <xdr:rowOff>63500</xdr:rowOff>
                  </from>
                  <to>
                    <xdr:col>16</xdr:col>
                    <xdr:colOff>63500</xdr:colOff>
                    <xdr:row>17</xdr:row>
                    <xdr:rowOff>25400</xdr:rowOff>
                  </to>
                </anchor>
              </controlPr>
            </control>
          </mc:Choice>
        </mc:AlternateContent>
        <mc:AlternateContent xmlns:mc="http://schemas.openxmlformats.org/markup-compatibility/2006">
          <mc:Choice Requires="x14">
            <control shapeId="58374" r:id="rId5" name="Drop Down 6">
              <controlPr defaultSize="0" autoFill="0" autoLine="0" autoPict="0">
                <anchor moveWithCells="1">
                  <from>
                    <xdr:col>15</xdr:col>
                    <xdr:colOff>12700</xdr:colOff>
                    <xdr:row>18</xdr:row>
                    <xdr:rowOff>0</xdr:rowOff>
                  </from>
                  <to>
                    <xdr:col>16</xdr:col>
                    <xdr:colOff>38100</xdr:colOff>
                    <xdr:row>19</xdr:row>
                    <xdr:rowOff>50800</xdr:rowOff>
                  </to>
                </anchor>
              </controlPr>
            </control>
          </mc:Choice>
        </mc:AlternateContent>
        <mc:AlternateContent xmlns:mc="http://schemas.openxmlformats.org/markup-compatibility/2006">
          <mc:Choice Requires="x14">
            <control shapeId="58377" r:id="rId6" name="Drop Down 9">
              <controlPr defaultSize="0" autoFill="0" autoLine="0" autoPict="0">
                <anchor moveWithCells="1">
                  <from>
                    <xdr:col>15</xdr:col>
                    <xdr:colOff>0</xdr:colOff>
                    <xdr:row>11</xdr:row>
                    <xdr:rowOff>177800</xdr:rowOff>
                  </from>
                  <to>
                    <xdr:col>16</xdr:col>
                    <xdr:colOff>63500</xdr:colOff>
                    <xdr:row>13</xdr:row>
                    <xdr:rowOff>25400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Feuil62"/>
  <dimension ref="B5:E48"/>
  <sheetViews>
    <sheetView workbookViewId="0">
      <selection activeCell="I9" sqref="I9"/>
    </sheetView>
  </sheetViews>
  <sheetFormatPr baseColWidth="10" defaultRowHeight="12.5"/>
  <sheetData>
    <row r="5" spans="2:5">
      <c r="B5" t="s">
        <v>762</v>
      </c>
      <c r="E5" t="s">
        <v>802</v>
      </c>
    </row>
    <row r="6" spans="2:5">
      <c r="B6" t="s">
        <v>865</v>
      </c>
      <c r="E6" t="s">
        <v>803</v>
      </c>
    </row>
    <row r="7" spans="2:5">
      <c r="B7" t="s">
        <v>763</v>
      </c>
      <c r="E7" t="s">
        <v>804</v>
      </c>
    </row>
    <row r="8" spans="2:5">
      <c r="B8" t="s">
        <v>872</v>
      </c>
      <c r="E8" t="s">
        <v>805</v>
      </c>
    </row>
    <row r="9" spans="2:5">
      <c r="B9" t="s">
        <v>764</v>
      </c>
      <c r="E9" t="s">
        <v>806</v>
      </c>
    </row>
    <row r="10" spans="2:5">
      <c r="B10" t="s">
        <v>765</v>
      </c>
      <c r="E10" t="s">
        <v>808</v>
      </c>
    </row>
    <row r="11" spans="2:5">
      <c r="B11" t="s">
        <v>766</v>
      </c>
      <c r="E11" t="s">
        <v>807</v>
      </c>
    </row>
    <row r="12" spans="2:5">
      <c r="B12" t="s">
        <v>767</v>
      </c>
      <c r="E12" t="s">
        <v>809</v>
      </c>
    </row>
    <row r="13" spans="2:5">
      <c r="B13" t="s">
        <v>768</v>
      </c>
      <c r="E13" t="s">
        <v>810</v>
      </c>
    </row>
    <row r="14" spans="2:5">
      <c r="B14" t="s">
        <v>769</v>
      </c>
      <c r="E14" t="s">
        <v>811</v>
      </c>
    </row>
    <row r="15" spans="2:5">
      <c r="B15" t="s">
        <v>770</v>
      </c>
      <c r="E15" t="s">
        <v>812</v>
      </c>
    </row>
    <row r="16" spans="2:5">
      <c r="B16" t="s">
        <v>771</v>
      </c>
      <c r="E16" t="s">
        <v>813</v>
      </c>
    </row>
    <row r="17" spans="2:5">
      <c r="B17" t="s">
        <v>772</v>
      </c>
      <c r="E17" t="s">
        <v>814</v>
      </c>
    </row>
    <row r="18" spans="2:5">
      <c r="B18" t="s">
        <v>773</v>
      </c>
      <c r="E18" t="s">
        <v>815</v>
      </c>
    </row>
    <row r="19" spans="2:5">
      <c r="B19" t="s">
        <v>774</v>
      </c>
      <c r="E19" t="s">
        <v>816</v>
      </c>
    </row>
    <row r="20" spans="2:5">
      <c r="B20" t="s">
        <v>775</v>
      </c>
      <c r="E20" t="s">
        <v>817</v>
      </c>
    </row>
    <row r="21" spans="2:5">
      <c r="B21" t="s">
        <v>776</v>
      </c>
      <c r="E21" t="s">
        <v>818</v>
      </c>
    </row>
    <row r="22" spans="2:5">
      <c r="B22" t="s">
        <v>777</v>
      </c>
      <c r="E22" t="s">
        <v>819</v>
      </c>
    </row>
    <row r="23" spans="2:5">
      <c r="B23" t="s">
        <v>257</v>
      </c>
      <c r="E23" t="s">
        <v>820</v>
      </c>
    </row>
    <row r="24" spans="2:5">
      <c r="B24" t="s">
        <v>778</v>
      </c>
      <c r="E24" t="s">
        <v>821</v>
      </c>
    </row>
    <row r="25" spans="2:5">
      <c r="B25" t="s">
        <v>779</v>
      </c>
      <c r="E25" t="s">
        <v>822</v>
      </c>
    </row>
    <row r="26" spans="2:5">
      <c r="B26" t="s">
        <v>780</v>
      </c>
      <c r="E26" t="s">
        <v>11</v>
      </c>
    </row>
    <row r="27" spans="2:5">
      <c r="B27" t="s">
        <v>781</v>
      </c>
      <c r="E27" t="s">
        <v>823</v>
      </c>
    </row>
    <row r="28" spans="2:5">
      <c r="B28" t="s">
        <v>782</v>
      </c>
      <c r="E28" t="s">
        <v>824</v>
      </c>
    </row>
    <row r="29" spans="2:5">
      <c r="B29" t="s">
        <v>783</v>
      </c>
      <c r="E29" t="s">
        <v>873</v>
      </c>
    </row>
    <row r="30" spans="2:5">
      <c r="B30" t="s">
        <v>784</v>
      </c>
      <c r="E30" t="s">
        <v>825</v>
      </c>
    </row>
    <row r="31" spans="2:5">
      <c r="B31" t="s">
        <v>785</v>
      </c>
      <c r="E31" t="s">
        <v>826</v>
      </c>
    </row>
    <row r="32" spans="2:5">
      <c r="B32" t="s">
        <v>786</v>
      </c>
      <c r="E32" t="s">
        <v>827</v>
      </c>
    </row>
    <row r="33" spans="2:5">
      <c r="B33" t="s">
        <v>787</v>
      </c>
      <c r="E33" t="s">
        <v>828</v>
      </c>
    </row>
    <row r="34" spans="2:5">
      <c r="B34" t="s">
        <v>788</v>
      </c>
      <c r="E34" t="s">
        <v>829</v>
      </c>
    </row>
    <row r="35" spans="2:5">
      <c r="B35" t="s">
        <v>789</v>
      </c>
      <c r="E35" t="s">
        <v>830</v>
      </c>
    </row>
    <row r="36" spans="2:5">
      <c r="B36" t="s">
        <v>790</v>
      </c>
      <c r="E36" t="s">
        <v>831</v>
      </c>
    </row>
    <row r="37" spans="2:5">
      <c r="B37" t="s">
        <v>791</v>
      </c>
      <c r="E37" t="s">
        <v>832</v>
      </c>
    </row>
    <row r="38" spans="2:5">
      <c r="B38" t="s">
        <v>792</v>
      </c>
      <c r="E38" t="s">
        <v>833</v>
      </c>
    </row>
    <row r="39" spans="2:5">
      <c r="B39" t="s">
        <v>793</v>
      </c>
      <c r="E39" t="s">
        <v>834</v>
      </c>
    </row>
    <row r="40" spans="2:5">
      <c r="B40" t="s">
        <v>794</v>
      </c>
      <c r="E40" t="s">
        <v>835</v>
      </c>
    </row>
    <row r="41" spans="2:5">
      <c r="B41" t="s">
        <v>795</v>
      </c>
      <c r="E41" t="s">
        <v>836</v>
      </c>
    </row>
    <row r="42" spans="2:5">
      <c r="B42" t="s">
        <v>796</v>
      </c>
      <c r="E42" t="s">
        <v>837</v>
      </c>
    </row>
    <row r="43" spans="2:5">
      <c r="B43" t="s">
        <v>797</v>
      </c>
      <c r="E43" t="s">
        <v>838</v>
      </c>
    </row>
    <row r="44" spans="2:5">
      <c r="B44" t="s">
        <v>798</v>
      </c>
      <c r="E44" t="s">
        <v>839</v>
      </c>
    </row>
    <row r="45" spans="2:5">
      <c r="B45" t="s">
        <v>799</v>
      </c>
      <c r="E45" t="s">
        <v>840</v>
      </c>
    </row>
    <row r="46" spans="2:5">
      <c r="B46" t="s">
        <v>800</v>
      </c>
      <c r="E46" t="s">
        <v>841</v>
      </c>
    </row>
    <row r="47" spans="2:5">
      <c r="B47" t="s">
        <v>801</v>
      </c>
      <c r="E47" t="s">
        <v>842</v>
      </c>
    </row>
    <row r="48" spans="2:5">
      <c r="E48" t="s">
        <v>843</v>
      </c>
    </row>
  </sheetData>
  <sheetProtection password="E242" sheet="1" objects="1" scenarios="1"/>
  <customSheetViews>
    <customSheetView guid="{30D0538C-360A-4CDF-8D89-584CED1967CC}" state="hidden">
      <selection activeCell="F8" sqref="F8"/>
      <pageMargins left="0.7" right="0.7" top="0.75" bottom="0.75" header="0.3" footer="0.3"/>
      <pageSetup orientation="portrait" r:id="rId1"/>
    </customSheetView>
    <customSheetView guid="{4F3169C3-3348-49DE-A6DC-8AA4D2A9D7A1}" state="hidden">
      <selection activeCell="F8" sqref="F8"/>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Feuil41"/>
  <dimension ref="A1"/>
  <sheetViews>
    <sheetView workbookViewId="0">
      <selection activeCell="C30" sqref="C30"/>
    </sheetView>
  </sheetViews>
  <sheetFormatPr baseColWidth="10" defaultRowHeight="12.5"/>
  <sheetData/>
  <sheetProtection password="E242"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89</vt:i4>
      </vt:variant>
    </vt:vector>
  </HeadingPairs>
  <TitlesOfParts>
    <vt:vector size="89" baseType="lpstr">
      <vt:lpstr>ACCUEIL</vt:lpstr>
      <vt:lpstr>MESREVENUS</vt:lpstr>
      <vt:lpstr>IMPRESSION</vt:lpstr>
      <vt:lpstr>COUTDUPROJET</vt:lpstr>
      <vt:lpstr>FABRICATION</vt:lpstr>
      <vt:lpstr>OUTILSDEGESTION</vt:lpstr>
      <vt:lpstr>MESDEPENSES</vt:lpstr>
      <vt:lpstr>COMPLEMENTS</vt:lpstr>
      <vt:lpstr>PLANFINANCIER</vt:lpstr>
      <vt:lpstr>FINANCEMENT</vt:lpstr>
      <vt:lpstr>GRAPHIQUES</vt:lpstr>
      <vt:lpstr>TABLE</vt:lpstr>
      <vt:lpstr>HISTO BILAN</vt:lpstr>
      <vt:lpstr>HISTO RESULTATS</vt:lpstr>
      <vt:lpstr>HISTO RF</vt:lpstr>
      <vt:lpstr>BILAN MENSUEL</vt:lpstr>
      <vt:lpstr>RESULTAT MENSUEL</vt:lpstr>
      <vt:lpstr>CON</vt:lpstr>
      <vt:lpstr>RG</vt:lpstr>
      <vt:lpstr>FDD</vt:lpstr>
      <vt:lpstr>IMMO</vt:lpstr>
      <vt:lpstr>DG</vt:lpstr>
      <vt:lpstr>SUBV</vt:lpstr>
      <vt:lpstr>CF</vt:lpstr>
      <vt:lpstr>V1</vt:lpstr>
      <vt:lpstr>V2</vt:lpstr>
      <vt:lpstr>V3</vt:lpstr>
      <vt:lpstr>V4</vt:lpstr>
      <vt:lpstr>V5</vt:lpstr>
      <vt:lpstr>AE1</vt:lpstr>
      <vt:lpstr>AE2</vt:lpstr>
      <vt:lpstr>AE3</vt:lpstr>
      <vt:lpstr>AE4</vt:lpstr>
      <vt:lpstr>AE5</vt:lpstr>
      <vt:lpstr>A1</vt:lpstr>
      <vt:lpstr>A2</vt:lpstr>
      <vt:lpstr>A3</vt:lpstr>
      <vt:lpstr>A4</vt:lpstr>
      <vt:lpstr>A5</vt:lpstr>
      <vt:lpstr>FD1</vt:lpstr>
      <vt:lpstr>FD2</vt:lpstr>
      <vt:lpstr>FD3</vt:lpstr>
      <vt:lpstr>FD4</vt:lpstr>
      <vt:lpstr>FD5</vt:lpstr>
      <vt:lpstr>FG1</vt:lpstr>
      <vt:lpstr>FG2</vt:lpstr>
      <vt:lpstr>FG3</vt:lpstr>
      <vt:lpstr>FG4</vt:lpstr>
      <vt:lpstr>FG5</vt:lpstr>
      <vt:lpstr>CS</vt:lpstr>
      <vt:lpstr>RH1</vt:lpstr>
      <vt:lpstr>RH2</vt:lpstr>
      <vt:lpstr>RH3</vt:lpstr>
      <vt:lpstr>RH4</vt:lpstr>
      <vt:lpstr>RH5</vt:lpstr>
      <vt:lpstr>BC1</vt:lpstr>
      <vt:lpstr>BC2</vt:lpstr>
      <vt:lpstr>BC3</vt:lpstr>
      <vt:lpstr>BC4</vt:lpstr>
      <vt:lpstr>BC5</vt:lpstr>
      <vt:lpstr>ER</vt:lpstr>
      <vt:lpstr>BILAN</vt:lpstr>
      <vt:lpstr>EE</vt:lpstr>
      <vt:lpstr>NE</vt:lpstr>
      <vt:lpstr>RF</vt:lpstr>
      <vt:lpstr>A</vt:lpstr>
      <vt:lpstr>FGFM1</vt:lpstr>
      <vt:lpstr>FGFM2</vt:lpstr>
      <vt:lpstr>FGFM3</vt:lpstr>
      <vt:lpstr>FGF1,2</vt:lpstr>
      <vt:lpstr>GR</vt:lpstr>
      <vt:lpstr>GPM</vt:lpstr>
      <vt:lpstr>GV</vt:lpstr>
      <vt:lpstr>TE</vt:lpstr>
      <vt:lpstr>TI</vt:lpstr>
      <vt:lpstr>RD</vt:lpstr>
      <vt:lpstr>BP</vt:lpstr>
      <vt:lpstr>ECT1</vt:lpstr>
      <vt:lpstr>ECT2</vt:lpstr>
      <vt:lpstr>EH</vt:lpstr>
      <vt:lpstr>ELT1</vt:lpstr>
      <vt:lpstr>ELT2</vt:lpstr>
      <vt:lpstr>ELT3</vt:lpstr>
      <vt:lpstr>ELT4</vt:lpstr>
      <vt:lpstr>ELT5</vt:lpstr>
      <vt:lpstr>ELT6</vt:lpstr>
      <vt:lpstr>ELT7</vt:lpstr>
      <vt:lpstr>liste feuille</vt:lpstr>
      <vt:lpstr>Feuil1</vt:lpstr>
    </vt:vector>
  </TitlesOfParts>
  <Manager>Michel Ross</Manager>
  <Company>Agence de coaching entrepreneurial du Québec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PRF 2008</dc:title>
  <dc:subject>Programme de prévisions budgétaires</dc:subject>
  <dc:creator>Michel Ross</dc:creator>
  <cp:lastModifiedBy>Jhon Wesly Désir</cp:lastModifiedBy>
  <cp:lastPrinted>2017-12-06T16:43:19Z</cp:lastPrinted>
  <dcterms:created xsi:type="dcterms:W3CDTF">2000-09-11T13:25:25Z</dcterms:created>
  <dcterms:modified xsi:type="dcterms:W3CDTF">2026-02-08T02:44:44Z</dcterms:modified>
</cp:coreProperties>
</file>